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매출원본" sheetId="2" state="visible" r:id="rId2"/>
    <sheet xmlns:r="http://schemas.openxmlformats.org/officeDocument/2006/relationships" name="매입원본" sheetId="3" state="visible" r:id="rId3"/>
    <sheet xmlns:r="http://schemas.openxmlformats.org/officeDocument/2006/relationships" name="매출처별" sheetId="4" state="visible" r:id="rId4"/>
    <sheet xmlns:r="http://schemas.openxmlformats.org/officeDocument/2006/relationships" name="매입처별" sheetId="5" state="visible" r:id="rId5"/>
    <sheet xmlns:r="http://schemas.openxmlformats.org/officeDocument/2006/relationships" name="신고요약" sheetId="6" state="visible" r:id="rId6"/>
    <sheet xmlns:r="http://schemas.openxmlformats.org/officeDocument/2006/relationships" name="점검목록" sheetId="7" state="visible" r:id="rId7"/>
    <sheet xmlns:r="http://schemas.openxmlformats.org/officeDocument/2006/relationships" name="설정" sheetId="8" state="visible" r:id="rId8"/>
  </sheets>
  <definedNames>
    <definedName name="_xlnm.Print_Titles" localSheetId="3">'매출처별'!$6:$6</definedName>
    <definedName name="_xlnm.Print_Area" localSheetId="3">'매출처별'!$A$1:$N$207</definedName>
    <definedName name="_xlnm.Print_Titles" localSheetId="4">'매입처별'!$6:$6</definedName>
    <definedName name="_xlnm.Print_Area" localSheetId="4">'매입처별'!$A$1:$N$207</definedName>
    <definedName name="_xlnm.Print_Area" localSheetId="5">'신고요약'!$A$1:$H$30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;[Red]-#,##0;&quot;-&quot;"/>
    <numFmt numFmtId="166" formatCode="0.0%"/>
  </numFmts>
  <fonts count="23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0000FF"/>
      <sz val="9"/>
    </font>
    <font>
      <name val="맑은 고딕"/>
      <color rgb="00808080"/>
      <sz val="9"/>
    </font>
    <font>
      <name val="맑은 고딕"/>
      <b val="1"/>
      <sz val="11"/>
    </font>
    <font>
      <name val="맑은 고딕"/>
      <color rgb="000000FF"/>
      <sz val="11"/>
    </font>
    <font>
      <name val="맑은 고딕"/>
      <color rgb="00808080"/>
      <sz val="10"/>
    </font>
    <font>
      <name val="맑은 고딕"/>
      <b val="1"/>
      <sz val="9"/>
    </font>
    <font>
      <name val="맑은 고딕"/>
      <color rgb="00BFBFBF"/>
      <sz val="8"/>
    </font>
    <font>
      <name val="맑은 고딕"/>
      <b val="1"/>
      <color rgb="00008000"/>
      <sz val="9"/>
    </font>
    <font>
      <name val="맑은 고딕"/>
      <b val="1"/>
      <color rgb="00C00000"/>
      <sz val="10"/>
    </font>
    <font>
      <name val="맑은 고딕"/>
      <color rgb="000000FF"/>
      <sz val="10"/>
    </font>
    <font>
      <name val="맑은 고딕"/>
      <b val="1"/>
      <color rgb="00404040"/>
      <sz val="10"/>
    </font>
    <font>
      <name val="맑은 고딕"/>
      <b val="1"/>
      <sz val="10"/>
    </font>
    <font>
      <name val="맑은 고딕"/>
      <sz val="10"/>
    </font>
    <font>
      <name val="맑은 고딕"/>
      <b val="1"/>
      <color rgb="00808080"/>
      <sz val="8"/>
    </font>
    <font>
      <name val="맑은 고딕"/>
      <b val="1"/>
      <color rgb="00404040"/>
      <sz val="11"/>
    </font>
    <font>
      <name val="맑은 고딕"/>
      <b val="1"/>
      <sz val="12"/>
    </font>
    <font>
      <name val="맑은 고딕"/>
      <b val="1"/>
      <color rgb="00C00000"/>
      <sz val="11"/>
    </font>
    <font>
      <name val="맑은 고딕"/>
      <color rgb="00404040"/>
      <sz val="9"/>
    </font>
    <font>
      <name val="맑은 고딕"/>
      <sz val="9"/>
    </font>
    <font>
      <name val="맑은 고딕"/>
      <b val="1"/>
      <sz val="15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1" fillId="0" borderId="0" pivotButton="0" quotePrefix="0" xfId="0"/>
    <xf numFmtId="0" fontId="3" fillId="0" borderId="0" pivotButton="0" quotePrefix="0" xfId="0"/>
    <xf numFmtId="0" fontId="17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14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4" fillId="0" borderId="1" pivotButton="0" quotePrefix="0" xfId="0"/>
    <xf numFmtId="0" fontId="2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22" fillId="0" borderId="1" applyAlignment="1" pivotButton="0" quotePrefix="0" xfId="0">
      <alignment horizontal="center" vertical="center"/>
    </xf>
    <xf numFmtId="0" fontId="1" fillId="0" borderId="0" pivotButton="0" quotePrefix="0" xfId="0"/>
    <xf numFmtId="0" fontId="2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11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3" fontId="11" fillId="0" borderId="0" pivotButton="0" quotePrefix="0" xfId="0"/>
    <xf numFmtId="0" fontId="12" fillId="0" borderId="0" pivotButton="0" quotePrefix="0" xfId="0"/>
    <xf numFmtId="0" fontId="13" fillId="2" borderId="1" applyAlignment="1" pivotButton="0" quotePrefix="0" xfId="0">
      <alignment horizontal="center" vertical="center"/>
    </xf>
    <xf numFmtId="0" fontId="15" fillId="2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/>
    </xf>
    <xf numFmtId="0" fontId="14" fillId="4" borderId="1" pivotButton="0" quotePrefix="0" xfId="0"/>
    <xf numFmtId="165" fontId="13" fillId="4" borderId="1" pivotButton="0" quotePrefix="0" xfId="0"/>
    <xf numFmtId="166" fontId="13" fillId="4" borderId="1" pivotButton="0" quotePrefix="0" xfId="0"/>
    <xf numFmtId="0" fontId="14" fillId="0" borderId="1" applyAlignment="1" pivotButton="0" quotePrefix="0" xfId="0">
      <alignment horizontal="center"/>
    </xf>
    <xf numFmtId="165" fontId="14" fillId="0" borderId="1" pivotButton="0" quotePrefix="0" xfId="0"/>
    <xf numFmtId="166" fontId="14" fillId="0" borderId="1" pivotButton="0" quotePrefix="0" xfId="0"/>
    <xf numFmtId="0" fontId="8" fillId="0" borderId="0" pivotButton="0" quotePrefix="0" xfId="0"/>
    <xf numFmtId="0" fontId="16" fillId="0" borderId="0" pivotButton="0" quotePrefix="0" xfId="0"/>
    <xf numFmtId="165" fontId="14" fillId="0" borderId="1" applyAlignment="1" pivotButton="0" quotePrefix="0" xfId="0">
      <alignment horizontal="center"/>
    </xf>
    <xf numFmtId="0" fontId="13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18" fillId="4" borderId="1" pivotButton="0" quotePrefix="0" xfId="0"/>
    <xf numFmtId="165" fontId="14" fillId="0" borderId="1" applyAlignment="1" pivotButton="0" quotePrefix="0" xfId="0">
      <alignment horizontal="center" vertical="center"/>
    </xf>
    <xf numFmtId="0" fontId="19" fillId="0" borderId="1" pivotButton="0" quotePrefix="0" xfId="0"/>
    <xf numFmtId="0" fontId="20" fillId="0" borderId="1" applyAlignment="1" pivotButton="0" quotePrefix="0" xfId="0">
      <alignment horizontal="center"/>
    </xf>
    <xf numFmtId="164" fontId="20" fillId="0" borderId="1" pivotButton="0" quotePrefix="0" xfId="0"/>
    <xf numFmtId="0" fontId="20" fillId="0" borderId="1" pivotButton="0" quotePrefix="0" xfId="0"/>
    <xf numFmtId="165" fontId="20" fillId="0" borderId="1" pivotButton="0" quotePrefix="0" xfId="0"/>
    <xf numFmtId="0" fontId="4" fillId="0" borderId="1" pivotButton="0" quotePrefix="0" xfId="0"/>
    <xf numFmtId="0" fontId="3" fillId="0" borderId="1" pivotButton="0" quotePrefix="0" xfId="0"/>
    <xf numFmtId="1" fontId="5" fillId="3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맑은 고딕"/>
        <b val="1"/>
        <color rgb="00C00000"/>
      </font>
    </dxf>
    <dxf>
      <font>
        <name val="맑은 고딕"/>
        <b val="1"/>
        <color rgb="00C0000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E5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46" customWidth="1" min="3" max="3"/>
    <col width="44" customWidth="1" min="4" max="4"/>
    <col width="52" customWidth="1" min="5" max="5"/>
  </cols>
  <sheetData>
    <row r="1">
      <c r="A1" s="1" t="inlineStr">
        <is>
          <t>세금계산서 매입매출 집계 양식 — 사용 안내</t>
        </is>
      </c>
    </row>
    <row r="2">
      <c r="A2" s="2" t="inlineStr">
        <is>
          <t>홈택스에서 내려받은 매출·매입 전자세금계산서 목록 엑셀을 그대로 붙여넣으면, 거래처별·월별 합계와 부가세 신고 준비용 요약이 자동으로 만들어집니다.</t>
        </is>
      </c>
    </row>
    <row r="4">
      <c r="A4" s="3" t="inlineStr">
        <is>
          <t>■ 작업 순서도</t>
        </is>
      </c>
    </row>
    <row r="5">
      <c r="B5" s="4" t="inlineStr">
        <is>
          <t>① 설정</t>
        </is>
      </c>
      <c r="C5" s="5" t="inlineStr">
        <is>
          <t>신고 연도와 신고 구분(예: 2기 예정)만 고르기</t>
        </is>
      </c>
      <c r="D5" s="6" t="inlineStr">
        <is>
          <t>◀ 처음 한 번 + 신고 때마다 구분만 변경</t>
        </is>
      </c>
    </row>
    <row r="6">
      <c r="B6" s="7" t="inlineStr">
        <is>
          <t>▼</t>
        </is>
      </c>
    </row>
    <row r="7">
      <c r="B7" s="4" t="inlineStr">
        <is>
          <t>② 매출원본·매입원본</t>
        </is>
      </c>
      <c r="C7" s="5" t="inlineStr">
        <is>
          <t>홈택스 목록 엑셀을 A8 셀부터 통째로 붙여넣기</t>
        </is>
      </c>
      <c r="D7" s="6" t="inlineStr">
        <is>
          <t>◀ 열 설정 노란 칸은 처음 한 번만 확인</t>
        </is>
      </c>
    </row>
    <row r="8">
      <c r="B8" s="7" t="inlineStr">
        <is>
          <t>▼</t>
        </is>
      </c>
    </row>
    <row r="9">
      <c r="B9" s="4" t="inlineStr">
        <is>
          <t>③ 매출처별·매입처별</t>
        </is>
      </c>
      <c r="C9" s="5" t="inlineStr">
        <is>
          <t>(자동) 거래처별 매수·공급가액·세액·월별 합계, 큰 순서 정렬</t>
        </is>
      </c>
    </row>
    <row r="10">
      <c r="B10" s="7" t="inlineStr">
        <is>
          <t>▼</t>
        </is>
      </c>
    </row>
    <row r="11">
      <c r="B11" s="4" t="inlineStr">
        <is>
          <t>④ 신고요약</t>
        </is>
      </c>
      <c r="C11" s="5" t="inlineStr">
        <is>
          <t>(자동) 월별 집계 + 합계표 준비 숫자 + 점검 건수</t>
        </is>
      </c>
    </row>
    <row r="12">
      <c r="B12" s="7" t="inlineStr">
        <is>
          <t>▼</t>
        </is>
      </c>
    </row>
    <row r="13">
      <c r="B13" s="4" t="inlineStr">
        <is>
          <t>⑤ 점검목록</t>
        </is>
      </c>
      <c r="C13" s="5" t="inlineStr">
        <is>
          <t>(자동) 기간 밖·중복·세액 이상·수정분만 모아 보기</t>
        </is>
      </c>
    </row>
    <row r="16">
      <c r="A16" s="3" t="inlineStr">
        <is>
          <t>■ 시트 안내 (탭 순서대로)</t>
        </is>
      </c>
    </row>
    <row r="17">
      <c r="A17" s="8" t="inlineStr">
        <is>
          <t>순서</t>
        </is>
      </c>
      <c r="B17" s="8" t="inlineStr">
        <is>
          <t>시트</t>
        </is>
      </c>
      <c r="C17" s="8" t="inlineStr">
        <is>
          <t>역할</t>
        </is>
      </c>
      <c r="D17" s="8" t="inlineStr">
        <is>
          <t>✍ 직접 입력</t>
        </is>
      </c>
      <c r="E17" s="8" t="inlineStr">
        <is>
          <t>⚙ 자동 처리</t>
        </is>
      </c>
    </row>
    <row r="18">
      <c r="A18" s="9" t="inlineStr">
        <is>
          <t>①</t>
        </is>
      </c>
      <c r="B18" s="9" t="inlineStr">
        <is>
          <t>매출원본</t>
        </is>
      </c>
      <c r="C18" s="10" t="inlineStr">
        <is>
          <t>홈택스 매출 목록 붙여넣는 곳</t>
        </is>
      </c>
      <c r="D18" s="10" t="inlineStr">
        <is>
          <t>A8 셀부터 통째로 붙여넣기 + 5행 열 설정(처음 한 번)</t>
        </is>
      </c>
      <c r="E18" s="10" t="inlineStr">
        <is>
          <t>날짜·금액 변환, 기간·중복·세액 점검 (AR열 오른쪽 회색 수식은 수정 금지)</t>
        </is>
      </c>
    </row>
    <row r="19">
      <c r="A19" s="9" t="inlineStr">
        <is>
          <t>①</t>
        </is>
      </c>
      <c r="B19" s="9" t="inlineStr">
        <is>
          <t>매입원본</t>
        </is>
      </c>
      <c r="C19" s="10" t="inlineStr">
        <is>
          <t>홈택스 매입 목록 붙여넣는 곳</t>
        </is>
      </c>
      <c r="D19" s="10" t="inlineStr">
        <is>
          <t>매출원본과 같은 방법 (거래처 열만 공급자 쪽)</t>
        </is>
      </c>
      <c r="E19" s="10" t="inlineStr">
        <is>
          <t>매출원본과 같음</t>
        </is>
      </c>
    </row>
    <row r="20">
      <c r="A20" s="9" t="inlineStr">
        <is>
          <t>②</t>
        </is>
      </c>
      <c r="B20" s="9" t="inlineStr">
        <is>
          <t>매출처별</t>
        </is>
      </c>
      <c r="C20" s="10" t="inlineStr">
        <is>
          <t>매출 거래처별 합계</t>
        </is>
      </c>
      <c r="D20" s="10" t="inlineStr">
        <is>
          <t>없음</t>
        </is>
      </c>
      <c r="E20" s="10" t="inlineStr">
        <is>
          <t>사업자번호 기준 묶기 → 공급가액 큰 순 정렬 → 비중·월별 금액</t>
        </is>
      </c>
    </row>
    <row r="21">
      <c r="A21" s="9" t="inlineStr">
        <is>
          <t>②</t>
        </is>
      </c>
      <c r="B21" s="9" t="inlineStr">
        <is>
          <t>매입처별</t>
        </is>
      </c>
      <c r="C21" s="10" t="inlineStr">
        <is>
          <t>매입 거래처별 합계</t>
        </is>
      </c>
      <c r="D21" s="10" t="inlineStr">
        <is>
          <t>없음</t>
        </is>
      </c>
      <c r="E21" s="10" t="inlineStr">
        <is>
          <t>매출처별과 같음</t>
        </is>
      </c>
    </row>
    <row r="22">
      <c r="A22" s="9" t="inlineStr">
        <is>
          <t>③</t>
        </is>
      </c>
      <c r="B22" s="9" t="inlineStr">
        <is>
          <t>신고요약</t>
        </is>
      </c>
      <c r="C22" s="10" t="inlineStr">
        <is>
          <t>부가세 신고 준비 (핵심 결과)</t>
        </is>
      </c>
      <c r="D22" s="10" t="inlineStr">
        <is>
          <t>없음 — 결과만 확인</t>
        </is>
      </c>
      <c r="E22" s="10" t="inlineStr">
        <is>
          <t>월별 매출·매입, 합계표용 거래처 수·매수·금액, 세액 차이(참고), 점검 건수</t>
        </is>
      </c>
    </row>
    <row r="23">
      <c r="A23" s="9" t="inlineStr">
        <is>
          <t>④</t>
        </is>
      </c>
      <c r="B23" s="9" t="inlineStr">
        <is>
          <t>점검목록</t>
        </is>
      </c>
      <c r="C23" s="10" t="inlineStr">
        <is>
          <t>확인 필요한 건만 모아 보기</t>
        </is>
      </c>
      <c r="D23" s="10" t="inlineStr">
        <is>
          <t>없음</t>
        </is>
      </c>
      <c r="E23" s="10" t="inlineStr">
        <is>
          <t>기간 밖 · 승인번호 중복 · 세액 0원/10% 아님 · 수정 세금계산서</t>
        </is>
      </c>
    </row>
    <row r="24">
      <c r="A24" s="9" t="inlineStr">
        <is>
          <t>보조</t>
        </is>
      </c>
      <c r="B24" s="9" t="inlineStr">
        <is>
          <t>설정</t>
        </is>
      </c>
      <c r="C24" s="10" t="inlineStr">
        <is>
          <t>신고 기간과 회사 이름</t>
        </is>
      </c>
      <c r="D24" s="10" t="inlineStr">
        <is>
          <t>회사 이름, 신고 연도, 신고 구분, 세액 허용 오차</t>
        </is>
      </c>
      <c r="E24" s="10" t="inlineStr">
        <is>
          <t>기간 시작·종료일 자동 계산</t>
        </is>
      </c>
    </row>
    <row r="26">
      <c r="A26" s="3" t="inlineStr">
        <is>
          <t>■ 붙여넣기, 이렇게 하면 됩니다</t>
        </is>
      </c>
    </row>
    <row r="27">
      <c r="A27" s="5" t="inlineStr">
        <is>
          <t>1. 홈택스 → 전자(세금)계산서 목록조회에서 매출(또는 매입)·기간을 정해 조회한 뒤 엑셀로 내려받습니다.</t>
        </is>
      </c>
    </row>
    <row r="28">
      <c r="A28" s="5" t="inlineStr">
        <is>
          <t xml:space="preserve">   · 신고 기간(예: 7~9월) 단위로 조회해서 내려받으면 [설정]의 신고 구분과 딱 맞아 편합니다.</t>
        </is>
      </c>
    </row>
    <row r="29">
      <c r="A29" s="5" t="inlineStr">
        <is>
          <t>2. 내려받은 파일을 엽니다. 위에 노란 막대(보호된 보기)가 뜨면 [편집 사용]을 누른 뒤 전체 복사(Ctrl+A → Ctrl+C) →</t>
        </is>
      </c>
    </row>
    <row r="30">
      <c r="A30" s="5" t="inlineStr">
        <is>
          <t xml:space="preserve">   [매출원본] A8 셀 클릭 → 붙여넣기(Ctrl+V). 매입 파일은 [매입원본]에. 처음 한 번은 8행 아래 예시를 먼저 지우세요.</t>
        </is>
      </c>
    </row>
    <row r="31">
      <c r="A31" s="5" t="inlineStr">
        <is>
          <t xml:space="preserve">   · 모양이 깨지면 마우스 오른쪽 → '붙여넣기 옵션'에서 '값'을 고르세요. 위쪽 제목·조회조건 줄이 섞여 있어도 괜찮습니다.</t>
        </is>
      </c>
    </row>
    <row r="32">
      <c r="A32" s="5" t="inlineStr">
        <is>
          <t>3. 5행 노란 칸을 확인합니다 — 머리글 바로 아래 첫 세금계산서가 있는 행 번호, 그리고 작성일자·승인번호·사업자번호·상호·공급가액·세액이 있는 열 문자.</t>
        </is>
      </c>
    </row>
    <row r="33">
      <c r="A33" s="5" t="inlineStr">
        <is>
          <t xml:space="preserve">   · 기본값은 예시 파일 기준입니다. 홈택스 화면이 바뀌어 열 위치가 달라졌다면 머리글을 보고 열 문자만 고치면 됩니다 (AA 같은 두 글자도 가능).</t>
        </is>
      </c>
    </row>
    <row r="34">
      <c r="A34" s="5" t="inlineStr">
        <is>
          <t xml:space="preserve">   · 매출원본의 거래처는 '공급받는자' 쪽, 매입원본의 거래처는 '공급자' 쪽 사업자번호·상호 열입니다.</t>
        </is>
      </c>
    </row>
    <row r="35">
      <c r="A35" s="5" t="inlineStr">
        <is>
          <t>4. 오른쪽 '인식 결과'에 ✔ 건수와 공급가액이 뜨면 성공입니다. 홈택스 화면의 합계와 맞는지 한 번 비교하세요.</t>
        </is>
      </c>
    </row>
    <row r="36">
      <c r="A36" s="5" t="inlineStr">
        <is>
          <t>5. 다음 신고 때는 [설정]에서 신고 구분만 바꾸고, 새 파일을 같은 자리에 덮어 붙여넣으면 됩니다 (이전 내용은 먼저 지우세요).</t>
        </is>
      </c>
    </row>
    <row r="38">
      <c r="A38" s="3" t="inlineStr">
        <is>
          <t>■ 색 안내</t>
        </is>
      </c>
    </row>
    <row r="39">
      <c r="B39" s="11" t="inlineStr">
        <is>
          <t>노란 칸</t>
        </is>
      </c>
      <c r="C39" s="5" t="inlineStr">
        <is>
          <t>직접 입력하는 곳 — 파란 글씨는 가상 예시값이니 지우고 실제 값을 넣으세요</t>
        </is>
      </c>
    </row>
    <row r="40">
      <c r="B40" s="12" t="inlineStr">
        <is>
          <t>회색 작은 글씨</t>
        </is>
      </c>
      <c r="C40" s="5" t="inlineStr">
        <is>
          <t>자동 계산 수식 — 수정 금지</t>
        </is>
      </c>
    </row>
    <row r="41">
      <c r="B41" s="13" t="inlineStr">
        <is>
          <t>시트 탭 색</t>
        </is>
      </c>
      <c r="C41" s="5" t="inlineStr">
        <is>
          <t>노란 탭 = 직접 입력하는 시트 · 회색 탭 = 자동 시트</t>
        </is>
      </c>
    </row>
    <row r="43">
      <c r="A43" s="3" t="inlineStr">
        <is>
          <t>■ 자주 묻는 것</t>
        </is>
      </c>
    </row>
    <row r="44">
      <c r="A44" s="5" t="inlineStr">
        <is>
          <t>· 수정(마이너스) 세금계산서는? — 공급가액이 마이너스면 합계에서 자동으로 빠집니다. [점검목록]에서 당초 건과 짝이 맞는지만 보세요.</t>
        </is>
      </c>
    </row>
    <row r="45">
      <c r="A45" s="5" t="inlineStr">
        <is>
          <t>· 같은 파일을 두 번 붙여넣으면? — 승인번호가 겹치는 건이 [점검목록]에 뜹니다. 중복 줄을 지우기 전까지는 두 번 집계되니 꼭 지우세요.</t>
        </is>
      </c>
    </row>
    <row r="46">
      <c r="A46" s="5" t="inlineStr">
        <is>
          <t>· 세액이 0원인 건이 떠요 — 영세율(수출·내국신용장 등)이면 정상입니다. 아니라면 발급 내용을 다시 확인하세요.</t>
        </is>
      </c>
    </row>
    <row r="47">
      <c r="A47" s="5" t="inlineStr">
        <is>
          <t>· 종이 세금계산서나 카드 매입은? — 이 양식은 홈택스 전자세금계산서 목록만 집계합니다. 카드·현금영수증 매입은 신고 때 따로 더하세요.</t>
        </is>
      </c>
    </row>
    <row r="48">
      <c r="A48" s="5" t="inlineStr">
        <is>
          <t>· 세액 차이가 납부세액인가요? — 아닙니다. 세금계산서끼리만 뺀 참고값이라 카드 매입, 불공제, 공제·가산세 등은 빠져 있습니다.</t>
        </is>
      </c>
    </row>
    <row r="49">
      <c r="A49" s="5" t="inlineStr">
        <is>
          <t>· 시트 이름은 바꾸지 마세요 — 수식이 시트 이름으로 연결되어 있습니다.</t>
        </is>
      </c>
    </row>
    <row r="50">
      <c r="A50" s="5" t="inlineStr">
        <is>
          <t>· 예시값은 전부 가상 데이터입니다(사업자번호 999-로 시작). 실제 사용 전 두 원본 시트의 8행 아래 예시를 지우고 쓰세요.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D966"/>
    <outlinePr summaryBelow="1" summaryRight="1"/>
    <pageSetUpPr/>
  </sheetPr>
  <dimension ref="A1:BE10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5" customWidth="1" min="5" max="5"/>
    <col width="13" customWidth="1" min="6" max="6"/>
    <col width="15" customWidth="1" min="7" max="7"/>
    <col width="13" customWidth="1" min="8" max="8"/>
    <col width="13" customWidth="1" min="9" max="9"/>
    <col width="15" customWidth="1" min="10" max="10"/>
    <col width="15" customWidth="1" min="12" max="12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40" customWidth="1" min="55" max="55"/>
    <col width="12" customWidth="1" min="56" max="56"/>
    <col width="12" customWidth="1" min="57" max="57"/>
  </cols>
  <sheetData>
    <row r="1">
      <c r="A1" s="14" t="inlineStr">
        <is>
          <t>① 매출원본 — 홈택스 매출 전자세금계산서 목록 붙여넣기</t>
        </is>
      </c>
    </row>
    <row r="2">
      <c r="A2" s="15" t="inlineStr">
        <is>
          <t>✍ 직접 입력: 홈택스에서 내려받은 매출 목록 엑셀을 A8 셀부터 통째로 붙여넣고('값' 붙여넣기 권장), 5행 노란 칸에 데이터 시작 행과 열 문자를 확인하세요. 거래처 열은 공급받는자(거래처) 쪽입니다.</t>
        </is>
      </c>
    </row>
    <row r="3">
      <c r="A3" s="2" t="inlineStr">
        <is>
          <t>⚙ 자동 계산: AR~BE열 회색 수식이 날짜·금액을 변환하고 기간·중복·세액을 점검합니다 — 수정 금지. 오른쪽 '인식 결과'에 ✔가 뜨면 성공.</t>
        </is>
      </c>
    </row>
    <row r="4">
      <c r="A4" s="16" t="inlineStr">
        <is>
          <t>데이터 시작 행</t>
        </is>
      </c>
      <c r="B4" s="16" t="inlineStr">
        <is>
          <t>작성일자 열</t>
        </is>
      </c>
      <c r="C4" s="16" t="inlineStr">
        <is>
          <t>승인번호 열</t>
        </is>
      </c>
      <c r="D4" s="16" t="inlineStr">
        <is>
          <t>거래처 사업자번호 열</t>
        </is>
      </c>
      <c r="E4" s="16" t="inlineStr">
        <is>
          <t>거래처 상호 열</t>
        </is>
      </c>
      <c r="F4" s="16" t="inlineStr">
        <is>
          <t>공급가액 열</t>
        </is>
      </c>
      <c r="G4" s="16" t="inlineStr">
        <is>
          <t>세액 열</t>
        </is>
      </c>
      <c r="H4" s="16" t="inlineStr">
        <is>
          <t>합계 열(선택)</t>
        </is>
      </c>
      <c r="I4" s="16" t="inlineStr">
        <is>
          <t>분류 열(선택)</t>
        </is>
      </c>
      <c r="K4" s="16" t="inlineStr">
        <is>
          <t>인식 결과 (자동)</t>
        </is>
      </c>
    </row>
    <row r="5">
      <c r="A5" s="17" t="n">
        <v>14</v>
      </c>
      <c r="B5" s="17" t="inlineStr">
        <is>
          <t>A</t>
        </is>
      </c>
      <c r="C5" s="17" t="inlineStr">
        <is>
          <t>B</t>
        </is>
      </c>
      <c r="D5" s="17" t="inlineStr">
        <is>
          <t>J</t>
        </is>
      </c>
      <c r="E5" s="17" t="inlineStr">
        <is>
          <t>L</t>
        </is>
      </c>
      <c r="F5" s="17" t="inlineStr">
        <is>
          <t>P</t>
        </is>
      </c>
      <c r="G5" s="17" t="inlineStr">
        <is>
          <t>Q</t>
        </is>
      </c>
      <c r="H5" s="17" t="inlineStr">
        <is>
          <t>O</t>
        </is>
      </c>
      <c r="I5" s="17" t="inlineStr">
        <is>
          <t>R</t>
        </is>
      </c>
      <c r="K5" s="18">
        <f>IF(COUNT($AS$8:$AS$1007)=0,"아직 인식된 세금계산서가 없습니다 — 붙여넣기 위치와 열 설정을 확인하세요","✔ 매출 "&amp;COUNT($AS$8:$AS$1007)&amp;"건 · "&amp;TEXT(MIN($AS$8:$AS$1007),"YYYY-MM-DD")&amp;" ~ "&amp;TEXT(MAX($AS$8:$AS$1007),"YYYY-MM-DD")&amp;" · 공급가액 "&amp;TEXT(SUM($AT$8:$AT$1007),"#,##0")&amp;"원 · 이 중 신고기간 "&amp;COUNTIF($BA$8:$BA$1007,"포함")&amp;"건 — 홈택스 화면 합계와 같은지 확인")&amp;IF(COUNTIF($AZ$8:$AZ$1007,"999-*")&gt;0,"   ⚠ 예시(가상) 데이터 "&amp;COUNTIF($AZ$8:$AZ$1007,"999-*")&amp;"줄이 남아 있습니다 — 8행 아래를 모두 지우고 다시 붙여넣으세요","")</f>
        <v/>
      </c>
    </row>
    <row r="6">
      <c r="A6" s="19" t="inlineStr">
        <is>
          <t>▼ 8행(A8 셀)부터 붙여넣기  ·  처음 쓸 때: 8행 아래 예시를 전체 선택 → Delete로 지운 뒤 붙여넣기</t>
        </is>
      </c>
      <c r="B6" s="20">
        <f>IF($B$5="","",IF(LEN(TRIM($B$5))=1,CODE(UPPER(TRIM($B$5)))-64,(CODE(UPPER(LEFT(TRIM($B$5),1)))-64)*26+CODE(UPPER(RIGHT(TRIM($B$5),1)))-64))</f>
        <v/>
      </c>
      <c r="C6" s="20">
        <f>IF($C$5="","",IF(LEN(TRIM($C$5))=1,CODE(UPPER(TRIM($C$5)))-64,(CODE(UPPER(LEFT(TRIM($C$5),1)))-64)*26+CODE(UPPER(RIGHT(TRIM($C$5),1)))-64))</f>
        <v/>
      </c>
      <c r="D6" s="20">
        <f>IF($D$5="","",IF(LEN(TRIM($D$5))=1,CODE(UPPER(TRIM($D$5)))-64,(CODE(UPPER(LEFT(TRIM($D$5),1)))-64)*26+CODE(UPPER(RIGHT(TRIM($D$5),1)))-64))</f>
        <v/>
      </c>
      <c r="E6" s="20">
        <f>IF($E$5="","",IF(LEN(TRIM($E$5))=1,CODE(UPPER(TRIM($E$5)))-64,(CODE(UPPER(LEFT(TRIM($E$5),1)))-64)*26+CODE(UPPER(RIGHT(TRIM($E$5),1)))-64))</f>
        <v/>
      </c>
      <c r="F6" s="20">
        <f>IF($F$5="","",IF(LEN(TRIM($F$5))=1,CODE(UPPER(TRIM($F$5)))-64,(CODE(UPPER(LEFT(TRIM($F$5),1)))-64)*26+CODE(UPPER(RIGHT(TRIM($F$5),1)))-64))</f>
        <v/>
      </c>
      <c r="G6" s="20">
        <f>IF($G$5="","",IF(LEN(TRIM($G$5))=1,CODE(UPPER(TRIM($G$5)))-64,(CODE(UPPER(LEFT(TRIM($G$5),1)))-64)*26+CODE(UPPER(RIGHT(TRIM($G$5),1)))-64))</f>
        <v/>
      </c>
      <c r="H6" s="20">
        <f>IF($H$5="","",IF(LEN(TRIM($H$5))=1,CODE(UPPER(TRIM($H$5)))-64,(CODE(UPPER(LEFT(TRIM($H$5),1)))-64)*26+CODE(UPPER(RIGHT(TRIM($H$5),1)))-64))</f>
        <v/>
      </c>
      <c r="I6" s="20">
        <f>IF($I$5="","",IF(LEN(TRIM($I$5))=1,CODE(UPPER(TRIM($I$5)))-64,(CODE(UPPER(LEFT(TRIM($I$5),1)))-64)*26+CODE(UPPER(RIGHT(TRIM($I$5),1)))-64))</f>
        <v/>
      </c>
    </row>
    <row r="7">
      <c r="AR7" s="16" t="inlineStr">
        <is>
          <t>원본일자(자동)</t>
        </is>
      </c>
      <c r="AS7" s="16" t="inlineStr">
        <is>
          <t>작성일자(자동)</t>
        </is>
      </c>
      <c r="AT7" s="16" t="inlineStr">
        <is>
          <t>공급가액(자동)</t>
        </is>
      </c>
      <c r="AU7" s="16" t="inlineStr">
        <is>
          <t>세액(자동)</t>
        </is>
      </c>
      <c r="AV7" s="16" t="inlineStr">
        <is>
          <t>합계(자동)</t>
        </is>
      </c>
      <c r="AW7" s="16" t="inlineStr">
        <is>
          <t>승인번호(자동)</t>
        </is>
      </c>
      <c r="AX7" s="16" t="inlineStr">
        <is>
          <t>거래처키(자동)</t>
        </is>
      </c>
      <c r="AY7" s="16" t="inlineStr">
        <is>
          <t>거래처 상호(자동)</t>
        </is>
      </c>
      <c r="AZ7" s="16" t="inlineStr">
        <is>
          <t>원본 사업자번호(자동)</t>
        </is>
      </c>
      <c r="BA7" s="16" t="inlineStr">
        <is>
          <t>기간(자동)</t>
        </is>
      </c>
      <c r="BB7" s="16" t="inlineStr">
        <is>
          <t>구분(자동)</t>
        </is>
      </c>
      <c r="BC7" s="16" t="inlineStr">
        <is>
          <t>점검(자동)</t>
        </is>
      </c>
      <c r="BD7" s="16" t="inlineStr">
        <is>
          <t>거래처순번(자동)</t>
        </is>
      </c>
      <c r="BE7" s="16" t="inlineStr">
        <is>
          <t>점검순번(자동)</t>
        </is>
      </c>
    </row>
    <row r="8">
      <c r="A8" s="21" t="inlineStr">
        <is>
          <t>매출 전자(세금)계산서 목록 조회 (예시 · 전부 가상 데이터)</t>
        </is>
      </c>
      <c r="AR8" s="2">
        <f>IF(OR($A$5="",$B$6="",ROW()&lt;$A$5),"",IF(INDEX($A:$AP,ROW(),$B$6)="","",INDEX($A:$AP,ROW(),$B$6)))</f>
        <v/>
      </c>
      <c r="AS8" s="22">
        <f>IF($AR8="","",IF(ISNUMBER($AR8),IF($AR8&gt;=10000000,IFERROR(DATE(INT($AR8/10000),MOD(INT($AR8/100),100),MOD($AR8,100)),""),INT($AR8)),IFERROR(DATE(--LEFT(LEFT(SUBSTITUTE(SUBSTITUTE(SUBSTITUTE(SUBSTITUTE(TRIM($AR8),"-",""),".",""),"/","")," ",""),8),4),--MID(LEFT(SUBSTITUTE(SUBSTITUTE(SUBSTITUTE(SUBSTITUTE(TRIM($AR8),"-",""),".",""),"/","")," ",""),8),5,2),--MID(LEFT(SUBSTITUTE(SUBSTITUTE(SUBSTITUTE(SUBSTITUTE(TRIM($AR8),"-",""),".",""),"/","")," ",""),8),7,2)),"")))</f>
        <v/>
      </c>
      <c r="AT8" s="23">
        <f>IF($AS8="","",IF($F$6="",0,IF(ISNUMBER(INDEX($A:$AP,ROW(),$F$6)),INDEX($A:$AP,ROW(),$F$6),IFERROR(--SUBSTITUTE(SUBSTITUTE(TRIM(INDEX($A:$AP,ROW(),$F$6)),",",""),"원",""),0))))</f>
        <v/>
      </c>
      <c r="AU8" s="23">
        <f>IF($AS8="","",IF($G$6="",0,IF(ISNUMBER(INDEX($A:$AP,ROW(),$G$6)),INDEX($A:$AP,ROW(),$G$6),IFERROR(--SUBSTITUTE(SUBSTITUTE(TRIM(INDEX($A:$AP,ROW(),$G$6)),",",""),"원",""),0))))</f>
        <v/>
      </c>
      <c r="AV8" s="23">
        <f>IF($AS8="","",IF($H$6="",$AT8+$AU8,IF($H$6="",0,IF(ISNUMBER(INDEX($A:$AP,ROW(),$H$6)),INDEX($A:$AP,ROW(),$H$6),IFERROR(--SUBSTITUTE(SUBSTITUTE(TRIM(INDEX($A:$AP,ROW(),$H$6)),",",""),"원",""),0)))))</f>
        <v/>
      </c>
      <c r="AW8" s="2">
        <f>IF(OR($AS8="",$C$6=""),"",TRIM(INDEX($A:$AP,ROW(),$C$6)&amp;""))</f>
        <v/>
      </c>
      <c r="AX8" s="2">
        <f>IF($AS8="","",IF($AZ8&lt;&gt;"",SUBSTITUTE(SUBSTITUTE($AZ8,"-","")," ",""),$AY8))</f>
        <v/>
      </c>
      <c r="AY8" s="2">
        <f>IF(OR($AS8="",$E$6=""),"",TRIM(INDEX($A:$AP,ROW(),$E$6)&amp;""))</f>
        <v/>
      </c>
      <c r="AZ8" s="2">
        <f>IF(OR($AS8="",$D$6=""),"",TRIM(INDEX($A:$AP,ROW(),$D$6)&amp;""))</f>
        <v/>
      </c>
      <c r="BA8" s="2">
        <f>IF($AS8="","",IF(AND($AS8&gt;=설정!$B$10,$AS8&lt;=설정!$B$11),"포함","기간 밖"))</f>
        <v/>
      </c>
      <c r="BB8" s="2">
        <f>IF($AS8="","",IF(OR($AT8&lt;0,AND($I$6&lt;&gt;"",ISNUMBER(FIND("수정",INDEX($A:$AP,ROW(),IF($I$6="",1,$I$6))&amp;"")))),"수정","일반"))</f>
        <v/>
      </c>
      <c r="BC8" s="2">
        <f>IF($AS8="","",MID(IF($BA8="기간 밖"," / 기간 밖(신고기간 아님)","")&amp;IF(AND($AW8&lt;&gt;"",COUNTIF($AW$8:$AW$1007,$AW8)&gt;1)," / 승인번호 중복(두 번 붙여넣기?)","")&amp;IF(ABS($AU8-ROUND($AT8*0.1,0))&gt;설정!$B$8,IF($AU8=0," / 세액 0원(영세율·면세 여부 확인)"," / 세액이 공급가액 10%와 다름"),"")&amp;IF($BB8="수정"," / 수정세금계산서(합계에서 자동 가감)",""),4,200))</f>
        <v/>
      </c>
      <c r="BD8" s="2">
        <f>IF($BA8&lt;&gt;"포함","",IF(COUNTIFS($AX$8:$AX8,$AX8,$BA$8:$BA8,"포함")=1,MAX($BD$7:BD7)+1,""))</f>
        <v/>
      </c>
      <c r="BE8" s="2">
        <f>IF($BC8="","",MAX($BE$7:BE7)+1)</f>
        <v/>
      </c>
    </row>
    <row r="9">
      <c r="AR9" s="2">
        <f>IF(OR($A$5="",$B$6="",ROW()&lt;$A$5),"",IF(INDEX($A:$AP,ROW(),$B$6)="","",INDEX($A:$AP,ROW(),$B$6)))</f>
        <v/>
      </c>
      <c r="AS9" s="22">
        <f>IF($AR9="","",IF(ISNUMBER($AR9),IF($AR9&gt;=10000000,IFERROR(DATE(INT($AR9/10000),MOD(INT($AR9/100),100),MOD($AR9,100)),""),INT($AR9)),IFERROR(DATE(--LEFT(LEFT(SUBSTITUTE(SUBSTITUTE(SUBSTITUTE(SUBSTITUTE(TRIM($AR9),"-",""),".",""),"/","")," ",""),8),4),--MID(LEFT(SUBSTITUTE(SUBSTITUTE(SUBSTITUTE(SUBSTITUTE(TRIM($AR9),"-",""),".",""),"/","")," ",""),8),5,2),--MID(LEFT(SUBSTITUTE(SUBSTITUTE(SUBSTITUTE(SUBSTITUTE(TRIM($AR9),"-",""),".",""),"/","")," ",""),8),7,2)),"")))</f>
        <v/>
      </c>
      <c r="AT9" s="23">
        <f>IF($AS9="","",IF($F$6="",0,IF(ISNUMBER(INDEX($A:$AP,ROW(),$F$6)),INDEX($A:$AP,ROW(),$F$6),IFERROR(--SUBSTITUTE(SUBSTITUTE(TRIM(INDEX($A:$AP,ROW(),$F$6)),",",""),"원",""),0))))</f>
        <v/>
      </c>
      <c r="AU9" s="23">
        <f>IF($AS9="","",IF($G$6="",0,IF(ISNUMBER(INDEX($A:$AP,ROW(),$G$6)),INDEX($A:$AP,ROW(),$G$6),IFERROR(--SUBSTITUTE(SUBSTITUTE(TRIM(INDEX($A:$AP,ROW(),$G$6)),",",""),"원",""),0))))</f>
        <v/>
      </c>
      <c r="AV9" s="23">
        <f>IF($AS9="","",IF($H$6="",$AT9+$AU9,IF($H$6="",0,IF(ISNUMBER(INDEX($A:$AP,ROW(),$H$6)),INDEX($A:$AP,ROW(),$H$6),IFERROR(--SUBSTITUTE(SUBSTITUTE(TRIM(INDEX($A:$AP,ROW(),$H$6)),",",""),"원",""),0)))))</f>
        <v/>
      </c>
      <c r="AW9" s="2">
        <f>IF(OR($AS9="",$C$6=""),"",TRIM(INDEX($A:$AP,ROW(),$C$6)&amp;""))</f>
        <v/>
      </c>
      <c r="AX9" s="2">
        <f>IF($AS9="","",IF($AZ9&lt;&gt;"",SUBSTITUTE(SUBSTITUTE($AZ9,"-","")," ",""),$AY9))</f>
        <v/>
      </c>
      <c r="AY9" s="2">
        <f>IF(OR($AS9="",$E$6=""),"",TRIM(INDEX($A:$AP,ROW(),$E$6)&amp;""))</f>
        <v/>
      </c>
      <c r="AZ9" s="2">
        <f>IF(OR($AS9="",$D$6=""),"",TRIM(INDEX($A:$AP,ROW(),$D$6)&amp;""))</f>
        <v/>
      </c>
      <c r="BA9" s="2">
        <f>IF($AS9="","",IF(AND($AS9&gt;=설정!$B$10,$AS9&lt;=설정!$B$11),"포함","기간 밖"))</f>
        <v/>
      </c>
      <c r="BB9" s="2">
        <f>IF($AS9="","",IF(OR($AT9&lt;0,AND($I$6&lt;&gt;"",ISNUMBER(FIND("수정",INDEX($A:$AP,ROW(),IF($I$6="",1,$I$6))&amp;"")))),"수정","일반"))</f>
        <v/>
      </c>
      <c r="BC9" s="2">
        <f>IF($AS9="","",MID(IF($BA9="기간 밖"," / 기간 밖(신고기간 아님)","")&amp;IF(AND($AW9&lt;&gt;"",COUNTIF($AW$8:$AW$1007,$AW9)&gt;1)," / 승인번호 중복(두 번 붙여넣기?)","")&amp;IF(ABS($AU9-ROUND($AT9*0.1,0))&gt;설정!$B$8,IF($AU9=0," / 세액 0원(영세율·면세 여부 확인)"," / 세액이 공급가액 10%와 다름"),"")&amp;IF($BB9="수정"," / 수정세금계산서(합계에서 자동 가감)",""),4,200))</f>
        <v/>
      </c>
      <c r="BD9" s="2">
        <f>IF($BA9&lt;&gt;"포함","",IF(COUNTIFS($AX$8:$AX9,$AX9,$BA$8:$BA9,"포함")=1,MAX($BD$7:BD8)+1,""))</f>
        <v/>
      </c>
      <c r="BE9" s="2">
        <f>IF($BC9="","",MAX($BE$7:BE8)+1)</f>
        <v/>
      </c>
    </row>
    <row r="10">
      <c r="A10" s="21" t="inlineStr">
        <is>
          <t>조회기간 : 2026-07-01 ~ 2026-09-30</t>
        </is>
      </c>
      <c r="AR10" s="2">
        <f>IF(OR($A$5="",$B$6="",ROW()&lt;$A$5),"",IF(INDEX($A:$AP,ROW(),$B$6)="","",INDEX($A:$AP,ROW(),$B$6)))</f>
        <v/>
      </c>
      <c r="AS10" s="22">
        <f>IF($AR10="","",IF(ISNUMBER($AR10),IF($AR10&gt;=10000000,IFERROR(DATE(INT($AR10/10000),MOD(INT($AR10/100),100),MOD($AR10,100)),""),INT($AR10)),IFERROR(DATE(--LEFT(LEFT(SUBSTITUTE(SUBSTITUTE(SUBSTITUTE(SUBSTITUTE(TRIM($AR10),"-",""),".",""),"/","")," ",""),8),4),--MID(LEFT(SUBSTITUTE(SUBSTITUTE(SUBSTITUTE(SUBSTITUTE(TRIM($AR10),"-",""),".",""),"/","")," ",""),8),5,2),--MID(LEFT(SUBSTITUTE(SUBSTITUTE(SUBSTITUTE(SUBSTITUTE(TRIM($AR10),"-",""),".",""),"/","")," ",""),8),7,2)),"")))</f>
        <v/>
      </c>
      <c r="AT10" s="23">
        <f>IF($AS10="","",IF($F$6="",0,IF(ISNUMBER(INDEX($A:$AP,ROW(),$F$6)),INDEX($A:$AP,ROW(),$F$6),IFERROR(--SUBSTITUTE(SUBSTITUTE(TRIM(INDEX($A:$AP,ROW(),$F$6)),",",""),"원",""),0))))</f>
        <v/>
      </c>
      <c r="AU10" s="23">
        <f>IF($AS10="","",IF($G$6="",0,IF(ISNUMBER(INDEX($A:$AP,ROW(),$G$6)),INDEX($A:$AP,ROW(),$G$6),IFERROR(--SUBSTITUTE(SUBSTITUTE(TRIM(INDEX($A:$AP,ROW(),$G$6)),",",""),"원",""),0))))</f>
        <v/>
      </c>
      <c r="AV10" s="23">
        <f>IF($AS10="","",IF($H$6="",$AT10+$AU10,IF($H$6="",0,IF(ISNUMBER(INDEX($A:$AP,ROW(),$H$6)),INDEX($A:$AP,ROW(),$H$6),IFERROR(--SUBSTITUTE(SUBSTITUTE(TRIM(INDEX($A:$AP,ROW(),$H$6)),",",""),"원",""),0)))))</f>
        <v/>
      </c>
      <c r="AW10" s="2">
        <f>IF(OR($AS10="",$C$6=""),"",TRIM(INDEX($A:$AP,ROW(),$C$6)&amp;""))</f>
        <v/>
      </c>
      <c r="AX10" s="2">
        <f>IF($AS10="","",IF($AZ10&lt;&gt;"",SUBSTITUTE(SUBSTITUTE($AZ10,"-","")," ",""),$AY10))</f>
        <v/>
      </c>
      <c r="AY10" s="2">
        <f>IF(OR($AS10="",$E$6=""),"",TRIM(INDEX($A:$AP,ROW(),$E$6)&amp;""))</f>
        <v/>
      </c>
      <c r="AZ10" s="2">
        <f>IF(OR($AS10="",$D$6=""),"",TRIM(INDEX($A:$AP,ROW(),$D$6)&amp;""))</f>
        <v/>
      </c>
      <c r="BA10" s="2">
        <f>IF($AS10="","",IF(AND($AS10&gt;=설정!$B$10,$AS10&lt;=설정!$B$11),"포함","기간 밖"))</f>
        <v/>
      </c>
      <c r="BB10" s="2">
        <f>IF($AS10="","",IF(OR($AT10&lt;0,AND($I$6&lt;&gt;"",ISNUMBER(FIND("수정",INDEX($A:$AP,ROW(),IF($I$6="",1,$I$6))&amp;"")))),"수정","일반"))</f>
        <v/>
      </c>
      <c r="BC10" s="2">
        <f>IF($AS10="","",MID(IF($BA10="기간 밖"," / 기간 밖(신고기간 아님)","")&amp;IF(AND($AW10&lt;&gt;"",COUNTIF($AW$8:$AW$1007,$AW10)&gt;1)," / 승인번호 중복(두 번 붙여넣기?)","")&amp;IF(ABS($AU10-ROUND($AT10*0.1,0))&gt;설정!$B$8,IF($AU10=0," / 세액 0원(영세율·면세 여부 확인)"," / 세액이 공급가액 10%와 다름"),"")&amp;IF($BB10="수정"," / 수정세금계산서(합계에서 자동 가감)",""),4,200))</f>
        <v/>
      </c>
      <c r="BD10" s="2">
        <f>IF($BA10&lt;&gt;"포함","",IF(COUNTIFS($AX$8:$AX10,$AX10,$BA$8:$BA10,"포함")=1,MAX($BD$7:BD9)+1,""))</f>
        <v/>
      </c>
      <c r="BE10" s="2">
        <f>IF($BC10="","",MAX($BE$7:BE9)+1)</f>
        <v/>
      </c>
    </row>
    <row r="11">
      <c r="A11" s="21" t="inlineStr">
        <is>
          <t>사업자등록번호 : 999-81-00001 (가상)</t>
        </is>
      </c>
      <c r="AR11" s="2">
        <f>IF(OR($A$5="",$B$6="",ROW()&lt;$A$5),"",IF(INDEX($A:$AP,ROW(),$B$6)="","",INDEX($A:$AP,ROW(),$B$6)))</f>
        <v/>
      </c>
      <c r="AS11" s="22">
        <f>IF($AR11="","",IF(ISNUMBER($AR11),IF($AR11&gt;=10000000,IFERROR(DATE(INT($AR11/10000),MOD(INT($AR11/100),100),MOD($AR11,100)),""),INT($AR11)),IFERROR(DATE(--LEFT(LEFT(SUBSTITUTE(SUBSTITUTE(SUBSTITUTE(SUBSTITUTE(TRIM($AR11),"-",""),".",""),"/","")," ",""),8),4),--MID(LEFT(SUBSTITUTE(SUBSTITUTE(SUBSTITUTE(SUBSTITUTE(TRIM($AR11),"-",""),".",""),"/","")," ",""),8),5,2),--MID(LEFT(SUBSTITUTE(SUBSTITUTE(SUBSTITUTE(SUBSTITUTE(TRIM($AR11),"-",""),".",""),"/","")," ",""),8),7,2)),"")))</f>
        <v/>
      </c>
      <c r="AT11" s="23">
        <f>IF($AS11="","",IF($F$6="",0,IF(ISNUMBER(INDEX($A:$AP,ROW(),$F$6)),INDEX($A:$AP,ROW(),$F$6),IFERROR(--SUBSTITUTE(SUBSTITUTE(TRIM(INDEX($A:$AP,ROW(),$F$6)),",",""),"원",""),0))))</f>
        <v/>
      </c>
      <c r="AU11" s="23">
        <f>IF($AS11="","",IF($G$6="",0,IF(ISNUMBER(INDEX($A:$AP,ROW(),$G$6)),INDEX($A:$AP,ROW(),$G$6),IFERROR(--SUBSTITUTE(SUBSTITUTE(TRIM(INDEX($A:$AP,ROW(),$G$6)),",",""),"원",""),0))))</f>
        <v/>
      </c>
      <c r="AV11" s="23">
        <f>IF($AS11="","",IF($H$6="",$AT11+$AU11,IF($H$6="",0,IF(ISNUMBER(INDEX($A:$AP,ROW(),$H$6)),INDEX($A:$AP,ROW(),$H$6),IFERROR(--SUBSTITUTE(SUBSTITUTE(TRIM(INDEX($A:$AP,ROW(),$H$6)),",",""),"원",""),0)))))</f>
        <v/>
      </c>
      <c r="AW11" s="2">
        <f>IF(OR($AS11="",$C$6=""),"",TRIM(INDEX($A:$AP,ROW(),$C$6)&amp;""))</f>
        <v/>
      </c>
      <c r="AX11" s="2">
        <f>IF($AS11="","",IF($AZ11&lt;&gt;"",SUBSTITUTE(SUBSTITUTE($AZ11,"-","")," ",""),$AY11))</f>
        <v/>
      </c>
      <c r="AY11" s="2">
        <f>IF(OR($AS11="",$E$6=""),"",TRIM(INDEX($A:$AP,ROW(),$E$6)&amp;""))</f>
        <v/>
      </c>
      <c r="AZ11" s="2">
        <f>IF(OR($AS11="",$D$6=""),"",TRIM(INDEX($A:$AP,ROW(),$D$6)&amp;""))</f>
        <v/>
      </c>
      <c r="BA11" s="2">
        <f>IF($AS11="","",IF(AND($AS11&gt;=설정!$B$10,$AS11&lt;=설정!$B$11),"포함","기간 밖"))</f>
        <v/>
      </c>
      <c r="BB11" s="2">
        <f>IF($AS11="","",IF(OR($AT11&lt;0,AND($I$6&lt;&gt;"",ISNUMBER(FIND("수정",INDEX($A:$AP,ROW(),IF($I$6="",1,$I$6))&amp;"")))),"수정","일반"))</f>
        <v/>
      </c>
      <c r="BC11" s="2">
        <f>IF($AS11="","",MID(IF($BA11="기간 밖"," / 기간 밖(신고기간 아님)","")&amp;IF(AND($AW11&lt;&gt;"",COUNTIF($AW$8:$AW$1007,$AW11)&gt;1)," / 승인번호 중복(두 번 붙여넣기?)","")&amp;IF(ABS($AU11-ROUND($AT11*0.1,0))&gt;설정!$B$8,IF($AU11=0," / 세액 0원(영세율·면세 여부 확인)"," / 세액이 공급가액 10%와 다름"),"")&amp;IF($BB11="수정"," / 수정세금계산서(합계에서 자동 가감)",""),4,200))</f>
        <v/>
      </c>
      <c r="BD11" s="2">
        <f>IF($BA11&lt;&gt;"포함","",IF(COUNTIFS($AX$8:$AX11,$AX11,$BA$8:$BA11,"포함")=1,MAX($BD$7:BD10)+1,""))</f>
        <v/>
      </c>
      <c r="BE11" s="2">
        <f>IF($BC11="","",MAX($BE$7:BE10)+1)</f>
        <v/>
      </c>
    </row>
    <row r="12">
      <c r="AR12" s="2">
        <f>IF(OR($A$5="",$B$6="",ROW()&lt;$A$5),"",IF(INDEX($A:$AP,ROW(),$B$6)="","",INDEX($A:$AP,ROW(),$B$6)))</f>
        <v/>
      </c>
      <c r="AS12" s="22">
        <f>IF($AR12="","",IF(ISNUMBER($AR12),IF($AR12&gt;=10000000,IFERROR(DATE(INT($AR12/10000),MOD(INT($AR12/100),100),MOD($AR12,100)),""),INT($AR12)),IFERROR(DATE(--LEFT(LEFT(SUBSTITUTE(SUBSTITUTE(SUBSTITUTE(SUBSTITUTE(TRIM($AR12),"-",""),".",""),"/","")," ",""),8),4),--MID(LEFT(SUBSTITUTE(SUBSTITUTE(SUBSTITUTE(SUBSTITUTE(TRIM($AR12),"-",""),".",""),"/","")," ",""),8),5,2),--MID(LEFT(SUBSTITUTE(SUBSTITUTE(SUBSTITUTE(SUBSTITUTE(TRIM($AR12),"-",""),".",""),"/","")," ",""),8),7,2)),"")))</f>
        <v/>
      </c>
      <c r="AT12" s="23">
        <f>IF($AS12="","",IF($F$6="",0,IF(ISNUMBER(INDEX($A:$AP,ROW(),$F$6)),INDEX($A:$AP,ROW(),$F$6),IFERROR(--SUBSTITUTE(SUBSTITUTE(TRIM(INDEX($A:$AP,ROW(),$F$6)),",",""),"원",""),0))))</f>
        <v/>
      </c>
      <c r="AU12" s="23">
        <f>IF($AS12="","",IF($G$6="",0,IF(ISNUMBER(INDEX($A:$AP,ROW(),$G$6)),INDEX($A:$AP,ROW(),$G$6),IFERROR(--SUBSTITUTE(SUBSTITUTE(TRIM(INDEX($A:$AP,ROW(),$G$6)),",",""),"원",""),0))))</f>
        <v/>
      </c>
      <c r="AV12" s="23">
        <f>IF($AS12="","",IF($H$6="",$AT12+$AU12,IF($H$6="",0,IF(ISNUMBER(INDEX($A:$AP,ROW(),$H$6)),INDEX($A:$AP,ROW(),$H$6),IFERROR(--SUBSTITUTE(SUBSTITUTE(TRIM(INDEX($A:$AP,ROW(),$H$6)),",",""),"원",""),0)))))</f>
        <v/>
      </c>
      <c r="AW12" s="2">
        <f>IF(OR($AS12="",$C$6=""),"",TRIM(INDEX($A:$AP,ROW(),$C$6)&amp;""))</f>
        <v/>
      </c>
      <c r="AX12" s="2">
        <f>IF($AS12="","",IF($AZ12&lt;&gt;"",SUBSTITUTE(SUBSTITUTE($AZ12,"-","")," ",""),$AY12))</f>
        <v/>
      </c>
      <c r="AY12" s="2">
        <f>IF(OR($AS12="",$E$6=""),"",TRIM(INDEX($A:$AP,ROW(),$E$6)&amp;""))</f>
        <v/>
      </c>
      <c r="AZ12" s="2">
        <f>IF(OR($AS12="",$D$6=""),"",TRIM(INDEX($A:$AP,ROW(),$D$6)&amp;""))</f>
        <v/>
      </c>
      <c r="BA12" s="2">
        <f>IF($AS12="","",IF(AND($AS12&gt;=설정!$B$10,$AS12&lt;=설정!$B$11),"포함","기간 밖"))</f>
        <v/>
      </c>
      <c r="BB12" s="2">
        <f>IF($AS12="","",IF(OR($AT12&lt;0,AND($I$6&lt;&gt;"",ISNUMBER(FIND("수정",INDEX($A:$AP,ROW(),IF($I$6="",1,$I$6))&amp;"")))),"수정","일반"))</f>
        <v/>
      </c>
      <c r="BC12" s="2">
        <f>IF($AS12="","",MID(IF($BA12="기간 밖"," / 기간 밖(신고기간 아님)","")&amp;IF(AND($AW12&lt;&gt;"",COUNTIF($AW$8:$AW$1007,$AW12)&gt;1)," / 승인번호 중복(두 번 붙여넣기?)","")&amp;IF(ABS($AU12-ROUND($AT12*0.1,0))&gt;설정!$B$8,IF($AU12=0," / 세액 0원(영세율·면세 여부 확인)"," / 세액이 공급가액 10%와 다름"),"")&amp;IF($BB12="수정"," / 수정세금계산서(합계에서 자동 가감)",""),4,200))</f>
        <v/>
      </c>
      <c r="BD12" s="2">
        <f>IF($BA12&lt;&gt;"포함","",IF(COUNTIFS($AX$8:$AX12,$AX12,$BA$8:$BA12,"포함")=1,MAX($BD$7:BD11)+1,""))</f>
        <v/>
      </c>
      <c r="BE12" s="2">
        <f>IF($BC12="","",MAX($BE$7:BE11)+1)</f>
        <v/>
      </c>
    </row>
    <row r="13">
      <c r="A13" s="21" t="inlineStr">
        <is>
          <t>작성일자</t>
        </is>
      </c>
      <c r="B13" s="21" t="inlineStr">
        <is>
          <t>승인번호</t>
        </is>
      </c>
      <c r="C13" s="21" t="inlineStr">
        <is>
          <t>발급일자</t>
        </is>
      </c>
      <c r="D13" s="21" t="inlineStr">
        <is>
          <t>전송일자</t>
        </is>
      </c>
      <c r="E13" s="21" t="inlineStr">
        <is>
          <t>공급자사업자등록번호</t>
        </is>
      </c>
      <c r="F13" s="21" t="inlineStr">
        <is>
          <t>종사업장번호</t>
        </is>
      </c>
      <c r="G13" s="21" t="inlineStr">
        <is>
          <t>상호</t>
        </is>
      </c>
      <c r="H13" s="21" t="inlineStr">
        <is>
          <t>대표자명</t>
        </is>
      </c>
      <c r="I13" s="21" t="inlineStr">
        <is>
          <t>주소</t>
        </is>
      </c>
      <c r="J13" s="21" t="inlineStr">
        <is>
          <t>공급받는자사업자등록번호</t>
        </is>
      </c>
      <c r="K13" s="21" t="inlineStr">
        <is>
          <t>종사업장번호</t>
        </is>
      </c>
      <c r="L13" s="21" t="inlineStr">
        <is>
          <t>상호</t>
        </is>
      </c>
      <c r="M13" s="21" t="inlineStr">
        <is>
          <t>대표자명</t>
        </is>
      </c>
      <c r="N13" s="21" t="inlineStr">
        <is>
          <t>주소</t>
        </is>
      </c>
      <c r="O13" s="21" t="inlineStr">
        <is>
          <t>합계금액</t>
        </is>
      </c>
      <c r="P13" s="21" t="inlineStr">
        <is>
          <t>공급가액</t>
        </is>
      </c>
      <c r="Q13" s="21" t="inlineStr">
        <is>
          <t>세액</t>
        </is>
      </c>
      <c r="R13" s="21" t="inlineStr">
        <is>
          <t>전자세금계산서분류</t>
        </is>
      </c>
      <c r="S13" s="21" t="inlineStr">
        <is>
          <t>전자세금계산서종류</t>
        </is>
      </c>
      <c r="T13" s="21" t="inlineStr">
        <is>
          <t>발급유형</t>
        </is>
      </c>
      <c r="U13" s="21" t="inlineStr">
        <is>
          <t>비고</t>
        </is>
      </c>
      <c r="V13" s="21" t="inlineStr">
        <is>
          <t>영수/청구 구분</t>
        </is>
      </c>
      <c r="W13" s="21" t="inlineStr">
        <is>
          <t>공급자 이메일</t>
        </is>
      </c>
      <c r="X13" s="21" t="inlineStr">
        <is>
          <t>공급받는자 이메일1</t>
        </is>
      </c>
      <c r="Y13" s="21" t="inlineStr">
        <is>
          <t>공급받는자 이메일2</t>
        </is>
      </c>
      <c r="Z13" s="21" t="inlineStr">
        <is>
          <t>품목일자</t>
        </is>
      </c>
      <c r="AA13" s="21" t="inlineStr">
        <is>
          <t>품목명</t>
        </is>
      </c>
      <c r="AR13" s="2">
        <f>IF(OR($A$5="",$B$6="",ROW()&lt;$A$5),"",IF(INDEX($A:$AP,ROW(),$B$6)="","",INDEX($A:$AP,ROW(),$B$6)))</f>
        <v/>
      </c>
      <c r="AS13" s="22">
        <f>IF($AR13="","",IF(ISNUMBER($AR13),IF($AR13&gt;=10000000,IFERROR(DATE(INT($AR13/10000),MOD(INT($AR13/100),100),MOD($AR13,100)),""),INT($AR13)),IFERROR(DATE(--LEFT(LEFT(SUBSTITUTE(SUBSTITUTE(SUBSTITUTE(SUBSTITUTE(TRIM($AR13),"-",""),".",""),"/","")," ",""),8),4),--MID(LEFT(SUBSTITUTE(SUBSTITUTE(SUBSTITUTE(SUBSTITUTE(TRIM($AR13),"-",""),".",""),"/","")," ",""),8),5,2),--MID(LEFT(SUBSTITUTE(SUBSTITUTE(SUBSTITUTE(SUBSTITUTE(TRIM($AR13),"-",""),".",""),"/","")," ",""),8),7,2)),"")))</f>
        <v/>
      </c>
      <c r="AT13" s="23">
        <f>IF($AS13="","",IF($F$6="",0,IF(ISNUMBER(INDEX($A:$AP,ROW(),$F$6)),INDEX($A:$AP,ROW(),$F$6),IFERROR(--SUBSTITUTE(SUBSTITUTE(TRIM(INDEX($A:$AP,ROW(),$F$6)),",",""),"원",""),0))))</f>
        <v/>
      </c>
      <c r="AU13" s="23">
        <f>IF($AS13="","",IF($G$6="",0,IF(ISNUMBER(INDEX($A:$AP,ROW(),$G$6)),INDEX($A:$AP,ROW(),$G$6),IFERROR(--SUBSTITUTE(SUBSTITUTE(TRIM(INDEX($A:$AP,ROW(),$G$6)),",",""),"원",""),0))))</f>
        <v/>
      </c>
      <c r="AV13" s="23">
        <f>IF($AS13="","",IF($H$6="",$AT13+$AU13,IF($H$6="",0,IF(ISNUMBER(INDEX($A:$AP,ROW(),$H$6)),INDEX($A:$AP,ROW(),$H$6),IFERROR(--SUBSTITUTE(SUBSTITUTE(TRIM(INDEX($A:$AP,ROW(),$H$6)),",",""),"원",""),0)))))</f>
        <v/>
      </c>
      <c r="AW13" s="2">
        <f>IF(OR($AS13="",$C$6=""),"",TRIM(INDEX($A:$AP,ROW(),$C$6)&amp;""))</f>
        <v/>
      </c>
      <c r="AX13" s="2">
        <f>IF($AS13="","",IF($AZ13&lt;&gt;"",SUBSTITUTE(SUBSTITUTE($AZ13,"-","")," ",""),$AY13))</f>
        <v/>
      </c>
      <c r="AY13" s="2">
        <f>IF(OR($AS13="",$E$6=""),"",TRIM(INDEX($A:$AP,ROW(),$E$6)&amp;""))</f>
        <v/>
      </c>
      <c r="AZ13" s="2">
        <f>IF(OR($AS13="",$D$6=""),"",TRIM(INDEX($A:$AP,ROW(),$D$6)&amp;""))</f>
        <v/>
      </c>
      <c r="BA13" s="2">
        <f>IF($AS13="","",IF(AND($AS13&gt;=설정!$B$10,$AS13&lt;=설정!$B$11),"포함","기간 밖"))</f>
        <v/>
      </c>
      <c r="BB13" s="2">
        <f>IF($AS13="","",IF(OR($AT13&lt;0,AND($I$6&lt;&gt;"",ISNUMBER(FIND("수정",INDEX($A:$AP,ROW(),IF($I$6="",1,$I$6))&amp;"")))),"수정","일반"))</f>
        <v/>
      </c>
      <c r="BC13" s="2">
        <f>IF($AS13="","",MID(IF($BA13="기간 밖"," / 기간 밖(신고기간 아님)","")&amp;IF(AND($AW13&lt;&gt;"",COUNTIF($AW$8:$AW$1007,$AW13)&gt;1)," / 승인번호 중복(두 번 붙여넣기?)","")&amp;IF(ABS($AU13-ROUND($AT13*0.1,0))&gt;설정!$B$8,IF($AU13=0," / 세액 0원(영세율·면세 여부 확인)"," / 세액이 공급가액 10%와 다름"),"")&amp;IF($BB13="수정"," / 수정세금계산서(합계에서 자동 가감)",""),4,200))</f>
        <v/>
      </c>
      <c r="BD13" s="2">
        <f>IF($BA13&lt;&gt;"포함","",IF(COUNTIFS($AX$8:$AX13,$AX13,$BA$8:$BA13,"포함")=1,MAX($BD$7:BD12)+1,""))</f>
        <v/>
      </c>
      <c r="BE13" s="2">
        <f>IF($BC13="","",MAX($BE$7:BE12)+1)</f>
        <v/>
      </c>
    </row>
    <row r="14">
      <c r="A14" s="21" t="inlineStr">
        <is>
          <t>2026-06-30</t>
        </is>
      </c>
      <c r="B14" s="21" t="inlineStr">
        <is>
          <t>20260630-41000001-53464097</t>
        </is>
      </c>
      <c r="C14" s="21" t="inlineStr">
        <is>
          <t>2026-06-30</t>
        </is>
      </c>
      <c r="D14" s="21" t="inlineStr">
        <is>
          <t>2026-06-30</t>
        </is>
      </c>
      <c r="E14" s="21" t="inlineStr">
        <is>
          <t>999-81-00001</t>
        </is>
      </c>
      <c r="G14" s="21" t="inlineStr">
        <is>
          <t>(주)가온상사</t>
        </is>
      </c>
      <c r="H14" s="21" t="inlineStr">
        <is>
          <t>김가온</t>
        </is>
      </c>
      <c r="I14" s="21" t="inlineStr">
        <is>
          <t>가상 주소</t>
        </is>
      </c>
      <c r="J14" s="21" t="inlineStr">
        <is>
          <t>999-81-10001</t>
        </is>
      </c>
      <c r="L14" s="21" t="inlineStr">
        <is>
          <t>(주)하늘정밀</t>
        </is>
      </c>
      <c r="M14" s="21" t="inlineStr">
        <is>
          <t>이하늘</t>
        </is>
      </c>
      <c r="N14" s="21" t="inlineStr">
        <is>
          <t>가상 주소</t>
        </is>
      </c>
      <c r="O14" s="24" t="n">
        <v>4620000</v>
      </c>
      <c r="P14" s="24" t="n">
        <v>4200000</v>
      </c>
      <c r="Q14" s="24" t="n">
        <v>420000</v>
      </c>
      <c r="R14" s="21" t="inlineStr">
        <is>
          <t>세금계산서</t>
        </is>
      </c>
      <c r="S14" s="21" t="inlineStr">
        <is>
          <t>일반</t>
        </is>
      </c>
      <c r="T14" s="21" t="inlineStr">
        <is>
          <t>직접발급</t>
        </is>
      </c>
      <c r="V14" s="21" t="inlineStr">
        <is>
          <t>청구</t>
        </is>
      </c>
      <c r="Z14" s="21" t="inlineStr">
        <is>
          <t>2026-06-30</t>
        </is>
      </c>
      <c r="AA14" s="21" t="inlineStr">
        <is>
          <t>제품 공급</t>
        </is>
      </c>
      <c r="AR14" s="2">
        <f>IF(OR($A$5="",$B$6="",ROW()&lt;$A$5),"",IF(INDEX($A:$AP,ROW(),$B$6)="","",INDEX($A:$AP,ROW(),$B$6)))</f>
        <v/>
      </c>
      <c r="AS14" s="22">
        <f>IF($AR14="","",IF(ISNUMBER($AR14),IF($AR14&gt;=10000000,IFERROR(DATE(INT($AR14/10000),MOD(INT($AR14/100),100),MOD($AR14,100)),""),INT($AR14)),IFERROR(DATE(--LEFT(LEFT(SUBSTITUTE(SUBSTITUTE(SUBSTITUTE(SUBSTITUTE(TRIM($AR14),"-",""),".",""),"/","")," ",""),8),4),--MID(LEFT(SUBSTITUTE(SUBSTITUTE(SUBSTITUTE(SUBSTITUTE(TRIM($AR14),"-",""),".",""),"/","")," ",""),8),5,2),--MID(LEFT(SUBSTITUTE(SUBSTITUTE(SUBSTITUTE(SUBSTITUTE(TRIM($AR14),"-",""),".",""),"/","")," ",""),8),7,2)),"")))</f>
        <v/>
      </c>
      <c r="AT14" s="23">
        <f>IF($AS14="","",IF($F$6="",0,IF(ISNUMBER(INDEX($A:$AP,ROW(),$F$6)),INDEX($A:$AP,ROW(),$F$6),IFERROR(--SUBSTITUTE(SUBSTITUTE(TRIM(INDEX($A:$AP,ROW(),$F$6)),",",""),"원",""),0))))</f>
        <v/>
      </c>
      <c r="AU14" s="23">
        <f>IF($AS14="","",IF($G$6="",0,IF(ISNUMBER(INDEX($A:$AP,ROW(),$G$6)),INDEX($A:$AP,ROW(),$G$6),IFERROR(--SUBSTITUTE(SUBSTITUTE(TRIM(INDEX($A:$AP,ROW(),$G$6)),",",""),"원",""),0))))</f>
        <v/>
      </c>
      <c r="AV14" s="23">
        <f>IF($AS14="","",IF($H$6="",$AT14+$AU14,IF($H$6="",0,IF(ISNUMBER(INDEX($A:$AP,ROW(),$H$6)),INDEX($A:$AP,ROW(),$H$6),IFERROR(--SUBSTITUTE(SUBSTITUTE(TRIM(INDEX($A:$AP,ROW(),$H$6)),",",""),"원",""),0)))))</f>
        <v/>
      </c>
      <c r="AW14" s="2">
        <f>IF(OR($AS14="",$C$6=""),"",TRIM(INDEX($A:$AP,ROW(),$C$6)&amp;""))</f>
        <v/>
      </c>
      <c r="AX14" s="2">
        <f>IF($AS14="","",IF($AZ14&lt;&gt;"",SUBSTITUTE(SUBSTITUTE($AZ14,"-","")," ",""),$AY14))</f>
        <v/>
      </c>
      <c r="AY14" s="2">
        <f>IF(OR($AS14="",$E$6=""),"",TRIM(INDEX($A:$AP,ROW(),$E$6)&amp;""))</f>
        <v/>
      </c>
      <c r="AZ14" s="2">
        <f>IF(OR($AS14="",$D$6=""),"",TRIM(INDEX($A:$AP,ROW(),$D$6)&amp;""))</f>
        <v/>
      </c>
      <c r="BA14" s="2">
        <f>IF($AS14="","",IF(AND($AS14&gt;=설정!$B$10,$AS14&lt;=설정!$B$11),"포함","기간 밖"))</f>
        <v/>
      </c>
      <c r="BB14" s="2">
        <f>IF($AS14="","",IF(OR($AT14&lt;0,AND($I$6&lt;&gt;"",ISNUMBER(FIND("수정",INDEX($A:$AP,ROW(),IF($I$6="",1,$I$6))&amp;"")))),"수정","일반"))</f>
        <v/>
      </c>
      <c r="BC14" s="2">
        <f>IF($AS14="","",MID(IF($BA14="기간 밖"," / 기간 밖(신고기간 아님)","")&amp;IF(AND($AW14&lt;&gt;"",COUNTIF($AW$8:$AW$1007,$AW14)&gt;1)," / 승인번호 중복(두 번 붙여넣기?)","")&amp;IF(ABS($AU14-ROUND($AT14*0.1,0))&gt;설정!$B$8,IF($AU14=0," / 세액 0원(영세율·면세 여부 확인)"," / 세액이 공급가액 10%와 다름"),"")&amp;IF($BB14="수정"," / 수정세금계산서(합계에서 자동 가감)",""),4,200))</f>
        <v/>
      </c>
      <c r="BD14" s="2">
        <f>IF($BA14&lt;&gt;"포함","",IF(COUNTIFS($AX$8:$AX14,$AX14,$BA$8:$BA14,"포함")=1,MAX($BD$7:BD13)+1,""))</f>
        <v/>
      </c>
      <c r="BE14" s="2">
        <f>IF($BC14="","",MAX($BE$7:BE13)+1)</f>
        <v/>
      </c>
    </row>
    <row r="15">
      <c r="A15" s="21" t="inlineStr">
        <is>
          <t>2026-07-10</t>
        </is>
      </c>
      <c r="B15" s="21" t="inlineStr">
        <is>
          <t>20260710-41000002-30246633</t>
        </is>
      </c>
      <c r="C15" s="21" t="inlineStr">
        <is>
          <t>2026-07-10</t>
        </is>
      </c>
      <c r="D15" s="21" t="inlineStr">
        <is>
          <t>2026-07-10</t>
        </is>
      </c>
      <c r="E15" s="21" t="inlineStr">
        <is>
          <t>999-81-00001</t>
        </is>
      </c>
      <c r="G15" s="21" t="inlineStr">
        <is>
          <t>(주)가온상사</t>
        </is>
      </c>
      <c r="H15" s="21" t="inlineStr">
        <is>
          <t>김가온</t>
        </is>
      </c>
      <c r="I15" s="21" t="inlineStr">
        <is>
          <t>가상 주소</t>
        </is>
      </c>
      <c r="J15" s="21" t="inlineStr">
        <is>
          <t>999-81-10001</t>
        </is>
      </c>
      <c r="L15" s="21" t="inlineStr">
        <is>
          <t>(주)하늘정밀</t>
        </is>
      </c>
      <c r="M15" s="21" t="inlineStr">
        <is>
          <t>이하늘</t>
        </is>
      </c>
      <c r="N15" s="21" t="inlineStr">
        <is>
          <t>가상 주소</t>
        </is>
      </c>
      <c r="O15" s="24" t="n">
        <v>13750000</v>
      </c>
      <c r="P15" s="24" t="n">
        <v>12500000</v>
      </c>
      <c r="Q15" s="24" t="n">
        <v>1250000</v>
      </c>
      <c r="R15" s="21" t="inlineStr">
        <is>
          <t>세금계산서</t>
        </is>
      </c>
      <c r="S15" s="21" t="inlineStr">
        <is>
          <t>일반</t>
        </is>
      </c>
      <c r="T15" s="21" t="inlineStr">
        <is>
          <t>직접발급</t>
        </is>
      </c>
      <c r="V15" s="21" t="inlineStr">
        <is>
          <t>청구</t>
        </is>
      </c>
      <c r="Z15" s="21" t="inlineStr">
        <is>
          <t>2026-07-10</t>
        </is>
      </c>
      <c r="AA15" s="21" t="inlineStr">
        <is>
          <t>제품 공급</t>
        </is>
      </c>
      <c r="AR15" s="2">
        <f>IF(OR($A$5="",$B$6="",ROW()&lt;$A$5),"",IF(INDEX($A:$AP,ROW(),$B$6)="","",INDEX($A:$AP,ROW(),$B$6)))</f>
        <v/>
      </c>
      <c r="AS15" s="22">
        <f>IF($AR15="","",IF(ISNUMBER($AR15),IF($AR15&gt;=10000000,IFERROR(DATE(INT($AR15/10000),MOD(INT($AR15/100),100),MOD($AR15,100)),""),INT($AR15)),IFERROR(DATE(--LEFT(LEFT(SUBSTITUTE(SUBSTITUTE(SUBSTITUTE(SUBSTITUTE(TRIM($AR15),"-",""),".",""),"/","")," ",""),8),4),--MID(LEFT(SUBSTITUTE(SUBSTITUTE(SUBSTITUTE(SUBSTITUTE(TRIM($AR15),"-",""),".",""),"/","")," ",""),8),5,2),--MID(LEFT(SUBSTITUTE(SUBSTITUTE(SUBSTITUTE(SUBSTITUTE(TRIM($AR15),"-",""),".",""),"/","")," ",""),8),7,2)),"")))</f>
        <v/>
      </c>
      <c r="AT15" s="23">
        <f>IF($AS15="","",IF($F$6="",0,IF(ISNUMBER(INDEX($A:$AP,ROW(),$F$6)),INDEX($A:$AP,ROW(),$F$6),IFERROR(--SUBSTITUTE(SUBSTITUTE(TRIM(INDEX($A:$AP,ROW(),$F$6)),",",""),"원",""),0))))</f>
        <v/>
      </c>
      <c r="AU15" s="23">
        <f>IF($AS15="","",IF($G$6="",0,IF(ISNUMBER(INDEX($A:$AP,ROW(),$G$6)),INDEX($A:$AP,ROW(),$G$6),IFERROR(--SUBSTITUTE(SUBSTITUTE(TRIM(INDEX($A:$AP,ROW(),$G$6)),",",""),"원",""),0))))</f>
        <v/>
      </c>
      <c r="AV15" s="23">
        <f>IF($AS15="","",IF($H$6="",$AT15+$AU15,IF($H$6="",0,IF(ISNUMBER(INDEX($A:$AP,ROW(),$H$6)),INDEX($A:$AP,ROW(),$H$6),IFERROR(--SUBSTITUTE(SUBSTITUTE(TRIM(INDEX($A:$AP,ROW(),$H$6)),",",""),"원",""),0)))))</f>
        <v/>
      </c>
      <c r="AW15" s="2">
        <f>IF(OR($AS15="",$C$6=""),"",TRIM(INDEX($A:$AP,ROW(),$C$6)&amp;""))</f>
        <v/>
      </c>
      <c r="AX15" s="2">
        <f>IF($AS15="","",IF($AZ15&lt;&gt;"",SUBSTITUTE(SUBSTITUTE($AZ15,"-","")," ",""),$AY15))</f>
        <v/>
      </c>
      <c r="AY15" s="2">
        <f>IF(OR($AS15="",$E$6=""),"",TRIM(INDEX($A:$AP,ROW(),$E$6)&amp;""))</f>
        <v/>
      </c>
      <c r="AZ15" s="2">
        <f>IF(OR($AS15="",$D$6=""),"",TRIM(INDEX($A:$AP,ROW(),$D$6)&amp;""))</f>
        <v/>
      </c>
      <c r="BA15" s="2">
        <f>IF($AS15="","",IF(AND($AS15&gt;=설정!$B$10,$AS15&lt;=설정!$B$11),"포함","기간 밖"))</f>
        <v/>
      </c>
      <c r="BB15" s="2">
        <f>IF($AS15="","",IF(OR($AT15&lt;0,AND($I$6&lt;&gt;"",ISNUMBER(FIND("수정",INDEX($A:$AP,ROW(),IF($I$6="",1,$I$6))&amp;"")))),"수정","일반"))</f>
        <v/>
      </c>
      <c r="BC15" s="2">
        <f>IF($AS15="","",MID(IF($BA15="기간 밖"," / 기간 밖(신고기간 아님)","")&amp;IF(AND($AW15&lt;&gt;"",COUNTIF($AW$8:$AW$1007,$AW15)&gt;1)," / 승인번호 중복(두 번 붙여넣기?)","")&amp;IF(ABS($AU15-ROUND($AT15*0.1,0))&gt;설정!$B$8,IF($AU15=0," / 세액 0원(영세율·면세 여부 확인)"," / 세액이 공급가액 10%와 다름"),"")&amp;IF($BB15="수정"," / 수정세금계산서(합계에서 자동 가감)",""),4,200))</f>
        <v/>
      </c>
      <c r="BD15" s="2">
        <f>IF($BA15&lt;&gt;"포함","",IF(COUNTIFS($AX$8:$AX15,$AX15,$BA$8:$BA15,"포함")=1,MAX($BD$7:BD14)+1,""))</f>
        <v/>
      </c>
      <c r="BE15" s="2">
        <f>IF($BC15="","",MAX($BE$7:BE14)+1)</f>
        <v/>
      </c>
    </row>
    <row r="16">
      <c r="A16" s="21" t="inlineStr">
        <is>
          <t>2026-07-15</t>
        </is>
      </c>
      <c r="B16" s="21" t="inlineStr">
        <is>
          <t>20260715-41000003-62992312</t>
        </is>
      </c>
      <c r="C16" s="21" t="inlineStr">
        <is>
          <t>2026-07-15</t>
        </is>
      </c>
      <c r="D16" s="21" t="inlineStr">
        <is>
          <t>2026-07-15</t>
        </is>
      </c>
      <c r="E16" s="21" t="inlineStr">
        <is>
          <t>999-81-00001</t>
        </is>
      </c>
      <c r="G16" s="21" t="inlineStr">
        <is>
          <t>(주)가온상사</t>
        </is>
      </c>
      <c r="H16" s="21" t="inlineStr">
        <is>
          <t>김가온</t>
        </is>
      </c>
      <c r="I16" s="21" t="inlineStr">
        <is>
          <t>가상 주소</t>
        </is>
      </c>
      <c r="J16" s="21" t="inlineStr">
        <is>
          <t>999-81-10002</t>
        </is>
      </c>
      <c r="L16" s="21" t="inlineStr">
        <is>
          <t>서해유통(주)</t>
        </is>
      </c>
      <c r="M16" s="21" t="inlineStr">
        <is>
          <t>박서해</t>
        </is>
      </c>
      <c r="N16" s="21" t="inlineStr">
        <is>
          <t>가상 주소</t>
        </is>
      </c>
      <c r="O16" s="24" t="n">
        <v>4180000</v>
      </c>
      <c r="P16" s="24" t="n">
        <v>3800000</v>
      </c>
      <c r="Q16" s="24" t="n">
        <v>380000</v>
      </c>
      <c r="R16" s="21" t="inlineStr">
        <is>
          <t>세금계산서</t>
        </is>
      </c>
      <c r="S16" s="21" t="inlineStr">
        <is>
          <t>일반</t>
        </is>
      </c>
      <c r="T16" s="21" t="inlineStr">
        <is>
          <t>직접발급</t>
        </is>
      </c>
      <c r="V16" s="21" t="inlineStr">
        <is>
          <t>청구</t>
        </is>
      </c>
      <c r="Z16" s="21" t="inlineStr">
        <is>
          <t>2026-07-15</t>
        </is>
      </c>
      <c r="AA16" s="21" t="inlineStr">
        <is>
          <t>제품 공급</t>
        </is>
      </c>
      <c r="AR16" s="2">
        <f>IF(OR($A$5="",$B$6="",ROW()&lt;$A$5),"",IF(INDEX($A:$AP,ROW(),$B$6)="","",INDEX($A:$AP,ROW(),$B$6)))</f>
        <v/>
      </c>
      <c r="AS16" s="22">
        <f>IF($AR16="","",IF(ISNUMBER($AR16),IF($AR16&gt;=10000000,IFERROR(DATE(INT($AR16/10000),MOD(INT($AR16/100),100),MOD($AR16,100)),""),INT($AR16)),IFERROR(DATE(--LEFT(LEFT(SUBSTITUTE(SUBSTITUTE(SUBSTITUTE(SUBSTITUTE(TRIM($AR16),"-",""),".",""),"/","")," ",""),8),4),--MID(LEFT(SUBSTITUTE(SUBSTITUTE(SUBSTITUTE(SUBSTITUTE(TRIM($AR16),"-",""),".",""),"/","")," ",""),8),5,2),--MID(LEFT(SUBSTITUTE(SUBSTITUTE(SUBSTITUTE(SUBSTITUTE(TRIM($AR16),"-",""),".",""),"/","")," ",""),8),7,2)),"")))</f>
        <v/>
      </c>
      <c r="AT16" s="23">
        <f>IF($AS16="","",IF($F$6="",0,IF(ISNUMBER(INDEX($A:$AP,ROW(),$F$6)),INDEX($A:$AP,ROW(),$F$6),IFERROR(--SUBSTITUTE(SUBSTITUTE(TRIM(INDEX($A:$AP,ROW(),$F$6)),",",""),"원",""),0))))</f>
        <v/>
      </c>
      <c r="AU16" s="23">
        <f>IF($AS16="","",IF($G$6="",0,IF(ISNUMBER(INDEX($A:$AP,ROW(),$G$6)),INDEX($A:$AP,ROW(),$G$6),IFERROR(--SUBSTITUTE(SUBSTITUTE(TRIM(INDEX($A:$AP,ROW(),$G$6)),",",""),"원",""),0))))</f>
        <v/>
      </c>
      <c r="AV16" s="23">
        <f>IF($AS16="","",IF($H$6="",$AT16+$AU16,IF($H$6="",0,IF(ISNUMBER(INDEX($A:$AP,ROW(),$H$6)),INDEX($A:$AP,ROW(),$H$6),IFERROR(--SUBSTITUTE(SUBSTITUTE(TRIM(INDEX($A:$AP,ROW(),$H$6)),",",""),"원",""),0)))))</f>
        <v/>
      </c>
      <c r="AW16" s="2">
        <f>IF(OR($AS16="",$C$6=""),"",TRIM(INDEX($A:$AP,ROW(),$C$6)&amp;""))</f>
        <v/>
      </c>
      <c r="AX16" s="2">
        <f>IF($AS16="","",IF($AZ16&lt;&gt;"",SUBSTITUTE(SUBSTITUTE($AZ16,"-","")," ",""),$AY16))</f>
        <v/>
      </c>
      <c r="AY16" s="2">
        <f>IF(OR($AS16="",$E$6=""),"",TRIM(INDEX($A:$AP,ROW(),$E$6)&amp;""))</f>
        <v/>
      </c>
      <c r="AZ16" s="2">
        <f>IF(OR($AS16="",$D$6=""),"",TRIM(INDEX($A:$AP,ROW(),$D$6)&amp;""))</f>
        <v/>
      </c>
      <c r="BA16" s="2">
        <f>IF($AS16="","",IF(AND($AS16&gt;=설정!$B$10,$AS16&lt;=설정!$B$11),"포함","기간 밖"))</f>
        <v/>
      </c>
      <c r="BB16" s="2">
        <f>IF($AS16="","",IF(OR($AT16&lt;0,AND($I$6&lt;&gt;"",ISNUMBER(FIND("수정",INDEX($A:$AP,ROW(),IF($I$6="",1,$I$6))&amp;"")))),"수정","일반"))</f>
        <v/>
      </c>
      <c r="BC16" s="2">
        <f>IF($AS16="","",MID(IF($BA16="기간 밖"," / 기간 밖(신고기간 아님)","")&amp;IF(AND($AW16&lt;&gt;"",COUNTIF($AW$8:$AW$1007,$AW16)&gt;1)," / 승인번호 중복(두 번 붙여넣기?)","")&amp;IF(ABS($AU16-ROUND($AT16*0.1,0))&gt;설정!$B$8,IF($AU16=0," / 세액 0원(영세율·면세 여부 확인)"," / 세액이 공급가액 10%와 다름"),"")&amp;IF($BB16="수정"," / 수정세금계산서(합계에서 자동 가감)",""),4,200))</f>
        <v/>
      </c>
      <c r="BD16" s="2">
        <f>IF($BA16&lt;&gt;"포함","",IF(COUNTIFS($AX$8:$AX16,$AX16,$BA$8:$BA16,"포함")=1,MAX($BD$7:BD15)+1,""))</f>
        <v/>
      </c>
      <c r="BE16" s="2">
        <f>IF($BC16="","",MAX($BE$7:BE15)+1)</f>
        <v/>
      </c>
    </row>
    <row r="17">
      <c r="A17" s="21" t="inlineStr">
        <is>
          <t>2026-07-31</t>
        </is>
      </c>
      <c r="B17" s="21" t="inlineStr">
        <is>
          <t>20260731-41000004-97366946</t>
        </is>
      </c>
      <c r="C17" s="21" t="inlineStr">
        <is>
          <t>2026-07-31</t>
        </is>
      </c>
      <c r="D17" s="21" t="inlineStr">
        <is>
          <t>2026-07-31</t>
        </is>
      </c>
      <c r="E17" s="21" t="inlineStr">
        <is>
          <t>999-81-00001</t>
        </is>
      </c>
      <c r="G17" s="21" t="inlineStr">
        <is>
          <t>(주)가온상사</t>
        </is>
      </c>
      <c r="H17" s="21" t="inlineStr">
        <is>
          <t>김가온</t>
        </is>
      </c>
      <c r="I17" s="21" t="inlineStr">
        <is>
          <t>가상 주소</t>
        </is>
      </c>
      <c r="J17" s="21" t="inlineStr">
        <is>
          <t>999-86-10003</t>
        </is>
      </c>
      <c r="L17" s="21" t="inlineStr">
        <is>
          <t>누리테크</t>
        </is>
      </c>
      <c r="M17" s="21" t="inlineStr">
        <is>
          <t>최누리</t>
        </is>
      </c>
      <c r="N17" s="21" t="inlineStr">
        <is>
          <t>가상 주소</t>
        </is>
      </c>
      <c r="O17" s="24" t="n">
        <v>2365000</v>
      </c>
      <c r="P17" s="24" t="n">
        <v>2150000</v>
      </c>
      <c r="Q17" s="24" t="n">
        <v>215000</v>
      </c>
      <c r="R17" s="21" t="inlineStr">
        <is>
          <t>세금계산서</t>
        </is>
      </c>
      <c r="S17" s="21" t="inlineStr">
        <is>
          <t>일반</t>
        </is>
      </c>
      <c r="T17" s="21" t="inlineStr">
        <is>
          <t>직접발급</t>
        </is>
      </c>
      <c r="V17" s="21" t="inlineStr">
        <is>
          <t>청구</t>
        </is>
      </c>
      <c r="Z17" s="21" t="inlineStr">
        <is>
          <t>2026-07-31</t>
        </is>
      </c>
      <c r="AA17" s="21" t="inlineStr">
        <is>
          <t>제품 공급</t>
        </is>
      </c>
      <c r="AR17" s="2">
        <f>IF(OR($A$5="",$B$6="",ROW()&lt;$A$5),"",IF(INDEX($A:$AP,ROW(),$B$6)="","",INDEX($A:$AP,ROW(),$B$6)))</f>
        <v/>
      </c>
      <c r="AS17" s="22">
        <f>IF($AR17="","",IF(ISNUMBER($AR17),IF($AR17&gt;=10000000,IFERROR(DATE(INT($AR17/10000),MOD(INT($AR17/100),100),MOD($AR17,100)),""),INT($AR17)),IFERROR(DATE(--LEFT(LEFT(SUBSTITUTE(SUBSTITUTE(SUBSTITUTE(SUBSTITUTE(TRIM($AR17),"-",""),".",""),"/","")," ",""),8),4),--MID(LEFT(SUBSTITUTE(SUBSTITUTE(SUBSTITUTE(SUBSTITUTE(TRIM($AR17),"-",""),".",""),"/","")," ",""),8),5,2),--MID(LEFT(SUBSTITUTE(SUBSTITUTE(SUBSTITUTE(SUBSTITUTE(TRIM($AR17),"-",""),".",""),"/","")," ",""),8),7,2)),"")))</f>
        <v/>
      </c>
      <c r="AT17" s="23">
        <f>IF($AS17="","",IF($F$6="",0,IF(ISNUMBER(INDEX($A:$AP,ROW(),$F$6)),INDEX($A:$AP,ROW(),$F$6),IFERROR(--SUBSTITUTE(SUBSTITUTE(TRIM(INDEX($A:$AP,ROW(),$F$6)),",",""),"원",""),0))))</f>
        <v/>
      </c>
      <c r="AU17" s="23">
        <f>IF($AS17="","",IF($G$6="",0,IF(ISNUMBER(INDEX($A:$AP,ROW(),$G$6)),INDEX($A:$AP,ROW(),$G$6),IFERROR(--SUBSTITUTE(SUBSTITUTE(TRIM(INDEX($A:$AP,ROW(),$G$6)),",",""),"원",""),0))))</f>
        <v/>
      </c>
      <c r="AV17" s="23">
        <f>IF($AS17="","",IF($H$6="",$AT17+$AU17,IF($H$6="",0,IF(ISNUMBER(INDEX($A:$AP,ROW(),$H$6)),INDEX($A:$AP,ROW(),$H$6),IFERROR(--SUBSTITUTE(SUBSTITUTE(TRIM(INDEX($A:$AP,ROW(),$H$6)),",",""),"원",""),0)))))</f>
        <v/>
      </c>
      <c r="AW17" s="2">
        <f>IF(OR($AS17="",$C$6=""),"",TRIM(INDEX($A:$AP,ROW(),$C$6)&amp;""))</f>
        <v/>
      </c>
      <c r="AX17" s="2">
        <f>IF($AS17="","",IF($AZ17&lt;&gt;"",SUBSTITUTE(SUBSTITUTE($AZ17,"-","")," ",""),$AY17))</f>
        <v/>
      </c>
      <c r="AY17" s="2">
        <f>IF(OR($AS17="",$E$6=""),"",TRIM(INDEX($A:$AP,ROW(),$E$6)&amp;""))</f>
        <v/>
      </c>
      <c r="AZ17" s="2">
        <f>IF(OR($AS17="",$D$6=""),"",TRIM(INDEX($A:$AP,ROW(),$D$6)&amp;""))</f>
        <v/>
      </c>
      <c r="BA17" s="2">
        <f>IF($AS17="","",IF(AND($AS17&gt;=설정!$B$10,$AS17&lt;=설정!$B$11),"포함","기간 밖"))</f>
        <v/>
      </c>
      <c r="BB17" s="2">
        <f>IF($AS17="","",IF(OR($AT17&lt;0,AND($I$6&lt;&gt;"",ISNUMBER(FIND("수정",INDEX($A:$AP,ROW(),IF($I$6="",1,$I$6))&amp;"")))),"수정","일반"))</f>
        <v/>
      </c>
      <c r="BC17" s="2">
        <f>IF($AS17="","",MID(IF($BA17="기간 밖"," / 기간 밖(신고기간 아님)","")&amp;IF(AND($AW17&lt;&gt;"",COUNTIF($AW$8:$AW$1007,$AW17)&gt;1)," / 승인번호 중복(두 번 붙여넣기?)","")&amp;IF(ABS($AU17-ROUND($AT17*0.1,0))&gt;설정!$B$8,IF($AU17=0," / 세액 0원(영세율·면세 여부 확인)"," / 세액이 공급가액 10%와 다름"),"")&amp;IF($BB17="수정"," / 수정세금계산서(합계에서 자동 가감)",""),4,200))</f>
        <v/>
      </c>
      <c r="BD17" s="2">
        <f>IF($BA17&lt;&gt;"포함","",IF(COUNTIFS($AX$8:$AX17,$AX17,$BA$8:$BA17,"포함")=1,MAX($BD$7:BD16)+1,""))</f>
        <v/>
      </c>
      <c r="BE17" s="2">
        <f>IF($BC17="","",MAX($BE$7:BE16)+1)</f>
        <v/>
      </c>
    </row>
    <row r="18">
      <c r="A18" s="21" t="inlineStr">
        <is>
          <t>2026-07-31</t>
        </is>
      </c>
      <c r="B18" s="21" t="inlineStr">
        <is>
          <t>20260731-41000005-16480894</t>
        </is>
      </c>
      <c r="C18" s="21" t="inlineStr">
        <is>
          <t>2026-07-31</t>
        </is>
      </c>
      <c r="D18" s="21" t="inlineStr">
        <is>
          <t>2026-07-31</t>
        </is>
      </c>
      <c r="E18" s="21" t="inlineStr">
        <is>
          <t>999-81-00001</t>
        </is>
      </c>
      <c r="G18" s="21" t="inlineStr">
        <is>
          <t>(주)가온상사</t>
        </is>
      </c>
      <c r="H18" s="21" t="inlineStr">
        <is>
          <t>김가온</t>
        </is>
      </c>
      <c r="I18" s="21" t="inlineStr">
        <is>
          <t>가상 주소</t>
        </is>
      </c>
      <c r="J18" s="21" t="inlineStr">
        <is>
          <t>999-81-10004</t>
        </is>
      </c>
      <c r="L18" s="21" t="inlineStr">
        <is>
          <t>다온상사</t>
        </is>
      </c>
      <c r="M18" s="21" t="inlineStr">
        <is>
          <t>정다온</t>
        </is>
      </c>
      <c r="N18" s="21" t="inlineStr">
        <is>
          <t>가상 주소</t>
        </is>
      </c>
      <c r="O18" s="24" t="n">
        <v>9000000</v>
      </c>
      <c r="P18" s="24" t="n">
        <v>9000000</v>
      </c>
      <c r="Q18" s="24" t="n">
        <v>0</v>
      </c>
      <c r="R18" s="21" t="inlineStr">
        <is>
          <t>영세율세금계산서</t>
        </is>
      </c>
      <c r="S18" s="21" t="inlineStr">
        <is>
          <t>일반</t>
        </is>
      </c>
      <c r="T18" s="21" t="inlineStr">
        <is>
          <t>직접발급</t>
        </is>
      </c>
      <c r="U18" s="21" t="inlineStr">
        <is>
          <t>영세율(내국신용장)</t>
        </is>
      </c>
      <c r="V18" s="21" t="inlineStr">
        <is>
          <t>청구</t>
        </is>
      </c>
      <c r="Z18" s="21" t="inlineStr">
        <is>
          <t>2026-07-31</t>
        </is>
      </c>
      <c r="AA18" s="21" t="inlineStr">
        <is>
          <t>제품 공급</t>
        </is>
      </c>
      <c r="AR18" s="2">
        <f>IF(OR($A$5="",$B$6="",ROW()&lt;$A$5),"",IF(INDEX($A:$AP,ROW(),$B$6)="","",INDEX($A:$AP,ROW(),$B$6)))</f>
        <v/>
      </c>
      <c r="AS18" s="22">
        <f>IF($AR18="","",IF(ISNUMBER($AR18),IF($AR18&gt;=10000000,IFERROR(DATE(INT($AR18/10000),MOD(INT($AR18/100),100),MOD($AR18,100)),""),INT($AR18)),IFERROR(DATE(--LEFT(LEFT(SUBSTITUTE(SUBSTITUTE(SUBSTITUTE(SUBSTITUTE(TRIM($AR18),"-",""),".",""),"/","")," ",""),8),4),--MID(LEFT(SUBSTITUTE(SUBSTITUTE(SUBSTITUTE(SUBSTITUTE(TRIM($AR18),"-",""),".",""),"/","")," ",""),8),5,2),--MID(LEFT(SUBSTITUTE(SUBSTITUTE(SUBSTITUTE(SUBSTITUTE(TRIM($AR18),"-",""),".",""),"/","")," ",""),8),7,2)),"")))</f>
        <v/>
      </c>
      <c r="AT18" s="23">
        <f>IF($AS18="","",IF($F$6="",0,IF(ISNUMBER(INDEX($A:$AP,ROW(),$F$6)),INDEX($A:$AP,ROW(),$F$6),IFERROR(--SUBSTITUTE(SUBSTITUTE(TRIM(INDEX($A:$AP,ROW(),$F$6)),",",""),"원",""),0))))</f>
        <v/>
      </c>
      <c r="AU18" s="23">
        <f>IF($AS18="","",IF($G$6="",0,IF(ISNUMBER(INDEX($A:$AP,ROW(),$G$6)),INDEX($A:$AP,ROW(),$G$6),IFERROR(--SUBSTITUTE(SUBSTITUTE(TRIM(INDEX($A:$AP,ROW(),$G$6)),",",""),"원",""),0))))</f>
        <v/>
      </c>
      <c r="AV18" s="23">
        <f>IF($AS18="","",IF($H$6="",$AT18+$AU18,IF($H$6="",0,IF(ISNUMBER(INDEX($A:$AP,ROW(),$H$6)),INDEX($A:$AP,ROW(),$H$6),IFERROR(--SUBSTITUTE(SUBSTITUTE(TRIM(INDEX($A:$AP,ROW(),$H$6)),",",""),"원",""),0)))))</f>
        <v/>
      </c>
      <c r="AW18" s="2">
        <f>IF(OR($AS18="",$C$6=""),"",TRIM(INDEX($A:$AP,ROW(),$C$6)&amp;""))</f>
        <v/>
      </c>
      <c r="AX18" s="2">
        <f>IF($AS18="","",IF($AZ18&lt;&gt;"",SUBSTITUTE(SUBSTITUTE($AZ18,"-","")," ",""),$AY18))</f>
        <v/>
      </c>
      <c r="AY18" s="2">
        <f>IF(OR($AS18="",$E$6=""),"",TRIM(INDEX($A:$AP,ROW(),$E$6)&amp;""))</f>
        <v/>
      </c>
      <c r="AZ18" s="2">
        <f>IF(OR($AS18="",$D$6=""),"",TRIM(INDEX($A:$AP,ROW(),$D$6)&amp;""))</f>
        <v/>
      </c>
      <c r="BA18" s="2">
        <f>IF($AS18="","",IF(AND($AS18&gt;=설정!$B$10,$AS18&lt;=설정!$B$11),"포함","기간 밖"))</f>
        <v/>
      </c>
      <c r="BB18" s="2">
        <f>IF($AS18="","",IF(OR($AT18&lt;0,AND($I$6&lt;&gt;"",ISNUMBER(FIND("수정",INDEX($A:$AP,ROW(),IF($I$6="",1,$I$6))&amp;"")))),"수정","일반"))</f>
        <v/>
      </c>
      <c r="BC18" s="2">
        <f>IF($AS18="","",MID(IF($BA18="기간 밖"," / 기간 밖(신고기간 아님)","")&amp;IF(AND($AW18&lt;&gt;"",COUNTIF($AW$8:$AW$1007,$AW18)&gt;1)," / 승인번호 중복(두 번 붙여넣기?)","")&amp;IF(ABS($AU18-ROUND($AT18*0.1,0))&gt;설정!$B$8,IF($AU18=0," / 세액 0원(영세율·면세 여부 확인)"," / 세액이 공급가액 10%와 다름"),"")&amp;IF($BB18="수정"," / 수정세금계산서(합계에서 자동 가감)",""),4,200))</f>
        <v/>
      </c>
      <c r="BD18" s="2">
        <f>IF($BA18&lt;&gt;"포함","",IF(COUNTIFS($AX$8:$AX18,$AX18,$BA$8:$BA18,"포함")=1,MAX($BD$7:BD17)+1,""))</f>
        <v/>
      </c>
      <c r="BE18" s="2">
        <f>IF($BC18="","",MAX($BE$7:BE17)+1)</f>
        <v/>
      </c>
    </row>
    <row r="19">
      <c r="A19" s="21" t="inlineStr">
        <is>
          <t>2026-08-08</t>
        </is>
      </c>
      <c r="B19" s="21" t="inlineStr">
        <is>
          <t>20260808-41000006-19722233</t>
        </is>
      </c>
      <c r="C19" s="21" t="inlineStr">
        <is>
          <t>2026-08-08</t>
        </is>
      </c>
      <c r="D19" s="21" t="inlineStr">
        <is>
          <t>2026-08-08</t>
        </is>
      </c>
      <c r="E19" s="21" t="inlineStr">
        <is>
          <t>999-81-00001</t>
        </is>
      </c>
      <c r="G19" s="21" t="inlineStr">
        <is>
          <t>(주)가온상사</t>
        </is>
      </c>
      <c r="H19" s="21" t="inlineStr">
        <is>
          <t>김가온</t>
        </is>
      </c>
      <c r="I19" s="21" t="inlineStr">
        <is>
          <t>가상 주소</t>
        </is>
      </c>
      <c r="J19" s="21" t="inlineStr">
        <is>
          <t>999-81-10001</t>
        </is>
      </c>
      <c r="L19" s="21" t="inlineStr">
        <is>
          <t>(주)하늘정밀</t>
        </is>
      </c>
      <c r="M19" s="21" t="inlineStr">
        <is>
          <t>이하늘</t>
        </is>
      </c>
      <c r="N19" s="21" t="inlineStr">
        <is>
          <t>가상 주소</t>
        </is>
      </c>
      <c r="O19" s="24" t="n">
        <v>12320000</v>
      </c>
      <c r="P19" s="24" t="n">
        <v>11200000</v>
      </c>
      <c r="Q19" s="24" t="n">
        <v>1120000</v>
      </c>
      <c r="R19" s="21" t="inlineStr">
        <is>
          <t>세금계산서</t>
        </is>
      </c>
      <c r="S19" s="21" t="inlineStr">
        <is>
          <t>일반</t>
        </is>
      </c>
      <c r="T19" s="21" t="inlineStr">
        <is>
          <t>직접발급</t>
        </is>
      </c>
      <c r="V19" s="21" t="inlineStr">
        <is>
          <t>청구</t>
        </is>
      </c>
      <c r="Z19" s="21" t="inlineStr">
        <is>
          <t>2026-08-08</t>
        </is>
      </c>
      <c r="AA19" s="21" t="inlineStr">
        <is>
          <t>제품 공급</t>
        </is>
      </c>
      <c r="AR19" s="2">
        <f>IF(OR($A$5="",$B$6="",ROW()&lt;$A$5),"",IF(INDEX($A:$AP,ROW(),$B$6)="","",INDEX($A:$AP,ROW(),$B$6)))</f>
        <v/>
      </c>
      <c r="AS19" s="22">
        <f>IF($AR19="","",IF(ISNUMBER($AR19),IF($AR19&gt;=10000000,IFERROR(DATE(INT($AR19/10000),MOD(INT($AR19/100),100),MOD($AR19,100)),""),INT($AR19)),IFERROR(DATE(--LEFT(LEFT(SUBSTITUTE(SUBSTITUTE(SUBSTITUTE(SUBSTITUTE(TRIM($AR19),"-",""),".",""),"/","")," ",""),8),4),--MID(LEFT(SUBSTITUTE(SUBSTITUTE(SUBSTITUTE(SUBSTITUTE(TRIM($AR19),"-",""),".",""),"/","")," ",""),8),5,2),--MID(LEFT(SUBSTITUTE(SUBSTITUTE(SUBSTITUTE(SUBSTITUTE(TRIM($AR19),"-",""),".",""),"/","")," ",""),8),7,2)),"")))</f>
        <v/>
      </c>
      <c r="AT19" s="23">
        <f>IF($AS19="","",IF($F$6="",0,IF(ISNUMBER(INDEX($A:$AP,ROW(),$F$6)),INDEX($A:$AP,ROW(),$F$6),IFERROR(--SUBSTITUTE(SUBSTITUTE(TRIM(INDEX($A:$AP,ROW(),$F$6)),",",""),"원",""),0))))</f>
        <v/>
      </c>
      <c r="AU19" s="23">
        <f>IF($AS19="","",IF($G$6="",0,IF(ISNUMBER(INDEX($A:$AP,ROW(),$G$6)),INDEX($A:$AP,ROW(),$G$6),IFERROR(--SUBSTITUTE(SUBSTITUTE(TRIM(INDEX($A:$AP,ROW(),$G$6)),",",""),"원",""),0))))</f>
        <v/>
      </c>
      <c r="AV19" s="23">
        <f>IF($AS19="","",IF($H$6="",$AT19+$AU19,IF($H$6="",0,IF(ISNUMBER(INDEX($A:$AP,ROW(),$H$6)),INDEX($A:$AP,ROW(),$H$6),IFERROR(--SUBSTITUTE(SUBSTITUTE(TRIM(INDEX($A:$AP,ROW(),$H$6)),",",""),"원",""),0)))))</f>
        <v/>
      </c>
      <c r="AW19" s="2">
        <f>IF(OR($AS19="",$C$6=""),"",TRIM(INDEX($A:$AP,ROW(),$C$6)&amp;""))</f>
        <v/>
      </c>
      <c r="AX19" s="2">
        <f>IF($AS19="","",IF($AZ19&lt;&gt;"",SUBSTITUTE(SUBSTITUTE($AZ19,"-","")," ",""),$AY19))</f>
        <v/>
      </c>
      <c r="AY19" s="2">
        <f>IF(OR($AS19="",$E$6=""),"",TRIM(INDEX($A:$AP,ROW(),$E$6)&amp;""))</f>
        <v/>
      </c>
      <c r="AZ19" s="2">
        <f>IF(OR($AS19="",$D$6=""),"",TRIM(INDEX($A:$AP,ROW(),$D$6)&amp;""))</f>
        <v/>
      </c>
      <c r="BA19" s="2">
        <f>IF($AS19="","",IF(AND($AS19&gt;=설정!$B$10,$AS19&lt;=설정!$B$11),"포함","기간 밖"))</f>
        <v/>
      </c>
      <c r="BB19" s="2">
        <f>IF($AS19="","",IF(OR($AT19&lt;0,AND($I$6&lt;&gt;"",ISNUMBER(FIND("수정",INDEX($A:$AP,ROW(),IF($I$6="",1,$I$6))&amp;"")))),"수정","일반"))</f>
        <v/>
      </c>
      <c r="BC19" s="2">
        <f>IF($AS19="","",MID(IF($BA19="기간 밖"," / 기간 밖(신고기간 아님)","")&amp;IF(AND($AW19&lt;&gt;"",COUNTIF($AW$8:$AW$1007,$AW19)&gt;1)," / 승인번호 중복(두 번 붙여넣기?)","")&amp;IF(ABS($AU19-ROUND($AT19*0.1,0))&gt;설정!$B$8,IF($AU19=0," / 세액 0원(영세율·면세 여부 확인)"," / 세액이 공급가액 10%와 다름"),"")&amp;IF($BB19="수정"," / 수정세금계산서(합계에서 자동 가감)",""),4,200))</f>
        <v/>
      </c>
      <c r="BD19" s="2">
        <f>IF($BA19&lt;&gt;"포함","",IF(COUNTIFS($AX$8:$AX19,$AX19,$BA$8:$BA19,"포함")=1,MAX($BD$7:BD18)+1,""))</f>
        <v/>
      </c>
      <c r="BE19" s="2">
        <f>IF($BC19="","",MAX($BE$7:BE18)+1)</f>
        <v/>
      </c>
    </row>
    <row r="20">
      <c r="A20" s="21" t="inlineStr">
        <is>
          <t>2026-08-14</t>
        </is>
      </c>
      <c r="B20" s="21" t="inlineStr">
        <is>
          <t>20260814-41000007-81924865</t>
        </is>
      </c>
      <c r="C20" s="21" t="inlineStr">
        <is>
          <t>2026-08-14</t>
        </is>
      </c>
      <c r="D20" s="21" t="inlineStr">
        <is>
          <t>2026-08-14</t>
        </is>
      </c>
      <c r="E20" s="21" t="inlineStr">
        <is>
          <t>999-81-00001</t>
        </is>
      </c>
      <c r="G20" s="21" t="inlineStr">
        <is>
          <t>(주)가온상사</t>
        </is>
      </c>
      <c r="H20" s="21" t="inlineStr">
        <is>
          <t>김가온</t>
        </is>
      </c>
      <c r="I20" s="21" t="inlineStr">
        <is>
          <t>가상 주소</t>
        </is>
      </c>
      <c r="J20" s="21" t="inlineStr">
        <is>
          <t>999-81-10005</t>
        </is>
      </c>
      <c r="L20" s="21" t="inlineStr">
        <is>
          <t>(주)푸른물산</t>
        </is>
      </c>
      <c r="M20" s="21" t="inlineStr">
        <is>
          <t>한푸른</t>
        </is>
      </c>
      <c r="N20" s="21" t="inlineStr">
        <is>
          <t>가상 주소</t>
        </is>
      </c>
      <c r="O20" s="24" t="n">
        <v>1903000</v>
      </c>
      <c r="P20" s="24" t="n">
        <v>1730000</v>
      </c>
      <c r="Q20" s="24" t="n">
        <v>173000</v>
      </c>
      <c r="R20" s="21" t="inlineStr">
        <is>
          <t>세금계산서</t>
        </is>
      </c>
      <c r="S20" s="21" t="inlineStr">
        <is>
          <t>일반</t>
        </is>
      </c>
      <c r="T20" s="21" t="inlineStr">
        <is>
          <t>직접발급</t>
        </is>
      </c>
      <c r="V20" s="21" t="inlineStr">
        <is>
          <t>청구</t>
        </is>
      </c>
      <c r="Z20" s="21" t="inlineStr">
        <is>
          <t>2026-08-14</t>
        </is>
      </c>
      <c r="AA20" s="21" t="inlineStr">
        <is>
          <t>제품 공급</t>
        </is>
      </c>
      <c r="AR20" s="2">
        <f>IF(OR($A$5="",$B$6="",ROW()&lt;$A$5),"",IF(INDEX($A:$AP,ROW(),$B$6)="","",INDEX($A:$AP,ROW(),$B$6)))</f>
        <v/>
      </c>
      <c r="AS20" s="22">
        <f>IF($AR20="","",IF(ISNUMBER($AR20),IF($AR20&gt;=10000000,IFERROR(DATE(INT($AR20/10000),MOD(INT($AR20/100),100),MOD($AR20,100)),""),INT($AR20)),IFERROR(DATE(--LEFT(LEFT(SUBSTITUTE(SUBSTITUTE(SUBSTITUTE(SUBSTITUTE(TRIM($AR20),"-",""),".",""),"/","")," ",""),8),4),--MID(LEFT(SUBSTITUTE(SUBSTITUTE(SUBSTITUTE(SUBSTITUTE(TRIM($AR20),"-",""),".",""),"/","")," ",""),8),5,2),--MID(LEFT(SUBSTITUTE(SUBSTITUTE(SUBSTITUTE(SUBSTITUTE(TRIM($AR20),"-",""),".",""),"/","")," ",""),8),7,2)),"")))</f>
        <v/>
      </c>
      <c r="AT20" s="23">
        <f>IF($AS20="","",IF($F$6="",0,IF(ISNUMBER(INDEX($A:$AP,ROW(),$F$6)),INDEX($A:$AP,ROW(),$F$6),IFERROR(--SUBSTITUTE(SUBSTITUTE(TRIM(INDEX($A:$AP,ROW(),$F$6)),",",""),"원",""),0))))</f>
        <v/>
      </c>
      <c r="AU20" s="23">
        <f>IF($AS20="","",IF($G$6="",0,IF(ISNUMBER(INDEX($A:$AP,ROW(),$G$6)),INDEX($A:$AP,ROW(),$G$6),IFERROR(--SUBSTITUTE(SUBSTITUTE(TRIM(INDEX($A:$AP,ROW(),$G$6)),",",""),"원",""),0))))</f>
        <v/>
      </c>
      <c r="AV20" s="23">
        <f>IF($AS20="","",IF($H$6="",$AT20+$AU20,IF($H$6="",0,IF(ISNUMBER(INDEX($A:$AP,ROW(),$H$6)),INDEX($A:$AP,ROW(),$H$6),IFERROR(--SUBSTITUTE(SUBSTITUTE(TRIM(INDEX($A:$AP,ROW(),$H$6)),",",""),"원",""),0)))))</f>
        <v/>
      </c>
      <c r="AW20" s="2">
        <f>IF(OR($AS20="",$C$6=""),"",TRIM(INDEX($A:$AP,ROW(),$C$6)&amp;""))</f>
        <v/>
      </c>
      <c r="AX20" s="2">
        <f>IF($AS20="","",IF($AZ20&lt;&gt;"",SUBSTITUTE(SUBSTITUTE($AZ20,"-","")," ",""),$AY20))</f>
        <v/>
      </c>
      <c r="AY20" s="2">
        <f>IF(OR($AS20="",$E$6=""),"",TRIM(INDEX($A:$AP,ROW(),$E$6)&amp;""))</f>
        <v/>
      </c>
      <c r="AZ20" s="2">
        <f>IF(OR($AS20="",$D$6=""),"",TRIM(INDEX($A:$AP,ROW(),$D$6)&amp;""))</f>
        <v/>
      </c>
      <c r="BA20" s="2">
        <f>IF($AS20="","",IF(AND($AS20&gt;=설정!$B$10,$AS20&lt;=설정!$B$11),"포함","기간 밖"))</f>
        <v/>
      </c>
      <c r="BB20" s="2">
        <f>IF($AS20="","",IF(OR($AT20&lt;0,AND($I$6&lt;&gt;"",ISNUMBER(FIND("수정",INDEX($A:$AP,ROW(),IF($I$6="",1,$I$6))&amp;"")))),"수정","일반"))</f>
        <v/>
      </c>
      <c r="BC20" s="2">
        <f>IF($AS20="","",MID(IF($BA20="기간 밖"," / 기간 밖(신고기간 아님)","")&amp;IF(AND($AW20&lt;&gt;"",COUNTIF($AW$8:$AW$1007,$AW20)&gt;1)," / 승인번호 중복(두 번 붙여넣기?)","")&amp;IF(ABS($AU20-ROUND($AT20*0.1,0))&gt;설정!$B$8,IF($AU20=0," / 세액 0원(영세율·면세 여부 확인)"," / 세액이 공급가액 10%와 다름"),"")&amp;IF($BB20="수정"," / 수정세금계산서(합계에서 자동 가감)",""),4,200))</f>
        <v/>
      </c>
      <c r="BD20" s="2">
        <f>IF($BA20&lt;&gt;"포함","",IF(COUNTIFS($AX$8:$AX20,$AX20,$BA$8:$BA20,"포함")=1,MAX($BD$7:BD19)+1,""))</f>
        <v/>
      </c>
      <c r="BE20" s="2">
        <f>IF($BC20="","",MAX($BE$7:BE19)+1)</f>
        <v/>
      </c>
    </row>
    <row r="21">
      <c r="A21" s="21" t="inlineStr">
        <is>
          <t>2026-08-20</t>
        </is>
      </c>
      <c r="B21" s="21" t="inlineStr">
        <is>
          <t>20260820-41000008-22633920</t>
        </is>
      </c>
      <c r="C21" s="21" t="inlineStr">
        <is>
          <t>2026-08-20</t>
        </is>
      </c>
      <c r="D21" s="21" t="inlineStr">
        <is>
          <t>2026-08-20</t>
        </is>
      </c>
      <c r="E21" s="21" t="inlineStr">
        <is>
          <t>999-81-00001</t>
        </is>
      </c>
      <c r="G21" s="21" t="inlineStr">
        <is>
          <t>(주)가온상사</t>
        </is>
      </c>
      <c r="H21" s="21" t="inlineStr">
        <is>
          <t>김가온</t>
        </is>
      </c>
      <c r="I21" s="21" t="inlineStr">
        <is>
          <t>가상 주소</t>
        </is>
      </c>
      <c r="J21" s="21" t="inlineStr">
        <is>
          <t>999-81-10002</t>
        </is>
      </c>
      <c r="L21" s="21" t="inlineStr">
        <is>
          <t>서해유통(주)</t>
        </is>
      </c>
      <c r="M21" s="21" t="inlineStr">
        <is>
          <t>박서해</t>
        </is>
      </c>
      <c r="N21" s="21" t="inlineStr">
        <is>
          <t>가상 주소</t>
        </is>
      </c>
      <c r="O21" s="24" t="n">
        <v>4510000</v>
      </c>
      <c r="P21" s="24" t="n">
        <v>4100000</v>
      </c>
      <c r="Q21" s="24" t="n">
        <v>410000</v>
      </c>
      <c r="R21" s="21" t="inlineStr">
        <is>
          <t>세금계산서</t>
        </is>
      </c>
      <c r="S21" s="21" t="inlineStr">
        <is>
          <t>일반</t>
        </is>
      </c>
      <c r="T21" s="21" t="inlineStr">
        <is>
          <t>직접발급</t>
        </is>
      </c>
      <c r="V21" s="21" t="inlineStr">
        <is>
          <t>청구</t>
        </is>
      </c>
      <c r="Z21" s="21" t="inlineStr">
        <is>
          <t>2026-08-20</t>
        </is>
      </c>
      <c r="AA21" s="21" t="inlineStr">
        <is>
          <t>제품 공급</t>
        </is>
      </c>
      <c r="AR21" s="2">
        <f>IF(OR($A$5="",$B$6="",ROW()&lt;$A$5),"",IF(INDEX($A:$AP,ROW(),$B$6)="","",INDEX($A:$AP,ROW(),$B$6)))</f>
        <v/>
      </c>
      <c r="AS21" s="22">
        <f>IF($AR21="","",IF(ISNUMBER($AR21),IF($AR21&gt;=10000000,IFERROR(DATE(INT($AR21/10000),MOD(INT($AR21/100),100),MOD($AR21,100)),""),INT($AR21)),IFERROR(DATE(--LEFT(LEFT(SUBSTITUTE(SUBSTITUTE(SUBSTITUTE(SUBSTITUTE(TRIM($AR21),"-",""),".",""),"/","")," ",""),8),4),--MID(LEFT(SUBSTITUTE(SUBSTITUTE(SUBSTITUTE(SUBSTITUTE(TRIM($AR21),"-",""),".",""),"/","")," ",""),8),5,2),--MID(LEFT(SUBSTITUTE(SUBSTITUTE(SUBSTITUTE(SUBSTITUTE(TRIM($AR21),"-",""),".",""),"/","")," ",""),8),7,2)),"")))</f>
        <v/>
      </c>
      <c r="AT21" s="23">
        <f>IF($AS21="","",IF($F$6="",0,IF(ISNUMBER(INDEX($A:$AP,ROW(),$F$6)),INDEX($A:$AP,ROW(),$F$6),IFERROR(--SUBSTITUTE(SUBSTITUTE(TRIM(INDEX($A:$AP,ROW(),$F$6)),",",""),"원",""),0))))</f>
        <v/>
      </c>
      <c r="AU21" s="23">
        <f>IF($AS21="","",IF($G$6="",0,IF(ISNUMBER(INDEX($A:$AP,ROW(),$G$6)),INDEX($A:$AP,ROW(),$G$6),IFERROR(--SUBSTITUTE(SUBSTITUTE(TRIM(INDEX($A:$AP,ROW(),$G$6)),",",""),"원",""),0))))</f>
        <v/>
      </c>
      <c r="AV21" s="23">
        <f>IF($AS21="","",IF($H$6="",$AT21+$AU21,IF($H$6="",0,IF(ISNUMBER(INDEX($A:$AP,ROW(),$H$6)),INDEX($A:$AP,ROW(),$H$6),IFERROR(--SUBSTITUTE(SUBSTITUTE(TRIM(INDEX($A:$AP,ROW(),$H$6)),",",""),"원",""),0)))))</f>
        <v/>
      </c>
      <c r="AW21" s="2">
        <f>IF(OR($AS21="",$C$6=""),"",TRIM(INDEX($A:$AP,ROW(),$C$6)&amp;""))</f>
        <v/>
      </c>
      <c r="AX21" s="2">
        <f>IF($AS21="","",IF($AZ21&lt;&gt;"",SUBSTITUTE(SUBSTITUTE($AZ21,"-","")," ",""),$AY21))</f>
        <v/>
      </c>
      <c r="AY21" s="2">
        <f>IF(OR($AS21="",$E$6=""),"",TRIM(INDEX($A:$AP,ROW(),$E$6)&amp;""))</f>
        <v/>
      </c>
      <c r="AZ21" s="2">
        <f>IF(OR($AS21="",$D$6=""),"",TRIM(INDEX($A:$AP,ROW(),$D$6)&amp;""))</f>
        <v/>
      </c>
      <c r="BA21" s="2">
        <f>IF($AS21="","",IF(AND($AS21&gt;=설정!$B$10,$AS21&lt;=설정!$B$11),"포함","기간 밖"))</f>
        <v/>
      </c>
      <c r="BB21" s="2">
        <f>IF($AS21="","",IF(OR($AT21&lt;0,AND($I$6&lt;&gt;"",ISNUMBER(FIND("수정",INDEX($A:$AP,ROW(),IF($I$6="",1,$I$6))&amp;"")))),"수정","일반"))</f>
        <v/>
      </c>
      <c r="BC21" s="2">
        <f>IF($AS21="","",MID(IF($BA21="기간 밖"," / 기간 밖(신고기간 아님)","")&amp;IF(AND($AW21&lt;&gt;"",COUNTIF($AW$8:$AW$1007,$AW21)&gt;1)," / 승인번호 중복(두 번 붙여넣기?)","")&amp;IF(ABS($AU21-ROUND($AT21*0.1,0))&gt;설정!$B$8,IF($AU21=0," / 세액 0원(영세율·면세 여부 확인)"," / 세액이 공급가액 10%와 다름"),"")&amp;IF($BB21="수정"," / 수정세금계산서(합계에서 자동 가감)",""),4,200))</f>
        <v/>
      </c>
      <c r="BD21" s="2">
        <f>IF($BA21&lt;&gt;"포함","",IF(COUNTIFS($AX$8:$AX21,$AX21,$BA$8:$BA21,"포함")=1,MAX($BD$7:BD20)+1,""))</f>
        <v/>
      </c>
      <c r="BE21" s="2">
        <f>IF($BC21="","",MAX($BE$7:BE20)+1)</f>
        <v/>
      </c>
    </row>
    <row r="22">
      <c r="A22" s="21" t="inlineStr">
        <is>
          <t>2026-08-31</t>
        </is>
      </c>
      <c r="B22" s="21" t="inlineStr">
        <is>
          <t>20260831-41000009-59081935</t>
        </is>
      </c>
      <c r="C22" s="21" t="inlineStr">
        <is>
          <t>2026-08-31</t>
        </is>
      </c>
      <c r="D22" s="21" t="inlineStr">
        <is>
          <t>2026-08-31</t>
        </is>
      </c>
      <c r="E22" s="21" t="inlineStr">
        <is>
          <t>999-81-00001</t>
        </is>
      </c>
      <c r="G22" s="21" t="inlineStr">
        <is>
          <t>(주)가온상사</t>
        </is>
      </c>
      <c r="H22" s="21" t="inlineStr">
        <is>
          <t>김가온</t>
        </is>
      </c>
      <c r="I22" s="21" t="inlineStr">
        <is>
          <t>가상 주소</t>
        </is>
      </c>
      <c r="J22" s="21" t="inlineStr">
        <is>
          <t>999-86-10003</t>
        </is>
      </c>
      <c r="L22" s="21" t="inlineStr">
        <is>
          <t>누리테크</t>
        </is>
      </c>
      <c r="M22" s="21" t="inlineStr">
        <is>
          <t>최누리</t>
        </is>
      </c>
      <c r="N22" s="21" t="inlineStr">
        <is>
          <t>가상 주소</t>
        </is>
      </c>
      <c r="O22" s="24" t="n">
        <v>2541000</v>
      </c>
      <c r="P22" s="24" t="n">
        <v>2310000</v>
      </c>
      <c r="Q22" s="24" t="n">
        <v>231000</v>
      </c>
      <c r="R22" s="21" t="inlineStr">
        <is>
          <t>세금계산서</t>
        </is>
      </c>
      <c r="S22" s="21" t="inlineStr">
        <is>
          <t>일반</t>
        </is>
      </c>
      <c r="T22" s="21" t="inlineStr">
        <is>
          <t>직접발급</t>
        </is>
      </c>
      <c r="V22" s="21" t="inlineStr">
        <is>
          <t>청구</t>
        </is>
      </c>
      <c r="Z22" s="21" t="inlineStr">
        <is>
          <t>2026-08-31</t>
        </is>
      </c>
      <c r="AA22" s="21" t="inlineStr">
        <is>
          <t>제품 공급</t>
        </is>
      </c>
      <c r="AR22" s="2">
        <f>IF(OR($A$5="",$B$6="",ROW()&lt;$A$5),"",IF(INDEX($A:$AP,ROW(),$B$6)="","",INDEX($A:$AP,ROW(),$B$6)))</f>
        <v/>
      </c>
      <c r="AS22" s="22">
        <f>IF($AR22="","",IF(ISNUMBER($AR22),IF($AR22&gt;=10000000,IFERROR(DATE(INT($AR22/10000),MOD(INT($AR22/100),100),MOD($AR22,100)),""),INT($AR22)),IFERROR(DATE(--LEFT(LEFT(SUBSTITUTE(SUBSTITUTE(SUBSTITUTE(SUBSTITUTE(TRIM($AR22),"-",""),".",""),"/","")," ",""),8),4),--MID(LEFT(SUBSTITUTE(SUBSTITUTE(SUBSTITUTE(SUBSTITUTE(TRIM($AR22),"-",""),".",""),"/","")," ",""),8),5,2),--MID(LEFT(SUBSTITUTE(SUBSTITUTE(SUBSTITUTE(SUBSTITUTE(TRIM($AR22),"-",""),".",""),"/","")," ",""),8),7,2)),"")))</f>
        <v/>
      </c>
      <c r="AT22" s="23">
        <f>IF($AS22="","",IF($F$6="",0,IF(ISNUMBER(INDEX($A:$AP,ROW(),$F$6)),INDEX($A:$AP,ROW(),$F$6),IFERROR(--SUBSTITUTE(SUBSTITUTE(TRIM(INDEX($A:$AP,ROW(),$F$6)),",",""),"원",""),0))))</f>
        <v/>
      </c>
      <c r="AU22" s="23">
        <f>IF($AS22="","",IF($G$6="",0,IF(ISNUMBER(INDEX($A:$AP,ROW(),$G$6)),INDEX($A:$AP,ROW(),$G$6),IFERROR(--SUBSTITUTE(SUBSTITUTE(TRIM(INDEX($A:$AP,ROW(),$G$6)),",",""),"원",""),0))))</f>
        <v/>
      </c>
      <c r="AV22" s="23">
        <f>IF($AS22="","",IF($H$6="",$AT22+$AU22,IF($H$6="",0,IF(ISNUMBER(INDEX($A:$AP,ROW(),$H$6)),INDEX($A:$AP,ROW(),$H$6),IFERROR(--SUBSTITUTE(SUBSTITUTE(TRIM(INDEX($A:$AP,ROW(),$H$6)),",",""),"원",""),0)))))</f>
        <v/>
      </c>
      <c r="AW22" s="2">
        <f>IF(OR($AS22="",$C$6=""),"",TRIM(INDEX($A:$AP,ROW(),$C$6)&amp;""))</f>
        <v/>
      </c>
      <c r="AX22" s="2">
        <f>IF($AS22="","",IF($AZ22&lt;&gt;"",SUBSTITUTE(SUBSTITUTE($AZ22,"-","")," ",""),$AY22))</f>
        <v/>
      </c>
      <c r="AY22" s="2">
        <f>IF(OR($AS22="",$E$6=""),"",TRIM(INDEX($A:$AP,ROW(),$E$6)&amp;""))</f>
        <v/>
      </c>
      <c r="AZ22" s="2">
        <f>IF(OR($AS22="",$D$6=""),"",TRIM(INDEX($A:$AP,ROW(),$D$6)&amp;""))</f>
        <v/>
      </c>
      <c r="BA22" s="2">
        <f>IF($AS22="","",IF(AND($AS22&gt;=설정!$B$10,$AS22&lt;=설정!$B$11),"포함","기간 밖"))</f>
        <v/>
      </c>
      <c r="BB22" s="2">
        <f>IF($AS22="","",IF(OR($AT22&lt;0,AND($I$6&lt;&gt;"",ISNUMBER(FIND("수정",INDEX($A:$AP,ROW(),IF($I$6="",1,$I$6))&amp;"")))),"수정","일반"))</f>
        <v/>
      </c>
      <c r="BC22" s="2">
        <f>IF($AS22="","",MID(IF($BA22="기간 밖"," / 기간 밖(신고기간 아님)","")&amp;IF(AND($AW22&lt;&gt;"",COUNTIF($AW$8:$AW$1007,$AW22)&gt;1)," / 승인번호 중복(두 번 붙여넣기?)","")&amp;IF(ABS($AU22-ROUND($AT22*0.1,0))&gt;설정!$B$8,IF($AU22=0," / 세액 0원(영세율·면세 여부 확인)"," / 세액이 공급가액 10%와 다름"),"")&amp;IF($BB22="수정"," / 수정세금계산서(합계에서 자동 가감)",""),4,200))</f>
        <v/>
      </c>
      <c r="BD22" s="2">
        <f>IF($BA22&lt;&gt;"포함","",IF(COUNTIFS($AX$8:$AX22,$AX22,$BA$8:$BA22,"포함")=1,MAX($BD$7:BD21)+1,""))</f>
        <v/>
      </c>
      <c r="BE22" s="2">
        <f>IF($BC22="","",MAX($BE$7:BE21)+1)</f>
        <v/>
      </c>
    </row>
    <row r="23">
      <c r="A23" s="21" t="inlineStr">
        <is>
          <t>2026-09-05</t>
        </is>
      </c>
      <c r="B23" s="21" t="inlineStr">
        <is>
          <t>20260905-41000010-88220482</t>
        </is>
      </c>
      <c r="C23" s="21" t="inlineStr">
        <is>
          <t>2026-09-05</t>
        </is>
      </c>
      <c r="D23" s="21" t="inlineStr">
        <is>
          <t>2026-09-05</t>
        </is>
      </c>
      <c r="E23" s="21" t="inlineStr">
        <is>
          <t>999-81-00001</t>
        </is>
      </c>
      <c r="G23" s="21" t="inlineStr">
        <is>
          <t>(주)가온상사</t>
        </is>
      </c>
      <c r="H23" s="21" t="inlineStr">
        <is>
          <t>김가온</t>
        </is>
      </c>
      <c r="I23" s="21" t="inlineStr">
        <is>
          <t>가상 주소</t>
        </is>
      </c>
      <c r="J23" s="21" t="inlineStr">
        <is>
          <t>999-81-10001</t>
        </is>
      </c>
      <c r="L23" s="21" t="inlineStr">
        <is>
          <t>(주)하늘정밀</t>
        </is>
      </c>
      <c r="M23" s="21" t="inlineStr">
        <is>
          <t>이하늘</t>
        </is>
      </c>
      <c r="N23" s="21" t="inlineStr">
        <is>
          <t>가상 주소</t>
        </is>
      </c>
      <c r="O23" s="24" t="n">
        <v>14355000</v>
      </c>
      <c r="P23" s="24" t="n">
        <v>13050000</v>
      </c>
      <c r="Q23" s="24" t="n">
        <v>1305000</v>
      </c>
      <c r="R23" s="21" t="inlineStr">
        <is>
          <t>세금계산서</t>
        </is>
      </c>
      <c r="S23" s="21" t="inlineStr">
        <is>
          <t>일반</t>
        </is>
      </c>
      <c r="T23" s="21" t="inlineStr">
        <is>
          <t>직접발급</t>
        </is>
      </c>
      <c r="V23" s="21" t="inlineStr">
        <is>
          <t>청구</t>
        </is>
      </c>
      <c r="Z23" s="21" t="inlineStr">
        <is>
          <t>2026-09-05</t>
        </is>
      </c>
      <c r="AA23" s="21" t="inlineStr">
        <is>
          <t>제품 공급</t>
        </is>
      </c>
      <c r="AR23" s="2">
        <f>IF(OR($A$5="",$B$6="",ROW()&lt;$A$5),"",IF(INDEX($A:$AP,ROW(),$B$6)="","",INDEX($A:$AP,ROW(),$B$6)))</f>
        <v/>
      </c>
      <c r="AS23" s="22">
        <f>IF($AR23="","",IF(ISNUMBER($AR23),IF($AR23&gt;=10000000,IFERROR(DATE(INT($AR23/10000),MOD(INT($AR23/100),100),MOD($AR23,100)),""),INT($AR23)),IFERROR(DATE(--LEFT(LEFT(SUBSTITUTE(SUBSTITUTE(SUBSTITUTE(SUBSTITUTE(TRIM($AR23),"-",""),".",""),"/","")," ",""),8),4),--MID(LEFT(SUBSTITUTE(SUBSTITUTE(SUBSTITUTE(SUBSTITUTE(TRIM($AR23),"-",""),".",""),"/","")," ",""),8),5,2),--MID(LEFT(SUBSTITUTE(SUBSTITUTE(SUBSTITUTE(SUBSTITUTE(TRIM($AR23),"-",""),".",""),"/","")," ",""),8),7,2)),"")))</f>
        <v/>
      </c>
      <c r="AT23" s="23">
        <f>IF($AS23="","",IF($F$6="",0,IF(ISNUMBER(INDEX($A:$AP,ROW(),$F$6)),INDEX($A:$AP,ROW(),$F$6),IFERROR(--SUBSTITUTE(SUBSTITUTE(TRIM(INDEX($A:$AP,ROW(),$F$6)),",",""),"원",""),0))))</f>
        <v/>
      </c>
      <c r="AU23" s="23">
        <f>IF($AS23="","",IF($G$6="",0,IF(ISNUMBER(INDEX($A:$AP,ROW(),$G$6)),INDEX($A:$AP,ROW(),$G$6),IFERROR(--SUBSTITUTE(SUBSTITUTE(TRIM(INDEX($A:$AP,ROW(),$G$6)),",",""),"원",""),0))))</f>
        <v/>
      </c>
      <c r="AV23" s="23">
        <f>IF($AS23="","",IF($H$6="",$AT23+$AU23,IF($H$6="",0,IF(ISNUMBER(INDEX($A:$AP,ROW(),$H$6)),INDEX($A:$AP,ROW(),$H$6),IFERROR(--SUBSTITUTE(SUBSTITUTE(TRIM(INDEX($A:$AP,ROW(),$H$6)),",",""),"원",""),0)))))</f>
        <v/>
      </c>
      <c r="AW23" s="2">
        <f>IF(OR($AS23="",$C$6=""),"",TRIM(INDEX($A:$AP,ROW(),$C$6)&amp;""))</f>
        <v/>
      </c>
      <c r="AX23" s="2">
        <f>IF($AS23="","",IF($AZ23&lt;&gt;"",SUBSTITUTE(SUBSTITUTE($AZ23,"-","")," ",""),$AY23))</f>
        <v/>
      </c>
      <c r="AY23" s="2">
        <f>IF(OR($AS23="",$E$6=""),"",TRIM(INDEX($A:$AP,ROW(),$E$6)&amp;""))</f>
        <v/>
      </c>
      <c r="AZ23" s="2">
        <f>IF(OR($AS23="",$D$6=""),"",TRIM(INDEX($A:$AP,ROW(),$D$6)&amp;""))</f>
        <v/>
      </c>
      <c r="BA23" s="2">
        <f>IF($AS23="","",IF(AND($AS23&gt;=설정!$B$10,$AS23&lt;=설정!$B$11),"포함","기간 밖"))</f>
        <v/>
      </c>
      <c r="BB23" s="2">
        <f>IF($AS23="","",IF(OR($AT23&lt;0,AND($I$6&lt;&gt;"",ISNUMBER(FIND("수정",INDEX($A:$AP,ROW(),IF($I$6="",1,$I$6))&amp;"")))),"수정","일반"))</f>
        <v/>
      </c>
      <c r="BC23" s="2">
        <f>IF($AS23="","",MID(IF($BA23="기간 밖"," / 기간 밖(신고기간 아님)","")&amp;IF(AND($AW23&lt;&gt;"",COUNTIF($AW$8:$AW$1007,$AW23)&gt;1)," / 승인번호 중복(두 번 붙여넣기?)","")&amp;IF(ABS($AU23-ROUND($AT23*0.1,0))&gt;설정!$B$8,IF($AU23=0," / 세액 0원(영세율·면세 여부 확인)"," / 세액이 공급가액 10%와 다름"),"")&amp;IF($BB23="수정"," / 수정세금계산서(합계에서 자동 가감)",""),4,200))</f>
        <v/>
      </c>
      <c r="BD23" s="2">
        <f>IF($BA23&lt;&gt;"포함","",IF(COUNTIFS($AX$8:$AX23,$AX23,$BA$8:$BA23,"포함")=1,MAX($BD$7:BD22)+1,""))</f>
        <v/>
      </c>
      <c r="BE23" s="2">
        <f>IF($BC23="","",MAX($BE$7:BE22)+1)</f>
        <v/>
      </c>
    </row>
    <row r="24">
      <c r="A24" s="21" t="inlineStr">
        <is>
          <t>2026-09-12</t>
        </is>
      </c>
      <c r="B24" s="21" t="inlineStr">
        <is>
          <t>20260912-41000011-17784483</t>
        </is>
      </c>
      <c r="C24" s="21" t="inlineStr">
        <is>
          <t>2026-09-12</t>
        </is>
      </c>
      <c r="D24" s="21" t="inlineStr">
        <is>
          <t>2026-09-12</t>
        </is>
      </c>
      <c r="E24" s="21" t="inlineStr">
        <is>
          <t>999-81-00001</t>
        </is>
      </c>
      <c r="G24" s="21" t="inlineStr">
        <is>
          <t>(주)가온상사</t>
        </is>
      </c>
      <c r="H24" s="21" t="inlineStr">
        <is>
          <t>김가온</t>
        </is>
      </c>
      <c r="I24" s="21" t="inlineStr">
        <is>
          <t>가상 주소</t>
        </is>
      </c>
      <c r="J24" s="21" t="inlineStr">
        <is>
          <t>999-81-10002</t>
        </is>
      </c>
      <c r="L24" s="21" t="inlineStr">
        <is>
          <t>서해유통(주)</t>
        </is>
      </c>
      <c r="M24" s="21" t="inlineStr">
        <is>
          <t>박서해</t>
        </is>
      </c>
      <c r="N24" s="21" t="inlineStr">
        <is>
          <t>가상 주소</t>
        </is>
      </c>
      <c r="O24" s="24" t="n">
        <v>-880000</v>
      </c>
      <c r="P24" s="24" t="n">
        <v>-800000</v>
      </c>
      <c r="Q24" s="24" t="n">
        <v>-80000</v>
      </c>
      <c r="R24" s="21" t="inlineStr">
        <is>
          <t>수정세금계산서</t>
        </is>
      </c>
      <c r="S24" s="21" t="inlineStr">
        <is>
          <t>일반</t>
        </is>
      </c>
      <c r="T24" s="21" t="inlineStr">
        <is>
          <t>직접발급</t>
        </is>
      </c>
      <c r="U24" s="21" t="inlineStr">
        <is>
          <t>반품 수정</t>
        </is>
      </c>
      <c r="V24" s="21" t="inlineStr">
        <is>
          <t>청구</t>
        </is>
      </c>
      <c r="Z24" s="21" t="inlineStr">
        <is>
          <t>2026-09-12</t>
        </is>
      </c>
      <c r="AA24" s="21" t="inlineStr">
        <is>
          <t>제품 공급</t>
        </is>
      </c>
      <c r="AR24" s="2">
        <f>IF(OR($A$5="",$B$6="",ROW()&lt;$A$5),"",IF(INDEX($A:$AP,ROW(),$B$6)="","",INDEX($A:$AP,ROW(),$B$6)))</f>
        <v/>
      </c>
      <c r="AS24" s="22">
        <f>IF($AR24="","",IF(ISNUMBER($AR24),IF($AR24&gt;=10000000,IFERROR(DATE(INT($AR24/10000),MOD(INT($AR24/100),100),MOD($AR24,100)),""),INT($AR24)),IFERROR(DATE(--LEFT(LEFT(SUBSTITUTE(SUBSTITUTE(SUBSTITUTE(SUBSTITUTE(TRIM($AR24),"-",""),".",""),"/","")," ",""),8),4),--MID(LEFT(SUBSTITUTE(SUBSTITUTE(SUBSTITUTE(SUBSTITUTE(TRIM($AR24),"-",""),".",""),"/","")," ",""),8),5,2),--MID(LEFT(SUBSTITUTE(SUBSTITUTE(SUBSTITUTE(SUBSTITUTE(TRIM($AR24),"-",""),".",""),"/","")," ",""),8),7,2)),"")))</f>
        <v/>
      </c>
      <c r="AT24" s="23">
        <f>IF($AS24="","",IF($F$6="",0,IF(ISNUMBER(INDEX($A:$AP,ROW(),$F$6)),INDEX($A:$AP,ROW(),$F$6),IFERROR(--SUBSTITUTE(SUBSTITUTE(TRIM(INDEX($A:$AP,ROW(),$F$6)),",",""),"원",""),0))))</f>
        <v/>
      </c>
      <c r="AU24" s="23">
        <f>IF($AS24="","",IF($G$6="",0,IF(ISNUMBER(INDEX($A:$AP,ROW(),$G$6)),INDEX($A:$AP,ROW(),$G$6),IFERROR(--SUBSTITUTE(SUBSTITUTE(TRIM(INDEX($A:$AP,ROW(),$G$6)),",",""),"원",""),0))))</f>
        <v/>
      </c>
      <c r="AV24" s="23">
        <f>IF($AS24="","",IF($H$6="",$AT24+$AU24,IF($H$6="",0,IF(ISNUMBER(INDEX($A:$AP,ROW(),$H$6)),INDEX($A:$AP,ROW(),$H$6),IFERROR(--SUBSTITUTE(SUBSTITUTE(TRIM(INDEX($A:$AP,ROW(),$H$6)),",",""),"원",""),0)))))</f>
        <v/>
      </c>
      <c r="AW24" s="2">
        <f>IF(OR($AS24="",$C$6=""),"",TRIM(INDEX($A:$AP,ROW(),$C$6)&amp;""))</f>
        <v/>
      </c>
      <c r="AX24" s="2">
        <f>IF($AS24="","",IF($AZ24&lt;&gt;"",SUBSTITUTE(SUBSTITUTE($AZ24,"-","")," ",""),$AY24))</f>
        <v/>
      </c>
      <c r="AY24" s="2">
        <f>IF(OR($AS24="",$E$6=""),"",TRIM(INDEX($A:$AP,ROW(),$E$6)&amp;""))</f>
        <v/>
      </c>
      <c r="AZ24" s="2">
        <f>IF(OR($AS24="",$D$6=""),"",TRIM(INDEX($A:$AP,ROW(),$D$6)&amp;""))</f>
        <v/>
      </c>
      <c r="BA24" s="2">
        <f>IF($AS24="","",IF(AND($AS24&gt;=설정!$B$10,$AS24&lt;=설정!$B$11),"포함","기간 밖"))</f>
        <v/>
      </c>
      <c r="BB24" s="2">
        <f>IF($AS24="","",IF(OR($AT24&lt;0,AND($I$6&lt;&gt;"",ISNUMBER(FIND("수정",INDEX($A:$AP,ROW(),IF($I$6="",1,$I$6))&amp;"")))),"수정","일반"))</f>
        <v/>
      </c>
      <c r="BC24" s="2">
        <f>IF($AS24="","",MID(IF($BA24="기간 밖"," / 기간 밖(신고기간 아님)","")&amp;IF(AND($AW24&lt;&gt;"",COUNTIF($AW$8:$AW$1007,$AW24)&gt;1)," / 승인번호 중복(두 번 붙여넣기?)","")&amp;IF(ABS($AU24-ROUND($AT24*0.1,0))&gt;설정!$B$8,IF($AU24=0," / 세액 0원(영세율·면세 여부 확인)"," / 세액이 공급가액 10%와 다름"),"")&amp;IF($BB24="수정"," / 수정세금계산서(합계에서 자동 가감)",""),4,200))</f>
        <v/>
      </c>
      <c r="BD24" s="2">
        <f>IF($BA24&lt;&gt;"포함","",IF(COUNTIFS($AX$8:$AX24,$AX24,$BA$8:$BA24,"포함")=1,MAX($BD$7:BD23)+1,""))</f>
        <v/>
      </c>
      <c r="BE24" s="2">
        <f>IF($BC24="","",MAX($BE$7:BE23)+1)</f>
        <v/>
      </c>
    </row>
    <row r="25">
      <c r="A25" s="21" t="inlineStr">
        <is>
          <t>2026-09-18</t>
        </is>
      </c>
      <c r="B25" s="21" t="inlineStr">
        <is>
          <t>20260918-41000012-78106871</t>
        </is>
      </c>
      <c r="C25" s="21" t="inlineStr">
        <is>
          <t>2026-09-18</t>
        </is>
      </c>
      <c r="D25" s="21" t="inlineStr">
        <is>
          <t>2026-09-18</t>
        </is>
      </c>
      <c r="E25" s="21" t="inlineStr">
        <is>
          <t>999-81-00001</t>
        </is>
      </c>
      <c r="G25" s="21" t="inlineStr">
        <is>
          <t>(주)가온상사</t>
        </is>
      </c>
      <c r="H25" s="21" t="inlineStr">
        <is>
          <t>김가온</t>
        </is>
      </c>
      <c r="I25" s="21" t="inlineStr">
        <is>
          <t>가상 주소</t>
        </is>
      </c>
      <c r="J25" s="21" t="inlineStr">
        <is>
          <t>999-81-10005</t>
        </is>
      </c>
      <c r="L25" s="21" t="inlineStr">
        <is>
          <t>(주)푸른물산</t>
        </is>
      </c>
      <c r="M25" s="21" t="inlineStr">
        <is>
          <t>한푸른</t>
        </is>
      </c>
      <c r="N25" s="21" t="inlineStr">
        <is>
          <t>가상 주소</t>
        </is>
      </c>
      <c r="O25" s="24" t="n">
        <v>2904000</v>
      </c>
      <c r="P25" s="24" t="n">
        <v>2640000</v>
      </c>
      <c r="Q25" s="24" t="n">
        <v>264000</v>
      </c>
      <c r="R25" s="21" t="inlineStr">
        <is>
          <t>세금계산서</t>
        </is>
      </c>
      <c r="S25" s="21" t="inlineStr">
        <is>
          <t>일반</t>
        </is>
      </c>
      <c r="T25" s="21" t="inlineStr">
        <is>
          <t>직접발급</t>
        </is>
      </c>
      <c r="V25" s="21" t="inlineStr">
        <is>
          <t>청구</t>
        </is>
      </c>
      <c r="Z25" s="21" t="inlineStr">
        <is>
          <t>2026-09-18</t>
        </is>
      </c>
      <c r="AA25" s="21" t="inlineStr">
        <is>
          <t>제품 공급</t>
        </is>
      </c>
      <c r="AR25" s="2">
        <f>IF(OR($A$5="",$B$6="",ROW()&lt;$A$5),"",IF(INDEX($A:$AP,ROW(),$B$6)="","",INDEX($A:$AP,ROW(),$B$6)))</f>
        <v/>
      </c>
      <c r="AS25" s="22">
        <f>IF($AR25="","",IF(ISNUMBER($AR25),IF($AR25&gt;=10000000,IFERROR(DATE(INT($AR25/10000),MOD(INT($AR25/100),100),MOD($AR25,100)),""),INT($AR25)),IFERROR(DATE(--LEFT(LEFT(SUBSTITUTE(SUBSTITUTE(SUBSTITUTE(SUBSTITUTE(TRIM($AR25),"-",""),".",""),"/","")," ",""),8),4),--MID(LEFT(SUBSTITUTE(SUBSTITUTE(SUBSTITUTE(SUBSTITUTE(TRIM($AR25),"-",""),".",""),"/","")," ",""),8),5,2),--MID(LEFT(SUBSTITUTE(SUBSTITUTE(SUBSTITUTE(SUBSTITUTE(TRIM($AR25),"-",""),".",""),"/","")," ",""),8),7,2)),"")))</f>
        <v/>
      </c>
      <c r="AT25" s="23">
        <f>IF($AS25="","",IF($F$6="",0,IF(ISNUMBER(INDEX($A:$AP,ROW(),$F$6)),INDEX($A:$AP,ROW(),$F$6),IFERROR(--SUBSTITUTE(SUBSTITUTE(TRIM(INDEX($A:$AP,ROW(),$F$6)),",",""),"원",""),0))))</f>
        <v/>
      </c>
      <c r="AU25" s="23">
        <f>IF($AS25="","",IF($G$6="",0,IF(ISNUMBER(INDEX($A:$AP,ROW(),$G$6)),INDEX($A:$AP,ROW(),$G$6),IFERROR(--SUBSTITUTE(SUBSTITUTE(TRIM(INDEX($A:$AP,ROW(),$G$6)),",",""),"원",""),0))))</f>
        <v/>
      </c>
      <c r="AV25" s="23">
        <f>IF($AS25="","",IF($H$6="",$AT25+$AU25,IF($H$6="",0,IF(ISNUMBER(INDEX($A:$AP,ROW(),$H$6)),INDEX($A:$AP,ROW(),$H$6),IFERROR(--SUBSTITUTE(SUBSTITUTE(TRIM(INDEX($A:$AP,ROW(),$H$6)),",",""),"원",""),0)))))</f>
        <v/>
      </c>
      <c r="AW25" s="2">
        <f>IF(OR($AS25="",$C$6=""),"",TRIM(INDEX($A:$AP,ROW(),$C$6)&amp;""))</f>
        <v/>
      </c>
      <c r="AX25" s="2">
        <f>IF($AS25="","",IF($AZ25&lt;&gt;"",SUBSTITUTE(SUBSTITUTE($AZ25,"-","")," ",""),$AY25))</f>
        <v/>
      </c>
      <c r="AY25" s="2">
        <f>IF(OR($AS25="",$E$6=""),"",TRIM(INDEX($A:$AP,ROW(),$E$6)&amp;""))</f>
        <v/>
      </c>
      <c r="AZ25" s="2">
        <f>IF(OR($AS25="",$D$6=""),"",TRIM(INDEX($A:$AP,ROW(),$D$6)&amp;""))</f>
        <v/>
      </c>
      <c r="BA25" s="2">
        <f>IF($AS25="","",IF(AND($AS25&gt;=설정!$B$10,$AS25&lt;=설정!$B$11),"포함","기간 밖"))</f>
        <v/>
      </c>
      <c r="BB25" s="2">
        <f>IF($AS25="","",IF(OR($AT25&lt;0,AND($I$6&lt;&gt;"",ISNUMBER(FIND("수정",INDEX($A:$AP,ROW(),IF($I$6="",1,$I$6))&amp;"")))),"수정","일반"))</f>
        <v/>
      </c>
      <c r="BC25" s="2">
        <f>IF($AS25="","",MID(IF($BA25="기간 밖"," / 기간 밖(신고기간 아님)","")&amp;IF(AND($AW25&lt;&gt;"",COUNTIF($AW$8:$AW$1007,$AW25)&gt;1)," / 승인번호 중복(두 번 붙여넣기?)","")&amp;IF(ABS($AU25-ROUND($AT25*0.1,0))&gt;설정!$B$8,IF($AU25=0," / 세액 0원(영세율·면세 여부 확인)"," / 세액이 공급가액 10%와 다름"),"")&amp;IF($BB25="수정"," / 수정세금계산서(합계에서 자동 가감)",""),4,200))</f>
        <v/>
      </c>
      <c r="BD25" s="2">
        <f>IF($BA25&lt;&gt;"포함","",IF(COUNTIFS($AX$8:$AX25,$AX25,$BA$8:$BA25,"포함")=1,MAX($BD$7:BD24)+1,""))</f>
        <v/>
      </c>
      <c r="BE25" s="2">
        <f>IF($BC25="","",MAX($BE$7:BE24)+1)</f>
        <v/>
      </c>
    </row>
    <row r="26">
      <c r="A26" s="21" t="inlineStr">
        <is>
          <t>2026-09-25</t>
        </is>
      </c>
      <c r="B26" s="21" t="inlineStr">
        <is>
          <t>20260925-41000013-38816302</t>
        </is>
      </c>
      <c r="C26" s="21" t="inlineStr">
        <is>
          <t>2026-09-25</t>
        </is>
      </c>
      <c r="D26" s="21" t="inlineStr">
        <is>
          <t>2026-09-25</t>
        </is>
      </c>
      <c r="E26" s="21" t="inlineStr">
        <is>
          <t>999-81-00001</t>
        </is>
      </c>
      <c r="G26" s="21" t="inlineStr">
        <is>
          <t>(주)가온상사</t>
        </is>
      </c>
      <c r="H26" s="21" t="inlineStr">
        <is>
          <t>김가온</t>
        </is>
      </c>
      <c r="I26" s="21" t="inlineStr">
        <is>
          <t>가상 주소</t>
        </is>
      </c>
      <c r="J26" s="21" t="inlineStr">
        <is>
          <t>999-81-10002</t>
        </is>
      </c>
      <c r="L26" s="21" t="inlineStr">
        <is>
          <t>서해유통(주)</t>
        </is>
      </c>
      <c r="M26" s="21" t="inlineStr">
        <is>
          <t>박서해</t>
        </is>
      </c>
      <c r="N26" s="21" t="inlineStr">
        <is>
          <t>가상 주소</t>
        </is>
      </c>
      <c r="O26" s="24" t="n">
        <v>5016000</v>
      </c>
      <c r="P26" s="24" t="n">
        <v>4560000</v>
      </c>
      <c r="Q26" s="24" t="n">
        <v>456000</v>
      </c>
      <c r="R26" s="21" t="inlineStr">
        <is>
          <t>세금계산서</t>
        </is>
      </c>
      <c r="S26" s="21" t="inlineStr">
        <is>
          <t>일반</t>
        </is>
      </c>
      <c r="T26" s="21" t="inlineStr">
        <is>
          <t>직접발급</t>
        </is>
      </c>
      <c r="V26" s="21" t="inlineStr">
        <is>
          <t>청구</t>
        </is>
      </c>
      <c r="Z26" s="21" t="inlineStr">
        <is>
          <t>2026-09-25</t>
        </is>
      </c>
      <c r="AA26" s="21" t="inlineStr">
        <is>
          <t>제품 공급</t>
        </is>
      </c>
      <c r="AR26" s="2">
        <f>IF(OR($A$5="",$B$6="",ROW()&lt;$A$5),"",IF(INDEX($A:$AP,ROW(),$B$6)="","",INDEX($A:$AP,ROW(),$B$6)))</f>
        <v/>
      </c>
      <c r="AS26" s="22">
        <f>IF($AR26="","",IF(ISNUMBER($AR26),IF($AR26&gt;=10000000,IFERROR(DATE(INT($AR26/10000),MOD(INT($AR26/100),100),MOD($AR26,100)),""),INT($AR26)),IFERROR(DATE(--LEFT(LEFT(SUBSTITUTE(SUBSTITUTE(SUBSTITUTE(SUBSTITUTE(TRIM($AR26),"-",""),".",""),"/","")," ",""),8),4),--MID(LEFT(SUBSTITUTE(SUBSTITUTE(SUBSTITUTE(SUBSTITUTE(TRIM($AR26),"-",""),".",""),"/","")," ",""),8),5,2),--MID(LEFT(SUBSTITUTE(SUBSTITUTE(SUBSTITUTE(SUBSTITUTE(TRIM($AR26),"-",""),".",""),"/","")," ",""),8),7,2)),"")))</f>
        <v/>
      </c>
      <c r="AT26" s="23">
        <f>IF($AS26="","",IF($F$6="",0,IF(ISNUMBER(INDEX($A:$AP,ROW(),$F$6)),INDEX($A:$AP,ROW(),$F$6),IFERROR(--SUBSTITUTE(SUBSTITUTE(TRIM(INDEX($A:$AP,ROW(),$F$6)),",",""),"원",""),0))))</f>
        <v/>
      </c>
      <c r="AU26" s="23">
        <f>IF($AS26="","",IF($G$6="",0,IF(ISNUMBER(INDEX($A:$AP,ROW(),$G$6)),INDEX($A:$AP,ROW(),$G$6),IFERROR(--SUBSTITUTE(SUBSTITUTE(TRIM(INDEX($A:$AP,ROW(),$G$6)),",",""),"원",""),0))))</f>
        <v/>
      </c>
      <c r="AV26" s="23">
        <f>IF($AS26="","",IF($H$6="",$AT26+$AU26,IF($H$6="",0,IF(ISNUMBER(INDEX($A:$AP,ROW(),$H$6)),INDEX($A:$AP,ROW(),$H$6),IFERROR(--SUBSTITUTE(SUBSTITUTE(TRIM(INDEX($A:$AP,ROW(),$H$6)),",",""),"원",""),0)))))</f>
        <v/>
      </c>
      <c r="AW26" s="2">
        <f>IF(OR($AS26="",$C$6=""),"",TRIM(INDEX($A:$AP,ROW(),$C$6)&amp;""))</f>
        <v/>
      </c>
      <c r="AX26" s="2">
        <f>IF($AS26="","",IF($AZ26&lt;&gt;"",SUBSTITUTE(SUBSTITUTE($AZ26,"-","")," ",""),$AY26))</f>
        <v/>
      </c>
      <c r="AY26" s="2">
        <f>IF(OR($AS26="",$E$6=""),"",TRIM(INDEX($A:$AP,ROW(),$E$6)&amp;""))</f>
        <v/>
      </c>
      <c r="AZ26" s="2">
        <f>IF(OR($AS26="",$D$6=""),"",TRIM(INDEX($A:$AP,ROW(),$D$6)&amp;""))</f>
        <v/>
      </c>
      <c r="BA26" s="2">
        <f>IF($AS26="","",IF(AND($AS26&gt;=설정!$B$10,$AS26&lt;=설정!$B$11),"포함","기간 밖"))</f>
        <v/>
      </c>
      <c r="BB26" s="2">
        <f>IF($AS26="","",IF(OR($AT26&lt;0,AND($I$6&lt;&gt;"",ISNUMBER(FIND("수정",INDEX($A:$AP,ROW(),IF($I$6="",1,$I$6))&amp;"")))),"수정","일반"))</f>
        <v/>
      </c>
      <c r="BC26" s="2">
        <f>IF($AS26="","",MID(IF($BA26="기간 밖"," / 기간 밖(신고기간 아님)","")&amp;IF(AND($AW26&lt;&gt;"",COUNTIF($AW$8:$AW$1007,$AW26)&gt;1)," / 승인번호 중복(두 번 붙여넣기?)","")&amp;IF(ABS($AU26-ROUND($AT26*0.1,0))&gt;설정!$B$8,IF($AU26=0," / 세액 0원(영세율·면세 여부 확인)"," / 세액이 공급가액 10%와 다름"),"")&amp;IF($BB26="수정"," / 수정세금계산서(합계에서 자동 가감)",""),4,200))</f>
        <v/>
      </c>
      <c r="BD26" s="2">
        <f>IF($BA26&lt;&gt;"포함","",IF(COUNTIFS($AX$8:$AX26,$AX26,$BA$8:$BA26,"포함")=1,MAX($BD$7:BD25)+1,""))</f>
        <v/>
      </c>
      <c r="BE26" s="2">
        <f>IF($BC26="","",MAX($BE$7:BE25)+1)</f>
        <v/>
      </c>
    </row>
    <row r="27">
      <c r="A27" s="21" t="inlineStr">
        <is>
          <t>2026-09-30</t>
        </is>
      </c>
      <c r="B27" s="21" t="inlineStr">
        <is>
          <t>20260930-41000014-15032582</t>
        </is>
      </c>
      <c r="C27" s="21" t="inlineStr">
        <is>
          <t>2026-09-30</t>
        </is>
      </c>
      <c r="D27" s="21" t="inlineStr">
        <is>
          <t>2026-09-30</t>
        </is>
      </c>
      <c r="E27" s="21" t="inlineStr">
        <is>
          <t>999-81-00001</t>
        </is>
      </c>
      <c r="G27" s="21" t="inlineStr">
        <is>
          <t>(주)가온상사</t>
        </is>
      </c>
      <c r="H27" s="21" t="inlineStr">
        <is>
          <t>김가온</t>
        </is>
      </c>
      <c r="I27" s="21" t="inlineStr">
        <is>
          <t>가상 주소</t>
        </is>
      </c>
      <c r="J27" s="21" t="inlineStr">
        <is>
          <t>999-86-10003</t>
        </is>
      </c>
      <c r="L27" s="21" t="inlineStr">
        <is>
          <t>누리테크</t>
        </is>
      </c>
      <c r="M27" s="21" t="inlineStr">
        <is>
          <t>최누리</t>
        </is>
      </c>
      <c r="N27" s="21" t="inlineStr">
        <is>
          <t>가상 주소</t>
        </is>
      </c>
      <c r="O27" s="24" t="n">
        <v>2728000</v>
      </c>
      <c r="P27" s="24" t="n">
        <v>2480000</v>
      </c>
      <c r="Q27" s="24" t="n">
        <v>248000</v>
      </c>
      <c r="R27" s="21" t="inlineStr">
        <is>
          <t>세금계산서</t>
        </is>
      </c>
      <c r="S27" s="21" t="inlineStr">
        <is>
          <t>일반</t>
        </is>
      </c>
      <c r="T27" s="21" t="inlineStr">
        <is>
          <t>직접발급</t>
        </is>
      </c>
      <c r="V27" s="21" t="inlineStr">
        <is>
          <t>청구</t>
        </is>
      </c>
      <c r="Z27" s="21" t="inlineStr">
        <is>
          <t>2026-09-30</t>
        </is>
      </c>
      <c r="AA27" s="21" t="inlineStr">
        <is>
          <t>제품 공급</t>
        </is>
      </c>
      <c r="AR27" s="2">
        <f>IF(OR($A$5="",$B$6="",ROW()&lt;$A$5),"",IF(INDEX($A:$AP,ROW(),$B$6)="","",INDEX($A:$AP,ROW(),$B$6)))</f>
        <v/>
      </c>
      <c r="AS27" s="22">
        <f>IF($AR27="","",IF(ISNUMBER($AR27),IF($AR27&gt;=10000000,IFERROR(DATE(INT($AR27/10000),MOD(INT($AR27/100),100),MOD($AR27,100)),""),INT($AR27)),IFERROR(DATE(--LEFT(LEFT(SUBSTITUTE(SUBSTITUTE(SUBSTITUTE(SUBSTITUTE(TRIM($AR27),"-",""),".",""),"/","")," ",""),8),4),--MID(LEFT(SUBSTITUTE(SUBSTITUTE(SUBSTITUTE(SUBSTITUTE(TRIM($AR27),"-",""),".",""),"/","")," ",""),8),5,2),--MID(LEFT(SUBSTITUTE(SUBSTITUTE(SUBSTITUTE(SUBSTITUTE(TRIM($AR27),"-",""),".",""),"/","")," ",""),8),7,2)),"")))</f>
        <v/>
      </c>
      <c r="AT27" s="23">
        <f>IF($AS27="","",IF($F$6="",0,IF(ISNUMBER(INDEX($A:$AP,ROW(),$F$6)),INDEX($A:$AP,ROW(),$F$6),IFERROR(--SUBSTITUTE(SUBSTITUTE(TRIM(INDEX($A:$AP,ROW(),$F$6)),",",""),"원",""),0))))</f>
        <v/>
      </c>
      <c r="AU27" s="23">
        <f>IF($AS27="","",IF($G$6="",0,IF(ISNUMBER(INDEX($A:$AP,ROW(),$G$6)),INDEX($A:$AP,ROW(),$G$6),IFERROR(--SUBSTITUTE(SUBSTITUTE(TRIM(INDEX($A:$AP,ROW(),$G$6)),",",""),"원",""),0))))</f>
        <v/>
      </c>
      <c r="AV27" s="23">
        <f>IF($AS27="","",IF($H$6="",$AT27+$AU27,IF($H$6="",0,IF(ISNUMBER(INDEX($A:$AP,ROW(),$H$6)),INDEX($A:$AP,ROW(),$H$6),IFERROR(--SUBSTITUTE(SUBSTITUTE(TRIM(INDEX($A:$AP,ROW(),$H$6)),",",""),"원",""),0)))))</f>
        <v/>
      </c>
      <c r="AW27" s="2">
        <f>IF(OR($AS27="",$C$6=""),"",TRIM(INDEX($A:$AP,ROW(),$C$6)&amp;""))</f>
        <v/>
      </c>
      <c r="AX27" s="2">
        <f>IF($AS27="","",IF($AZ27&lt;&gt;"",SUBSTITUTE(SUBSTITUTE($AZ27,"-","")," ",""),$AY27))</f>
        <v/>
      </c>
      <c r="AY27" s="2">
        <f>IF(OR($AS27="",$E$6=""),"",TRIM(INDEX($A:$AP,ROW(),$E$6)&amp;""))</f>
        <v/>
      </c>
      <c r="AZ27" s="2">
        <f>IF(OR($AS27="",$D$6=""),"",TRIM(INDEX($A:$AP,ROW(),$D$6)&amp;""))</f>
        <v/>
      </c>
      <c r="BA27" s="2">
        <f>IF($AS27="","",IF(AND($AS27&gt;=설정!$B$10,$AS27&lt;=설정!$B$11),"포함","기간 밖"))</f>
        <v/>
      </c>
      <c r="BB27" s="2">
        <f>IF($AS27="","",IF(OR($AT27&lt;0,AND($I$6&lt;&gt;"",ISNUMBER(FIND("수정",INDEX($A:$AP,ROW(),IF($I$6="",1,$I$6))&amp;"")))),"수정","일반"))</f>
        <v/>
      </c>
      <c r="BC27" s="2">
        <f>IF($AS27="","",MID(IF($BA27="기간 밖"," / 기간 밖(신고기간 아님)","")&amp;IF(AND($AW27&lt;&gt;"",COUNTIF($AW$8:$AW$1007,$AW27)&gt;1)," / 승인번호 중복(두 번 붙여넣기?)","")&amp;IF(ABS($AU27-ROUND($AT27*0.1,0))&gt;설정!$B$8,IF($AU27=0," / 세액 0원(영세율·면세 여부 확인)"," / 세액이 공급가액 10%와 다름"),"")&amp;IF($BB27="수정"," / 수정세금계산서(합계에서 자동 가감)",""),4,200))</f>
        <v/>
      </c>
      <c r="BD27" s="2">
        <f>IF($BA27&lt;&gt;"포함","",IF(COUNTIFS($AX$8:$AX27,$AX27,$BA$8:$BA27,"포함")=1,MAX($BD$7:BD26)+1,""))</f>
        <v/>
      </c>
      <c r="BE27" s="2">
        <f>IF($BC27="","",MAX($BE$7:BE26)+1)</f>
        <v/>
      </c>
    </row>
    <row r="28">
      <c r="AR28" s="2">
        <f>IF(OR($A$5="",$B$6="",ROW()&lt;$A$5),"",IF(INDEX($A:$AP,ROW(),$B$6)="","",INDEX($A:$AP,ROW(),$B$6)))</f>
        <v/>
      </c>
      <c r="AS28" s="22">
        <f>IF($AR28="","",IF(ISNUMBER($AR28),IF($AR28&gt;=10000000,IFERROR(DATE(INT($AR28/10000),MOD(INT($AR28/100),100),MOD($AR28,100)),""),INT($AR28)),IFERROR(DATE(--LEFT(LEFT(SUBSTITUTE(SUBSTITUTE(SUBSTITUTE(SUBSTITUTE(TRIM($AR28),"-",""),".",""),"/","")," ",""),8),4),--MID(LEFT(SUBSTITUTE(SUBSTITUTE(SUBSTITUTE(SUBSTITUTE(TRIM($AR28),"-",""),".",""),"/","")," ",""),8),5,2),--MID(LEFT(SUBSTITUTE(SUBSTITUTE(SUBSTITUTE(SUBSTITUTE(TRIM($AR28),"-",""),".",""),"/","")," ",""),8),7,2)),"")))</f>
        <v/>
      </c>
      <c r="AT28" s="23">
        <f>IF($AS28="","",IF($F$6="",0,IF(ISNUMBER(INDEX($A:$AP,ROW(),$F$6)),INDEX($A:$AP,ROW(),$F$6),IFERROR(--SUBSTITUTE(SUBSTITUTE(TRIM(INDEX($A:$AP,ROW(),$F$6)),",",""),"원",""),0))))</f>
        <v/>
      </c>
      <c r="AU28" s="23">
        <f>IF($AS28="","",IF($G$6="",0,IF(ISNUMBER(INDEX($A:$AP,ROW(),$G$6)),INDEX($A:$AP,ROW(),$G$6),IFERROR(--SUBSTITUTE(SUBSTITUTE(TRIM(INDEX($A:$AP,ROW(),$G$6)),",",""),"원",""),0))))</f>
        <v/>
      </c>
      <c r="AV28" s="23">
        <f>IF($AS28="","",IF($H$6="",$AT28+$AU28,IF($H$6="",0,IF(ISNUMBER(INDEX($A:$AP,ROW(),$H$6)),INDEX($A:$AP,ROW(),$H$6),IFERROR(--SUBSTITUTE(SUBSTITUTE(TRIM(INDEX($A:$AP,ROW(),$H$6)),",",""),"원",""),0)))))</f>
        <v/>
      </c>
      <c r="AW28" s="2">
        <f>IF(OR($AS28="",$C$6=""),"",TRIM(INDEX($A:$AP,ROW(),$C$6)&amp;""))</f>
        <v/>
      </c>
      <c r="AX28" s="2">
        <f>IF($AS28="","",IF($AZ28&lt;&gt;"",SUBSTITUTE(SUBSTITUTE($AZ28,"-","")," ",""),$AY28))</f>
        <v/>
      </c>
      <c r="AY28" s="2">
        <f>IF(OR($AS28="",$E$6=""),"",TRIM(INDEX($A:$AP,ROW(),$E$6)&amp;""))</f>
        <v/>
      </c>
      <c r="AZ28" s="2">
        <f>IF(OR($AS28="",$D$6=""),"",TRIM(INDEX($A:$AP,ROW(),$D$6)&amp;""))</f>
        <v/>
      </c>
      <c r="BA28" s="2">
        <f>IF($AS28="","",IF(AND($AS28&gt;=설정!$B$10,$AS28&lt;=설정!$B$11),"포함","기간 밖"))</f>
        <v/>
      </c>
      <c r="BB28" s="2">
        <f>IF($AS28="","",IF(OR($AT28&lt;0,AND($I$6&lt;&gt;"",ISNUMBER(FIND("수정",INDEX($A:$AP,ROW(),IF($I$6="",1,$I$6))&amp;"")))),"수정","일반"))</f>
        <v/>
      </c>
      <c r="BC28" s="2">
        <f>IF($AS28="","",MID(IF($BA28="기간 밖"," / 기간 밖(신고기간 아님)","")&amp;IF(AND($AW28&lt;&gt;"",COUNTIF($AW$8:$AW$1007,$AW28)&gt;1)," / 승인번호 중복(두 번 붙여넣기?)","")&amp;IF(ABS($AU28-ROUND($AT28*0.1,0))&gt;설정!$B$8,IF($AU28=0," / 세액 0원(영세율·면세 여부 확인)"," / 세액이 공급가액 10%와 다름"),"")&amp;IF($BB28="수정"," / 수정세금계산서(합계에서 자동 가감)",""),4,200))</f>
        <v/>
      </c>
      <c r="BD28" s="2">
        <f>IF($BA28&lt;&gt;"포함","",IF(COUNTIFS($AX$8:$AX28,$AX28,$BA$8:$BA28,"포함")=1,MAX($BD$7:BD27)+1,""))</f>
        <v/>
      </c>
      <c r="BE28" s="2">
        <f>IF($BC28="","",MAX($BE$7:BE27)+1)</f>
        <v/>
      </c>
    </row>
    <row r="29">
      <c r="AR29" s="2">
        <f>IF(OR($A$5="",$B$6="",ROW()&lt;$A$5),"",IF(INDEX($A:$AP,ROW(),$B$6)="","",INDEX($A:$AP,ROW(),$B$6)))</f>
        <v/>
      </c>
      <c r="AS29" s="22">
        <f>IF($AR29="","",IF(ISNUMBER($AR29),IF($AR29&gt;=10000000,IFERROR(DATE(INT($AR29/10000),MOD(INT($AR29/100),100),MOD($AR29,100)),""),INT($AR29)),IFERROR(DATE(--LEFT(LEFT(SUBSTITUTE(SUBSTITUTE(SUBSTITUTE(SUBSTITUTE(TRIM($AR29),"-",""),".",""),"/","")," ",""),8),4),--MID(LEFT(SUBSTITUTE(SUBSTITUTE(SUBSTITUTE(SUBSTITUTE(TRIM($AR29),"-",""),".",""),"/","")," ",""),8),5,2),--MID(LEFT(SUBSTITUTE(SUBSTITUTE(SUBSTITUTE(SUBSTITUTE(TRIM($AR29),"-",""),".",""),"/","")," ",""),8),7,2)),"")))</f>
        <v/>
      </c>
      <c r="AT29" s="23">
        <f>IF($AS29="","",IF($F$6="",0,IF(ISNUMBER(INDEX($A:$AP,ROW(),$F$6)),INDEX($A:$AP,ROW(),$F$6),IFERROR(--SUBSTITUTE(SUBSTITUTE(TRIM(INDEX($A:$AP,ROW(),$F$6)),",",""),"원",""),0))))</f>
        <v/>
      </c>
      <c r="AU29" s="23">
        <f>IF($AS29="","",IF($G$6="",0,IF(ISNUMBER(INDEX($A:$AP,ROW(),$G$6)),INDEX($A:$AP,ROW(),$G$6),IFERROR(--SUBSTITUTE(SUBSTITUTE(TRIM(INDEX($A:$AP,ROW(),$G$6)),",",""),"원",""),0))))</f>
        <v/>
      </c>
      <c r="AV29" s="23">
        <f>IF($AS29="","",IF($H$6="",$AT29+$AU29,IF($H$6="",0,IF(ISNUMBER(INDEX($A:$AP,ROW(),$H$6)),INDEX($A:$AP,ROW(),$H$6),IFERROR(--SUBSTITUTE(SUBSTITUTE(TRIM(INDEX($A:$AP,ROW(),$H$6)),",",""),"원",""),0)))))</f>
        <v/>
      </c>
      <c r="AW29" s="2">
        <f>IF(OR($AS29="",$C$6=""),"",TRIM(INDEX($A:$AP,ROW(),$C$6)&amp;""))</f>
        <v/>
      </c>
      <c r="AX29" s="2">
        <f>IF($AS29="","",IF($AZ29&lt;&gt;"",SUBSTITUTE(SUBSTITUTE($AZ29,"-","")," ",""),$AY29))</f>
        <v/>
      </c>
      <c r="AY29" s="2">
        <f>IF(OR($AS29="",$E$6=""),"",TRIM(INDEX($A:$AP,ROW(),$E$6)&amp;""))</f>
        <v/>
      </c>
      <c r="AZ29" s="2">
        <f>IF(OR($AS29="",$D$6=""),"",TRIM(INDEX($A:$AP,ROW(),$D$6)&amp;""))</f>
        <v/>
      </c>
      <c r="BA29" s="2">
        <f>IF($AS29="","",IF(AND($AS29&gt;=설정!$B$10,$AS29&lt;=설정!$B$11),"포함","기간 밖"))</f>
        <v/>
      </c>
      <c r="BB29" s="2">
        <f>IF($AS29="","",IF(OR($AT29&lt;0,AND($I$6&lt;&gt;"",ISNUMBER(FIND("수정",INDEX($A:$AP,ROW(),IF($I$6="",1,$I$6))&amp;"")))),"수정","일반"))</f>
        <v/>
      </c>
      <c r="BC29" s="2">
        <f>IF($AS29="","",MID(IF($BA29="기간 밖"," / 기간 밖(신고기간 아님)","")&amp;IF(AND($AW29&lt;&gt;"",COUNTIF($AW$8:$AW$1007,$AW29)&gt;1)," / 승인번호 중복(두 번 붙여넣기?)","")&amp;IF(ABS($AU29-ROUND($AT29*0.1,0))&gt;설정!$B$8,IF($AU29=0," / 세액 0원(영세율·면세 여부 확인)"," / 세액이 공급가액 10%와 다름"),"")&amp;IF($BB29="수정"," / 수정세금계산서(합계에서 자동 가감)",""),4,200))</f>
        <v/>
      </c>
      <c r="BD29" s="2">
        <f>IF($BA29&lt;&gt;"포함","",IF(COUNTIFS($AX$8:$AX29,$AX29,$BA$8:$BA29,"포함")=1,MAX($BD$7:BD28)+1,""))</f>
        <v/>
      </c>
      <c r="BE29" s="2">
        <f>IF($BC29="","",MAX($BE$7:BE28)+1)</f>
        <v/>
      </c>
    </row>
    <row r="30">
      <c r="AR30" s="2">
        <f>IF(OR($A$5="",$B$6="",ROW()&lt;$A$5),"",IF(INDEX($A:$AP,ROW(),$B$6)="","",INDEX($A:$AP,ROW(),$B$6)))</f>
        <v/>
      </c>
      <c r="AS30" s="22">
        <f>IF($AR30="","",IF(ISNUMBER($AR30),IF($AR30&gt;=10000000,IFERROR(DATE(INT($AR30/10000),MOD(INT($AR30/100),100),MOD($AR30,100)),""),INT($AR30)),IFERROR(DATE(--LEFT(LEFT(SUBSTITUTE(SUBSTITUTE(SUBSTITUTE(SUBSTITUTE(TRIM($AR30),"-",""),".",""),"/","")," ",""),8),4),--MID(LEFT(SUBSTITUTE(SUBSTITUTE(SUBSTITUTE(SUBSTITUTE(TRIM($AR30),"-",""),".",""),"/","")," ",""),8),5,2),--MID(LEFT(SUBSTITUTE(SUBSTITUTE(SUBSTITUTE(SUBSTITUTE(TRIM($AR30),"-",""),".",""),"/","")," ",""),8),7,2)),"")))</f>
        <v/>
      </c>
      <c r="AT30" s="23">
        <f>IF($AS30="","",IF($F$6="",0,IF(ISNUMBER(INDEX($A:$AP,ROW(),$F$6)),INDEX($A:$AP,ROW(),$F$6),IFERROR(--SUBSTITUTE(SUBSTITUTE(TRIM(INDEX($A:$AP,ROW(),$F$6)),",",""),"원",""),0))))</f>
        <v/>
      </c>
      <c r="AU30" s="23">
        <f>IF($AS30="","",IF($G$6="",0,IF(ISNUMBER(INDEX($A:$AP,ROW(),$G$6)),INDEX($A:$AP,ROW(),$G$6),IFERROR(--SUBSTITUTE(SUBSTITUTE(TRIM(INDEX($A:$AP,ROW(),$G$6)),",",""),"원",""),0))))</f>
        <v/>
      </c>
      <c r="AV30" s="23">
        <f>IF($AS30="","",IF($H$6="",$AT30+$AU30,IF($H$6="",0,IF(ISNUMBER(INDEX($A:$AP,ROW(),$H$6)),INDEX($A:$AP,ROW(),$H$6),IFERROR(--SUBSTITUTE(SUBSTITUTE(TRIM(INDEX($A:$AP,ROW(),$H$6)),",",""),"원",""),0)))))</f>
        <v/>
      </c>
      <c r="AW30" s="2">
        <f>IF(OR($AS30="",$C$6=""),"",TRIM(INDEX($A:$AP,ROW(),$C$6)&amp;""))</f>
        <v/>
      </c>
      <c r="AX30" s="2">
        <f>IF($AS30="","",IF($AZ30&lt;&gt;"",SUBSTITUTE(SUBSTITUTE($AZ30,"-","")," ",""),$AY30))</f>
        <v/>
      </c>
      <c r="AY30" s="2">
        <f>IF(OR($AS30="",$E$6=""),"",TRIM(INDEX($A:$AP,ROW(),$E$6)&amp;""))</f>
        <v/>
      </c>
      <c r="AZ30" s="2">
        <f>IF(OR($AS30="",$D$6=""),"",TRIM(INDEX($A:$AP,ROW(),$D$6)&amp;""))</f>
        <v/>
      </c>
      <c r="BA30" s="2">
        <f>IF($AS30="","",IF(AND($AS30&gt;=설정!$B$10,$AS30&lt;=설정!$B$11),"포함","기간 밖"))</f>
        <v/>
      </c>
      <c r="BB30" s="2">
        <f>IF($AS30="","",IF(OR($AT30&lt;0,AND($I$6&lt;&gt;"",ISNUMBER(FIND("수정",INDEX($A:$AP,ROW(),IF($I$6="",1,$I$6))&amp;"")))),"수정","일반"))</f>
        <v/>
      </c>
      <c r="BC30" s="2">
        <f>IF($AS30="","",MID(IF($BA30="기간 밖"," / 기간 밖(신고기간 아님)","")&amp;IF(AND($AW30&lt;&gt;"",COUNTIF($AW$8:$AW$1007,$AW30)&gt;1)," / 승인번호 중복(두 번 붙여넣기?)","")&amp;IF(ABS($AU30-ROUND($AT30*0.1,0))&gt;설정!$B$8,IF($AU30=0," / 세액 0원(영세율·면세 여부 확인)"," / 세액이 공급가액 10%와 다름"),"")&amp;IF($BB30="수정"," / 수정세금계산서(합계에서 자동 가감)",""),4,200))</f>
        <v/>
      </c>
      <c r="BD30" s="2">
        <f>IF($BA30&lt;&gt;"포함","",IF(COUNTIFS($AX$8:$AX30,$AX30,$BA$8:$BA30,"포함")=1,MAX($BD$7:BD29)+1,""))</f>
        <v/>
      </c>
      <c r="BE30" s="2">
        <f>IF($BC30="","",MAX($BE$7:BE29)+1)</f>
        <v/>
      </c>
    </row>
    <row r="31">
      <c r="AR31" s="2">
        <f>IF(OR($A$5="",$B$6="",ROW()&lt;$A$5),"",IF(INDEX($A:$AP,ROW(),$B$6)="","",INDEX($A:$AP,ROW(),$B$6)))</f>
        <v/>
      </c>
      <c r="AS31" s="22">
        <f>IF($AR31="","",IF(ISNUMBER($AR31),IF($AR31&gt;=10000000,IFERROR(DATE(INT($AR31/10000),MOD(INT($AR31/100),100),MOD($AR31,100)),""),INT($AR31)),IFERROR(DATE(--LEFT(LEFT(SUBSTITUTE(SUBSTITUTE(SUBSTITUTE(SUBSTITUTE(TRIM($AR31),"-",""),".",""),"/","")," ",""),8),4),--MID(LEFT(SUBSTITUTE(SUBSTITUTE(SUBSTITUTE(SUBSTITUTE(TRIM($AR31),"-",""),".",""),"/","")," ",""),8),5,2),--MID(LEFT(SUBSTITUTE(SUBSTITUTE(SUBSTITUTE(SUBSTITUTE(TRIM($AR31),"-",""),".",""),"/","")," ",""),8),7,2)),"")))</f>
        <v/>
      </c>
      <c r="AT31" s="23">
        <f>IF($AS31="","",IF($F$6="",0,IF(ISNUMBER(INDEX($A:$AP,ROW(),$F$6)),INDEX($A:$AP,ROW(),$F$6),IFERROR(--SUBSTITUTE(SUBSTITUTE(TRIM(INDEX($A:$AP,ROW(),$F$6)),",",""),"원",""),0))))</f>
        <v/>
      </c>
      <c r="AU31" s="23">
        <f>IF($AS31="","",IF($G$6="",0,IF(ISNUMBER(INDEX($A:$AP,ROW(),$G$6)),INDEX($A:$AP,ROW(),$G$6),IFERROR(--SUBSTITUTE(SUBSTITUTE(TRIM(INDEX($A:$AP,ROW(),$G$6)),",",""),"원",""),0))))</f>
        <v/>
      </c>
      <c r="AV31" s="23">
        <f>IF($AS31="","",IF($H$6="",$AT31+$AU31,IF($H$6="",0,IF(ISNUMBER(INDEX($A:$AP,ROW(),$H$6)),INDEX($A:$AP,ROW(),$H$6),IFERROR(--SUBSTITUTE(SUBSTITUTE(TRIM(INDEX($A:$AP,ROW(),$H$6)),",",""),"원",""),0)))))</f>
        <v/>
      </c>
      <c r="AW31" s="2">
        <f>IF(OR($AS31="",$C$6=""),"",TRIM(INDEX($A:$AP,ROW(),$C$6)&amp;""))</f>
        <v/>
      </c>
      <c r="AX31" s="2">
        <f>IF($AS31="","",IF($AZ31&lt;&gt;"",SUBSTITUTE(SUBSTITUTE($AZ31,"-","")," ",""),$AY31))</f>
        <v/>
      </c>
      <c r="AY31" s="2">
        <f>IF(OR($AS31="",$E$6=""),"",TRIM(INDEX($A:$AP,ROW(),$E$6)&amp;""))</f>
        <v/>
      </c>
      <c r="AZ31" s="2">
        <f>IF(OR($AS31="",$D$6=""),"",TRIM(INDEX($A:$AP,ROW(),$D$6)&amp;""))</f>
        <v/>
      </c>
      <c r="BA31" s="2">
        <f>IF($AS31="","",IF(AND($AS31&gt;=설정!$B$10,$AS31&lt;=설정!$B$11),"포함","기간 밖"))</f>
        <v/>
      </c>
      <c r="BB31" s="2">
        <f>IF($AS31="","",IF(OR($AT31&lt;0,AND($I$6&lt;&gt;"",ISNUMBER(FIND("수정",INDEX($A:$AP,ROW(),IF($I$6="",1,$I$6))&amp;"")))),"수정","일반"))</f>
        <v/>
      </c>
      <c r="BC31" s="2">
        <f>IF($AS31="","",MID(IF($BA31="기간 밖"," / 기간 밖(신고기간 아님)","")&amp;IF(AND($AW31&lt;&gt;"",COUNTIF($AW$8:$AW$1007,$AW31)&gt;1)," / 승인번호 중복(두 번 붙여넣기?)","")&amp;IF(ABS($AU31-ROUND($AT31*0.1,0))&gt;설정!$B$8,IF($AU31=0," / 세액 0원(영세율·면세 여부 확인)"," / 세액이 공급가액 10%와 다름"),"")&amp;IF($BB31="수정"," / 수정세금계산서(합계에서 자동 가감)",""),4,200))</f>
        <v/>
      </c>
      <c r="BD31" s="2">
        <f>IF($BA31&lt;&gt;"포함","",IF(COUNTIFS($AX$8:$AX31,$AX31,$BA$8:$BA31,"포함")=1,MAX($BD$7:BD30)+1,""))</f>
        <v/>
      </c>
      <c r="BE31" s="2">
        <f>IF($BC31="","",MAX($BE$7:BE30)+1)</f>
        <v/>
      </c>
    </row>
    <row r="32">
      <c r="AR32" s="2">
        <f>IF(OR($A$5="",$B$6="",ROW()&lt;$A$5),"",IF(INDEX($A:$AP,ROW(),$B$6)="","",INDEX($A:$AP,ROW(),$B$6)))</f>
        <v/>
      </c>
      <c r="AS32" s="22">
        <f>IF($AR32="","",IF(ISNUMBER($AR32),IF($AR32&gt;=10000000,IFERROR(DATE(INT($AR32/10000),MOD(INT($AR32/100),100),MOD($AR32,100)),""),INT($AR32)),IFERROR(DATE(--LEFT(LEFT(SUBSTITUTE(SUBSTITUTE(SUBSTITUTE(SUBSTITUTE(TRIM($AR32),"-",""),".",""),"/","")," ",""),8),4),--MID(LEFT(SUBSTITUTE(SUBSTITUTE(SUBSTITUTE(SUBSTITUTE(TRIM($AR32),"-",""),".",""),"/","")," ",""),8),5,2),--MID(LEFT(SUBSTITUTE(SUBSTITUTE(SUBSTITUTE(SUBSTITUTE(TRIM($AR32),"-",""),".",""),"/","")," ",""),8),7,2)),"")))</f>
        <v/>
      </c>
      <c r="AT32" s="23">
        <f>IF($AS32="","",IF($F$6="",0,IF(ISNUMBER(INDEX($A:$AP,ROW(),$F$6)),INDEX($A:$AP,ROW(),$F$6),IFERROR(--SUBSTITUTE(SUBSTITUTE(TRIM(INDEX($A:$AP,ROW(),$F$6)),",",""),"원",""),0))))</f>
        <v/>
      </c>
      <c r="AU32" s="23">
        <f>IF($AS32="","",IF($G$6="",0,IF(ISNUMBER(INDEX($A:$AP,ROW(),$G$6)),INDEX($A:$AP,ROW(),$G$6),IFERROR(--SUBSTITUTE(SUBSTITUTE(TRIM(INDEX($A:$AP,ROW(),$G$6)),",",""),"원",""),0))))</f>
        <v/>
      </c>
      <c r="AV32" s="23">
        <f>IF($AS32="","",IF($H$6="",$AT32+$AU32,IF($H$6="",0,IF(ISNUMBER(INDEX($A:$AP,ROW(),$H$6)),INDEX($A:$AP,ROW(),$H$6),IFERROR(--SUBSTITUTE(SUBSTITUTE(TRIM(INDEX($A:$AP,ROW(),$H$6)),",",""),"원",""),0)))))</f>
        <v/>
      </c>
      <c r="AW32" s="2">
        <f>IF(OR($AS32="",$C$6=""),"",TRIM(INDEX($A:$AP,ROW(),$C$6)&amp;""))</f>
        <v/>
      </c>
      <c r="AX32" s="2">
        <f>IF($AS32="","",IF($AZ32&lt;&gt;"",SUBSTITUTE(SUBSTITUTE($AZ32,"-","")," ",""),$AY32))</f>
        <v/>
      </c>
      <c r="AY32" s="2">
        <f>IF(OR($AS32="",$E$6=""),"",TRIM(INDEX($A:$AP,ROW(),$E$6)&amp;""))</f>
        <v/>
      </c>
      <c r="AZ32" s="2">
        <f>IF(OR($AS32="",$D$6=""),"",TRIM(INDEX($A:$AP,ROW(),$D$6)&amp;""))</f>
        <v/>
      </c>
      <c r="BA32" s="2">
        <f>IF($AS32="","",IF(AND($AS32&gt;=설정!$B$10,$AS32&lt;=설정!$B$11),"포함","기간 밖"))</f>
        <v/>
      </c>
      <c r="BB32" s="2">
        <f>IF($AS32="","",IF(OR($AT32&lt;0,AND($I$6&lt;&gt;"",ISNUMBER(FIND("수정",INDEX($A:$AP,ROW(),IF($I$6="",1,$I$6))&amp;"")))),"수정","일반"))</f>
        <v/>
      </c>
      <c r="BC32" s="2">
        <f>IF($AS32="","",MID(IF($BA32="기간 밖"," / 기간 밖(신고기간 아님)","")&amp;IF(AND($AW32&lt;&gt;"",COUNTIF($AW$8:$AW$1007,$AW32)&gt;1)," / 승인번호 중복(두 번 붙여넣기?)","")&amp;IF(ABS($AU32-ROUND($AT32*0.1,0))&gt;설정!$B$8,IF($AU32=0," / 세액 0원(영세율·면세 여부 확인)"," / 세액이 공급가액 10%와 다름"),"")&amp;IF($BB32="수정"," / 수정세금계산서(합계에서 자동 가감)",""),4,200))</f>
        <v/>
      </c>
      <c r="BD32" s="2">
        <f>IF($BA32&lt;&gt;"포함","",IF(COUNTIFS($AX$8:$AX32,$AX32,$BA$8:$BA32,"포함")=1,MAX($BD$7:BD31)+1,""))</f>
        <v/>
      </c>
      <c r="BE32" s="2">
        <f>IF($BC32="","",MAX($BE$7:BE31)+1)</f>
        <v/>
      </c>
    </row>
    <row r="33">
      <c r="AR33" s="2">
        <f>IF(OR($A$5="",$B$6="",ROW()&lt;$A$5),"",IF(INDEX($A:$AP,ROW(),$B$6)="","",INDEX($A:$AP,ROW(),$B$6)))</f>
        <v/>
      </c>
      <c r="AS33" s="22">
        <f>IF($AR33="","",IF(ISNUMBER($AR33),IF($AR33&gt;=10000000,IFERROR(DATE(INT($AR33/10000),MOD(INT($AR33/100),100),MOD($AR33,100)),""),INT($AR33)),IFERROR(DATE(--LEFT(LEFT(SUBSTITUTE(SUBSTITUTE(SUBSTITUTE(SUBSTITUTE(TRIM($AR33),"-",""),".",""),"/","")," ",""),8),4),--MID(LEFT(SUBSTITUTE(SUBSTITUTE(SUBSTITUTE(SUBSTITUTE(TRIM($AR33),"-",""),".",""),"/","")," ",""),8),5,2),--MID(LEFT(SUBSTITUTE(SUBSTITUTE(SUBSTITUTE(SUBSTITUTE(TRIM($AR33),"-",""),".",""),"/","")," ",""),8),7,2)),"")))</f>
        <v/>
      </c>
      <c r="AT33" s="23">
        <f>IF($AS33="","",IF($F$6="",0,IF(ISNUMBER(INDEX($A:$AP,ROW(),$F$6)),INDEX($A:$AP,ROW(),$F$6),IFERROR(--SUBSTITUTE(SUBSTITUTE(TRIM(INDEX($A:$AP,ROW(),$F$6)),",",""),"원",""),0))))</f>
        <v/>
      </c>
      <c r="AU33" s="23">
        <f>IF($AS33="","",IF($G$6="",0,IF(ISNUMBER(INDEX($A:$AP,ROW(),$G$6)),INDEX($A:$AP,ROW(),$G$6),IFERROR(--SUBSTITUTE(SUBSTITUTE(TRIM(INDEX($A:$AP,ROW(),$G$6)),",",""),"원",""),0))))</f>
        <v/>
      </c>
      <c r="AV33" s="23">
        <f>IF($AS33="","",IF($H$6="",$AT33+$AU33,IF($H$6="",0,IF(ISNUMBER(INDEX($A:$AP,ROW(),$H$6)),INDEX($A:$AP,ROW(),$H$6),IFERROR(--SUBSTITUTE(SUBSTITUTE(TRIM(INDEX($A:$AP,ROW(),$H$6)),",",""),"원",""),0)))))</f>
        <v/>
      </c>
      <c r="AW33" s="2">
        <f>IF(OR($AS33="",$C$6=""),"",TRIM(INDEX($A:$AP,ROW(),$C$6)&amp;""))</f>
        <v/>
      </c>
      <c r="AX33" s="2">
        <f>IF($AS33="","",IF($AZ33&lt;&gt;"",SUBSTITUTE(SUBSTITUTE($AZ33,"-","")," ",""),$AY33))</f>
        <v/>
      </c>
      <c r="AY33" s="2">
        <f>IF(OR($AS33="",$E$6=""),"",TRIM(INDEX($A:$AP,ROW(),$E$6)&amp;""))</f>
        <v/>
      </c>
      <c r="AZ33" s="2">
        <f>IF(OR($AS33="",$D$6=""),"",TRIM(INDEX($A:$AP,ROW(),$D$6)&amp;""))</f>
        <v/>
      </c>
      <c r="BA33" s="2">
        <f>IF($AS33="","",IF(AND($AS33&gt;=설정!$B$10,$AS33&lt;=설정!$B$11),"포함","기간 밖"))</f>
        <v/>
      </c>
      <c r="BB33" s="2">
        <f>IF($AS33="","",IF(OR($AT33&lt;0,AND($I$6&lt;&gt;"",ISNUMBER(FIND("수정",INDEX($A:$AP,ROW(),IF($I$6="",1,$I$6))&amp;"")))),"수정","일반"))</f>
        <v/>
      </c>
      <c r="BC33" s="2">
        <f>IF($AS33="","",MID(IF($BA33="기간 밖"," / 기간 밖(신고기간 아님)","")&amp;IF(AND($AW33&lt;&gt;"",COUNTIF($AW$8:$AW$1007,$AW33)&gt;1)," / 승인번호 중복(두 번 붙여넣기?)","")&amp;IF(ABS($AU33-ROUND($AT33*0.1,0))&gt;설정!$B$8,IF($AU33=0," / 세액 0원(영세율·면세 여부 확인)"," / 세액이 공급가액 10%와 다름"),"")&amp;IF($BB33="수정"," / 수정세금계산서(합계에서 자동 가감)",""),4,200))</f>
        <v/>
      </c>
      <c r="BD33" s="2">
        <f>IF($BA33&lt;&gt;"포함","",IF(COUNTIFS($AX$8:$AX33,$AX33,$BA$8:$BA33,"포함")=1,MAX($BD$7:BD32)+1,""))</f>
        <v/>
      </c>
      <c r="BE33" s="2">
        <f>IF($BC33="","",MAX($BE$7:BE32)+1)</f>
        <v/>
      </c>
    </row>
    <row r="34">
      <c r="AR34" s="2">
        <f>IF(OR($A$5="",$B$6="",ROW()&lt;$A$5),"",IF(INDEX($A:$AP,ROW(),$B$6)="","",INDEX($A:$AP,ROW(),$B$6)))</f>
        <v/>
      </c>
      <c r="AS34" s="22">
        <f>IF($AR34="","",IF(ISNUMBER($AR34),IF($AR34&gt;=10000000,IFERROR(DATE(INT($AR34/10000),MOD(INT($AR34/100),100),MOD($AR34,100)),""),INT($AR34)),IFERROR(DATE(--LEFT(LEFT(SUBSTITUTE(SUBSTITUTE(SUBSTITUTE(SUBSTITUTE(TRIM($AR34),"-",""),".",""),"/","")," ",""),8),4),--MID(LEFT(SUBSTITUTE(SUBSTITUTE(SUBSTITUTE(SUBSTITUTE(TRIM($AR34),"-",""),".",""),"/","")," ",""),8),5,2),--MID(LEFT(SUBSTITUTE(SUBSTITUTE(SUBSTITUTE(SUBSTITUTE(TRIM($AR34),"-",""),".",""),"/","")," ",""),8),7,2)),"")))</f>
        <v/>
      </c>
      <c r="AT34" s="23">
        <f>IF($AS34="","",IF($F$6="",0,IF(ISNUMBER(INDEX($A:$AP,ROW(),$F$6)),INDEX($A:$AP,ROW(),$F$6),IFERROR(--SUBSTITUTE(SUBSTITUTE(TRIM(INDEX($A:$AP,ROW(),$F$6)),",",""),"원",""),0))))</f>
        <v/>
      </c>
      <c r="AU34" s="23">
        <f>IF($AS34="","",IF($G$6="",0,IF(ISNUMBER(INDEX($A:$AP,ROW(),$G$6)),INDEX($A:$AP,ROW(),$G$6),IFERROR(--SUBSTITUTE(SUBSTITUTE(TRIM(INDEX($A:$AP,ROW(),$G$6)),",",""),"원",""),0))))</f>
        <v/>
      </c>
      <c r="AV34" s="23">
        <f>IF($AS34="","",IF($H$6="",$AT34+$AU34,IF($H$6="",0,IF(ISNUMBER(INDEX($A:$AP,ROW(),$H$6)),INDEX($A:$AP,ROW(),$H$6),IFERROR(--SUBSTITUTE(SUBSTITUTE(TRIM(INDEX($A:$AP,ROW(),$H$6)),",",""),"원",""),0)))))</f>
        <v/>
      </c>
      <c r="AW34" s="2">
        <f>IF(OR($AS34="",$C$6=""),"",TRIM(INDEX($A:$AP,ROW(),$C$6)&amp;""))</f>
        <v/>
      </c>
      <c r="AX34" s="2">
        <f>IF($AS34="","",IF($AZ34&lt;&gt;"",SUBSTITUTE(SUBSTITUTE($AZ34,"-","")," ",""),$AY34))</f>
        <v/>
      </c>
      <c r="AY34" s="2">
        <f>IF(OR($AS34="",$E$6=""),"",TRIM(INDEX($A:$AP,ROW(),$E$6)&amp;""))</f>
        <v/>
      </c>
      <c r="AZ34" s="2">
        <f>IF(OR($AS34="",$D$6=""),"",TRIM(INDEX($A:$AP,ROW(),$D$6)&amp;""))</f>
        <v/>
      </c>
      <c r="BA34" s="2">
        <f>IF($AS34="","",IF(AND($AS34&gt;=설정!$B$10,$AS34&lt;=설정!$B$11),"포함","기간 밖"))</f>
        <v/>
      </c>
      <c r="BB34" s="2">
        <f>IF($AS34="","",IF(OR($AT34&lt;0,AND($I$6&lt;&gt;"",ISNUMBER(FIND("수정",INDEX($A:$AP,ROW(),IF($I$6="",1,$I$6))&amp;"")))),"수정","일반"))</f>
        <v/>
      </c>
      <c r="BC34" s="2">
        <f>IF($AS34="","",MID(IF($BA34="기간 밖"," / 기간 밖(신고기간 아님)","")&amp;IF(AND($AW34&lt;&gt;"",COUNTIF($AW$8:$AW$1007,$AW34)&gt;1)," / 승인번호 중복(두 번 붙여넣기?)","")&amp;IF(ABS($AU34-ROUND($AT34*0.1,0))&gt;설정!$B$8,IF($AU34=0," / 세액 0원(영세율·면세 여부 확인)"," / 세액이 공급가액 10%와 다름"),"")&amp;IF($BB34="수정"," / 수정세금계산서(합계에서 자동 가감)",""),4,200))</f>
        <v/>
      </c>
      <c r="BD34" s="2">
        <f>IF($BA34&lt;&gt;"포함","",IF(COUNTIFS($AX$8:$AX34,$AX34,$BA$8:$BA34,"포함")=1,MAX($BD$7:BD33)+1,""))</f>
        <v/>
      </c>
      <c r="BE34" s="2">
        <f>IF($BC34="","",MAX($BE$7:BE33)+1)</f>
        <v/>
      </c>
    </row>
    <row r="35">
      <c r="AR35" s="2">
        <f>IF(OR($A$5="",$B$6="",ROW()&lt;$A$5),"",IF(INDEX($A:$AP,ROW(),$B$6)="","",INDEX($A:$AP,ROW(),$B$6)))</f>
        <v/>
      </c>
      <c r="AS35" s="22">
        <f>IF($AR35="","",IF(ISNUMBER($AR35),IF($AR35&gt;=10000000,IFERROR(DATE(INT($AR35/10000),MOD(INT($AR35/100),100),MOD($AR35,100)),""),INT($AR35)),IFERROR(DATE(--LEFT(LEFT(SUBSTITUTE(SUBSTITUTE(SUBSTITUTE(SUBSTITUTE(TRIM($AR35),"-",""),".",""),"/","")," ",""),8),4),--MID(LEFT(SUBSTITUTE(SUBSTITUTE(SUBSTITUTE(SUBSTITUTE(TRIM($AR35),"-",""),".",""),"/","")," ",""),8),5,2),--MID(LEFT(SUBSTITUTE(SUBSTITUTE(SUBSTITUTE(SUBSTITUTE(TRIM($AR35),"-",""),".",""),"/","")," ",""),8),7,2)),"")))</f>
        <v/>
      </c>
      <c r="AT35" s="23">
        <f>IF($AS35="","",IF($F$6="",0,IF(ISNUMBER(INDEX($A:$AP,ROW(),$F$6)),INDEX($A:$AP,ROW(),$F$6),IFERROR(--SUBSTITUTE(SUBSTITUTE(TRIM(INDEX($A:$AP,ROW(),$F$6)),",",""),"원",""),0))))</f>
        <v/>
      </c>
      <c r="AU35" s="23">
        <f>IF($AS35="","",IF($G$6="",0,IF(ISNUMBER(INDEX($A:$AP,ROW(),$G$6)),INDEX($A:$AP,ROW(),$G$6),IFERROR(--SUBSTITUTE(SUBSTITUTE(TRIM(INDEX($A:$AP,ROW(),$G$6)),",",""),"원",""),0))))</f>
        <v/>
      </c>
      <c r="AV35" s="23">
        <f>IF($AS35="","",IF($H$6="",$AT35+$AU35,IF($H$6="",0,IF(ISNUMBER(INDEX($A:$AP,ROW(),$H$6)),INDEX($A:$AP,ROW(),$H$6),IFERROR(--SUBSTITUTE(SUBSTITUTE(TRIM(INDEX($A:$AP,ROW(),$H$6)),",",""),"원",""),0)))))</f>
        <v/>
      </c>
      <c r="AW35" s="2">
        <f>IF(OR($AS35="",$C$6=""),"",TRIM(INDEX($A:$AP,ROW(),$C$6)&amp;""))</f>
        <v/>
      </c>
      <c r="AX35" s="2">
        <f>IF($AS35="","",IF($AZ35&lt;&gt;"",SUBSTITUTE(SUBSTITUTE($AZ35,"-","")," ",""),$AY35))</f>
        <v/>
      </c>
      <c r="AY35" s="2">
        <f>IF(OR($AS35="",$E$6=""),"",TRIM(INDEX($A:$AP,ROW(),$E$6)&amp;""))</f>
        <v/>
      </c>
      <c r="AZ35" s="2">
        <f>IF(OR($AS35="",$D$6=""),"",TRIM(INDEX($A:$AP,ROW(),$D$6)&amp;""))</f>
        <v/>
      </c>
      <c r="BA35" s="2">
        <f>IF($AS35="","",IF(AND($AS35&gt;=설정!$B$10,$AS35&lt;=설정!$B$11),"포함","기간 밖"))</f>
        <v/>
      </c>
      <c r="BB35" s="2">
        <f>IF($AS35="","",IF(OR($AT35&lt;0,AND($I$6&lt;&gt;"",ISNUMBER(FIND("수정",INDEX($A:$AP,ROW(),IF($I$6="",1,$I$6))&amp;"")))),"수정","일반"))</f>
        <v/>
      </c>
      <c r="BC35" s="2">
        <f>IF($AS35="","",MID(IF($BA35="기간 밖"," / 기간 밖(신고기간 아님)","")&amp;IF(AND($AW35&lt;&gt;"",COUNTIF($AW$8:$AW$1007,$AW35)&gt;1)," / 승인번호 중복(두 번 붙여넣기?)","")&amp;IF(ABS($AU35-ROUND($AT35*0.1,0))&gt;설정!$B$8,IF($AU35=0," / 세액 0원(영세율·면세 여부 확인)"," / 세액이 공급가액 10%와 다름"),"")&amp;IF($BB35="수정"," / 수정세금계산서(합계에서 자동 가감)",""),4,200))</f>
        <v/>
      </c>
      <c r="BD35" s="2">
        <f>IF($BA35&lt;&gt;"포함","",IF(COUNTIFS($AX$8:$AX35,$AX35,$BA$8:$BA35,"포함")=1,MAX($BD$7:BD34)+1,""))</f>
        <v/>
      </c>
      <c r="BE35" s="2">
        <f>IF($BC35="","",MAX($BE$7:BE34)+1)</f>
        <v/>
      </c>
    </row>
    <row r="36">
      <c r="AR36" s="2">
        <f>IF(OR($A$5="",$B$6="",ROW()&lt;$A$5),"",IF(INDEX($A:$AP,ROW(),$B$6)="","",INDEX($A:$AP,ROW(),$B$6)))</f>
        <v/>
      </c>
      <c r="AS36" s="22">
        <f>IF($AR36="","",IF(ISNUMBER($AR36),IF($AR36&gt;=10000000,IFERROR(DATE(INT($AR36/10000),MOD(INT($AR36/100),100),MOD($AR36,100)),""),INT($AR36)),IFERROR(DATE(--LEFT(LEFT(SUBSTITUTE(SUBSTITUTE(SUBSTITUTE(SUBSTITUTE(TRIM($AR36),"-",""),".",""),"/","")," ",""),8),4),--MID(LEFT(SUBSTITUTE(SUBSTITUTE(SUBSTITUTE(SUBSTITUTE(TRIM($AR36),"-",""),".",""),"/","")," ",""),8),5,2),--MID(LEFT(SUBSTITUTE(SUBSTITUTE(SUBSTITUTE(SUBSTITUTE(TRIM($AR36),"-",""),".",""),"/","")," ",""),8),7,2)),"")))</f>
        <v/>
      </c>
      <c r="AT36" s="23">
        <f>IF($AS36="","",IF($F$6="",0,IF(ISNUMBER(INDEX($A:$AP,ROW(),$F$6)),INDEX($A:$AP,ROW(),$F$6),IFERROR(--SUBSTITUTE(SUBSTITUTE(TRIM(INDEX($A:$AP,ROW(),$F$6)),",",""),"원",""),0))))</f>
        <v/>
      </c>
      <c r="AU36" s="23">
        <f>IF($AS36="","",IF($G$6="",0,IF(ISNUMBER(INDEX($A:$AP,ROW(),$G$6)),INDEX($A:$AP,ROW(),$G$6),IFERROR(--SUBSTITUTE(SUBSTITUTE(TRIM(INDEX($A:$AP,ROW(),$G$6)),",",""),"원",""),0))))</f>
        <v/>
      </c>
      <c r="AV36" s="23">
        <f>IF($AS36="","",IF($H$6="",$AT36+$AU36,IF($H$6="",0,IF(ISNUMBER(INDEX($A:$AP,ROW(),$H$6)),INDEX($A:$AP,ROW(),$H$6),IFERROR(--SUBSTITUTE(SUBSTITUTE(TRIM(INDEX($A:$AP,ROW(),$H$6)),",",""),"원",""),0)))))</f>
        <v/>
      </c>
      <c r="AW36" s="2">
        <f>IF(OR($AS36="",$C$6=""),"",TRIM(INDEX($A:$AP,ROW(),$C$6)&amp;""))</f>
        <v/>
      </c>
      <c r="AX36" s="2">
        <f>IF($AS36="","",IF($AZ36&lt;&gt;"",SUBSTITUTE(SUBSTITUTE($AZ36,"-","")," ",""),$AY36))</f>
        <v/>
      </c>
      <c r="AY36" s="2">
        <f>IF(OR($AS36="",$E$6=""),"",TRIM(INDEX($A:$AP,ROW(),$E$6)&amp;""))</f>
        <v/>
      </c>
      <c r="AZ36" s="2">
        <f>IF(OR($AS36="",$D$6=""),"",TRIM(INDEX($A:$AP,ROW(),$D$6)&amp;""))</f>
        <v/>
      </c>
      <c r="BA36" s="2">
        <f>IF($AS36="","",IF(AND($AS36&gt;=설정!$B$10,$AS36&lt;=설정!$B$11),"포함","기간 밖"))</f>
        <v/>
      </c>
      <c r="BB36" s="2">
        <f>IF($AS36="","",IF(OR($AT36&lt;0,AND($I$6&lt;&gt;"",ISNUMBER(FIND("수정",INDEX($A:$AP,ROW(),IF($I$6="",1,$I$6))&amp;"")))),"수정","일반"))</f>
        <v/>
      </c>
      <c r="BC36" s="2">
        <f>IF($AS36="","",MID(IF($BA36="기간 밖"," / 기간 밖(신고기간 아님)","")&amp;IF(AND($AW36&lt;&gt;"",COUNTIF($AW$8:$AW$1007,$AW36)&gt;1)," / 승인번호 중복(두 번 붙여넣기?)","")&amp;IF(ABS($AU36-ROUND($AT36*0.1,0))&gt;설정!$B$8,IF($AU36=0," / 세액 0원(영세율·면세 여부 확인)"," / 세액이 공급가액 10%와 다름"),"")&amp;IF($BB36="수정"," / 수정세금계산서(합계에서 자동 가감)",""),4,200))</f>
        <v/>
      </c>
      <c r="BD36" s="2">
        <f>IF($BA36&lt;&gt;"포함","",IF(COUNTIFS($AX$8:$AX36,$AX36,$BA$8:$BA36,"포함")=1,MAX($BD$7:BD35)+1,""))</f>
        <v/>
      </c>
      <c r="BE36" s="2">
        <f>IF($BC36="","",MAX($BE$7:BE35)+1)</f>
        <v/>
      </c>
    </row>
    <row r="37">
      <c r="AR37" s="2">
        <f>IF(OR($A$5="",$B$6="",ROW()&lt;$A$5),"",IF(INDEX($A:$AP,ROW(),$B$6)="","",INDEX($A:$AP,ROW(),$B$6)))</f>
        <v/>
      </c>
      <c r="AS37" s="22">
        <f>IF($AR37="","",IF(ISNUMBER($AR37),IF($AR37&gt;=10000000,IFERROR(DATE(INT($AR37/10000),MOD(INT($AR37/100),100),MOD($AR37,100)),""),INT($AR37)),IFERROR(DATE(--LEFT(LEFT(SUBSTITUTE(SUBSTITUTE(SUBSTITUTE(SUBSTITUTE(TRIM($AR37),"-",""),".",""),"/","")," ",""),8),4),--MID(LEFT(SUBSTITUTE(SUBSTITUTE(SUBSTITUTE(SUBSTITUTE(TRIM($AR37),"-",""),".",""),"/","")," ",""),8),5,2),--MID(LEFT(SUBSTITUTE(SUBSTITUTE(SUBSTITUTE(SUBSTITUTE(TRIM($AR37),"-",""),".",""),"/","")," ",""),8),7,2)),"")))</f>
        <v/>
      </c>
      <c r="AT37" s="23">
        <f>IF($AS37="","",IF($F$6="",0,IF(ISNUMBER(INDEX($A:$AP,ROW(),$F$6)),INDEX($A:$AP,ROW(),$F$6),IFERROR(--SUBSTITUTE(SUBSTITUTE(TRIM(INDEX($A:$AP,ROW(),$F$6)),",",""),"원",""),0))))</f>
        <v/>
      </c>
      <c r="AU37" s="23">
        <f>IF($AS37="","",IF($G$6="",0,IF(ISNUMBER(INDEX($A:$AP,ROW(),$G$6)),INDEX($A:$AP,ROW(),$G$6),IFERROR(--SUBSTITUTE(SUBSTITUTE(TRIM(INDEX($A:$AP,ROW(),$G$6)),",",""),"원",""),0))))</f>
        <v/>
      </c>
      <c r="AV37" s="23">
        <f>IF($AS37="","",IF($H$6="",$AT37+$AU37,IF($H$6="",0,IF(ISNUMBER(INDEX($A:$AP,ROW(),$H$6)),INDEX($A:$AP,ROW(),$H$6),IFERROR(--SUBSTITUTE(SUBSTITUTE(TRIM(INDEX($A:$AP,ROW(),$H$6)),",",""),"원",""),0)))))</f>
        <v/>
      </c>
      <c r="AW37" s="2">
        <f>IF(OR($AS37="",$C$6=""),"",TRIM(INDEX($A:$AP,ROW(),$C$6)&amp;""))</f>
        <v/>
      </c>
      <c r="AX37" s="2">
        <f>IF($AS37="","",IF($AZ37&lt;&gt;"",SUBSTITUTE(SUBSTITUTE($AZ37,"-","")," ",""),$AY37))</f>
        <v/>
      </c>
      <c r="AY37" s="2">
        <f>IF(OR($AS37="",$E$6=""),"",TRIM(INDEX($A:$AP,ROW(),$E$6)&amp;""))</f>
        <v/>
      </c>
      <c r="AZ37" s="2">
        <f>IF(OR($AS37="",$D$6=""),"",TRIM(INDEX($A:$AP,ROW(),$D$6)&amp;""))</f>
        <v/>
      </c>
      <c r="BA37" s="2">
        <f>IF($AS37="","",IF(AND($AS37&gt;=설정!$B$10,$AS37&lt;=설정!$B$11),"포함","기간 밖"))</f>
        <v/>
      </c>
      <c r="BB37" s="2">
        <f>IF($AS37="","",IF(OR($AT37&lt;0,AND($I$6&lt;&gt;"",ISNUMBER(FIND("수정",INDEX($A:$AP,ROW(),IF($I$6="",1,$I$6))&amp;"")))),"수정","일반"))</f>
        <v/>
      </c>
      <c r="BC37" s="2">
        <f>IF($AS37="","",MID(IF($BA37="기간 밖"," / 기간 밖(신고기간 아님)","")&amp;IF(AND($AW37&lt;&gt;"",COUNTIF($AW$8:$AW$1007,$AW37)&gt;1)," / 승인번호 중복(두 번 붙여넣기?)","")&amp;IF(ABS($AU37-ROUND($AT37*0.1,0))&gt;설정!$B$8,IF($AU37=0," / 세액 0원(영세율·면세 여부 확인)"," / 세액이 공급가액 10%와 다름"),"")&amp;IF($BB37="수정"," / 수정세금계산서(합계에서 자동 가감)",""),4,200))</f>
        <v/>
      </c>
      <c r="BD37" s="2">
        <f>IF($BA37&lt;&gt;"포함","",IF(COUNTIFS($AX$8:$AX37,$AX37,$BA$8:$BA37,"포함")=1,MAX($BD$7:BD36)+1,""))</f>
        <v/>
      </c>
      <c r="BE37" s="2">
        <f>IF($BC37="","",MAX($BE$7:BE36)+1)</f>
        <v/>
      </c>
    </row>
    <row r="38">
      <c r="AR38" s="2">
        <f>IF(OR($A$5="",$B$6="",ROW()&lt;$A$5),"",IF(INDEX($A:$AP,ROW(),$B$6)="","",INDEX($A:$AP,ROW(),$B$6)))</f>
        <v/>
      </c>
      <c r="AS38" s="22">
        <f>IF($AR38="","",IF(ISNUMBER($AR38),IF($AR38&gt;=10000000,IFERROR(DATE(INT($AR38/10000),MOD(INT($AR38/100),100),MOD($AR38,100)),""),INT($AR38)),IFERROR(DATE(--LEFT(LEFT(SUBSTITUTE(SUBSTITUTE(SUBSTITUTE(SUBSTITUTE(TRIM($AR38),"-",""),".",""),"/","")," ",""),8),4),--MID(LEFT(SUBSTITUTE(SUBSTITUTE(SUBSTITUTE(SUBSTITUTE(TRIM($AR38),"-",""),".",""),"/","")," ",""),8),5,2),--MID(LEFT(SUBSTITUTE(SUBSTITUTE(SUBSTITUTE(SUBSTITUTE(TRIM($AR38),"-",""),".",""),"/","")," ",""),8),7,2)),"")))</f>
        <v/>
      </c>
      <c r="AT38" s="23">
        <f>IF($AS38="","",IF($F$6="",0,IF(ISNUMBER(INDEX($A:$AP,ROW(),$F$6)),INDEX($A:$AP,ROW(),$F$6),IFERROR(--SUBSTITUTE(SUBSTITUTE(TRIM(INDEX($A:$AP,ROW(),$F$6)),",",""),"원",""),0))))</f>
        <v/>
      </c>
      <c r="AU38" s="23">
        <f>IF($AS38="","",IF($G$6="",0,IF(ISNUMBER(INDEX($A:$AP,ROW(),$G$6)),INDEX($A:$AP,ROW(),$G$6),IFERROR(--SUBSTITUTE(SUBSTITUTE(TRIM(INDEX($A:$AP,ROW(),$G$6)),",",""),"원",""),0))))</f>
        <v/>
      </c>
      <c r="AV38" s="23">
        <f>IF($AS38="","",IF($H$6="",$AT38+$AU38,IF($H$6="",0,IF(ISNUMBER(INDEX($A:$AP,ROW(),$H$6)),INDEX($A:$AP,ROW(),$H$6),IFERROR(--SUBSTITUTE(SUBSTITUTE(TRIM(INDEX($A:$AP,ROW(),$H$6)),",",""),"원",""),0)))))</f>
        <v/>
      </c>
      <c r="AW38" s="2">
        <f>IF(OR($AS38="",$C$6=""),"",TRIM(INDEX($A:$AP,ROW(),$C$6)&amp;""))</f>
        <v/>
      </c>
      <c r="AX38" s="2">
        <f>IF($AS38="","",IF($AZ38&lt;&gt;"",SUBSTITUTE(SUBSTITUTE($AZ38,"-","")," ",""),$AY38))</f>
        <v/>
      </c>
      <c r="AY38" s="2">
        <f>IF(OR($AS38="",$E$6=""),"",TRIM(INDEX($A:$AP,ROW(),$E$6)&amp;""))</f>
        <v/>
      </c>
      <c r="AZ38" s="2">
        <f>IF(OR($AS38="",$D$6=""),"",TRIM(INDEX($A:$AP,ROW(),$D$6)&amp;""))</f>
        <v/>
      </c>
      <c r="BA38" s="2">
        <f>IF($AS38="","",IF(AND($AS38&gt;=설정!$B$10,$AS38&lt;=설정!$B$11),"포함","기간 밖"))</f>
        <v/>
      </c>
      <c r="BB38" s="2">
        <f>IF($AS38="","",IF(OR($AT38&lt;0,AND($I$6&lt;&gt;"",ISNUMBER(FIND("수정",INDEX($A:$AP,ROW(),IF($I$6="",1,$I$6))&amp;"")))),"수정","일반"))</f>
        <v/>
      </c>
      <c r="BC38" s="2">
        <f>IF($AS38="","",MID(IF($BA38="기간 밖"," / 기간 밖(신고기간 아님)","")&amp;IF(AND($AW38&lt;&gt;"",COUNTIF($AW$8:$AW$1007,$AW38)&gt;1)," / 승인번호 중복(두 번 붙여넣기?)","")&amp;IF(ABS($AU38-ROUND($AT38*0.1,0))&gt;설정!$B$8,IF($AU38=0," / 세액 0원(영세율·면세 여부 확인)"," / 세액이 공급가액 10%와 다름"),"")&amp;IF($BB38="수정"," / 수정세금계산서(합계에서 자동 가감)",""),4,200))</f>
        <v/>
      </c>
      <c r="BD38" s="2">
        <f>IF($BA38&lt;&gt;"포함","",IF(COUNTIFS($AX$8:$AX38,$AX38,$BA$8:$BA38,"포함")=1,MAX($BD$7:BD37)+1,""))</f>
        <v/>
      </c>
      <c r="BE38" s="2">
        <f>IF($BC38="","",MAX($BE$7:BE37)+1)</f>
        <v/>
      </c>
    </row>
    <row r="39">
      <c r="AR39" s="2">
        <f>IF(OR($A$5="",$B$6="",ROW()&lt;$A$5),"",IF(INDEX($A:$AP,ROW(),$B$6)="","",INDEX($A:$AP,ROW(),$B$6)))</f>
        <v/>
      </c>
      <c r="AS39" s="22">
        <f>IF($AR39="","",IF(ISNUMBER($AR39),IF($AR39&gt;=10000000,IFERROR(DATE(INT($AR39/10000),MOD(INT($AR39/100),100),MOD($AR39,100)),""),INT($AR39)),IFERROR(DATE(--LEFT(LEFT(SUBSTITUTE(SUBSTITUTE(SUBSTITUTE(SUBSTITUTE(TRIM($AR39),"-",""),".",""),"/","")," ",""),8),4),--MID(LEFT(SUBSTITUTE(SUBSTITUTE(SUBSTITUTE(SUBSTITUTE(TRIM($AR39),"-",""),".",""),"/","")," ",""),8),5,2),--MID(LEFT(SUBSTITUTE(SUBSTITUTE(SUBSTITUTE(SUBSTITUTE(TRIM($AR39),"-",""),".",""),"/","")," ",""),8),7,2)),"")))</f>
        <v/>
      </c>
      <c r="AT39" s="23">
        <f>IF($AS39="","",IF($F$6="",0,IF(ISNUMBER(INDEX($A:$AP,ROW(),$F$6)),INDEX($A:$AP,ROW(),$F$6),IFERROR(--SUBSTITUTE(SUBSTITUTE(TRIM(INDEX($A:$AP,ROW(),$F$6)),",",""),"원",""),0))))</f>
        <v/>
      </c>
      <c r="AU39" s="23">
        <f>IF($AS39="","",IF($G$6="",0,IF(ISNUMBER(INDEX($A:$AP,ROW(),$G$6)),INDEX($A:$AP,ROW(),$G$6),IFERROR(--SUBSTITUTE(SUBSTITUTE(TRIM(INDEX($A:$AP,ROW(),$G$6)),",",""),"원",""),0))))</f>
        <v/>
      </c>
      <c r="AV39" s="23">
        <f>IF($AS39="","",IF($H$6="",$AT39+$AU39,IF($H$6="",0,IF(ISNUMBER(INDEX($A:$AP,ROW(),$H$6)),INDEX($A:$AP,ROW(),$H$6),IFERROR(--SUBSTITUTE(SUBSTITUTE(TRIM(INDEX($A:$AP,ROW(),$H$6)),",",""),"원",""),0)))))</f>
        <v/>
      </c>
      <c r="AW39" s="2">
        <f>IF(OR($AS39="",$C$6=""),"",TRIM(INDEX($A:$AP,ROW(),$C$6)&amp;""))</f>
        <v/>
      </c>
      <c r="AX39" s="2">
        <f>IF($AS39="","",IF($AZ39&lt;&gt;"",SUBSTITUTE(SUBSTITUTE($AZ39,"-","")," ",""),$AY39))</f>
        <v/>
      </c>
      <c r="AY39" s="2">
        <f>IF(OR($AS39="",$E$6=""),"",TRIM(INDEX($A:$AP,ROW(),$E$6)&amp;""))</f>
        <v/>
      </c>
      <c r="AZ39" s="2">
        <f>IF(OR($AS39="",$D$6=""),"",TRIM(INDEX($A:$AP,ROW(),$D$6)&amp;""))</f>
        <v/>
      </c>
      <c r="BA39" s="2">
        <f>IF($AS39="","",IF(AND($AS39&gt;=설정!$B$10,$AS39&lt;=설정!$B$11),"포함","기간 밖"))</f>
        <v/>
      </c>
      <c r="BB39" s="2">
        <f>IF($AS39="","",IF(OR($AT39&lt;0,AND($I$6&lt;&gt;"",ISNUMBER(FIND("수정",INDEX($A:$AP,ROW(),IF($I$6="",1,$I$6))&amp;"")))),"수정","일반"))</f>
        <v/>
      </c>
      <c r="BC39" s="2">
        <f>IF($AS39="","",MID(IF($BA39="기간 밖"," / 기간 밖(신고기간 아님)","")&amp;IF(AND($AW39&lt;&gt;"",COUNTIF($AW$8:$AW$1007,$AW39)&gt;1)," / 승인번호 중복(두 번 붙여넣기?)","")&amp;IF(ABS($AU39-ROUND($AT39*0.1,0))&gt;설정!$B$8,IF($AU39=0," / 세액 0원(영세율·면세 여부 확인)"," / 세액이 공급가액 10%와 다름"),"")&amp;IF($BB39="수정"," / 수정세금계산서(합계에서 자동 가감)",""),4,200))</f>
        <v/>
      </c>
      <c r="BD39" s="2">
        <f>IF($BA39&lt;&gt;"포함","",IF(COUNTIFS($AX$8:$AX39,$AX39,$BA$8:$BA39,"포함")=1,MAX($BD$7:BD38)+1,""))</f>
        <v/>
      </c>
      <c r="BE39" s="2">
        <f>IF($BC39="","",MAX($BE$7:BE38)+1)</f>
        <v/>
      </c>
    </row>
    <row r="40">
      <c r="AR40" s="2">
        <f>IF(OR($A$5="",$B$6="",ROW()&lt;$A$5),"",IF(INDEX($A:$AP,ROW(),$B$6)="","",INDEX($A:$AP,ROW(),$B$6)))</f>
        <v/>
      </c>
      <c r="AS40" s="22">
        <f>IF($AR40="","",IF(ISNUMBER($AR40),IF($AR40&gt;=10000000,IFERROR(DATE(INT($AR40/10000),MOD(INT($AR40/100),100),MOD($AR40,100)),""),INT($AR40)),IFERROR(DATE(--LEFT(LEFT(SUBSTITUTE(SUBSTITUTE(SUBSTITUTE(SUBSTITUTE(TRIM($AR40),"-",""),".",""),"/","")," ",""),8),4),--MID(LEFT(SUBSTITUTE(SUBSTITUTE(SUBSTITUTE(SUBSTITUTE(TRIM($AR40),"-",""),".",""),"/","")," ",""),8),5,2),--MID(LEFT(SUBSTITUTE(SUBSTITUTE(SUBSTITUTE(SUBSTITUTE(TRIM($AR40),"-",""),".",""),"/","")," ",""),8),7,2)),"")))</f>
        <v/>
      </c>
      <c r="AT40" s="23">
        <f>IF($AS40="","",IF($F$6="",0,IF(ISNUMBER(INDEX($A:$AP,ROW(),$F$6)),INDEX($A:$AP,ROW(),$F$6),IFERROR(--SUBSTITUTE(SUBSTITUTE(TRIM(INDEX($A:$AP,ROW(),$F$6)),",",""),"원",""),0))))</f>
        <v/>
      </c>
      <c r="AU40" s="23">
        <f>IF($AS40="","",IF($G$6="",0,IF(ISNUMBER(INDEX($A:$AP,ROW(),$G$6)),INDEX($A:$AP,ROW(),$G$6),IFERROR(--SUBSTITUTE(SUBSTITUTE(TRIM(INDEX($A:$AP,ROW(),$G$6)),",",""),"원",""),0))))</f>
        <v/>
      </c>
      <c r="AV40" s="23">
        <f>IF($AS40="","",IF($H$6="",$AT40+$AU40,IF($H$6="",0,IF(ISNUMBER(INDEX($A:$AP,ROW(),$H$6)),INDEX($A:$AP,ROW(),$H$6),IFERROR(--SUBSTITUTE(SUBSTITUTE(TRIM(INDEX($A:$AP,ROW(),$H$6)),",",""),"원",""),0)))))</f>
        <v/>
      </c>
      <c r="AW40" s="2">
        <f>IF(OR($AS40="",$C$6=""),"",TRIM(INDEX($A:$AP,ROW(),$C$6)&amp;""))</f>
        <v/>
      </c>
      <c r="AX40" s="2">
        <f>IF($AS40="","",IF($AZ40&lt;&gt;"",SUBSTITUTE(SUBSTITUTE($AZ40,"-","")," ",""),$AY40))</f>
        <v/>
      </c>
      <c r="AY40" s="2">
        <f>IF(OR($AS40="",$E$6=""),"",TRIM(INDEX($A:$AP,ROW(),$E$6)&amp;""))</f>
        <v/>
      </c>
      <c r="AZ40" s="2">
        <f>IF(OR($AS40="",$D$6=""),"",TRIM(INDEX($A:$AP,ROW(),$D$6)&amp;""))</f>
        <v/>
      </c>
      <c r="BA40" s="2">
        <f>IF($AS40="","",IF(AND($AS40&gt;=설정!$B$10,$AS40&lt;=설정!$B$11),"포함","기간 밖"))</f>
        <v/>
      </c>
      <c r="BB40" s="2">
        <f>IF($AS40="","",IF(OR($AT40&lt;0,AND($I$6&lt;&gt;"",ISNUMBER(FIND("수정",INDEX($A:$AP,ROW(),IF($I$6="",1,$I$6))&amp;"")))),"수정","일반"))</f>
        <v/>
      </c>
      <c r="BC40" s="2">
        <f>IF($AS40="","",MID(IF($BA40="기간 밖"," / 기간 밖(신고기간 아님)","")&amp;IF(AND($AW40&lt;&gt;"",COUNTIF($AW$8:$AW$1007,$AW40)&gt;1)," / 승인번호 중복(두 번 붙여넣기?)","")&amp;IF(ABS($AU40-ROUND($AT40*0.1,0))&gt;설정!$B$8,IF($AU40=0," / 세액 0원(영세율·면세 여부 확인)"," / 세액이 공급가액 10%와 다름"),"")&amp;IF($BB40="수정"," / 수정세금계산서(합계에서 자동 가감)",""),4,200))</f>
        <v/>
      </c>
      <c r="BD40" s="2">
        <f>IF($BA40&lt;&gt;"포함","",IF(COUNTIFS($AX$8:$AX40,$AX40,$BA$8:$BA40,"포함")=1,MAX($BD$7:BD39)+1,""))</f>
        <v/>
      </c>
      <c r="BE40" s="2">
        <f>IF($BC40="","",MAX($BE$7:BE39)+1)</f>
        <v/>
      </c>
    </row>
    <row r="41">
      <c r="AR41" s="2">
        <f>IF(OR($A$5="",$B$6="",ROW()&lt;$A$5),"",IF(INDEX($A:$AP,ROW(),$B$6)="","",INDEX($A:$AP,ROW(),$B$6)))</f>
        <v/>
      </c>
      <c r="AS41" s="22">
        <f>IF($AR41="","",IF(ISNUMBER($AR41),IF($AR41&gt;=10000000,IFERROR(DATE(INT($AR41/10000),MOD(INT($AR41/100),100),MOD($AR41,100)),""),INT($AR41)),IFERROR(DATE(--LEFT(LEFT(SUBSTITUTE(SUBSTITUTE(SUBSTITUTE(SUBSTITUTE(TRIM($AR41),"-",""),".",""),"/","")," ",""),8),4),--MID(LEFT(SUBSTITUTE(SUBSTITUTE(SUBSTITUTE(SUBSTITUTE(TRIM($AR41),"-",""),".",""),"/","")," ",""),8),5,2),--MID(LEFT(SUBSTITUTE(SUBSTITUTE(SUBSTITUTE(SUBSTITUTE(TRIM($AR41),"-",""),".",""),"/","")," ",""),8),7,2)),"")))</f>
        <v/>
      </c>
      <c r="AT41" s="23">
        <f>IF($AS41="","",IF($F$6="",0,IF(ISNUMBER(INDEX($A:$AP,ROW(),$F$6)),INDEX($A:$AP,ROW(),$F$6),IFERROR(--SUBSTITUTE(SUBSTITUTE(TRIM(INDEX($A:$AP,ROW(),$F$6)),",",""),"원",""),0))))</f>
        <v/>
      </c>
      <c r="AU41" s="23">
        <f>IF($AS41="","",IF($G$6="",0,IF(ISNUMBER(INDEX($A:$AP,ROW(),$G$6)),INDEX($A:$AP,ROW(),$G$6),IFERROR(--SUBSTITUTE(SUBSTITUTE(TRIM(INDEX($A:$AP,ROW(),$G$6)),",",""),"원",""),0))))</f>
        <v/>
      </c>
      <c r="AV41" s="23">
        <f>IF($AS41="","",IF($H$6="",$AT41+$AU41,IF($H$6="",0,IF(ISNUMBER(INDEX($A:$AP,ROW(),$H$6)),INDEX($A:$AP,ROW(),$H$6),IFERROR(--SUBSTITUTE(SUBSTITUTE(TRIM(INDEX($A:$AP,ROW(),$H$6)),",",""),"원",""),0)))))</f>
        <v/>
      </c>
      <c r="AW41" s="2">
        <f>IF(OR($AS41="",$C$6=""),"",TRIM(INDEX($A:$AP,ROW(),$C$6)&amp;""))</f>
        <v/>
      </c>
      <c r="AX41" s="2">
        <f>IF($AS41="","",IF($AZ41&lt;&gt;"",SUBSTITUTE(SUBSTITUTE($AZ41,"-","")," ",""),$AY41))</f>
        <v/>
      </c>
      <c r="AY41" s="2">
        <f>IF(OR($AS41="",$E$6=""),"",TRIM(INDEX($A:$AP,ROW(),$E$6)&amp;""))</f>
        <v/>
      </c>
      <c r="AZ41" s="2">
        <f>IF(OR($AS41="",$D$6=""),"",TRIM(INDEX($A:$AP,ROW(),$D$6)&amp;""))</f>
        <v/>
      </c>
      <c r="BA41" s="2">
        <f>IF($AS41="","",IF(AND($AS41&gt;=설정!$B$10,$AS41&lt;=설정!$B$11),"포함","기간 밖"))</f>
        <v/>
      </c>
      <c r="BB41" s="2">
        <f>IF($AS41="","",IF(OR($AT41&lt;0,AND($I$6&lt;&gt;"",ISNUMBER(FIND("수정",INDEX($A:$AP,ROW(),IF($I$6="",1,$I$6))&amp;"")))),"수정","일반"))</f>
        <v/>
      </c>
      <c r="BC41" s="2">
        <f>IF($AS41="","",MID(IF($BA41="기간 밖"," / 기간 밖(신고기간 아님)","")&amp;IF(AND($AW41&lt;&gt;"",COUNTIF($AW$8:$AW$1007,$AW41)&gt;1)," / 승인번호 중복(두 번 붙여넣기?)","")&amp;IF(ABS($AU41-ROUND($AT41*0.1,0))&gt;설정!$B$8,IF($AU41=0," / 세액 0원(영세율·면세 여부 확인)"," / 세액이 공급가액 10%와 다름"),"")&amp;IF($BB41="수정"," / 수정세금계산서(합계에서 자동 가감)",""),4,200))</f>
        <v/>
      </c>
      <c r="BD41" s="2">
        <f>IF($BA41&lt;&gt;"포함","",IF(COUNTIFS($AX$8:$AX41,$AX41,$BA$8:$BA41,"포함")=1,MAX($BD$7:BD40)+1,""))</f>
        <v/>
      </c>
      <c r="BE41" s="2">
        <f>IF($BC41="","",MAX($BE$7:BE40)+1)</f>
        <v/>
      </c>
    </row>
    <row r="42">
      <c r="AR42" s="2">
        <f>IF(OR($A$5="",$B$6="",ROW()&lt;$A$5),"",IF(INDEX($A:$AP,ROW(),$B$6)="","",INDEX($A:$AP,ROW(),$B$6)))</f>
        <v/>
      </c>
      <c r="AS42" s="22">
        <f>IF($AR42="","",IF(ISNUMBER($AR42),IF($AR42&gt;=10000000,IFERROR(DATE(INT($AR42/10000),MOD(INT($AR42/100),100),MOD($AR42,100)),""),INT($AR42)),IFERROR(DATE(--LEFT(LEFT(SUBSTITUTE(SUBSTITUTE(SUBSTITUTE(SUBSTITUTE(TRIM($AR42),"-",""),".",""),"/","")," ",""),8),4),--MID(LEFT(SUBSTITUTE(SUBSTITUTE(SUBSTITUTE(SUBSTITUTE(TRIM($AR42),"-",""),".",""),"/","")," ",""),8),5,2),--MID(LEFT(SUBSTITUTE(SUBSTITUTE(SUBSTITUTE(SUBSTITUTE(TRIM($AR42),"-",""),".",""),"/","")," ",""),8),7,2)),"")))</f>
        <v/>
      </c>
      <c r="AT42" s="23">
        <f>IF($AS42="","",IF($F$6="",0,IF(ISNUMBER(INDEX($A:$AP,ROW(),$F$6)),INDEX($A:$AP,ROW(),$F$6),IFERROR(--SUBSTITUTE(SUBSTITUTE(TRIM(INDEX($A:$AP,ROW(),$F$6)),",",""),"원",""),0))))</f>
        <v/>
      </c>
      <c r="AU42" s="23">
        <f>IF($AS42="","",IF($G$6="",0,IF(ISNUMBER(INDEX($A:$AP,ROW(),$G$6)),INDEX($A:$AP,ROW(),$G$6),IFERROR(--SUBSTITUTE(SUBSTITUTE(TRIM(INDEX($A:$AP,ROW(),$G$6)),",",""),"원",""),0))))</f>
        <v/>
      </c>
      <c r="AV42" s="23">
        <f>IF($AS42="","",IF($H$6="",$AT42+$AU42,IF($H$6="",0,IF(ISNUMBER(INDEX($A:$AP,ROW(),$H$6)),INDEX($A:$AP,ROW(),$H$6),IFERROR(--SUBSTITUTE(SUBSTITUTE(TRIM(INDEX($A:$AP,ROW(),$H$6)),",",""),"원",""),0)))))</f>
        <v/>
      </c>
      <c r="AW42" s="2">
        <f>IF(OR($AS42="",$C$6=""),"",TRIM(INDEX($A:$AP,ROW(),$C$6)&amp;""))</f>
        <v/>
      </c>
      <c r="AX42" s="2">
        <f>IF($AS42="","",IF($AZ42&lt;&gt;"",SUBSTITUTE(SUBSTITUTE($AZ42,"-","")," ",""),$AY42))</f>
        <v/>
      </c>
      <c r="AY42" s="2">
        <f>IF(OR($AS42="",$E$6=""),"",TRIM(INDEX($A:$AP,ROW(),$E$6)&amp;""))</f>
        <v/>
      </c>
      <c r="AZ42" s="2">
        <f>IF(OR($AS42="",$D$6=""),"",TRIM(INDEX($A:$AP,ROW(),$D$6)&amp;""))</f>
        <v/>
      </c>
      <c r="BA42" s="2">
        <f>IF($AS42="","",IF(AND($AS42&gt;=설정!$B$10,$AS42&lt;=설정!$B$11),"포함","기간 밖"))</f>
        <v/>
      </c>
      <c r="BB42" s="2">
        <f>IF($AS42="","",IF(OR($AT42&lt;0,AND($I$6&lt;&gt;"",ISNUMBER(FIND("수정",INDEX($A:$AP,ROW(),IF($I$6="",1,$I$6))&amp;"")))),"수정","일반"))</f>
        <v/>
      </c>
      <c r="BC42" s="2">
        <f>IF($AS42="","",MID(IF($BA42="기간 밖"," / 기간 밖(신고기간 아님)","")&amp;IF(AND($AW42&lt;&gt;"",COUNTIF($AW$8:$AW$1007,$AW42)&gt;1)," / 승인번호 중복(두 번 붙여넣기?)","")&amp;IF(ABS($AU42-ROUND($AT42*0.1,0))&gt;설정!$B$8,IF($AU42=0," / 세액 0원(영세율·면세 여부 확인)"," / 세액이 공급가액 10%와 다름"),"")&amp;IF($BB42="수정"," / 수정세금계산서(합계에서 자동 가감)",""),4,200))</f>
        <v/>
      </c>
      <c r="BD42" s="2">
        <f>IF($BA42&lt;&gt;"포함","",IF(COUNTIFS($AX$8:$AX42,$AX42,$BA$8:$BA42,"포함")=1,MAX($BD$7:BD41)+1,""))</f>
        <v/>
      </c>
      <c r="BE42" s="2">
        <f>IF($BC42="","",MAX($BE$7:BE41)+1)</f>
        <v/>
      </c>
    </row>
    <row r="43">
      <c r="AR43" s="2">
        <f>IF(OR($A$5="",$B$6="",ROW()&lt;$A$5),"",IF(INDEX($A:$AP,ROW(),$B$6)="","",INDEX($A:$AP,ROW(),$B$6)))</f>
        <v/>
      </c>
      <c r="AS43" s="22">
        <f>IF($AR43="","",IF(ISNUMBER($AR43),IF($AR43&gt;=10000000,IFERROR(DATE(INT($AR43/10000),MOD(INT($AR43/100),100),MOD($AR43,100)),""),INT($AR43)),IFERROR(DATE(--LEFT(LEFT(SUBSTITUTE(SUBSTITUTE(SUBSTITUTE(SUBSTITUTE(TRIM($AR43),"-",""),".",""),"/","")," ",""),8),4),--MID(LEFT(SUBSTITUTE(SUBSTITUTE(SUBSTITUTE(SUBSTITUTE(TRIM($AR43),"-",""),".",""),"/","")," ",""),8),5,2),--MID(LEFT(SUBSTITUTE(SUBSTITUTE(SUBSTITUTE(SUBSTITUTE(TRIM($AR43),"-",""),".",""),"/","")," ",""),8),7,2)),"")))</f>
        <v/>
      </c>
      <c r="AT43" s="23">
        <f>IF($AS43="","",IF($F$6="",0,IF(ISNUMBER(INDEX($A:$AP,ROW(),$F$6)),INDEX($A:$AP,ROW(),$F$6),IFERROR(--SUBSTITUTE(SUBSTITUTE(TRIM(INDEX($A:$AP,ROW(),$F$6)),",",""),"원",""),0))))</f>
        <v/>
      </c>
      <c r="AU43" s="23">
        <f>IF($AS43="","",IF($G$6="",0,IF(ISNUMBER(INDEX($A:$AP,ROW(),$G$6)),INDEX($A:$AP,ROW(),$G$6),IFERROR(--SUBSTITUTE(SUBSTITUTE(TRIM(INDEX($A:$AP,ROW(),$G$6)),",",""),"원",""),0))))</f>
        <v/>
      </c>
      <c r="AV43" s="23">
        <f>IF($AS43="","",IF($H$6="",$AT43+$AU43,IF($H$6="",0,IF(ISNUMBER(INDEX($A:$AP,ROW(),$H$6)),INDEX($A:$AP,ROW(),$H$6),IFERROR(--SUBSTITUTE(SUBSTITUTE(TRIM(INDEX($A:$AP,ROW(),$H$6)),",",""),"원",""),0)))))</f>
        <v/>
      </c>
      <c r="AW43" s="2">
        <f>IF(OR($AS43="",$C$6=""),"",TRIM(INDEX($A:$AP,ROW(),$C$6)&amp;""))</f>
        <v/>
      </c>
      <c r="AX43" s="2">
        <f>IF($AS43="","",IF($AZ43&lt;&gt;"",SUBSTITUTE(SUBSTITUTE($AZ43,"-","")," ",""),$AY43))</f>
        <v/>
      </c>
      <c r="AY43" s="2">
        <f>IF(OR($AS43="",$E$6=""),"",TRIM(INDEX($A:$AP,ROW(),$E$6)&amp;""))</f>
        <v/>
      </c>
      <c r="AZ43" s="2">
        <f>IF(OR($AS43="",$D$6=""),"",TRIM(INDEX($A:$AP,ROW(),$D$6)&amp;""))</f>
        <v/>
      </c>
      <c r="BA43" s="2">
        <f>IF($AS43="","",IF(AND($AS43&gt;=설정!$B$10,$AS43&lt;=설정!$B$11),"포함","기간 밖"))</f>
        <v/>
      </c>
      <c r="BB43" s="2">
        <f>IF($AS43="","",IF(OR($AT43&lt;0,AND($I$6&lt;&gt;"",ISNUMBER(FIND("수정",INDEX($A:$AP,ROW(),IF($I$6="",1,$I$6))&amp;"")))),"수정","일반"))</f>
        <v/>
      </c>
      <c r="BC43" s="2">
        <f>IF($AS43="","",MID(IF($BA43="기간 밖"," / 기간 밖(신고기간 아님)","")&amp;IF(AND($AW43&lt;&gt;"",COUNTIF($AW$8:$AW$1007,$AW43)&gt;1)," / 승인번호 중복(두 번 붙여넣기?)","")&amp;IF(ABS($AU43-ROUND($AT43*0.1,0))&gt;설정!$B$8,IF($AU43=0," / 세액 0원(영세율·면세 여부 확인)"," / 세액이 공급가액 10%와 다름"),"")&amp;IF($BB43="수정"," / 수정세금계산서(합계에서 자동 가감)",""),4,200))</f>
        <v/>
      </c>
      <c r="BD43" s="2">
        <f>IF($BA43&lt;&gt;"포함","",IF(COUNTIFS($AX$8:$AX43,$AX43,$BA$8:$BA43,"포함")=1,MAX($BD$7:BD42)+1,""))</f>
        <v/>
      </c>
      <c r="BE43" s="2">
        <f>IF($BC43="","",MAX($BE$7:BE42)+1)</f>
        <v/>
      </c>
    </row>
    <row r="44">
      <c r="AR44" s="2">
        <f>IF(OR($A$5="",$B$6="",ROW()&lt;$A$5),"",IF(INDEX($A:$AP,ROW(),$B$6)="","",INDEX($A:$AP,ROW(),$B$6)))</f>
        <v/>
      </c>
      <c r="AS44" s="22">
        <f>IF($AR44="","",IF(ISNUMBER($AR44),IF($AR44&gt;=10000000,IFERROR(DATE(INT($AR44/10000),MOD(INT($AR44/100),100),MOD($AR44,100)),""),INT($AR44)),IFERROR(DATE(--LEFT(LEFT(SUBSTITUTE(SUBSTITUTE(SUBSTITUTE(SUBSTITUTE(TRIM($AR44),"-",""),".",""),"/","")," ",""),8),4),--MID(LEFT(SUBSTITUTE(SUBSTITUTE(SUBSTITUTE(SUBSTITUTE(TRIM($AR44),"-",""),".",""),"/","")," ",""),8),5,2),--MID(LEFT(SUBSTITUTE(SUBSTITUTE(SUBSTITUTE(SUBSTITUTE(TRIM($AR44),"-",""),".",""),"/","")," ",""),8),7,2)),"")))</f>
        <v/>
      </c>
      <c r="AT44" s="23">
        <f>IF($AS44="","",IF($F$6="",0,IF(ISNUMBER(INDEX($A:$AP,ROW(),$F$6)),INDEX($A:$AP,ROW(),$F$6),IFERROR(--SUBSTITUTE(SUBSTITUTE(TRIM(INDEX($A:$AP,ROW(),$F$6)),",",""),"원",""),0))))</f>
        <v/>
      </c>
      <c r="AU44" s="23">
        <f>IF($AS44="","",IF($G$6="",0,IF(ISNUMBER(INDEX($A:$AP,ROW(),$G$6)),INDEX($A:$AP,ROW(),$G$6),IFERROR(--SUBSTITUTE(SUBSTITUTE(TRIM(INDEX($A:$AP,ROW(),$G$6)),",",""),"원",""),0))))</f>
        <v/>
      </c>
      <c r="AV44" s="23">
        <f>IF($AS44="","",IF($H$6="",$AT44+$AU44,IF($H$6="",0,IF(ISNUMBER(INDEX($A:$AP,ROW(),$H$6)),INDEX($A:$AP,ROW(),$H$6),IFERROR(--SUBSTITUTE(SUBSTITUTE(TRIM(INDEX($A:$AP,ROW(),$H$6)),",",""),"원",""),0)))))</f>
        <v/>
      </c>
      <c r="AW44" s="2">
        <f>IF(OR($AS44="",$C$6=""),"",TRIM(INDEX($A:$AP,ROW(),$C$6)&amp;""))</f>
        <v/>
      </c>
      <c r="AX44" s="2">
        <f>IF($AS44="","",IF($AZ44&lt;&gt;"",SUBSTITUTE(SUBSTITUTE($AZ44,"-","")," ",""),$AY44))</f>
        <v/>
      </c>
      <c r="AY44" s="2">
        <f>IF(OR($AS44="",$E$6=""),"",TRIM(INDEX($A:$AP,ROW(),$E$6)&amp;""))</f>
        <v/>
      </c>
      <c r="AZ44" s="2">
        <f>IF(OR($AS44="",$D$6=""),"",TRIM(INDEX($A:$AP,ROW(),$D$6)&amp;""))</f>
        <v/>
      </c>
      <c r="BA44" s="2">
        <f>IF($AS44="","",IF(AND($AS44&gt;=설정!$B$10,$AS44&lt;=설정!$B$11),"포함","기간 밖"))</f>
        <v/>
      </c>
      <c r="BB44" s="2">
        <f>IF($AS44="","",IF(OR($AT44&lt;0,AND($I$6&lt;&gt;"",ISNUMBER(FIND("수정",INDEX($A:$AP,ROW(),IF($I$6="",1,$I$6))&amp;"")))),"수정","일반"))</f>
        <v/>
      </c>
      <c r="BC44" s="2">
        <f>IF($AS44="","",MID(IF($BA44="기간 밖"," / 기간 밖(신고기간 아님)","")&amp;IF(AND($AW44&lt;&gt;"",COUNTIF($AW$8:$AW$1007,$AW44)&gt;1)," / 승인번호 중복(두 번 붙여넣기?)","")&amp;IF(ABS($AU44-ROUND($AT44*0.1,0))&gt;설정!$B$8,IF($AU44=0," / 세액 0원(영세율·면세 여부 확인)"," / 세액이 공급가액 10%와 다름"),"")&amp;IF($BB44="수정"," / 수정세금계산서(합계에서 자동 가감)",""),4,200))</f>
        <v/>
      </c>
      <c r="BD44" s="2">
        <f>IF($BA44&lt;&gt;"포함","",IF(COUNTIFS($AX$8:$AX44,$AX44,$BA$8:$BA44,"포함")=1,MAX($BD$7:BD43)+1,""))</f>
        <v/>
      </c>
      <c r="BE44" s="2">
        <f>IF($BC44="","",MAX($BE$7:BE43)+1)</f>
        <v/>
      </c>
    </row>
    <row r="45">
      <c r="AR45" s="2">
        <f>IF(OR($A$5="",$B$6="",ROW()&lt;$A$5),"",IF(INDEX($A:$AP,ROW(),$B$6)="","",INDEX($A:$AP,ROW(),$B$6)))</f>
        <v/>
      </c>
      <c r="AS45" s="22">
        <f>IF($AR45="","",IF(ISNUMBER($AR45),IF($AR45&gt;=10000000,IFERROR(DATE(INT($AR45/10000),MOD(INT($AR45/100),100),MOD($AR45,100)),""),INT($AR45)),IFERROR(DATE(--LEFT(LEFT(SUBSTITUTE(SUBSTITUTE(SUBSTITUTE(SUBSTITUTE(TRIM($AR45),"-",""),".",""),"/","")," ",""),8),4),--MID(LEFT(SUBSTITUTE(SUBSTITUTE(SUBSTITUTE(SUBSTITUTE(TRIM($AR45),"-",""),".",""),"/","")," ",""),8),5,2),--MID(LEFT(SUBSTITUTE(SUBSTITUTE(SUBSTITUTE(SUBSTITUTE(TRIM($AR45),"-",""),".",""),"/","")," ",""),8),7,2)),"")))</f>
        <v/>
      </c>
      <c r="AT45" s="23">
        <f>IF($AS45="","",IF($F$6="",0,IF(ISNUMBER(INDEX($A:$AP,ROW(),$F$6)),INDEX($A:$AP,ROW(),$F$6),IFERROR(--SUBSTITUTE(SUBSTITUTE(TRIM(INDEX($A:$AP,ROW(),$F$6)),",",""),"원",""),0))))</f>
        <v/>
      </c>
      <c r="AU45" s="23">
        <f>IF($AS45="","",IF($G$6="",0,IF(ISNUMBER(INDEX($A:$AP,ROW(),$G$6)),INDEX($A:$AP,ROW(),$G$6),IFERROR(--SUBSTITUTE(SUBSTITUTE(TRIM(INDEX($A:$AP,ROW(),$G$6)),",",""),"원",""),0))))</f>
        <v/>
      </c>
      <c r="AV45" s="23">
        <f>IF($AS45="","",IF($H$6="",$AT45+$AU45,IF($H$6="",0,IF(ISNUMBER(INDEX($A:$AP,ROW(),$H$6)),INDEX($A:$AP,ROW(),$H$6),IFERROR(--SUBSTITUTE(SUBSTITUTE(TRIM(INDEX($A:$AP,ROW(),$H$6)),",",""),"원",""),0)))))</f>
        <v/>
      </c>
      <c r="AW45" s="2">
        <f>IF(OR($AS45="",$C$6=""),"",TRIM(INDEX($A:$AP,ROW(),$C$6)&amp;""))</f>
        <v/>
      </c>
      <c r="AX45" s="2">
        <f>IF($AS45="","",IF($AZ45&lt;&gt;"",SUBSTITUTE(SUBSTITUTE($AZ45,"-","")," ",""),$AY45))</f>
        <v/>
      </c>
      <c r="AY45" s="2">
        <f>IF(OR($AS45="",$E$6=""),"",TRIM(INDEX($A:$AP,ROW(),$E$6)&amp;""))</f>
        <v/>
      </c>
      <c r="AZ45" s="2">
        <f>IF(OR($AS45="",$D$6=""),"",TRIM(INDEX($A:$AP,ROW(),$D$6)&amp;""))</f>
        <v/>
      </c>
      <c r="BA45" s="2">
        <f>IF($AS45="","",IF(AND($AS45&gt;=설정!$B$10,$AS45&lt;=설정!$B$11),"포함","기간 밖"))</f>
        <v/>
      </c>
      <c r="BB45" s="2">
        <f>IF($AS45="","",IF(OR($AT45&lt;0,AND($I$6&lt;&gt;"",ISNUMBER(FIND("수정",INDEX($A:$AP,ROW(),IF($I$6="",1,$I$6))&amp;"")))),"수정","일반"))</f>
        <v/>
      </c>
      <c r="BC45" s="2">
        <f>IF($AS45="","",MID(IF($BA45="기간 밖"," / 기간 밖(신고기간 아님)","")&amp;IF(AND($AW45&lt;&gt;"",COUNTIF($AW$8:$AW$1007,$AW45)&gt;1)," / 승인번호 중복(두 번 붙여넣기?)","")&amp;IF(ABS($AU45-ROUND($AT45*0.1,0))&gt;설정!$B$8,IF($AU45=0," / 세액 0원(영세율·면세 여부 확인)"," / 세액이 공급가액 10%와 다름"),"")&amp;IF($BB45="수정"," / 수정세금계산서(합계에서 자동 가감)",""),4,200))</f>
        <v/>
      </c>
      <c r="BD45" s="2">
        <f>IF($BA45&lt;&gt;"포함","",IF(COUNTIFS($AX$8:$AX45,$AX45,$BA$8:$BA45,"포함")=1,MAX($BD$7:BD44)+1,""))</f>
        <v/>
      </c>
      <c r="BE45" s="2">
        <f>IF($BC45="","",MAX($BE$7:BE44)+1)</f>
        <v/>
      </c>
    </row>
    <row r="46">
      <c r="AR46" s="2">
        <f>IF(OR($A$5="",$B$6="",ROW()&lt;$A$5),"",IF(INDEX($A:$AP,ROW(),$B$6)="","",INDEX($A:$AP,ROW(),$B$6)))</f>
        <v/>
      </c>
      <c r="AS46" s="22">
        <f>IF($AR46="","",IF(ISNUMBER($AR46),IF($AR46&gt;=10000000,IFERROR(DATE(INT($AR46/10000),MOD(INT($AR46/100),100),MOD($AR46,100)),""),INT($AR46)),IFERROR(DATE(--LEFT(LEFT(SUBSTITUTE(SUBSTITUTE(SUBSTITUTE(SUBSTITUTE(TRIM($AR46),"-",""),".",""),"/","")," ",""),8),4),--MID(LEFT(SUBSTITUTE(SUBSTITUTE(SUBSTITUTE(SUBSTITUTE(TRIM($AR46),"-",""),".",""),"/","")," ",""),8),5,2),--MID(LEFT(SUBSTITUTE(SUBSTITUTE(SUBSTITUTE(SUBSTITUTE(TRIM($AR46),"-",""),".",""),"/","")," ",""),8),7,2)),"")))</f>
        <v/>
      </c>
      <c r="AT46" s="23">
        <f>IF($AS46="","",IF($F$6="",0,IF(ISNUMBER(INDEX($A:$AP,ROW(),$F$6)),INDEX($A:$AP,ROW(),$F$6),IFERROR(--SUBSTITUTE(SUBSTITUTE(TRIM(INDEX($A:$AP,ROW(),$F$6)),",",""),"원",""),0))))</f>
        <v/>
      </c>
      <c r="AU46" s="23">
        <f>IF($AS46="","",IF($G$6="",0,IF(ISNUMBER(INDEX($A:$AP,ROW(),$G$6)),INDEX($A:$AP,ROW(),$G$6),IFERROR(--SUBSTITUTE(SUBSTITUTE(TRIM(INDEX($A:$AP,ROW(),$G$6)),",",""),"원",""),0))))</f>
        <v/>
      </c>
      <c r="AV46" s="23">
        <f>IF($AS46="","",IF($H$6="",$AT46+$AU46,IF($H$6="",0,IF(ISNUMBER(INDEX($A:$AP,ROW(),$H$6)),INDEX($A:$AP,ROW(),$H$6),IFERROR(--SUBSTITUTE(SUBSTITUTE(TRIM(INDEX($A:$AP,ROW(),$H$6)),",",""),"원",""),0)))))</f>
        <v/>
      </c>
      <c r="AW46" s="2">
        <f>IF(OR($AS46="",$C$6=""),"",TRIM(INDEX($A:$AP,ROW(),$C$6)&amp;""))</f>
        <v/>
      </c>
      <c r="AX46" s="2">
        <f>IF($AS46="","",IF($AZ46&lt;&gt;"",SUBSTITUTE(SUBSTITUTE($AZ46,"-","")," ",""),$AY46))</f>
        <v/>
      </c>
      <c r="AY46" s="2">
        <f>IF(OR($AS46="",$E$6=""),"",TRIM(INDEX($A:$AP,ROW(),$E$6)&amp;""))</f>
        <v/>
      </c>
      <c r="AZ46" s="2">
        <f>IF(OR($AS46="",$D$6=""),"",TRIM(INDEX($A:$AP,ROW(),$D$6)&amp;""))</f>
        <v/>
      </c>
      <c r="BA46" s="2">
        <f>IF($AS46="","",IF(AND($AS46&gt;=설정!$B$10,$AS46&lt;=설정!$B$11),"포함","기간 밖"))</f>
        <v/>
      </c>
      <c r="BB46" s="2">
        <f>IF($AS46="","",IF(OR($AT46&lt;0,AND($I$6&lt;&gt;"",ISNUMBER(FIND("수정",INDEX($A:$AP,ROW(),IF($I$6="",1,$I$6))&amp;"")))),"수정","일반"))</f>
        <v/>
      </c>
      <c r="BC46" s="2">
        <f>IF($AS46="","",MID(IF($BA46="기간 밖"," / 기간 밖(신고기간 아님)","")&amp;IF(AND($AW46&lt;&gt;"",COUNTIF($AW$8:$AW$1007,$AW46)&gt;1)," / 승인번호 중복(두 번 붙여넣기?)","")&amp;IF(ABS($AU46-ROUND($AT46*0.1,0))&gt;설정!$B$8,IF($AU46=0," / 세액 0원(영세율·면세 여부 확인)"," / 세액이 공급가액 10%와 다름"),"")&amp;IF($BB46="수정"," / 수정세금계산서(합계에서 자동 가감)",""),4,200))</f>
        <v/>
      </c>
      <c r="BD46" s="2">
        <f>IF($BA46&lt;&gt;"포함","",IF(COUNTIFS($AX$8:$AX46,$AX46,$BA$8:$BA46,"포함")=1,MAX($BD$7:BD45)+1,""))</f>
        <v/>
      </c>
      <c r="BE46" s="2">
        <f>IF($BC46="","",MAX($BE$7:BE45)+1)</f>
        <v/>
      </c>
    </row>
    <row r="47">
      <c r="AR47" s="2">
        <f>IF(OR($A$5="",$B$6="",ROW()&lt;$A$5),"",IF(INDEX($A:$AP,ROW(),$B$6)="","",INDEX($A:$AP,ROW(),$B$6)))</f>
        <v/>
      </c>
      <c r="AS47" s="22">
        <f>IF($AR47="","",IF(ISNUMBER($AR47),IF($AR47&gt;=10000000,IFERROR(DATE(INT($AR47/10000),MOD(INT($AR47/100),100),MOD($AR47,100)),""),INT($AR47)),IFERROR(DATE(--LEFT(LEFT(SUBSTITUTE(SUBSTITUTE(SUBSTITUTE(SUBSTITUTE(TRIM($AR47),"-",""),".",""),"/","")," ",""),8),4),--MID(LEFT(SUBSTITUTE(SUBSTITUTE(SUBSTITUTE(SUBSTITUTE(TRIM($AR47),"-",""),".",""),"/","")," ",""),8),5,2),--MID(LEFT(SUBSTITUTE(SUBSTITUTE(SUBSTITUTE(SUBSTITUTE(TRIM($AR47),"-",""),".",""),"/","")," ",""),8),7,2)),"")))</f>
        <v/>
      </c>
      <c r="AT47" s="23">
        <f>IF($AS47="","",IF($F$6="",0,IF(ISNUMBER(INDEX($A:$AP,ROW(),$F$6)),INDEX($A:$AP,ROW(),$F$6),IFERROR(--SUBSTITUTE(SUBSTITUTE(TRIM(INDEX($A:$AP,ROW(),$F$6)),",",""),"원",""),0))))</f>
        <v/>
      </c>
      <c r="AU47" s="23">
        <f>IF($AS47="","",IF($G$6="",0,IF(ISNUMBER(INDEX($A:$AP,ROW(),$G$6)),INDEX($A:$AP,ROW(),$G$6),IFERROR(--SUBSTITUTE(SUBSTITUTE(TRIM(INDEX($A:$AP,ROW(),$G$6)),",",""),"원",""),0))))</f>
        <v/>
      </c>
      <c r="AV47" s="23">
        <f>IF($AS47="","",IF($H$6="",$AT47+$AU47,IF($H$6="",0,IF(ISNUMBER(INDEX($A:$AP,ROW(),$H$6)),INDEX($A:$AP,ROW(),$H$6),IFERROR(--SUBSTITUTE(SUBSTITUTE(TRIM(INDEX($A:$AP,ROW(),$H$6)),",",""),"원",""),0)))))</f>
        <v/>
      </c>
      <c r="AW47" s="2">
        <f>IF(OR($AS47="",$C$6=""),"",TRIM(INDEX($A:$AP,ROW(),$C$6)&amp;""))</f>
        <v/>
      </c>
      <c r="AX47" s="2">
        <f>IF($AS47="","",IF($AZ47&lt;&gt;"",SUBSTITUTE(SUBSTITUTE($AZ47,"-","")," ",""),$AY47))</f>
        <v/>
      </c>
      <c r="AY47" s="2">
        <f>IF(OR($AS47="",$E$6=""),"",TRIM(INDEX($A:$AP,ROW(),$E$6)&amp;""))</f>
        <v/>
      </c>
      <c r="AZ47" s="2">
        <f>IF(OR($AS47="",$D$6=""),"",TRIM(INDEX($A:$AP,ROW(),$D$6)&amp;""))</f>
        <v/>
      </c>
      <c r="BA47" s="2">
        <f>IF($AS47="","",IF(AND($AS47&gt;=설정!$B$10,$AS47&lt;=설정!$B$11),"포함","기간 밖"))</f>
        <v/>
      </c>
      <c r="BB47" s="2">
        <f>IF($AS47="","",IF(OR($AT47&lt;0,AND($I$6&lt;&gt;"",ISNUMBER(FIND("수정",INDEX($A:$AP,ROW(),IF($I$6="",1,$I$6))&amp;"")))),"수정","일반"))</f>
        <v/>
      </c>
      <c r="BC47" s="2">
        <f>IF($AS47="","",MID(IF($BA47="기간 밖"," / 기간 밖(신고기간 아님)","")&amp;IF(AND($AW47&lt;&gt;"",COUNTIF($AW$8:$AW$1007,$AW47)&gt;1)," / 승인번호 중복(두 번 붙여넣기?)","")&amp;IF(ABS($AU47-ROUND($AT47*0.1,0))&gt;설정!$B$8,IF($AU47=0," / 세액 0원(영세율·면세 여부 확인)"," / 세액이 공급가액 10%와 다름"),"")&amp;IF($BB47="수정"," / 수정세금계산서(합계에서 자동 가감)",""),4,200))</f>
        <v/>
      </c>
      <c r="BD47" s="2">
        <f>IF($BA47&lt;&gt;"포함","",IF(COUNTIFS($AX$8:$AX47,$AX47,$BA$8:$BA47,"포함")=1,MAX($BD$7:BD46)+1,""))</f>
        <v/>
      </c>
      <c r="BE47" s="2">
        <f>IF($BC47="","",MAX($BE$7:BE46)+1)</f>
        <v/>
      </c>
    </row>
    <row r="48">
      <c r="AR48" s="2">
        <f>IF(OR($A$5="",$B$6="",ROW()&lt;$A$5),"",IF(INDEX($A:$AP,ROW(),$B$6)="","",INDEX($A:$AP,ROW(),$B$6)))</f>
        <v/>
      </c>
      <c r="AS48" s="22">
        <f>IF($AR48="","",IF(ISNUMBER($AR48),IF($AR48&gt;=10000000,IFERROR(DATE(INT($AR48/10000),MOD(INT($AR48/100),100),MOD($AR48,100)),""),INT($AR48)),IFERROR(DATE(--LEFT(LEFT(SUBSTITUTE(SUBSTITUTE(SUBSTITUTE(SUBSTITUTE(TRIM($AR48),"-",""),".",""),"/","")," ",""),8),4),--MID(LEFT(SUBSTITUTE(SUBSTITUTE(SUBSTITUTE(SUBSTITUTE(TRIM($AR48),"-",""),".",""),"/","")," ",""),8),5,2),--MID(LEFT(SUBSTITUTE(SUBSTITUTE(SUBSTITUTE(SUBSTITUTE(TRIM($AR48),"-",""),".",""),"/","")," ",""),8),7,2)),"")))</f>
        <v/>
      </c>
      <c r="AT48" s="23">
        <f>IF($AS48="","",IF($F$6="",0,IF(ISNUMBER(INDEX($A:$AP,ROW(),$F$6)),INDEX($A:$AP,ROW(),$F$6),IFERROR(--SUBSTITUTE(SUBSTITUTE(TRIM(INDEX($A:$AP,ROW(),$F$6)),",",""),"원",""),0))))</f>
        <v/>
      </c>
      <c r="AU48" s="23">
        <f>IF($AS48="","",IF($G$6="",0,IF(ISNUMBER(INDEX($A:$AP,ROW(),$G$6)),INDEX($A:$AP,ROW(),$G$6),IFERROR(--SUBSTITUTE(SUBSTITUTE(TRIM(INDEX($A:$AP,ROW(),$G$6)),",",""),"원",""),0))))</f>
        <v/>
      </c>
      <c r="AV48" s="23">
        <f>IF($AS48="","",IF($H$6="",$AT48+$AU48,IF($H$6="",0,IF(ISNUMBER(INDEX($A:$AP,ROW(),$H$6)),INDEX($A:$AP,ROW(),$H$6),IFERROR(--SUBSTITUTE(SUBSTITUTE(TRIM(INDEX($A:$AP,ROW(),$H$6)),",",""),"원",""),0)))))</f>
        <v/>
      </c>
      <c r="AW48" s="2">
        <f>IF(OR($AS48="",$C$6=""),"",TRIM(INDEX($A:$AP,ROW(),$C$6)&amp;""))</f>
        <v/>
      </c>
      <c r="AX48" s="2">
        <f>IF($AS48="","",IF($AZ48&lt;&gt;"",SUBSTITUTE(SUBSTITUTE($AZ48,"-","")," ",""),$AY48))</f>
        <v/>
      </c>
      <c r="AY48" s="2">
        <f>IF(OR($AS48="",$E$6=""),"",TRIM(INDEX($A:$AP,ROW(),$E$6)&amp;""))</f>
        <v/>
      </c>
      <c r="AZ48" s="2">
        <f>IF(OR($AS48="",$D$6=""),"",TRIM(INDEX($A:$AP,ROW(),$D$6)&amp;""))</f>
        <v/>
      </c>
      <c r="BA48" s="2">
        <f>IF($AS48="","",IF(AND($AS48&gt;=설정!$B$10,$AS48&lt;=설정!$B$11),"포함","기간 밖"))</f>
        <v/>
      </c>
      <c r="BB48" s="2">
        <f>IF($AS48="","",IF(OR($AT48&lt;0,AND($I$6&lt;&gt;"",ISNUMBER(FIND("수정",INDEX($A:$AP,ROW(),IF($I$6="",1,$I$6))&amp;"")))),"수정","일반"))</f>
        <v/>
      </c>
      <c r="BC48" s="2">
        <f>IF($AS48="","",MID(IF($BA48="기간 밖"," / 기간 밖(신고기간 아님)","")&amp;IF(AND($AW48&lt;&gt;"",COUNTIF($AW$8:$AW$1007,$AW48)&gt;1)," / 승인번호 중복(두 번 붙여넣기?)","")&amp;IF(ABS($AU48-ROUND($AT48*0.1,0))&gt;설정!$B$8,IF($AU48=0," / 세액 0원(영세율·면세 여부 확인)"," / 세액이 공급가액 10%와 다름"),"")&amp;IF($BB48="수정"," / 수정세금계산서(합계에서 자동 가감)",""),4,200))</f>
        <v/>
      </c>
      <c r="BD48" s="2">
        <f>IF($BA48&lt;&gt;"포함","",IF(COUNTIFS($AX$8:$AX48,$AX48,$BA$8:$BA48,"포함")=1,MAX($BD$7:BD47)+1,""))</f>
        <v/>
      </c>
      <c r="BE48" s="2">
        <f>IF($BC48="","",MAX($BE$7:BE47)+1)</f>
        <v/>
      </c>
    </row>
    <row r="49">
      <c r="AR49" s="2">
        <f>IF(OR($A$5="",$B$6="",ROW()&lt;$A$5),"",IF(INDEX($A:$AP,ROW(),$B$6)="","",INDEX($A:$AP,ROW(),$B$6)))</f>
        <v/>
      </c>
      <c r="AS49" s="22">
        <f>IF($AR49="","",IF(ISNUMBER($AR49),IF($AR49&gt;=10000000,IFERROR(DATE(INT($AR49/10000),MOD(INT($AR49/100),100),MOD($AR49,100)),""),INT($AR49)),IFERROR(DATE(--LEFT(LEFT(SUBSTITUTE(SUBSTITUTE(SUBSTITUTE(SUBSTITUTE(TRIM($AR49),"-",""),".",""),"/","")," ",""),8),4),--MID(LEFT(SUBSTITUTE(SUBSTITUTE(SUBSTITUTE(SUBSTITUTE(TRIM($AR49),"-",""),".",""),"/","")," ",""),8),5,2),--MID(LEFT(SUBSTITUTE(SUBSTITUTE(SUBSTITUTE(SUBSTITUTE(TRIM($AR49),"-",""),".",""),"/","")," ",""),8),7,2)),"")))</f>
        <v/>
      </c>
      <c r="AT49" s="23">
        <f>IF($AS49="","",IF($F$6="",0,IF(ISNUMBER(INDEX($A:$AP,ROW(),$F$6)),INDEX($A:$AP,ROW(),$F$6),IFERROR(--SUBSTITUTE(SUBSTITUTE(TRIM(INDEX($A:$AP,ROW(),$F$6)),",",""),"원",""),0))))</f>
        <v/>
      </c>
      <c r="AU49" s="23">
        <f>IF($AS49="","",IF($G$6="",0,IF(ISNUMBER(INDEX($A:$AP,ROW(),$G$6)),INDEX($A:$AP,ROW(),$G$6),IFERROR(--SUBSTITUTE(SUBSTITUTE(TRIM(INDEX($A:$AP,ROW(),$G$6)),",",""),"원",""),0))))</f>
        <v/>
      </c>
      <c r="AV49" s="23">
        <f>IF($AS49="","",IF($H$6="",$AT49+$AU49,IF($H$6="",0,IF(ISNUMBER(INDEX($A:$AP,ROW(),$H$6)),INDEX($A:$AP,ROW(),$H$6),IFERROR(--SUBSTITUTE(SUBSTITUTE(TRIM(INDEX($A:$AP,ROW(),$H$6)),",",""),"원",""),0)))))</f>
        <v/>
      </c>
      <c r="AW49" s="2">
        <f>IF(OR($AS49="",$C$6=""),"",TRIM(INDEX($A:$AP,ROW(),$C$6)&amp;""))</f>
        <v/>
      </c>
      <c r="AX49" s="2">
        <f>IF($AS49="","",IF($AZ49&lt;&gt;"",SUBSTITUTE(SUBSTITUTE($AZ49,"-","")," ",""),$AY49))</f>
        <v/>
      </c>
      <c r="AY49" s="2">
        <f>IF(OR($AS49="",$E$6=""),"",TRIM(INDEX($A:$AP,ROW(),$E$6)&amp;""))</f>
        <v/>
      </c>
      <c r="AZ49" s="2">
        <f>IF(OR($AS49="",$D$6=""),"",TRIM(INDEX($A:$AP,ROW(),$D$6)&amp;""))</f>
        <v/>
      </c>
      <c r="BA49" s="2">
        <f>IF($AS49="","",IF(AND($AS49&gt;=설정!$B$10,$AS49&lt;=설정!$B$11),"포함","기간 밖"))</f>
        <v/>
      </c>
      <c r="BB49" s="2">
        <f>IF($AS49="","",IF(OR($AT49&lt;0,AND($I$6&lt;&gt;"",ISNUMBER(FIND("수정",INDEX($A:$AP,ROW(),IF($I$6="",1,$I$6))&amp;"")))),"수정","일반"))</f>
        <v/>
      </c>
      <c r="BC49" s="2">
        <f>IF($AS49="","",MID(IF($BA49="기간 밖"," / 기간 밖(신고기간 아님)","")&amp;IF(AND($AW49&lt;&gt;"",COUNTIF($AW$8:$AW$1007,$AW49)&gt;1)," / 승인번호 중복(두 번 붙여넣기?)","")&amp;IF(ABS($AU49-ROUND($AT49*0.1,0))&gt;설정!$B$8,IF($AU49=0," / 세액 0원(영세율·면세 여부 확인)"," / 세액이 공급가액 10%와 다름"),"")&amp;IF($BB49="수정"," / 수정세금계산서(합계에서 자동 가감)",""),4,200))</f>
        <v/>
      </c>
      <c r="BD49" s="2">
        <f>IF($BA49&lt;&gt;"포함","",IF(COUNTIFS($AX$8:$AX49,$AX49,$BA$8:$BA49,"포함")=1,MAX($BD$7:BD48)+1,""))</f>
        <v/>
      </c>
      <c r="BE49" s="2">
        <f>IF($BC49="","",MAX($BE$7:BE48)+1)</f>
        <v/>
      </c>
    </row>
    <row r="50">
      <c r="AR50" s="2">
        <f>IF(OR($A$5="",$B$6="",ROW()&lt;$A$5),"",IF(INDEX($A:$AP,ROW(),$B$6)="","",INDEX($A:$AP,ROW(),$B$6)))</f>
        <v/>
      </c>
      <c r="AS50" s="22">
        <f>IF($AR50="","",IF(ISNUMBER($AR50),IF($AR50&gt;=10000000,IFERROR(DATE(INT($AR50/10000),MOD(INT($AR50/100),100),MOD($AR50,100)),""),INT($AR50)),IFERROR(DATE(--LEFT(LEFT(SUBSTITUTE(SUBSTITUTE(SUBSTITUTE(SUBSTITUTE(TRIM($AR50),"-",""),".",""),"/","")," ",""),8),4),--MID(LEFT(SUBSTITUTE(SUBSTITUTE(SUBSTITUTE(SUBSTITUTE(TRIM($AR50),"-",""),".",""),"/","")," ",""),8),5,2),--MID(LEFT(SUBSTITUTE(SUBSTITUTE(SUBSTITUTE(SUBSTITUTE(TRIM($AR50),"-",""),".",""),"/","")," ",""),8),7,2)),"")))</f>
        <v/>
      </c>
      <c r="AT50" s="23">
        <f>IF($AS50="","",IF($F$6="",0,IF(ISNUMBER(INDEX($A:$AP,ROW(),$F$6)),INDEX($A:$AP,ROW(),$F$6),IFERROR(--SUBSTITUTE(SUBSTITUTE(TRIM(INDEX($A:$AP,ROW(),$F$6)),",",""),"원",""),0))))</f>
        <v/>
      </c>
      <c r="AU50" s="23">
        <f>IF($AS50="","",IF($G$6="",0,IF(ISNUMBER(INDEX($A:$AP,ROW(),$G$6)),INDEX($A:$AP,ROW(),$G$6),IFERROR(--SUBSTITUTE(SUBSTITUTE(TRIM(INDEX($A:$AP,ROW(),$G$6)),",",""),"원",""),0))))</f>
        <v/>
      </c>
      <c r="AV50" s="23">
        <f>IF($AS50="","",IF($H$6="",$AT50+$AU50,IF($H$6="",0,IF(ISNUMBER(INDEX($A:$AP,ROW(),$H$6)),INDEX($A:$AP,ROW(),$H$6),IFERROR(--SUBSTITUTE(SUBSTITUTE(TRIM(INDEX($A:$AP,ROW(),$H$6)),",",""),"원",""),0)))))</f>
        <v/>
      </c>
      <c r="AW50" s="2">
        <f>IF(OR($AS50="",$C$6=""),"",TRIM(INDEX($A:$AP,ROW(),$C$6)&amp;""))</f>
        <v/>
      </c>
      <c r="AX50" s="2">
        <f>IF($AS50="","",IF($AZ50&lt;&gt;"",SUBSTITUTE(SUBSTITUTE($AZ50,"-","")," ",""),$AY50))</f>
        <v/>
      </c>
      <c r="AY50" s="2">
        <f>IF(OR($AS50="",$E$6=""),"",TRIM(INDEX($A:$AP,ROW(),$E$6)&amp;""))</f>
        <v/>
      </c>
      <c r="AZ50" s="2">
        <f>IF(OR($AS50="",$D$6=""),"",TRIM(INDEX($A:$AP,ROW(),$D$6)&amp;""))</f>
        <v/>
      </c>
      <c r="BA50" s="2">
        <f>IF($AS50="","",IF(AND($AS50&gt;=설정!$B$10,$AS50&lt;=설정!$B$11),"포함","기간 밖"))</f>
        <v/>
      </c>
      <c r="BB50" s="2">
        <f>IF($AS50="","",IF(OR($AT50&lt;0,AND($I$6&lt;&gt;"",ISNUMBER(FIND("수정",INDEX($A:$AP,ROW(),IF($I$6="",1,$I$6))&amp;"")))),"수정","일반"))</f>
        <v/>
      </c>
      <c r="BC50" s="2">
        <f>IF($AS50="","",MID(IF($BA50="기간 밖"," / 기간 밖(신고기간 아님)","")&amp;IF(AND($AW50&lt;&gt;"",COUNTIF($AW$8:$AW$1007,$AW50)&gt;1)," / 승인번호 중복(두 번 붙여넣기?)","")&amp;IF(ABS($AU50-ROUND($AT50*0.1,0))&gt;설정!$B$8,IF($AU50=0," / 세액 0원(영세율·면세 여부 확인)"," / 세액이 공급가액 10%와 다름"),"")&amp;IF($BB50="수정"," / 수정세금계산서(합계에서 자동 가감)",""),4,200))</f>
        <v/>
      </c>
      <c r="BD50" s="2">
        <f>IF($BA50&lt;&gt;"포함","",IF(COUNTIFS($AX$8:$AX50,$AX50,$BA$8:$BA50,"포함")=1,MAX($BD$7:BD49)+1,""))</f>
        <v/>
      </c>
      <c r="BE50" s="2">
        <f>IF($BC50="","",MAX($BE$7:BE49)+1)</f>
        <v/>
      </c>
    </row>
    <row r="51">
      <c r="AR51" s="2">
        <f>IF(OR($A$5="",$B$6="",ROW()&lt;$A$5),"",IF(INDEX($A:$AP,ROW(),$B$6)="","",INDEX($A:$AP,ROW(),$B$6)))</f>
        <v/>
      </c>
      <c r="AS51" s="22">
        <f>IF($AR51="","",IF(ISNUMBER($AR51),IF($AR51&gt;=10000000,IFERROR(DATE(INT($AR51/10000),MOD(INT($AR51/100),100),MOD($AR51,100)),""),INT($AR51)),IFERROR(DATE(--LEFT(LEFT(SUBSTITUTE(SUBSTITUTE(SUBSTITUTE(SUBSTITUTE(TRIM($AR51),"-",""),".",""),"/","")," ",""),8),4),--MID(LEFT(SUBSTITUTE(SUBSTITUTE(SUBSTITUTE(SUBSTITUTE(TRIM($AR51),"-",""),".",""),"/","")," ",""),8),5,2),--MID(LEFT(SUBSTITUTE(SUBSTITUTE(SUBSTITUTE(SUBSTITUTE(TRIM($AR51),"-",""),".",""),"/","")," ",""),8),7,2)),"")))</f>
        <v/>
      </c>
      <c r="AT51" s="23">
        <f>IF($AS51="","",IF($F$6="",0,IF(ISNUMBER(INDEX($A:$AP,ROW(),$F$6)),INDEX($A:$AP,ROW(),$F$6),IFERROR(--SUBSTITUTE(SUBSTITUTE(TRIM(INDEX($A:$AP,ROW(),$F$6)),",",""),"원",""),0))))</f>
        <v/>
      </c>
      <c r="AU51" s="23">
        <f>IF($AS51="","",IF($G$6="",0,IF(ISNUMBER(INDEX($A:$AP,ROW(),$G$6)),INDEX($A:$AP,ROW(),$G$6),IFERROR(--SUBSTITUTE(SUBSTITUTE(TRIM(INDEX($A:$AP,ROW(),$G$6)),",",""),"원",""),0))))</f>
        <v/>
      </c>
      <c r="AV51" s="23">
        <f>IF($AS51="","",IF($H$6="",$AT51+$AU51,IF($H$6="",0,IF(ISNUMBER(INDEX($A:$AP,ROW(),$H$6)),INDEX($A:$AP,ROW(),$H$6),IFERROR(--SUBSTITUTE(SUBSTITUTE(TRIM(INDEX($A:$AP,ROW(),$H$6)),",",""),"원",""),0)))))</f>
        <v/>
      </c>
      <c r="AW51" s="2">
        <f>IF(OR($AS51="",$C$6=""),"",TRIM(INDEX($A:$AP,ROW(),$C$6)&amp;""))</f>
        <v/>
      </c>
      <c r="AX51" s="2">
        <f>IF($AS51="","",IF($AZ51&lt;&gt;"",SUBSTITUTE(SUBSTITUTE($AZ51,"-","")," ",""),$AY51))</f>
        <v/>
      </c>
      <c r="AY51" s="2">
        <f>IF(OR($AS51="",$E$6=""),"",TRIM(INDEX($A:$AP,ROW(),$E$6)&amp;""))</f>
        <v/>
      </c>
      <c r="AZ51" s="2">
        <f>IF(OR($AS51="",$D$6=""),"",TRIM(INDEX($A:$AP,ROW(),$D$6)&amp;""))</f>
        <v/>
      </c>
      <c r="BA51" s="2">
        <f>IF($AS51="","",IF(AND($AS51&gt;=설정!$B$10,$AS51&lt;=설정!$B$11),"포함","기간 밖"))</f>
        <v/>
      </c>
      <c r="BB51" s="2">
        <f>IF($AS51="","",IF(OR($AT51&lt;0,AND($I$6&lt;&gt;"",ISNUMBER(FIND("수정",INDEX($A:$AP,ROW(),IF($I$6="",1,$I$6))&amp;"")))),"수정","일반"))</f>
        <v/>
      </c>
      <c r="BC51" s="2">
        <f>IF($AS51="","",MID(IF($BA51="기간 밖"," / 기간 밖(신고기간 아님)","")&amp;IF(AND($AW51&lt;&gt;"",COUNTIF($AW$8:$AW$1007,$AW51)&gt;1)," / 승인번호 중복(두 번 붙여넣기?)","")&amp;IF(ABS($AU51-ROUND($AT51*0.1,0))&gt;설정!$B$8,IF($AU51=0," / 세액 0원(영세율·면세 여부 확인)"," / 세액이 공급가액 10%와 다름"),"")&amp;IF($BB51="수정"," / 수정세금계산서(합계에서 자동 가감)",""),4,200))</f>
        <v/>
      </c>
      <c r="BD51" s="2">
        <f>IF($BA51&lt;&gt;"포함","",IF(COUNTIFS($AX$8:$AX51,$AX51,$BA$8:$BA51,"포함")=1,MAX($BD$7:BD50)+1,""))</f>
        <v/>
      </c>
      <c r="BE51" s="2">
        <f>IF($BC51="","",MAX($BE$7:BE50)+1)</f>
        <v/>
      </c>
    </row>
    <row r="52">
      <c r="AR52" s="2">
        <f>IF(OR($A$5="",$B$6="",ROW()&lt;$A$5),"",IF(INDEX($A:$AP,ROW(),$B$6)="","",INDEX($A:$AP,ROW(),$B$6)))</f>
        <v/>
      </c>
      <c r="AS52" s="22">
        <f>IF($AR52="","",IF(ISNUMBER($AR52),IF($AR52&gt;=10000000,IFERROR(DATE(INT($AR52/10000),MOD(INT($AR52/100),100),MOD($AR52,100)),""),INT($AR52)),IFERROR(DATE(--LEFT(LEFT(SUBSTITUTE(SUBSTITUTE(SUBSTITUTE(SUBSTITUTE(TRIM($AR52),"-",""),".",""),"/","")," ",""),8),4),--MID(LEFT(SUBSTITUTE(SUBSTITUTE(SUBSTITUTE(SUBSTITUTE(TRIM($AR52),"-",""),".",""),"/","")," ",""),8),5,2),--MID(LEFT(SUBSTITUTE(SUBSTITUTE(SUBSTITUTE(SUBSTITUTE(TRIM($AR52),"-",""),".",""),"/","")," ",""),8),7,2)),"")))</f>
        <v/>
      </c>
      <c r="AT52" s="23">
        <f>IF($AS52="","",IF($F$6="",0,IF(ISNUMBER(INDEX($A:$AP,ROW(),$F$6)),INDEX($A:$AP,ROW(),$F$6),IFERROR(--SUBSTITUTE(SUBSTITUTE(TRIM(INDEX($A:$AP,ROW(),$F$6)),",",""),"원",""),0))))</f>
        <v/>
      </c>
      <c r="AU52" s="23">
        <f>IF($AS52="","",IF($G$6="",0,IF(ISNUMBER(INDEX($A:$AP,ROW(),$G$6)),INDEX($A:$AP,ROW(),$G$6),IFERROR(--SUBSTITUTE(SUBSTITUTE(TRIM(INDEX($A:$AP,ROW(),$G$6)),",",""),"원",""),0))))</f>
        <v/>
      </c>
      <c r="AV52" s="23">
        <f>IF($AS52="","",IF($H$6="",$AT52+$AU52,IF($H$6="",0,IF(ISNUMBER(INDEX($A:$AP,ROW(),$H$6)),INDEX($A:$AP,ROW(),$H$6),IFERROR(--SUBSTITUTE(SUBSTITUTE(TRIM(INDEX($A:$AP,ROW(),$H$6)),",",""),"원",""),0)))))</f>
        <v/>
      </c>
      <c r="AW52" s="2">
        <f>IF(OR($AS52="",$C$6=""),"",TRIM(INDEX($A:$AP,ROW(),$C$6)&amp;""))</f>
        <v/>
      </c>
      <c r="AX52" s="2">
        <f>IF($AS52="","",IF($AZ52&lt;&gt;"",SUBSTITUTE(SUBSTITUTE($AZ52,"-","")," ",""),$AY52))</f>
        <v/>
      </c>
      <c r="AY52" s="2">
        <f>IF(OR($AS52="",$E$6=""),"",TRIM(INDEX($A:$AP,ROW(),$E$6)&amp;""))</f>
        <v/>
      </c>
      <c r="AZ52" s="2">
        <f>IF(OR($AS52="",$D$6=""),"",TRIM(INDEX($A:$AP,ROW(),$D$6)&amp;""))</f>
        <v/>
      </c>
      <c r="BA52" s="2">
        <f>IF($AS52="","",IF(AND($AS52&gt;=설정!$B$10,$AS52&lt;=설정!$B$11),"포함","기간 밖"))</f>
        <v/>
      </c>
      <c r="BB52" s="2">
        <f>IF($AS52="","",IF(OR($AT52&lt;0,AND($I$6&lt;&gt;"",ISNUMBER(FIND("수정",INDEX($A:$AP,ROW(),IF($I$6="",1,$I$6))&amp;"")))),"수정","일반"))</f>
        <v/>
      </c>
      <c r="BC52" s="2">
        <f>IF($AS52="","",MID(IF($BA52="기간 밖"," / 기간 밖(신고기간 아님)","")&amp;IF(AND($AW52&lt;&gt;"",COUNTIF($AW$8:$AW$1007,$AW52)&gt;1)," / 승인번호 중복(두 번 붙여넣기?)","")&amp;IF(ABS($AU52-ROUND($AT52*0.1,0))&gt;설정!$B$8,IF($AU52=0," / 세액 0원(영세율·면세 여부 확인)"," / 세액이 공급가액 10%와 다름"),"")&amp;IF($BB52="수정"," / 수정세금계산서(합계에서 자동 가감)",""),4,200))</f>
        <v/>
      </c>
      <c r="BD52" s="2">
        <f>IF($BA52&lt;&gt;"포함","",IF(COUNTIFS($AX$8:$AX52,$AX52,$BA$8:$BA52,"포함")=1,MAX($BD$7:BD51)+1,""))</f>
        <v/>
      </c>
      <c r="BE52" s="2">
        <f>IF($BC52="","",MAX($BE$7:BE51)+1)</f>
        <v/>
      </c>
    </row>
    <row r="53">
      <c r="AR53" s="2">
        <f>IF(OR($A$5="",$B$6="",ROW()&lt;$A$5),"",IF(INDEX($A:$AP,ROW(),$B$6)="","",INDEX($A:$AP,ROW(),$B$6)))</f>
        <v/>
      </c>
      <c r="AS53" s="22">
        <f>IF($AR53="","",IF(ISNUMBER($AR53),IF($AR53&gt;=10000000,IFERROR(DATE(INT($AR53/10000),MOD(INT($AR53/100),100),MOD($AR53,100)),""),INT($AR53)),IFERROR(DATE(--LEFT(LEFT(SUBSTITUTE(SUBSTITUTE(SUBSTITUTE(SUBSTITUTE(TRIM($AR53),"-",""),".",""),"/","")," ",""),8),4),--MID(LEFT(SUBSTITUTE(SUBSTITUTE(SUBSTITUTE(SUBSTITUTE(TRIM($AR53),"-",""),".",""),"/","")," ",""),8),5,2),--MID(LEFT(SUBSTITUTE(SUBSTITUTE(SUBSTITUTE(SUBSTITUTE(TRIM($AR53),"-",""),".",""),"/","")," ",""),8),7,2)),"")))</f>
        <v/>
      </c>
      <c r="AT53" s="23">
        <f>IF($AS53="","",IF($F$6="",0,IF(ISNUMBER(INDEX($A:$AP,ROW(),$F$6)),INDEX($A:$AP,ROW(),$F$6),IFERROR(--SUBSTITUTE(SUBSTITUTE(TRIM(INDEX($A:$AP,ROW(),$F$6)),",",""),"원",""),0))))</f>
        <v/>
      </c>
      <c r="AU53" s="23">
        <f>IF($AS53="","",IF($G$6="",0,IF(ISNUMBER(INDEX($A:$AP,ROW(),$G$6)),INDEX($A:$AP,ROW(),$G$6),IFERROR(--SUBSTITUTE(SUBSTITUTE(TRIM(INDEX($A:$AP,ROW(),$G$6)),",",""),"원",""),0))))</f>
        <v/>
      </c>
      <c r="AV53" s="23">
        <f>IF($AS53="","",IF($H$6="",$AT53+$AU53,IF($H$6="",0,IF(ISNUMBER(INDEX($A:$AP,ROW(),$H$6)),INDEX($A:$AP,ROW(),$H$6),IFERROR(--SUBSTITUTE(SUBSTITUTE(TRIM(INDEX($A:$AP,ROW(),$H$6)),",",""),"원",""),0)))))</f>
        <v/>
      </c>
      <c r="AW53" s="2">
        <f>IF(OR($AS53="",$C$6=""),"",TRIM(INDEX($A:$AP,ROW(),$C$6)&amp;""))</f>
        <v/>
      </c>
      <c r="AX53" s="2">
        <f>IF($AS53="","",IF($AZ53&lt;&gt;"",SUBSTITUTE(SUBSTITUTE($AZ53,"-","")," ",""),$AY53))</f>
        <v/>
      </c>
      <c r="AY53" s="2">
        <f>IF(OR($AS53="",$E$6=""),"",TRIM(INDEX($A:$AP,ROW(),$E$6)&amp;""))</f>
        <v/>
      </c>
      <c r="AZ53" s="2">
        <f>IF(OR($AS53="",$D$6=""),"",TRIM(INDEX($A:$AP,ROW(),$D$6)&amp;""))</f>
        <v/>
      </c>
      <c r="BA53" s="2">
        <f>IF($AS53="","",IF(AND($AS53&gt;=설정!$B$10,$AS53&lt;=설정!$B$11),"포함","기간 밖"))</f>
        <v/>
      </c>
      <c r="BB53" s="2">
        <f>IF($AS53="","",IF(OR($AT53&lt;0,AND($I$6&lt;&gt;"",ISNUMBER(FIND("수정",INDEX($A:$AP,ROW(),IF($I$6="",1,$I$6))&amp;"")))),"수정","일반"))</f>
        <v/>
      </c>
      <c r="BC53" s="2">
        <f>IF($AS53="","",MID(IF($BA53="기간 밖"," / 기간 밖(신고기간 아님)","")&amp;IF(AND($AW53&lt;&gt;"",COUNTIF($AW$8:$AW$1007,$AW53)&gt;1)," / 승인번호 중복(두 번 붙여넣기?)","")&amp;IF(ABS($AU53-ROUND($AT53*0.1,0))&gt;설정!$B$8,IF($AU53=0," / 세액 0원(영세율·면세 여부 확인)"," / 세액이 공급가액 10%와 다름"),"")&amp;IF($BB53="수정"," / 수정세금계산서(합계에서 자동 가감)",""),4,200))</f>
        <v/>
      </c>
      <c r="BD53" s="2">
        <f>IF($BA53&lt;&gt;"포함","",IF(COUNTIFS($AX$8:$AX53,$AX53,$BA$8:$BA53,"포함")=1,MAX($BD$7:BD52)+1,""))</f>
        <v/>
      </c>
      <c r="BE53" s="2">
        <f>IF($BC53="","",MAX($BE$7:BE52)+1)</f>
        <v/>
      </c>
    </row>
    <row r="54">
      <c r="AR54" s="2">
        <f>IF(OR($A$5="",$B$6="",ROW()&lt;$A$5),"",IF(INDEX($A:$AP,ROW(),$B$6)="","",INDEX($A:$AP,ROW(),$B$6)))</f>
        <v/>
      </c>
      <c r="AS54" s="22">
        <f>IF($AR54="","",IF(ISNUMBER($AR54),IF($AR54&gt;=10000000,IFERROR(DATE(INT($AR54/10000),MOD(INT($AR54/100),100),MOD($AR54,100)),""),INT($AR54)),IFERROR(DATE(--LEFT(LEFT(SUBSTITUTE(SUBSTITUTE(SUBSTITUTE(SUBSTITUTE(TRIM($AR54),"-",""),".",""),"/","")," ",""),8),4),--MID(LEFT(SUBSTITUTE(SUBSTITUTE(SUBSTITUTE(SUBSTITUTE(TRIM($AR54),"-",""),".",""),"/","")," ",""),8),5,2),--MID(LEFT(SUBSTITUTE(SUBSTITUTE(SUBSTITUTE(SUBSTITUTE(TRIM($AR54),"-",""),".",""),"/","")," ",""),8),7,2)),"")))</f>
        <v/>
      </c>
      <c r="AT54" s="23">
        <f>IF($AS54="","",IF($F$6="",0,IF(ISNUMBER(INDEX($A:$AP,ROW(),$F$6)),INDEX($A:$AP,ROW(),$F$6),IFERROR(--SUBSTITUTE(SUBSTITUTE(TRIM(INDEX($A:$AP,ROW(),$F$6)),",",""),"원",""),0))))</f>
        <v/>
      </c>
      <c r="AU54" s="23">
        <f>IF($AS54="","",IF($G$6="",0,IF(ISNUMBER(INDEX($A:$AP,ROW(),$G$6)),INDEX($A:$AP,ROW(),$G$6),IFERROR(--SUBSTITUTE(SUBSTITUTE(TRIM(INDEX($A:$AP,ROW(),$G$6)),",",""),"원",""),0))))</f>
        <v/>
      </c>
      <c r="AV54" s="23">
        <f>IF($AS54="","",IF($H$6="",$AT54+$AU54,IF($H$6="",0,IF(ISNUMBER(INDEX($A:$AP,ROW(),$H$6)),INDEX($A:$AP,ROW(),$H$6),IFERROR(--SUBSTITUTE(SUBSTITUTE(TRIM(INDEX($A:$AP,ROW(),$H$6)),",",""),"원",""),0)))))</f>
        <v/>
      </c>
      <c r="AW54" s="2">
        <f>IF(OR($AS54="",$C$6=""),"",TRIM(INDEX($A:$AP,ROW(),$C$6)&amp;""))</f>
        <v/>
      </c>
      <c r="AX54" s="2">
        <f>IF($AS54="","",IF($AZ54&lt;&gt;"",SUBSTITUTE(SUBSTITUTE($AZ54,"-","")," ",""),$AY54))</f>
        <v/>
      </c>
      <c r="AY54" s="2">
        <f>IF(OR($AS54="",$E$6=""),"",TRIM(INDEX($A:$AP,ROW(),$E$6)&amp;""))</f>
        <v/>
      </c>
      <c r="AZ54" s="2">
        <f>IF(OR($AS54="",$D$6=""),"",TRIM(INDEX($A:$AP,ROW(),$D$6)&amp;""))</f>
        <v/>
      </c>
      <c r="BA54" s="2">
        <f>IF($AS54="","",IF(AND($AS54&gt;=설정!$B$10,$AS54&lt;=설정!$B$11),"포함","기간 밖"))</f>
        <v/>
      </c>
      <c r="BB54" s="2">
        <f>IF($AS54="","",IF(OR($AT54&lt;0,AND($I$6&lt;&gt;"",ISNUMBER(FIND("수정",INDEX($A:$AP,ROW(),IF($I$6="",1,$I$6))&amp;"")))),"수정","일반"))</f>
        <v/>
      </c>
      <c r="BC54" s="2">
        <f>IF($AS54="","",MID(IF($BA54="기간 밖"," / 기간 밖(신고기간 아님)","")&amp;IF(AND($AW54&lt;&gt;"",COUNTIF($AW$8:$AW$1007,$AW54)&gt;1)," / 승인번호 중복(두 번 붙여넣기?)","")&amp;IF(ABS($AU54-ROUND($AT54*0.1,0))&gt;설정!$B$8,IF($AU54=0," / 세액 0원(영세율·면세 여부 확인)"," / 세액이 공급가액 10%와 다름"),"")&amp;IF($BB54="수정"," / 수정세금계산서(합계에서 자동 가감)",""),4,200))</f>
        <v/>
      </c>
      <c r="BD54" s="2">
        <f>IF($BA54&lt;&gt;"포함","",IF(COUNTIFS($AX$8:$AX54,$AX54,$BA$8:$BA54,"포함")=1,MAX($BD$7:BD53)+1,""))</f>
        <v/>
      </c>
      <c r="BE54" s="2">
        <f>IF($BC54="","",MAX($BE$7:BE53)+1)</f>
        <v/>
      </c>
    </row>
    <row r="55">
      <c r="AR55" s="2">
        <f>IF(OR($A$5="",$B$6="",ROW()&lt;$A$5),"",IF(INDEX($A:$AP,ROW(),$B$6)="","",INDEX($A:$AP,ROW(),$B$6)))</f>
        <v/>
      </c>
      <c r="AS55" s="22">
        <f>IF($AR55="","",IF(ISNUMBER($AR55),IF($AR55&gt;=10000000,IFERROR(DATE(INT($AR55/10000),MOD(INT($AR55/100),100),MOD($AR55,100)),""),INT($AR55)),IFERROR(DATE(--LEFT(LEFT(SUBSTITUTE(SUBSTITUTE(SUBSTITUTE(SUBSTITUTE(TRIM($AR55),"-",""),".",""),"/","")," ",""),8),4),--MID(LEFT(SUBSTITUTE(SUBSTITUTE(SUBSTITUTE(SUBSTITUTE(TRIM($AR55),"-",""),".",""),"/","")," ",""),8),5,2),--MID(LEFT(SUBSTITUTE(SUBSTITUTE(SUBSTITUTE(SUBSTITUTE(TRIM($AR55),"-",""),".",""),"/","")," ",""),8),7,2)),"")))</f>
        <v/>
      </c>
      <c r="AT55" s="23">
        <f>IF($AS55="","",IF($F$6="",0,IF(ISNUMBER(INDEX($A:$AP,ROW(),$F$6)),INDEX($A:$AP,ROW(),$F$6),IFERROR(--SUBSTITUTE(SUBSTITUTE(TRIM(INDEX($A:$AP,ROW(),$F$6)),",",""),"원",""),0))))</f>
        <v/>
      </c>
      <c r="AU55" s="23">
        <f>IF($AS55="","",IF($G$6="",0,IF(ISNUMBER(INDEX($A:$AP,ROW(),$G$6)),INDEX($A:$AP,ROW(),$G$6),IFERROR(--SUBSTITUTE(SUBSTITUTE(TRIM(INDEX($A:$AP,ROW(),$G$6)),",",""),"원",""),0))))</f>
        <v/>
      </c>
      <c r="AV55" s="23">
        <f>IF($AS55="","",IF($H$6="",$AT55+$AU55,IF($H$6="",0,IF(ISNUMBER(INDEX($A:$AP,ROW(),$H$6)),INDEX($A:$AP,ROW(),$H$6),IFERROR(--SUBSTITUTE(SUBSTITUTE(TRIM(INDEX($A:$AP,ROW(),$H$6)),",",""),"원",""),0)))))</f>
        <v/>
      </c>
      <c r="AW55" s="2">
        <f>IF(OR($AS55="",$C$6=""),"",TRIM(INDEX($A:$AP,ROW(),$C$6)&amp;""))</f>
        <v/>
      </c>
      <c r="AX55" s="2">
        <f>IF($AS55="","",IF($AZ55&lt;&gt;"",SUBSTITUTE(SUBSTITUTE($AZ55,"-","")," ",""),$AY55))</f>
        <v/>
      </c>
      <c r="AY55" s="2">
        <f>IF(OR($AS55="",$E$6=""),"",TRIM(INDEX($A:$AP,ROW(),$E$6)&amp;""))</f>
        <v/>
      </c>
      <c r="AZ55" s="2">
        <f>IF(OR($AS55="",$D$6=""),"",TRIM(INDEX($A:$AP,ROW(),$D$6)&amp;""))</f>
        <v/>
      </c>
      <c r="BA55" s="2">
        <f>IF($AS55="","",IF(AND($AS55&gt;=설정!$B$10,$AS55&lt;=설정!$B$11),"포함","기간 밖"))</f>
        <v/>
      </c>
      <c r="BB55" s="2">
        <f>IF($AS55="","",IF(OR($AT55&lt;0,AND($I$6&lt;&gt;"",ISNUMBER(FIND("수정",INDEX($A:$AP,ROW(),IF($I$6="",1,$I$6))&amp;"")))),"수정","일반"))</f>
        <v/>
      </c>
      <c r="BC55" s="2">
        <f>IF($AS55="","",MID(IF($BA55="기간 밖"," / 기간 밖(신고기간 아님)","")&amp;IF(AND($AW55&lt;&gt;"",COUNTIF($AW$8:$AW$1007,$AW55)&gt;1)," / 승인번호 중복(두 번 붙여넣기?)","")&amp;IF(ABS($AU55-ROUND($AT55*0.1,0))&gt;설정!$B$8,IF($AU55=0," / 세액 0원(영세율·면세 여부 확인)"," / 세액이 공급가액 10%와 다름"),"")&amp;IF($BB55="수정"," / 수정세금계산서(합계에서 자동 가감)",""),4,200))</f>
        <v/>
      </c>
      <c r="BD55" s="2">
        <f>IF($BA55&lt;&gt;"포함","",IF(COUNTIFS($AX$8:$AX55,$AX55,$BA$8:$BA55,"포함")=1,MAX($BD$7:BD54)+1,""))</f>
        <v/>
      </c>
      <c r="BE55" s="2">
        <f>IF($BC55="","",MAX($BE$7:BE54)+1)</f>
        <v/>
      </c>
    </row>
    <row r="56">
      <c r="AR56" s="2">
        <f>IF(OR($A$5="",$B$6="",ROW()&lt;$A$5),"",IF(INDEX($A:$AP,ROW(),$B$6)="","",INDEX($A:$AP,ROW(),$B$6)))</f>
        <v/>
      </c>
      <c r="AS56" s="22">
        <f>IF($AR56="","",IF(ISNUMBER($AR56),IF($AR56&gt;=10000000,IFERROR(DATE(INT($AR56/10000),MOD(INT($AR56/100),100),MOD($AR56,100)),""),INT($AR56)),IFERROR(DATE(--LEFT(LEFT(SUBSTITUTE(SUBSTITUTE(SUBSTITUTE(SUBSTITUTE(TRIM($AR56),"-",""),".",""),"/","")," ",""),8),4),--MID(LEFT(SUBSTITUTE(SUBSTITUTE(SUBSTITUTE(SUBSTITUTE(TRIM($AR56),"-",""),".",""),"/","")," ",""),8),5,2),--MID(LEFT(SUBSTITUTE(SUBSTITUTE(SUBSTITUTE(SUBSTITUTE(TRIM($AR56),"-",""),".",""),"/","")," ",""),8),7,2)),"")))</f>
        <v/>
      </c>
      <c r="AT56" s="23">
        <f>IF($AS56="","",IF($F$6="",0,IF(ISNUMBER(INDEX($A:$AP,ROW(),$F$6)),INDEX($A:$AP,ROW(),$F$6),IFERROR(--SUBSTITUTE(SUBSTITUTE(TRIM(INDEX($A:$AP,ROW(),$F$6)),",",""),"원",""),0))))</f>
        <v/>
      </c>
      <c r="AU56" s="23">
        <f>IF($AS56="","",IF($G$6="",0,IF(ISNUMBER(INDEX($A:$AP,ROW(),$G$6)),INDEX($A:$AP,ROW(),$G$6),IFERROR(--SUBSTITUTE(SUBSTITUTE(TRIM(INDEX($A:$AP,ROW(),$G$6)),",",""),"원",""),0))))</f>
        <v/>
      </c>
      <c r="AV56" s="23">
        <f>IF($AS56="","",IF($H$6="",$AT56+$AU56,IF($H$6="",0,IF(ISNUMBER(INDEX($A:$AP,ROW(),$H$6)),INDEX($A:$AP,ROW(),$H$6),IFERROR(--SUBSTITUTE(SUBSTITUTE(TRIM(INDEX($A:$AP,ROW(),$H$6)),",",""),"원",""),0)))))</f>
        <v/>
      </c>
      <c r="AW56" s="2">
        <f>IF(OR($AS56="",$C$6=""),"",TRIM(INDEX($A:$AP,ROW(),$C$6)&amp;""))</f>
        <v/>
      </c>
      <c r="AX56" s="2">
        <f>IF($AS56="","",IF($AZ56&lt;&gt;"",SUBSTITUTE(SUBSTITUTE($AZ56,"-","")," ",""),$AY56))</f>
        <v/>
      </c>
      <c r="AY56" s="2">
        <f>IF(OR($AS56="",$E$6=""),"",TRIM(INDEX($A:$AP,ROW(),$E$6)&amp;""))</f>
        <v/>
      </c>
      <c r="AZ56" s="2">
        <f>IF(OR($AS56="",$D$6=""),"",TRIM(INDEX($A:$AP,ROW(),$D$6)&amp;""))</f>
        <v/>
      </c>
      <c r="BA56" s="2">
        <f>IF($AS56="","",IF(AND($AS56&gt;=설정!$B$10,$AS56&lt;=설정!$B$11),"포함","기간 밖"))</f>
        <v/>
      </c>
      <c r="BB56" s="2">
        <f>IF($AS56="","",IF(OR($AT56&lt;0,AND($I$6&lt;&gt;"",ISNUMBER(FIND("수정",INDEX($A:$AP,ROW(),IF($I$6="",1,$I$6))&amp;"")))),"수정","일반"))</f>
        <v/>
      </c>
      <c r="BC56" s="2">
        <f>IF($AS56="","",MID(IF($BA56="기간 밖"," / 기간 밖(신고기간 아님)","")&amp;IF(AND($AW56&lt;&gt;"",COUNTIF($AW$8:$AW$1007,$AW56)&gt;1)," / 승인번호 중복(두 번 붙여넣기?)","")&amp;IF(ABS($AU56-ROUND($AT56*0.1,0))&gt;설정!$B$8,IF($AU56=0," / 세액 0원(영세율·면세 여부 확인)"," / 세액이 공급가액 10%와 다름"),"")&amp;IF($BB56="수정"," / 수정세금계산서(합계에서 자동 가감)",""),4,200))</f>
        <v/>
      </c>
      <c r="BD56" s="2">
        <f>IF($BA56&lt;&gt;"포함","",IF(COUNTIFS($AX$8:$AX56,$AX56,$BA$8:$BA56,"포함")=1,MAX($BD$7:BD55)+1,""))</f>
        <v/>
      </c>
      <c r="BE56" s="2">
        <f>IF($BC56="","",MAX($BE$7:BE55)+1)</f>
        <v/>
      </c>
    </row>
    <row r="57">
      <c r="AR57" s="2">
        <f>IF(OR($A$5="",$B$6="",ROW()&lt;$A$5),"",IF(INDEX($A:$AP,ROW(),$B$6)="","",INDEX($A:$AP,ROW(),$B$6)))</f>
        <v/>
      </c>
      <c r="AS57" s="22">
        <f>IF($AR57="","",IF(ISNUMBER($AR57),IF($AR57&gt;=10000000,IFERROR(DATE(INT($AR57/10000),MOD(INT($AR57/100),100),MOD($AR57,100)),""),INT($AR57)),IFERROR(DATE(--LEFT(LEFT(SUBSTITUTE(SUBSTITUTE(SUBSTITUTE(SUBSTITUTE(TRIM($AR57),"-",""),".",""),"/","")," ",""),8),4),--MID(LEFT(SUBSTITUTE(SUBSTITUTE(SUBSTITUTE(SUBSTITUTE(TRIM($AR57),"-",""),".",""),"/","")," ",""),8),5,2),--MID(LEFT(SUBSTITUTE(SUBSTITUTE(SUBSTITUTE(SUBSTITUTE(TRIM($AR57),"-",""),".",""),"/","")," ",""),8),7,2)),"")))</f>
        <v/>
      </c>
      <c r="AT57" s="23">
        <f>IF($AS57="","",IF($F$6="",0,IF(ISNUMBER(INDEX($A:$AP,ROW(),$F$6)),INDEX($A:$AP,ROW(),$F$6),IFERROR(--SUBSTITUTE(SUBSTITUTE(TRIM(INDEX($A:$AP,ROW(),$F$6)),",",""),"원",""),0))))</f>
        <v/>
      </c>
      <c r="AU57" s="23">
        <f>IF($AS57="","",IF($G$6="",0,IF(ISNUMBER(INDEX($A:$AP,ROW(),$G$6)),INDEX($A:$AP,ROW(),$G$6),IFERROR(--SUBSTITUTE(SUBSTITUTE(TRIM(INDEX($A:$AP,ROW(),$G$6)),",",""),"원",""),0))))</f>
        <v/>
      </c>
      <c r="AV57" s="23">
        <f>IF($AS57="","",IF($H$6="",$AT57+$AU57,IF($H$6="",0,IF(ISNUMBER(INDEX($A:$AP,ROW(),$H$6)),INDEX($A:$AP,ROW(),$H$6),IFERROR(--SUBSTITUTE(SUBSTITUTE(TRIM(INDEX($A:$AP,ROW(),$H$6)),",",""),"원",""),0)))))</f>
        <v/>
      </c>
      <c r="AW57" s="2">
        <f>IF(OR($AS57="",$C$6=""),"",TRIM(INDEX($A:$AP,ROW(),$C$6)&amp;""))</f>
        <v/>
      </c>
      <c r="AX57" s="2">
        <f>IF($AS57="","",IF($AZ57&lt;&gt;"",SUBSTITUTE(SUBSTITUTE($AZ57,"-","")," ",""),$AY57))</f>
        <v/>
      </c>
      <c r="AY57" s="2">
        <f>IF(OR($AS57="",$E$6=""),"",TRIM(INDEX($A:$AP,ROW(),$E$6)&amp;""))</f>
        <v/>
      </c>
      <c r="AZ57" s="2">
        <f>IF(OR($AS57="",$D$6=""),"",TRIM(INDEX($A:$AP,ROW(),$D$6)&amp;""))</f>
        <v/>
      </c>
      <c r="BA57" s="2">
        <f>IF($AS57="","",IF(AND($AS57&gt;=설정!$B$10,$AS57&lt;=설정!$B$11),"포함","기간 밖"))</f>
        <v/>
      </c>
      <c r="BB57" s="2">
        <f>IF($AS57="","",IF(OR($AT57&lt;0,AND($I$6&lt;&gt;"",ISNUMBER(FIND("수정",INDEX($A:$AP,ROW(),IF($I$6="",1,$I$6))&amp;"")))),"수정","일반"))</f>
        <v/>
      </c>
      <c r="BC57" s="2">
        <f>IF($AS57="","",MID(IF($BA57="기간 밖"," / 기간 밖(신고기간 아님)","")&amp;IF(AND($AW57&lt;&gt;"",COUNTIF($AW$8:$AW$1007,$AW57)&gt;1)," / 승인번호 중복(두 번 붙여넣기?)","")&amp;IF(ABS($AU57-ROUND($AT57*0.1,0))&gt;설정!$B$8,IF($AU57=0," / 세액 0원(영세율·면세 여부 확인)"," / 세액이 공급가액 10%와 다름"),"")&amp;IF($BB57="수정"," / 수정세금계산서(합계에서 자동 가감)",""),4,200))</f>
        <v/>
      </c>
      <c r="BD57" s="2">
        <f>IF($BA57&lt;&gt;"포함","",IF(COUNTIFS($AX$8:$AX57,$AX57,$BA$8:$BA57,"포함")=1,MAX($BD$7:BD56)+1,""))</f>
        <v/>
      </c>
      <c r="BE57" s="2">
        <f>IF($BC57="","",MAX($BE$7:BE56)+1)</f>
        <v/>
      </c>
    </row>
    <row r="58">
      <c r="AR58" s="2">
        <f>IF(OR($A$5="",$B$6="",ROW()&lt;$A$5),"",IF(INDEX($A:$AP,ROW(),$B$6)="","",INDEX($A:$AP,ROW(),$B$6)))</f>
        <v/>
      </c>
      <c r="AS58" s="22">
        <f>IF($AR58="","",IF(ISNUMBER($AR58),IF($AR58&gt;=10000000,IFERROR(DATE(INT($AR58/10000),MOD(INT($AR58/100),100),MOD($AR58,100)),""),INT($AR58)),IFERROR(DATE(--LEFT(LEFT(SUBSTITUTE(SUBSTITUTE(SUBSTITUTE(SUBSTITUTE(TRIM($AR58),"-",""),".",""),"/","")," ",""),8),4),--MID(LEFT(SUBSTITUTE(SUBSTITUTE(SUBSTITUTE(SUBSTITUTE(TRIM($AR58),"-",""),".",""),"/","")," ",""),8),5,2),--MID(LEFT(SUBSTITUTE(SUBSTITUTE(SUBSTITUTE(SUBSTITUTE(TRIM($AR58),"-",""),".",""),"/","")," ",""),8),7,2)),"")))</f>
        <v/>
      </c>
      <c r="AT58" s="23">
        <f>IF($AS58="","",IF($F$6="",0,IF(ISNUMBER(INDEX($A:$AP,ROW(),$F$6)),INDEX($A:$AP,ROW(),$F$6),IFERROR(--SUBSTITUTE(SUBSTITUTE(TRIM(INDEX($A:$AP,ROW(),$F$6)),",",""),"원",""),0))))</f>
        <v/>
      </c>
      <c r="AU58" s="23">
        <f>IF($AS58="","",IF($G$6="",0,IF(ISNUMBER(INDEX($A:$AP,ROW(),$G$6)),INDEX($A:$AP,ROW(),$G$6),IFERROR(--SUBSTITUTE(SUBSTITUTE(TRIM(INDEX($A:$AP,ROW(),$G$6)),",",""),"원",""),0))))</f>
        <v/>
      </c>
      <c r="AV58" s="23">
        <f>IF($AS58="","",IF($H$6="",$AT58+$AU58,IF($H$6="",0,IF(ISNUMBER(INDEX($A:$AP,ROW(),$H$6)),INDEX($A:$AP,ROW(),$H$6),IFERROR(--SUBSTITUTE(SUBSTITUTE(TRIM(INDEX($A:$AP,ROW(),$H$6)),",",""),"원",""),0)))))</f>
        <v/>
      </c>
      <c r="AW58" s="2">
        <f>IF(OR($AS58="",$C$6=""),"",TRIM(INDEX($A:$AP,ROW(),$C$6)&amp;""))</f>
        <v/>
      </c>
      <c r="AX58" s="2">
        <f>IF($AS58="","",IF($AZ58&lt;&gt;"",SUBSTITUTE(SUBSTITUTE($AZ58,"-","")," ",""),$AY58))</f>
        <v/>
      </c>
      <c r="AY58" s="2">
        <f>IF(OR($AS58="",$E$6=""),"",TRIM(INDEX($A:$AP,ROW(),$E$6)&amp;""))</f>
        <v/>
      </c>
      <c r="AZ58" s="2">
        <f>IF(OR($AS58="",$D$6=""),"",TRIM(INDEX($A:$AP,ROW(),$D$6)&amp;""))</f>
        <v/>
      </c>
      <c r="BA58" s="2">
        <f>IF($AS58="","",IF(AND($AS58&gt;=설정!$B$10,$AS58&lt;=설정!$B$11),"포함","기간 밖"))</f>
        <v/>
      </c>
      <c r="BB58" s="2">
        <f>IF($AS58="","",IF(OR($AT58&lt;0,AND($I$6&lt;&gt;"",ISNUMBER(FIND("수정",INDEX($A:$AP,ROW(),IF($I$6="",1,$I$6))&amp;"")))),"수정","일반"))</f>
        <v/>
      </c>
      <c r="BC58" s="2">
        <f>IF($AS58="","",MID(IF($BA58="기간 밖"," / 기간 밖(신고기간 아님)","")&amp;IF(AND($AW58&lt;&gt;"",COUNTIF($AW$8:$AW$1007,$AW58)&gt;1)," / 승인번호 중복(두 번 붙여넣기?)","")&amp;IF(ABS($AU58-ROUND($AT58*0.1,0))&gt;설정!$B$8,IF($AU58=0," / 세액 0원(영세율·면세 여부 확인)"," / 세액이 공급가액 10%와 다름"),"")&amp;IF($BB58="수정"," / 수정세금계산서(합계에서 자동 가감)",""),4,200))</f>
        <v/>
      </c>
      <c r="BD58" s="2">
        <f>IF($BA58&lt;&gt;"포함","",IF(COUNTIFS($AX$8:$AX58,$AX58,$BA$8:$BA58,"포함")=1,MAX($BD$7:BD57)+1,""))</f>
        <v/>
      </c>
      <c r="BE58" s="2">
        <f>IF($BC58="","",MAX($BE$7:BE57)+1)</f>
        <v/>
      </c>
    </row>
    <row r="59">
      <c r="AR59" s="2">
        <f>IF(OR($A$5="",$B$6="",ROW()&lt;$A$5),"",IF(INDEX($A:$AP,ROW(),$B$6)="","",INDEX($A:$AP,ROW(),$B$6)))</f>
        <v/>
      </c>
      <c r="AS59" s="22">
        <f>IF($AR59="","",IF(ISNUMBER($AR59),IF($AR59&gt;=10000000,IFERROR(DATE(INT($AR59/10000),MOD(INT($AR59/100),100),MOD($AR59,100)),""),INT($AR59)),IFERROR(DATE(--LEFT(LEFT(SUBSTITUTE(SUBSTITUTE(SUBSTITUTE(SUBSTITUTE(TRIM($AR59),"-",""),".",""),"/","")," ",""),8),4),--MID(LEFT(SUBSTITUTE(SUBSTITUTE(SUBSTITUTE(SUBSTITUTE(TRIM($AR59),"-",""),".",""),"/","")," ",""),8),5,2),--MID(LEFT(SUBSTITUTE(SUBSTITUTE(SUBSTITUTE(SUBSTITUTE(TRIM($AR59),"-",""),".",""),"/","")," ",""),8),7,2)),"")))</f>
        <v/>
      </c>
      <c r="AT59" s="23">
        <f>IF($AS59="","",IF($F$6="",0,IF(ISNUMBER(INDEX($A:$AP,ROW(),$F$6)),INDEX($A:$AP,ROW(),$F$6),IFERROR(--SUBSTITUTE(SUBSTITUTE(TRIM(INDEX($A:$AP,ROW(),$F$6)),",",""),"원",""),0))))</f>
        <v/>
      </c>
      <c r="AU59" s="23">
        <f>IF($AS59="","",IF($G$6="",0,IF(ISNUMBER(INDEX($A:$AP,ROW(),$G$6)),INDEX($A:$AP,ROW(),$G$6),IFERROR(--SUBSTITUTE(SUBSTITUTE(TRIM(INDEX($A:$AP,ROW(),$G$6)),",",""),"원",""),0))))</f>
        <v/>
      </c>
      <c r="AV59" s="23">
        <f>IF($AS59="","",IF($H$6="",$AT59+$AU59,IF($H$6="",0,IF(ISNUMBER(INDEX($A:$AP,ROW(),$H$6)),INDEX($A:$AP,ROW(),$H$6),IFERROR(--SUBSTITUTE(SUBSTITUTE(TRIM(INDEX($A:$AP,ROW(),$H$6)),",",""),"원",""),0)))))</f>
        <v/>
      </c>
      <c r="AW59" s="2">
        <f>IF(OR($AS59="",$C$6=""),"",TRIM(INDEX($A:$AP,ROW(),$C$6)&amp;""))</f>
        <v/>
      </c>
      <c r="AX59" s="2">
        <f>IF($AS59="","",IF($AZ59&lt;&gt;"",SUBSTITUTE(SUBSTITUTE($AZ59,"-","")," ",""),$AY59))</f>
        <v/>
      </c>
      <c r="AY59" s="2">
        <f>IF(OR($AS59="",$E$6=""),"",TRIM(INDEX($A:$AP,ROW(),$E$6)&amp;""))</f>
        <v/>
      </c>
      <c r="AZ59" s="2">
        <f>IF(OR($AS59="",$D$6=""),"",TRIM(INDEX($A:$AP,ROW(),$D$6)&amp;""))</f>
        <v/>
      </c>
      <c r="BA59" s="2">
        <f>IF($AS59="","",IF(AND($AS59&gt;=설정!$B$10,$AS59&lt;=설정!$B$11),"포함","기간 밖"))</f>
        <v/>
      </c>
      <c r="BB59" s="2">
        <f>IF($AS59="","",IF(OR($AT59&lt;0,AND($I$6&lt;&gt;"",ISNUMBER(FIND("수정",INDEX($A:$AP,ROW(),IF($I$6="",1,$I$6))&amp;"")))),"수정","일반"))</f>
        <v/>
      </c>
      <c r="BC59" s="2">
        <f>IF($AS59="","",MID(IF($BA59="기간 밖"," / 기간 밖(신고기간 아님)","")&amp;IF(AND($AW59&lt;&gt;"",COUNTIF($AW$8:$AW$1007,$AW59)&gt;1)," / 승인번호 중복(두 번 붙여넣기?)","")&amp;IF(ABS($AU59-ROUND($AT59*0.1,0))&gt;설정!$B$8,IF($AU59=0," / 세액 0원(영세율·면세 여부 확인)"," / 세액이 공급가액 10%와 다름"),"")&amp;IF($BB59="수정"," / 수정세금계산서(합계에서 자동 가감)",""),4,200))</f>
        <v/>
      </c>
      <c r="BD59" s="2">
        <f>IF($BA59&lt;&gt;"포함","",IF(COUNTIFS($AX$8:$AX59,$AX59,$BA$8:$BA59,"포함")=1,MAX($BD$7:BD58)+1,""))</f>
        <v/>
      </c>
      <c r="BE59" s="2">
        <f>IF($BC59="","",MAX($BE$7:BE58)+1)</f>
        <v/>
      </c>
    </row>
    <row r="60">
      <c r="AR60" s="2">
        <f>IF(OR($A$5="",$B$6="",ROW()&lt;$A$5),"",IF(INDEX($A:$AP,ROW(),$B$6)="","",INDEX($A:$AP,ROW(),$B$6)))</f>
        <v/>
      </c>
      <c r="AS60" s="22">
        <f>IF($AR60="","",IF(ISNUMBER($AR60),IF($AR60&gt;=10000000,IFERROR(DATE(INT($AR60/10000),MOD(INT($AR60/100),100),MOD($AR60,100)),""),INT($AR60)),IFERROR(DATE(--LEFT(LEFT(SUBSTITUTE(SUBSTITUTE(SUBSTITUTE(SUBSTITUTE(TRIM($AR60),"-",""),".",""),"/","")," ",""),8),4),--MID(LEFT(SUBSTITUTE(SUBSTITUTE(SUBSTITUTE(SUBSTITUTE(TRIM($AR60),"-",""),".",""),"/","")," ",""),8),5,2),--MID(LEFT(SUBSTITUTE(SUBSTITUTE(SUBSTITUTE(SUBSTITUTE(TRIM($AR60),"-",""),".",""),"/","")," ",""),8),7,2)),"")))</f>
        <v/>
      </c>
      <c r="AT60" s="23">
        <f>IF($AS60="","",IF($F$6="",0,IF(ISNUMBER(INDEX($A:$AP,ROW(),$F$6)),INDEX($A:$AP,ROW(),$F$6),IFERROR(--SUBSTITUTE(SUBSTITUTE(TRIM(INDEX($A:$AP,ROW(),$F$6)),",",""),"원",""),0))))</f>
        <v/>
      </c>
      <c r="AU60" s="23">
        <f>IF($AS60="","",IF($G$6="",0,IF(ISNUMBER(INDEX($A:$AP,ROW(),$G$6)),INDEX($A:$AP,ROW(),$G$6),IFERROR(--SUBSTITUTE(SUBSTITUTE(TRIM(INDEX($A:$AP,ROW(),$G$6)),",",""),"원",""),0))))</f>
        <v/>
      </c>
      <c r="AV60" s="23">
        <f>IF($AS60="","",IF($H$6="",$AT60+$AU60,IF($H$6="",0,IF(ISNUMBER(INDEX($A:$AP,ROW(),$H$6)),INDEX($A:$AP,ROW(),$H$6),IFERROR(--SUBSTITUTE(SUBSTITUTE(TRIM(INDEX($A:$AP,ROW(),$H$6)),",",""),"원",""),0)))))</f>
        <v/>
      </c>
      <c r="AW60" s="2">
        <f>IF(OR($AS60="",$C$6=""),"",TRIM(INDEX($A:$AP,ROW(),$C$6)&amp;""))</f>
        <v/>
      </c>
      <c r="AX60" s="2">
        <f>IF($AS60="","",IF($AZ60&lt;&gt;"",SUBSTITUTE(SUBSTITUTE($AZ60,"-","")," ",""),$AY60))</f>
        <v/>
      </c>
      <c r="AY60" s="2">
        <f>IF(OR($AS60="",$E$6=""),"",TRIM(INDEX($A:$AP,ROW(),$E$6)&amp;""))</f>
        <v/>
      </c>
      <c r="AZ60" s="2">
        <f>IF(OR($AS60="",$D$6=""),"",TRIM(INDEX($A:$AP,ROW(),$D$6)&amp;""))</f>
        <v/>
      </c>
      <c r="BA60" s="2">
        <f>IF($AS60="","",IF(AND($AS60&gt;=설정!$B$10,$AS60&lt;=설정!$B$11),"포함","기간 밖"))</f>
        <v/>
      </c>
      <c r="BB60" s="2">
        <f>IF($AS60="","",IF(OR($AT60&lt;0,AND($I$6&lt;&gt;"",ISNUMBER(FIND("수정",INDEX($A:$AP,ROW(),IF($I$6="",1,$I$6))&amp;"")))),"수정","일반"))</f>
        <v/>
      </c>
      <c r="BC60" s="2">
        <f>IF($AS60="","",MID(IF($BA60="기간 밖"," / 기간 밖(신고기간 아님)","")&amp;IF(AND($AW60&lt;&gt;"",COUNTIF($AW$8:$AW$1007,$AW60)&gt;1)," / 승인번호 중복(두 번 붙여넣기?)","")&amp;IF(ABS($AU60-ROUND($AT60*0.1,0))&gt;설정!$B$8,IF($AU60=0," / 세액 0원(영세율·면세 여부 확인)"," / 세액이 공급가액 10%와 다름"),"")&amp;IF($BB60="수정"," / 수정세금계산서(합계에서 자동 가감)",""),4,200))</f>
        <v/>
      </c>
      <c r="BD60" s="2">
        <f>IF($BA60&lt;&gt;"포함","",IF(COUNTIFS($AX$8:$AX60,$AX60,$BA$8:$BA60,"포함")=1,MAX($BD$7:BD59)+1,""))</f>
        <v/>
      </c>
      <c r="BE60" s="2">
        <f>IF($BC60="","",MAX($BE$7:BE59)+1)</f>
        <v/>
      </c>
    </row>
    <row r="61">
      <c r="AR61" s="2">
        <f>IF(OR($A$5="",$B$6="",ROW()&lt;$A$5),"",IF(INDEX($A:$AP,ROW(),$B$6)="","",INDEX($A:$AP,ROW(),$B$6)))</f>
        <v/>
      </c>
      <c r="AS61" s="22">
        <f>IF($AR61="","",IF(ISNUMBER($AR61),IF($AR61&gt;=10000000,IFERROR(DATE(INT($AR61/10000),MOD(INT($AR61/100),100),MOD($AR61,100)),""),INT($AR61)),IFERROR(DATE(--LEFT(LEFT(SUBSTITUTE(SUBSTITUTE(SUBSTITUTE(SUBSTITUTE(TRIM($AR61),"-",""),".",""),"/","")," ",""),8),4),--MID(LEFT(SUBSTITUTE(SUBSTITUTE(SUBSTITUTE(SUBSTITUTE(TRIM($AR61),"-",""),".",""),"/","")," ",""),8),5,2),--MID(LEFT(SUBSTITUTE(SUBSTITUTE(SUBSTITUTE(SUBSTITUTE(TRIM($AR61),"-",""),".",""),"/","")," ",""),8),7,2)),"")))</f>
        <v/>
      </c>
      <c r="AT61" s="23">
        <f>IF($AS61="","",IF($F$6="",0,IF(ISNUMBER(INDEX($A:$AP,ROW(),$F$6)),INDEX($A:$AP,ROW(),$F$6),IFERROR(--SUBSTITUTE(SUBSTITUTE(TRIM(INDEX($A:$AP,ROW(),$F$6)),",",""),"원",""),0))))</f>
        <v/>
      </c>
      <c r="AU61" s="23">
        <f>IF($AS61="","",IF($G$6="",0,IF(ISNUMBER(INDEX($A:$AP,ROW(),$G$6)),INDEX($A:$AP,ROW(),$G$6),IFERROR(--SUBSTITUTE(SUBSTITUTE(TRIM(INDEX($A:$AP,ROW(),$G$6)),",",""),"원",""),0))))</f>
        <v/>
      </c>
      <c r="AV61" s="23">
        <f>IF($AS61="","",IF($H$6="",$AT61+$AU61,IF($H$6="",0,IF(ISNUMBER(INDEX($A:$AP,ROW(),$H$6)),INDEX($A:$AP,ROW(),$H$6),IFERROR(--SUBSTITUTE(SUBSTITUTE(TRIM(INDEX($A:$AP,ROW(),$H$6)),",",""),"원",""),0)))))</f>
        <v/>
      </c>
      <c r="AW61" s="2">
        <f>IF(OR($AS61="",$C$6=""),"",TRIM(INDEX($A:$AP,ROW(),$C$6)&amp;""))</f>
        <v/>
      </c>
      <c r="AX61" s="2">
        <f>IF($AS61="","",IF($AZ61&lt;&gt;"",SUBSTITUTE(SUBSTITUTE($AZ61,"-","")," ",""),$AY61))</f>
        <v/>
      </c>
      <c r="AY61" s="2">
        <f>IF(OR($AS61="",$E$6=""),"",TRIM(INDEX($A:$AP,ROW(),$E$6)&amp;""))</f>
        <v/>
      </c>
      <c r="AZ61" s="2">
        <f>IF(OR($AS61="",$D$6=""),"",TRIM(INDEX($A:$AP,ROW(),$D$6)&amp;""))</f>
        <v/>
      </c>
      <c r="BA61" s="2">
        <f>IF($AS61="","",IF(AND($AS61&gt;=설정!$B$10,$AS61&lt;=설정!$B$11),"포함","기간 밖"))</f>
        <v/>
      </c>
      <c r="BB61" s="2">
        <f>IF($AS61="","",IF(OR($AT61&lt;0,AND($I$6&lt;&gt;"",ISNUMBER(FIND("수정",INDEX($A:$AP,ROW(),IF($I$6="",1,$I$6))&amp;"")))),"수정","일반"))</f>
        <v/>
      </c>
      <c r="BC61" s="2">
        <f>IF($AS61="","",MID(IF($BA61="기간 밖"," / 기간 밖(신고기간 아님)","")&amp;IF(AND($AW61&lt;&gt;"",COUNTIF($AW$8:$AW$1007,$AW61)&gt;1)," / 승인번호 중복(두 번 붙여넣기?)","")&amp;IF(ABS($AU61-ROUND($AT61*0.1,0))&gt;설정!$B$8,IF($AU61=0," / 세액 0원(영세율·면세 여부 확인)"," / 세액이 공급가액 10%와 다름"),"")&amp;IF($BB61="수정"," / 수정세금계산서(합계에서 자동 가감)",""),4,200))</f>
        <v/>
      </c>
      <c r="BD61" s="2">
        <f>IF($BA61&lt;&gt;"포함","",IF(COUNTIFS($AX$8:$AX61,$AX61,$BA$8:$BA61,"포함")=1,MAX($BD$7:BD60)+1,""))</f>
        <v/>
      </c>
      <c r="BE61" s="2">
        <f>IF($BC61="","",MAX($BE$7:BE60)+1)</f>
        <v/>
      </c>
    </row>
    <row r="62">
      <c r="AR62" s="2">
        <f>IF(OR($A$5="",$B$6="",ROW()&lt;$A$5),"",IF(INDEX($A:$AP,ROW(),$B$6)="","",INDEX($A:$AP,ROW(),$B$6)))</f>
        <v/>
      </c>
      <c r="AS62" s="22">
        <f>IF($AR62="","",IF(ISNUMBER($AR62),IF($AR62&gt;=10000000,IFERROR(DATE(INT($AR62/10000),MOD(INT($AR62/100),100),MOD($AR62,100)),""),INT($AR62)),IFERROR(DATE(--LEFT(LEFT(SUBSTITUTE(SUBSTITUTE(SUBSTITUTE(SUBSTITUTE(TRIM($AR62),"-",""),".",""),"/","")," ",""),8),4),--MID(LEFT(SUBSTITUTE(SUBSTITUTE(SUBSTITUTE(SUBSTITUTE(TRIM($AR62),"-",""),".",""),"/","")," ",""),8),5,2),--MID(LEFT(SUBSTITUTE(SUBSTITUTE(SUBSTITUTE(SUBSTITUTE(TRIM($AR62),"-",""),".",""),"/","")," ",""),8),7,2)),"")))</f>
        <v/>
      </c>
      <c r="AT62" s="23">
        <f>IF($AS62="","",IF($F$6="",0,IF(ISNUMBER(INDEX($A:$AP,ROW(),$F$6)),INDEX($A:$AP,ROW(),$F$6),IFERROR(--SUBSTITUTE(SUBSTITUTE(TRIM(INDEX($A:$AP,ROW(),$F$6)),",",""),"원",""),0))))</f>
        <v/>
      </c>
      <c r="AU62" s="23">
        <f>IF($AS62="","",IF($G$6="",0,IF(ISNUMBER(INDEX($A:$AP,ROW(),$G$6)),INDEX($A:$AP,ROW(),$G$6),IFERROR(--SUBSTITUTE(SUBSTITUTE(TRIM(INDEX($A:$AP,ROW(),$G$6)),",",""),"원",""),0))))</f>
        <v/>
      </c>
      <c r="AV62" s="23">
        <f>IF($AS62="","",IF($H$6="",$AT62+$AU62,IF($H$6="",0,IF(ISNUMBER(INDEX($A:$AP,ROW(),$H$6)),INDEX($A:$AP,ROW(),$H$6),IFERROR(--SUBSTITUTE(SUBSTITUTE(TRIM(INDEX($A:$AP,ROW(),$H$6)),",",""),"원",""),0)))))</f>
        <v/>
      </c>
      <c r="AW62" s="2">
        <f>IF(OR($AS62="",$C$6=""),"",TRIM(INDEX($A:$AP,ROW(),$C$6)&amp;""))</f>
        <v/>
      </c>
      <c r="AX62" s="2">
        <f>IF($AS62="","",IF($AZ62&lt;&gt;"",SUBSTITUTE(SUBSTITUTE($AZ62,"-","")," ",""),$AY62))</f>
        <v/>
      </c>
      <c r="AY62" s="2">
        <f>IF(OR($AS62="",$E$6=""),"",TRIM(INDEX($A:$AP,ROW(),$E$6)&amp;""))</f>
        <v/>
      </c>
      <c r="AZ62" s="2">
        <f>IF(OR($AS62="",$D$6=""),"",TRIM(INDEX($A:$AP,ROW(),$D$6)&amp;""))</f>
        <v/>
      </c>
      <c r="BA62" s="2">
        <f>IF($AS62="","",IF(AND($AS62&gt;=설정!$B$10,$AS62&lt;=설정!$B$11),"포함","기간 밖"))</f>
        <v/>
      </c>
      <c r="BB62" s="2">
        <f>IF($AS62="","",IF(OR($AT62&lt;0,AND($I$6&lt;&gt;"",ISNUMBER(FIND("수정",INDEX($A:$AP,ROW(),IF($I$6="",1,$I$6))&amp;"")))),"수정","일반"))</f>
        <v/>
      </c>
      <c r="BC62" s="2">
        <f>IF($AS62="","",MID(IF($BA62="기간 밖"," / 기간 밖(신고기간 아님)","")&amp;IF(AND($AW62&lt;&gt;"",COUNTIF($AW$8:$AW$1007,$AW62)&gt;1)," / 승인번호 중복(두 번 붙여넣기?)","")&amp;IF(ABS($AU62-ROUND($AT62*0.1,0))&gt;설정!$B$8,IF($AU62=0," / 세액 0원(영세율·면세 여부 확인)"," / 세액이 공급가액 10%와 다름"),"")&amp;IF($BB62="수정"," / 수정세금계산서(합계에서 자동 가감)",""),4,200))</f>
        <v/>
      </c>
      <c r="BD62" s="2">
        <f>IF($BA62&lt;&gt;"포함","",IF(COUNTIFS($AX$8:$AX62,$AX62,$BA$8:$BA62,"포함")=1,MAX($BD$7:BD61)+1,""))</f>
        <v/>
      </c>
      <c r="BE62" s="2">
        <f>IF($BC62="","",MAX($BE$7:BE61)+1)</f>
        <v/>
      </c>
    </row>
    <row r="63">
      <c r="AR63" s="2">
        <f>IF(OR($A$5="",$B$6="",ROW()&lt;$A$5),"",IF(INDEX($A:$AP,ROW(),$B$6)="","",INDEX($A:$AP,ROW(),$B$6)))</f>
        <v/>
      </c>
      <c r="AS63" s="22">
        <f>IF($AR63="","",IF(ISNUMBER($AR63),IF($AR63&gt;=10000000,IFERROR(DATE(INT($AR63/10000),MOD(INT($AR63/100),100),MOD($AR63,100)),""),INT($AR63)),IFERROR(DATE(--LEFT(LEFT(SUBSTITUTE(SUBSTITUTE(SUBSTITUTE(SUBSTITUTE(TRIM($AR63),"-",""),".",""),"/","")," ",""),8),4),--MID(LEFT(SUBSTITUTE(SUBSTITUTE(SUBSTITUTE(SUBSTITUTE(TRIM($AR63),"-",""),".",""),"/","")," ",""),8),5,2),--MID(LEFT(SUBSTITUTE(SUBSTITUTE(SUBSTITUTE(SUBSTITUTE(TRIM($AR63),"-",""),".",""),"/","")," ",""),8),7,2)),"")))</f>
        <v/>
      </c>
      <c r="AT63" s="23">
        <f>IF($AS63="","",IF($F$6="",0,IF(ISNUMBER(INDEX($A:$AP,ROW(),$F$6)),INDEX($A:$AP,ROW(),$F$6),IFERROR(--SUBSTITUTE(SUBSTITUTE(TRIM(INDEX($A:$AP,ROW(),$F$6)),",",""),"원",""),0))))</f>
        <v/>
      </c>
      <c r="AU63" s="23">
        <f>IF($AS63="","",IF($G$6="",0,IF(ISNUMBER(INDEX($A:$AP,ROW(),$G$6)),INDEX($A:$AP,ROW(),$G$6),IFERROR(--SUBSTITUTE(SUBSTITUTE(TRIM(INDEX($A:$AP,ROW(),$G$6)),",",""),"원",""),0))))</f>
        <v/>
      </c>
      <c r="AV63" s="23">
        <f>IF($AS63="","",IF($H$6="",$AT63+$AU63,IF($H$6="",0,IF(ISNUMBER(INDEX($A:$AP,ROW(),$H$6)),INDEX($A:$AP,ROW(),$H$6),IFERROR(--SUBSTITUTE(SUBSTITUTE(TRIM(INDEX($A:$AP,ROW(),$H$6)),",",""),"원",""),0)))))</f>
        <v/>
      </c>
      <c r="AW63" s="2">
        <f>IF(OR($AS63="",$C$6=""),"",TRIM(INDEX($A:$AP,ROW(),$C$6)&amp;""))</f>
        <v/>
      </c>
      <c r="AX63" s="2">
        <f>IF($AS63="","",IF($AZ63&lt;&gt;"",SUBSTITUTE(SUBSTITUTE($AZ63,"-","")," ",""),$AY63))</f>
        <v/>
      </c>
      <c r="AY63" s="2">
        <f>IF(OR($AS63="",$E$6=""),"",TRIM(INDEX($A:$AP,ROW(),$E$6)&amp;""))</f>
        <v/>
      </c>
      <c r="AZ63" s="2">
        <f>IF(OR($AS63="",$D$6=""),"",TRIM(INDEX($A:$AP,ROW(),$D$6)&amp;""))</f>
        <v/>
      </c>
      <c r="BA63" s="2">
        <f>IF($AS63="","",IF(AND($AS63&gt;=설정!$B$10,$AS63&lt;=설정!$B$11),"포함","기간 밖"))</f>
        <v/>
      </c>
      <c r="BB63" s="2">
        <f>IF($AS63="","",IF(OR($AT63&lt;0,AND($I$6&lt;&gt;"",ISNUMBER(FIND("수정",INDEX($A:$AP,ROW(),IF($I$6="",1,$I$6))&amp;"")))),"수정","일반"))</f>
        <v/>
      </c>
      <c r="BC63" s="2">
        <f>IF($AS63="","",MID(IF($BA63="기간 밖"," / 기간 밖(신고기간 아님)","")&amp;IF(AND($AW63&lt;&gt;"",COUNTIF($AW$8:$AW$1007,$AW63)&gt;1)," / 승인번호 중복(두 번 붙여넣기?)","")&amp;IF(ABS($AU63-ROUND($AT63*0.1,0))&gt;설정!$B$8,IF($AU63=0," / 세액 0원(영세율·면세 여부 확인)"," / 세액이 공급가액 10%와 다름"),"")&amp;IF($BB63="수정"," / 수정세금계산서(합계에서 자동 가감)",""),4,200))</f>
        <v/>
      </c>
      <c r="BD63" s="2">
        <f>IF($BA63&lt;&gt;"포함","",IF(COUNTIFS($AX$8:$AX63,$AX63,$BA$8:$BA63,"포함")=1,MAX($BD$7:BD62)+1,""))</f>
        <v/>
      </c>
      <c r="BE63" s="2">
        <f>IF($BC63="","",MAX($BE$7:BE62)+1)</f>
        <v/>
      </c>
    </row>
    <row r="64">
      <c r="AR64" s="2">
        <f>IF(OR($A$5="",$B$6="",ROW()&lt;$A$5),"",IF(INDEX($A:$AP,ROW(),$B$6)="","",INDEX($A:$AP,ROW(),$B$6)))</f>
        <v/>
      </c>
      <c r="AS64" s="22">
        <f>IF($AR64="","",IF(ISNUMBER($AR64),IF($AR64&gt;=10000000,IFERROR(DATE(INT($AR64/10000),MOD(INT($AR64/100),100),MOD($AR64,100)),""),INT($AR64)),IFERROR(DATE(--LEFT(LEFT(SUBSTITUTE(SUBSTITUTE(SUBSTITUTE(SUBSTITUTE(TRIM($AR64),"-",""),".",""),"/","")," ",""),8),4),--MID(LEFT(SUBSTITUTE(SUBSTITUTE(SUBSTITUTE(SUBSTITUTE(TRIM($AR64),"-",""),".",""),"/","")," ",""),8),5,2),--MID(LEFT(SUBSTITUTE(SUBSTITUTE(SUBSTITUTE(SUBSTITUTE(TRIM($AR64),"-",""),".",""),"/","")," ",""),8),7,2)),"")))</f>
        <v/>
      </c>
      <c r="AT64" s="23">
        <f>IF($AS64="","",IF($F$6="",0,IF(ISNUMBER(INDEX($A:$AP,ROW(),$F$6)),INDEX($A:$AP,ROW(),$F$6),IFERROR(--SUBSTITUTE(SUBSTITUTE(TRIM(INDEX($A:$AP,ROW(),$F$6)),",",""),"원",""),0))))</f>
        <v/>
      </c>
      <c r="AU64" s="23">
        <f>IF($AS64="","",IF($G$6="",0,IF(ISNUMBER(INDEX($A:$AP,ROW(),$G$6)),INDEX($A:$AP,ROW(),$G$6),IFERROR(--SUBSTITUTE(SUBSTITUTE(TRIM(INDEX($A:$AP,ROW(),$G$6)),",",""),"원",""),0))))</f>
        <v/>
      </c>
      <c r="AV64" s="23">
        <f>IF($AS64="","",IF($H$6="",$AT64+$AU64,IF($H$6="",0,IF(ISNUMBER(INDEX($A:$AP,ROW(),$H$6)),INDEX($A:$AP,ROW(),$H$6),IFERROR(--SUBSTITUTE(SUBSTITUTE(TRIM(INDEX($A:$AP,ROW(),$H$6)),",",""),"원",""),0)))))</f>
        <v/>
      </c>
      <c r="AW64" s="2">
        <f>IF(OR($AS64="",$C$6=""),"",TRIM(INDEX($A:$AP,ROW(),$C$6)&amp;""))</f>
        <v/>
      </c>
      <c r="AX64" s="2">
        <f>IF($AS64="","",IF($AZ64&lt;&gt;"",SUBSTITUTE(SUBSTITUTE($AZ64,"-","")," ",""),$AY64))</f>
        <v/>
      </c>
      <c r="AY64" s="2">
        <f>IF(OR($AS64="",$E$6=""),"",TRIM(INDEX($A:$AP,ROW(),$E$6)&amp;""))</f>
        <v/>
      </c>
      <c r="AZ64" s="2">
        <f>IF(OR($AS64="",$D$6=""),"",TRIM(INDEX($A:$AP,ROW(),$D$6)&amp;""))</f>
        <v/>
      </c>
      <c r="BA64" s="2">
        <f>IF($AS64="","",IF(AND($AS64&gt;=설정!$B$10,$AS64&lt;=설정!$B$11),"포함","기간 밖"))</f>
        <v/>
      </c>
      <c r="BB64" s="2">
        <f>IF($AS64="","",IF(OR($AT64&lt;0,AND($I$6&lt;&gt;"",ISNUMBER(FIND("수정",INDEX($A:$AP,ROW(),IF($I$6="",1,$I$6))&amp;"")))),"수정","일반"))</f>
        <v/>
      </c>
      <c r="BC64" s="2">
        <f>IF($AS64="","",MID(IF($BA64="기간 밖"," / 기간 밖(신고기간 아님)","")&amp;IF(AND($AW64&lt;&gt;"",COUNTIF($AW$8:$AW$1007,$AW64)&gt;1)," / 승인번호 중복(두 번 붙여넣기?)","")&amp;IF(ABS($AU64-ROUND($AT64*0.1,0))&gt;설정!$B$8,IF($AU64=0," / 세액 0원(영세율·면세 여부 확인)"," / 세액이 공급가액 10%와 다름"),"")&amp;IF($BB64="수정"," / 수정세금계산서(합계에서 자동 가감)",""),4,200))</f>
        <v/>
      </c>
      <c r="BD64" s="2">
        <f>IF($BA64&lt;&gt;"포함","",IF(COUNTIFS($AX$8:$AX64,$AX64,$BA$8:$BA64,"포함")=1,MAX($BD$7:BD63)+1,""))</f>
        <v/>
      </c>
      <c r="BE64" s="2">
        <f>IF($BC64="","",MAX($BE$7:BE63)+1)</f>
        <v/>
      </c>
    </row>
    <row r="65">
      <c r="AR65" s="2">
        <f>IF(OR($A$5="",$B$6="",ROW()&lt;$A$5),"",IF(INDEX($A:$AP,ROW(),$B$6)="","",INDEX($A:$AP,ROW(),$B$6)))</f>
        <v/>
      </c>
      <c r="AS65" s="22">
        <f>IF($AR65="","",IF(ISNUMBER($AR65),IF($AR65&gt;=10000000,IFERROR(DATE(INT($AR65/10000),MOD(INT($AR65/100),100),MOD($AR65,100)),""),INT($AR65)),IFERROR(DATE(--LEFT(LEFT(SUBSTITUTE(SUBSTITUTE(SUBSTITUTE(SUBSTITUTE(TRIM($AR65),"-",""),".",""),"/","")," ",""),8),4),--MID(LEFT(SUBSTITUTE(SUBSTITUTE(SUBSTITUTE(SUBSTITUTE(TRIM($AR65),"-",""),".",""),"/","")," ",""),8),5,2),--MID(LEFT(SUBSTITUTE(SUBSTITUTE(SUBSTITUTE(SUBSTITUTE(TRIM($AR65),"-",""),".",""),"/","")," ",""),8),7,2)),"")))</f>
        <v/>
      </c>
      <c r="AT65" s="23">
        <f>IF($AS65="","",IF($F$6="",0,IF(ISNUMBER(INDEX($A:$AP,ROW(),$F$6)),INDEX($A:$AP,ROW(),$F$6),IFERROR(--SUBSTITUTE(SUBSTITUTE(TRIM(INDEX($A:$AP,ROW(),$F$6)),",",""),"원",""),0))))</f>
        <v/>
      </c>
      <c r="AU65" s="23">
        <f>IF($AS65="","",IF($G$6="",0,IF(ISNUMBER(INDEX($A:$AP,ROW(),$G$6)),INDEX($A:$AP,ROW(),$G$6),IFERROR(--SUBSTITUTE(SUBSTITUTE(TRIM(INDEX($A:$AP,ROW(),$G$6)),",",""),"원",""),0))))</f>
        <v/>
      </c>
      <c r="AV65" s="23">
        <f>IF($AS65="","",IF($H$6="",$AT65+$AU65,IF($H$6="",0,IF(ISNUMBER(INDEX($A:$AP,ROW(),$H$6)),INDEX($A:$AP,ROW(),$H$6),IFERROR(--SUBSTITUTE(SUBSTITUTE(TRIM(INDEX($A:$AP,ROW(),$H$6)),",",""),"원",""),0)))))</f>
        <v/>
      </c>
      <c r="AW65" s="2">
        <f>IF(OR($AS65="",$C$6=""),"",TRIM(INDEX($A:$AP,ROW(),$C$6)&amp;""))</f>
        <v/>
      </c>
      <c r="AX65" s="2">
        <f>IF($AS65="","",IF($AZ65&lt;&gt;"",SUBSTITUTE(SUBSTITUTE($AZ65,"-","")," ",""),$AY65))</f>
        <v/>
      </c>
      <c r="AY65" s="2">
        <f>IF(OR($AS65="",$E$6=""),"",TRIM(INDEX($A:$AP,ROW(),$E$6)&amp;""))</f>
        <v/>
      </c>
      <c r="AZ65" s="2">
        <f>IF(OR($AS65="",$D$6=""),"",TRIM(INDEX($A:$AP,ROW(),$D$6)&amp;""))</f>
        <v/>
      </c>
      <c r="BA65" s="2">
        <f>IF($AS65="","",IF(AND($AS65&gt;=설정!$B$10,$AS65&lt;=설정!$B$11),"포함","기간 밖"))</f>
        <v/>
      </c>
      <c r="BB65" s="2">
        <f>IF($AS65="","",IF(OR($AT65&lt;0,AND($I$6&lt;&gt;"",ISNUMBER(FIND("수정",INDEX($A:$AP,ROW(),IF($I$6="",1,$I$6))&amp;"")))),"수정","일반"))</f>
        <v/>
      </c>
      <c r="BC65" s="2">
        <f>IF($AS65="","",MID(IF($BA65="기간 밖"," / 기간 밖(신고기간 아님)","")&amp;IF(AND($AW65&lt;&gt;"",COUNTIF($AW$8:$AW$1007,$AW65)&gt;1)," / 승인번호 중복(두 번 붙여넣기?)","")&amp;IF(ABS($AU65-ROUND($AT65*0.1,0))&gt;설정!$B$8,IF($AU65=0," / 세액 0원(영세율·면세 여부 확인)"," / 세액이 공급가액 10%와 다름"),"")&amp;IF($BB65="수정"," / 수정세금계산서(합계에서 자동 가감)",""),4,200))</f>
        <v/>
      </c>
      <c r="BD65" s="2">
        <f>IF($BA65&lt;&gt;"포함","",IF(COUNTIFS($AX$8:$AX65,$AX65,$BA$8:$BA65,"포함")=1,MAX($BD$7:BD64)+1,""))</f>
        <v/>
      </c>
      <c r="BE65" s="2">
        <f>IF($BC65="","",MAX($BE$7:BE64)+1)</f>
        <v/>
      </c>
    </row>
    <row r="66">
      <c r="AR66" s="2">
        <f>IF(OR($A$5="",$B$6="",ROW()&lt;$A$5),"",IF(INDEX($A:$AP,ROW(),$B$6)="","",INDEX($A:$AP,ROW(),$B$6)))</f>
        <v/>
      </c>
      <c r="AS66" s="22">
        <f>IF($AR66="","",IF(ISNUMBER($AR66),IF($AR66&gt;=10000000,IFERROR(DATE(INT($AR66/10000),MOD(INT($AR66/100),100),MOD($AR66,100)),""),INT($AR66)),IFERROR(DATE(--LEFT(LEFT(SUBSTITUTE(SUBSTITUTE(SUBSTITUTE(SUBSTITUTE(TRIM($AR66),"-",""),".",""),"/","")," ",""),8),4),--MID(LEFT(SUBSTITUTE(SUBSTITUTE(SUBSTITUTE(SUBSTITUTE(TRIM($AR66),"-",""),".",""),"/","")," ",""),8),5,2),--MID(LEFT(SUBSTITUTE(SUBSTITUTE(SUBSTITUTE(SUBSTITUTE(TRIM($AR66),"-",""),".",""),"/","")," ",""),8),7,2)),"")))</f>
        <v/>
      </c>
      <c r="AT66" s="23">
        <f>IF($AS66="","",IF($F$6="",0,IF(ISNUMBER(INDEX($A:$AP,ROW(),$F$6)),INDEX($A:$AP,ROW(),$F$6),IFERROR(--SUBSTITUTE(SUBSTITUTE(TRIM(INDEX($A:$AP,ROW(),$F$6)),",",""),"원",""),0))))</f>
        <v/>
      </c>
      <c r="AU66" s="23">
        <f>IF($AS66="","",IF($G$6="",0,IF(ISNUMBER(INDEX($A:$AP,ROW(),$G$6)),INDEX($A:$AP,ROW(),$G$6),IFERROR(--SUBSTITUTE(SUBSTITUTE(TRIM(INDEX($A:$AP,ROW(),$G$6)),",",""),"원",""),0))))</f>
        <v/>
      </c>
      <c r="AV66" s="23">
        <f>IF($AS66="","",IF($H$6="",$AT66+$AU66,IF($H$6="",0,IF(ISNUMBER(INDEX($A:$AP,ROW(),$H$6)),INDEX($A:$AP,ROW(),$H$6),IFERROR(--SUBSTITUTE(SUBSTITUTE(TRIM(INDEX($A:$AP,ROW(),$H$6)),",",""),"원",""),0)))))</f>
        <v/>
      </c>
      <c r="AW66" s="2">
        <f>IF(OR($AS66="",$C$6=""),"",TRIM(INDEX($A:$AP,ROW(),$C$6)&amp;""))</f>
        <v/>
      </c>
      <c r="AX66" s="2">
        <f>IF($AS66="","",IF($AZ66&lt;&gt;"",SUBSTITUTE(SUBSTITUTE($AZ66,"-","")," ",""),$AY66))</f>
        <v/>
      </c>
      <c r="AY66" s="2">
        <f>IF(OR($AS66="",$E$6=""),"",TRIM(INDEX($A:$AP,ROW(),$E$6)&amp;""))</f>
        <v/>
      </c>
      <c r="AZ66" s="2">
        <f>IF(OR($AS66="",$D$6=""),"",TRIM(INDEX($A:$AP,ROW(),$D$6)&amp;""))</f>
        <v/>
      </c>
      <c r="BA66" s="2">
        <f>IF($AS66="","",IF(AND($AS66&gt;=설정!$B$10,$AS66&lt;=설정!$B$11),"포함","기간 밖"))</f>
        <v/>
      </c>
      <c r="BB66" s="2">
        <f>IF($AS66="","",IF(OR($AT66&lt;0,AND($I$6&lt;&gt;"",ISNUMBER(FIND("수정",INDEX($A:$AP,ROW(),IF($I$6="",1,$I$6))&amp;"")))),"수정","일반"))</f>
        <v/>
      </c>
      <c r="BC66" s="2">
        <f>IF($AS66="","",MID(IF($BA66="기간 밖"," / 기간 밖(신고기간 아님)","")&amp;IF(AND($AW66&lt;&gt;"",COUNTIF($AW$8:$AW$1007,$AW66)&gt;1)," / 승인번호 중복(두 번 붙여넣기?)","")&amp;IF(ABS($AU66-ROUND($AT66*0.1,0))&gt;설정!$B$8,IF($AU66=0," / 세액 0원(영세율·면세 여부 확인)"," / 세액이 공급가액 10%와 다름"),"")&amp;IF($BB66="수정"," / 수정세금계산서(합계에서 자동 가감)",""),4,200))</f>
        <v/>
      </c>
      <c r="BD66" s="2">
        <f>IF($BA66&lt;&gt;"포함","",IF(COUNTIFS($AX$8:$AX66,$AX66,$BA$8:$BA66,"포함")=1,MAX($BD$7:BD65)+1,""))</f>
        <v/>
      </c>
      <c r="BE66" s="2">
        <f>IF($BC66="","",MAX($BE$7:BE65)+1)</f>
        <v/>
      </c>
    </row>
    <row r="67">
      <c r="AR67" s="2">
        <f>IF(OR($A$5="",$B$6="",ROW()&lt;$A$5),"",IF(INDEX($A:$AP,ROW(),$B$6)="","",INDEX($A:$AP,ROW(),$B$6)))</f>
        <v/>
      </c>
      <c r="AS67" s="22">
        <f>IF($AR67="","",IF(ISNUMBER($AR67),IF($AR67&gt;=10000000,IFERROR(DATE(INT($AR67/10000),MOD(INT($AR67/100),100),MOD($AR67,100)),""),INT($AR67)),IFERROR(DATE(--LEFT(LEFT(SUBSTITUTE(SUBSTITUTE(SUBSTITUTE(SUBSTITUTE(TRIM($AR67),"-",""),".",""),"/","")," ",""),8),4),--MID(LEFT(SUBSTITUTE(SUBSTITUTE(SUBSTITUTE(SUBSTITUTE(TRIM($AR67),"-",""),".",""),"/","")," ",""),8),5,2),--MID(LEFT(SUBSTITUTE(SUBSTITUTE(SUBSTITUTE(SUBSTITUTE(TRIM($AR67),"-",""),".",""),"/","")," ",""),8),7,2)),"")))</f>
        <v/>
      </c>
      <c r="AT67" s="23">
        <f>IF($AS67="","",IF($F$6="",0,IF(ISNUMBER(INDEX($A:$AP,ROW(),$F$6)),INDEX($A:$AP,ROW(),$F$6),IFERROR(--SUBSTITUTE(SUBSTITUTE(TRIM(INDEX($A:$AP,ROW(),$F$6)),",",""),"원",""),0))))</f>
        <v/>
      </c>
      <c r="AU67" s="23">
        <f>IF($AS67="","",IF($G$6="",0,IF(ISNUMBER(INDEX($A:$AP,ROW(),$G$6)),INDEX($A:$AP,ROW(),$G$6),IFERROR(--SUBSTITUTE(SUBSTITUTE(TRIM(INDEX($A:$AP,ROW(),$G$6)),",",""),"원",""),0))))</f>
        <v/>
      </c>
      <c r="AV67" s="23">
        <f>IF($AS67="","",IF($H$6="",$AT67+$AU67,IF($H$6="",0,IF(ISNUMBER(INDEX($A:$AP,ROW(),$H$6)),INDEX($A:$AP,ROW(),$H$6),IFERROR(--SUBSTITUTE(SUBSTITUTE(TRIM(INDEX($A:$AP,ROW(),$H$6)),",",""),"원",""),0)))))</f>
        <v/>
      </c>
      <c r="AW67" s="2">
        <f>IF(OR($AS67="",$C$6=""),"",TRIM(INDEX($A:$AP,ROW(),$C$6)&amp;""))</f>
        <v/>
      </c>
      <c r="AX67" s="2">
        <f>IF($AS67="","",IF($AZ67&lt;&gt;"",SUBSTITUTE(SUBSTITUTE($AZ67,"-","")," ",""),$AY67))</f>
        <v/>
      </c>
      <c r="AY67" s="2">
        <f>IF(OR($AS67="",$E$6=""),"",TRIM(INDEX($A:$AP,ROW(),$E$6)&amp;""))</f>
        <v/>
      </c>
      <c r="AZ67" s="2">
        <f>IF(OR($AS67="",$D$6=""),"",TRIM(INDEX($A:$AP,ROW(),$D$6)&amp;""))</f>
        <v/>
      </c>
      <c r="BA67" s="2">
        <f>IF($AS67="","",IF(AND($AS67&gt;=설정!$B$10,$AS67&lt;=설정!$B$11),"포함","기간 밖"))</f>
        <v/>
      </c>
      <c r="BB67" s="2">
        <f>IF($AS67="","",IF(OR($AT67&lt;0,AND($I$6&lt;&gt;"",ISNUMBER(FIND("수정",INDEX($A:$AP,ROW(),IF($I$6="",1,$I$6))&amp;"")))),"수정","일반"))</f>
        <v/>
      </c>
      <c r="BC67" s="2">
        <f>IF($AS67="","",MID(IF($BA67="기간 밖"," / 기간 밖(신고기간 아님)","")&amp;IF(AND($AW67&lt;&gt;"",COUNTIF($AW$8:$AW$1007,$AW67)&gt;1)," / 승인번호 중복(두 번 붙여넣기?)","")&amp;IF(ABS($AU67-ROUND($AT67*0.1,0))&gt;설정!$B$8,IF($AU67=0," / 세액 0원(영세율·면세 여부 확인)"," / 세액이 공급가액 10%와 다름"),"")&amp;IF($BB67="수정"," / 수정세금계산서(합계에서 자동 가감)",""),4,200))</f>
        <v/>
      </c>
      <c r="BD67" s="2">
        <f>IF($BA67&lt;&gt;"포함","",IF(COUNTIFS($AX$8:$AX67,$AX67,$BA$8:$BA67,"포함")=1,MAX($BD$7:BD66)+1,""))</f>
        <v/>
      </c>
      <c r="BE67" s="2">
        <f>IF($BC67="","",MAX($BE$7:BE66)+1)</f>
        <v/>
      </c>
    </row>
    <row r="68">
      <c r="AR68" s="2">
        <f>IF(OR($A$5="",$B$6="",ROW()&lt;$A$5),"",IF(INDEX($A:$AP,ROW(),$B$6)="","",INDEX($A:$AP,ROW(),$B$6)))</f>
        <v/>
      </c>
      <c r="AS68" s="22">
        <f>IF($AR68="","",IF(ISNUMBER($AR68),IF($AR68&gt;=10000000,IFERROR(DATE(INT($AR68/10000),MOD(INT($AR68/100),100),MOD($AR68,100)),""),INT($AR68)),IFERROR(DATE(--LEFT(LEFT(SUBSTITUTE(SUBSTITUTE(SUBSTITUTE(SUBSTITUTE(TRIM($AR68),"-",""),".",""),"/","")," ",""),8),4),--MID(LEFT(SUBSTITUTE(SUBSTITUTE(SUBSTITUTE(SUBSTITUTE(TRIM($AR68),"-",""),".",""),"/","")," ",""),8),5,2),--MID(LEFT(SUBSTITUTE(SUBSTITUTE(SUBSTITUTE(SUBSTITUTE(TRIM($AR68),"-",""),".",""),"/","")," ",""),8),7,2)),"")))</f>
        <v/>
      </c>
      <c r="AT68" s="23">
        <f>IF($AS68="","",IF($F$6="",0,IF(ISNUMBER(INDEX($A:$AP,ROW(),$F$6)),INDEX($A:$AP,ROW(),$F$6),IFERROR(--SUBSTITUTE(SUBSTITUTE(TRIM(INDEX($A:$AP,ROW(),$F$6)),",",""),"원",""),0))))</f>
        <v/>
      </c>
      <c r="AU68" s="23">
        <f>IF($AS68="","",IF($G$6="",0,IF(ISNUMBER(INDEX($A:$AP,ROW(),$G$6)),INDEX($A:$AP,ROW(),$G$6),IFERROR(--SUBSTITUTE(SUBSTITUTE(TRIM(INDEX($A:$AP,ROW(),$G$6)),",",""),"원",""),0))))</f>
        <v/>
      </c>
      <c r="AV68" s="23">
        <f>IF($AS68="","",IF($H$6="",$AT68+$AU68,IF($H$6="",0,IF(ISNUMBER(INDEX($A:$AP,ROW(),$H$6)),INDEX($A:$AP,ROW(),$H$6),IFERROR(--SUBSTITUTE(SUBSTITUTE(TRIM(INDEX($A:$AP,ROW(),$H$6)),",",""),"원",""),0)))))</f>
        <v/>
      </c>
      <c r="AW68" s="2">
        <f>IF(OR($AS68="",$C$6=""),"",TRIM(INDEX($A:$AP,ROW(),$C$6)&amp;""))</f>
        <v/>
      </c>
      <c r="AX68" s="2">
        <f>IF($AS68="","",IF($AZ68&lt;&gt;"",SUBSTITUTE(SUBSTITUTE($AZ68,"-","")," ",""),$AY68))</f>
        <v/>
      </c>
      <c r="AY68" s="2">
        <f>IF(OR($AS68="",$E$6=""),"",TRIM(INDEX($A:$AP,ROW(),$E$6)&amp;""))</f>
        <v/>
      </c>
      <c r="AZ68" s="2">
        <f>IF(OR($AS68="",$D$6=""),"",TRIM(INDEX($A:$AP,ROW(),$D$6)&amp;""))</f>
        <v/>
      </c>
      <c r="BA68" s="2">
        <f>IF($AS68="","",IF(AND($AS68&gt;=설정!$B$10,$AS68&lt;=설정!$B$11),"포함","기간 밖"))</f>
        <v/>
      </c>
      <c r="BB68" s="2">
        <f>IF($AS68="","",IF(OR($AT68&lt;0,AND($I$6&lt;&gt;"",ISNUMBER(FIND("수정",INDEX($A:$AP,ROW(),IF($I$6="",1,$I$6))&amp;"")))),"수정","일반"))</f>
        <v/>
      </c>
      <c r="BC68" s="2">
        <f>IF($AS68="","",MID(IF($BA68="기간 밖"," / 기간 밖(신고기간 아님)","")&amp;IF(AND($AW68&lt;&gt;"",COUNTIF($AW$8:$AW$1007,$AW68)&gt;1)," / 승인번호 중복(두 번 붙여넣기?)","")&amp;IF(ABS($AU68-ROUND($AT68*0.1,0))&gt;설정!$B$8,IF($AU68=0," / 세액 0원(영세율·면세 여부 확인)"," / 세액이 공급가액 10%와 다름"),"")&amp;IF($BB68="수정"," / 수정세금계산서(합계에서 자동 가감)",""),4,200))</f>
        <v/>
      </c>
      <c r="BD68" s="2">
        <f>IF($BA68&lt;&gt;"포함","",IF(COUNTIFS($AX$8:$AX68,$AX68,$BA$8:$BA68,"포함")=1,MAX($BD$7:BD67)+1,""))</f>
        <v/>
      </c>
      <c r="BE68" s="2">
        <f>IF($BC68="","",MAX($BE$7:BE67)+1)</f>
        <v/>
      </c>
    </row>
    <row r="69">
      <c r="AR69" s="2">
        <f>IF(OR($A$5="",$B$6="",ROW()&lt;$A$5),"",IF(INDEX($A:$AP,ROW(),$B$6)="","",INDEX($A:$AP,ROW(),$B$6)))</f>
        <v/>
      </c>
      <c r="AS69" s="22">
        <f>IF($AR69="","",IF(ISNUMBER($AR69),IF($AR69&gt;=10000000,IFERROR(DATE(INT($AR69/10000),MOD(INT($AR69/100),100),MOD($AR69,100)),""),INT($AR69)),IFERROR(DATE(--LEFT(LEFT(SUBSTITUTE(SUBSTITUTE(SUBSTITUTE(SUBSTITUTE(TRIM($AR69),"-",""),".",""),"/","")," ",""),8),4),--MID(LEFT(SUBSTITUTE(SUBSTITUTE(SUBSTITUTE(SUBSTITUTE(TRIM($AR69),"-",""),".",""),"/","")," ",""),8),5,2),--MID(LEFT(SUBSTITUTE(SUBSTITUTE(SUBSTITUTE(SUBSTITUTE(TRIM($AR69),"-",""),".",""),"/","")," ",""),8),7,2)),"")))</f>
        <v/>
      </c>
      <c r="AT69" s="23">
        <f>IF($AS69="","",IF($F$6="",0,IF(ISNUMBER(INDEX($A:$AP,ROW(),$F$6)),INDEX($A:$AP,ROW(),$F$6),IFERROR(--SUBSTITUTE(SUBSTITUTE(TRIM(INDEX($A:$AP,ROW(),$F$6)),",",""),"원",""),0))))</f>
        <v/>
      </c>
      <c r="AU69" s="23">
        <f>IF($AS69="","",IF($G$6="",0,IF(ISNUMBER(INDEX($A:$AP,ROW(),$G$6)),INDEX($A:$AP,ROW(),$G$6),IFERROR(--SUBSTITUTE(SUBSTITUTE(TRIM(INDEX($A:$AP,ROW(),$G$6)),",",""),"원",""),0))))</f>
        <v/>
      </c>
      <c r="AV69" s="23">
        <f>IF($AS69="","",IF($H$6="",$AT69+$AU69,IF($H$6="",0,IF(ISNUMBER(INDEX($A:$AP,ROW(),$H$6)),INDEX($A:$AP,ROW(),$H$6),IFERROR(--SUBSTITUTE(SUBSTITUTE(TRIM(INDEX($A:$AP,ROW(),$H$6)),",",""),"원",""),0)))))</f>
        <v/>
      </c>
      <c r="AW69" s="2">
        <f>IF(OR($AS69="",$C$6=""),"",TRIM(INDEX($A:$AP,ROW(),$C$6)&amp;""))</f>
        <v/>
      </c>
      <c r="AX69" s="2">
        <f>IF($AS69="","",IF($AZ69&lt;&gt;"",SUBSTITUTE(SUBSTITUTE($AZ69,"-","")," ",""),$AY69))</f>
        <v/>
      </c>
      <c r="AY69" s="2">
        <f>IF(OR($AS69="",$E$6=""),"",TRIM(INDEX($A:$AP,ROW(),$E$6)&amp;""))</f>
        <v/>
      </c>
      <c r="AZ69" s="2">
        <f>IF(OR($AS69="",$D$6=""),"",TRIM(INDEX($A:$AP,ROW(),$D$6)&amp;""))</f>
        <v/>
      </c>
      <c r="BA69" s="2">
        <f>IF($AS69="","",IF(AND($AS69&gt;=설정!$B$10,$AS69&lt;=설정!$B$11),"포함","기간 밖"))</f>
        <v/>
      </c>
      <c r="BB69" s="2">
        <f>IF($AS69="","",IF(OR($AT69&lt;0,AND($I$6&lt;&gt;"",ISNUMBER(FIND("수정",INDEX($A:$AP,ROW(),IF($I$6="",1,$I$6))&amp;"")))),"수정","일반"))</f>
        <v/>
      </c>
      <c r="BC69" s="2">
        <f>IF($AS69="","",MID(IF($BA69="기간 밖"," / 기간 밖(신고기간 아님)","")&amp;IF(AND($AW69&lt;&gt;"",COUNTIF($AW$8:$AW$1007,$AW69)&gt;1)," / 승인번호 중복(두 번 붙여넣기?)","")&amp;IF(ABS($AU69-ROUND($AT69*0.1,0))&gt;설정!$B$8,IF($AU69=0," / 세액 0원(영세율·면세 여부 확인)"," / 세액이 공급가액 10%와 다름"),"")&amp;IF($BB69="수정"," / 수정세금계산서(합계에서 자동 가감)",""),4,200))</f>
        <v/>
      </c>
      <c r="BD69" s="2">
        <f>IF($BA69&lt;&gt;"포함","",IF(COUNTIFS($AX$8:$AX69,$AX69,$BA$8:$BA69,"포함")=1,MAX($BD$7:BD68)+1,""))</f>
        <v/>
      </c>
      <c r="BE69" s="2">
        <f>IF($BC69="","",MAX($BE$7:BE68)+1)</f>
        <v/>
      </c>
    </row>
    <row r="70">
      <c r="AR70" s="2">
        <f>IF(OR($A$5="",$B$6="",ROW()&lt;$A$5),"",IF(INDEX($A:$AP,ROW(),$B$6)="","",INDEX($A:$AP,ROW(),$B$6)))</f>
        <v/>
      </c>
      <c r="AS70" s="22">
        <f>IF($AR70="","",IF(ISNUMBER($AR70),IF($AR70&gt;=10000000,IFERROR(DATE(INT($AR70/10000),MOD(INT($AR70/100),100),MOD($AR70,100)),""),INT($AR70)),IFERROR(DATE(--LEFT(LEFT(SUBSTITUTE(SUBSTITUTE(SUBSTITUTE(SUBSTITUTE(TRIM($AR70),"-",""),".",""),"/","")," ",""),8),4),--MID(LEFT(SUBSTITUTE(SUBSTITUTE(SUBSTITUTE(SUBSTITUTE(TRIM($AR70),"-",""),".",""),"/","")," ",""),8),5,2),--MID(LEFT(SUBSTITUTE(SUBSTITUTE(SUBSTITUTE(SUBSTITUTE(TRIM($AR70),"-",""),".",""),"/","")," ",""),8),7,2)),"")))</f>
        <v/>
      </c>
      <c r="AT70" s="23">
        <f>IF($AS70="","",IF($F$6="",0,IF(ISNUMBER(INDEX($A:$AP,ROW(),$F$6)),INDEX($A:$AP,ROW(),$F$6),IFERROR(--SUBSTITUTE(SUBSTITUTE(TRIM(INDEX($A:$AP,ROW(),$F$6)),",",""),"원",""),0))))</f>
        <v/>
      </c>
      <c r="AU70" s="23">
        <f>IF($AS70="","",IF($G$6="",0,IF(ISNUMBER(INDEX($A:$AP,ROW(),$G$6)),INDEX($A:$AP,ROW(),$G$6),IFERROR(--SUBSTITUTE(SUBSTITUTE(TRIM(INDEX($A:$AP,ROW(),$G$6)),",",""),"원",""),0))))</f>
        <v/>
      </c>
      <c r="AV70" s="23">
        <f>IF($AS70="","",IF($H$6="",$AT70+$AU70,IF($H$6="",0,IF(ISNUMBER(INDEX($A:$AP,ROW(),$H$6)),INDEX($A:$AP,ROW(),$H$6),IFERROR(--SUBSTITUTE(SUBSTITUTE(TRIM(INDEX($A:$AP,ROW(),$H$6)),",",""),"원",""),0)))))</f>
        <v/>
      </c>
      <c r="AW70" s="2">
        <f>IF(OR($AS70="",$C$6=""),"",TRIM(INDEX($A:$AP,ROW(),$C$6)&amp;""))</f>
        <v/>
      </c>
      <c r="AX70" s="2">
        <f>IF($AS70="","",IF($AZ70&lt;&gt;"",SUBSTITUTE(SUBSTITUTE($AZ70,"-","")," ",""),$AY70))</f>
        <v/>
      </c>
      <c r="AY70" s="2">
        <f>IF(OR($AS70="",$E$6=""),"",TRIM(INDEX($A:$AP,ROW(),$E$6)&amp;""))</f>
        <v/>
      </c>
      <c r="AZ70" s="2">
        <f>IF(OR($AS70="",$D$6=""),"",TRIM(INDEX($A:$AP,ROW(),$D$6)&amp;""))</f>
        <v/>
      </c>
      <c r="BA70" s="2">
        <f>IF($AS70="","",IF(AND($AS70&gt;=설정!$B$10,$AS70&lt;=설정!$B$11),"포함","기간 밖"))</f>
        <v/>
      </c>
      <c r="BB70" s="2">
        <f>IF($AS70="","",IF(OR($AT70&lt;0,AND($I$6&lt;&gt;"",ISNUMBER(FIND("수정",INDEX($A:$AP,ROW(),IF($I$6="",1,$I$6))&amp;"")))),"수정","일반"))</f>
        <v/>
      </c>
      <c r="BC70" s="2">
        <f>IF($AS70="","",MID(IF($BA70="기간 밖"," / 기간 밖(신고기간 아님)","")&amp;IF(AND($AW70&lt;&gt;"",COUNTIF($AW$8:$AW$1007,$AW70)&gt;1)," / 승인번호 중복(두 번 붙여넣기?)","")&amp;IF(ABS($AU70-ROUND($AT70*0.1,0))&gt;설정!$B$8,IF($AU70=0," / 세액 0원(영세율·면세 여부 확인)"," / 세액이 공급가액 10%와 다름"),"")&amp;IF($BB70="수정"," / 수정세금계산서(합계에서 자동 가감)",""),4,200))</f>
        <v/>
      </c>
      <c r="BD70" s="2">
        <f>IF($BA70&lt;&gt;"포함","",IF(COUNTIFS($AX$8:$AX70,$AX70,$BA$8:$BA70,"포함")=1,MAX($BD$7:BD69)+1,""))</f>
        <v/>
      </c>
      <c r="BE70" s="2">
        <f>IF($BC70="","",MAX($BE$7:BE69)+1)</f>
        <v/>
      </c>
    </row>
    <row r="71">
      <c r="AR71" s="2">
        <f>IF(OR($A$5="",$B$6="",ROW()&lt;$A$5),"",IF(INDEX($A:$AP,ROW(),$B$6)="","",INDEX($A:$AP,ROW(),$B$6)))</f>
        <v/>
      </c>
      <c r="AS71" s="22">
        <f>IF($AR71="","",IF(ISNUMBER($AR71),IF($AR71&gt;=10000000,IFERROR(DATE(INT($AR71/10000),MOD(INT($AR71/100),100),MOD($AR71,100)),""),INT($AR71)),IFERROR(DATE(--LEFT(LEFT(SUBSTITUTE(SUBSTITUTE(SUBSTITUTE(SUBSTITUTE(TRIM($AR71),"-",""),".",""),"/","")," ",""),8),4),--MID(LEFT(SUBSTITUTE(SUBSTITUTE(SUBSTITUTE(SUBSTITUTE(TRIM($AR71),"-",""),".",""),"/","")," ",""),8),5,2),--MID(LEFT(SUBSTITUTE(SUBSTITUTE(SUBSTITUTE(SUBSTITUTE(TRIM($AR71),"-",""),".",""),"/","")," ",""),8),7,2)),"")))</f>
        <v/>
      </c>
      <c r="AT71" s="23">
        <f>IF($AS71="","",IF($F$6="",0,IF(ISNUMBER(INDEX($A:$AP,ROW(),$F$6)),INDEX($A:$AP,ROW(),$F$6),IFERROR(--SUBSTITUTE(SUBSTITUTE(TRIM(INDEX($A:$AP,ROW(),$F$6)),",",""),"원",""),0))))</f>
        <v/>
      </c>
      <c r="AU71" s="23">
        <f>IF($AS71="","",IF($G$6="",0,IF(ISNUMBER(INDEX($A:$AP,ROW(),$G$6)),INDEX($A:$AP,ROW(),$G$6),IFERROR(--SUBSTITUTE(SUBSTITUTE(TRIM(INDEX($A:$AP,ROW(),$G$6)),",",""),"원",""),0))))</f>
        <v/>
      </c>
      <c r="AV71" s="23">
        <f>IF($AS71="","",IF($H$6="",$AT71+$AU71,IF($H$6="",0,IF(ISNUMBER(INDEX($A:$AP,ROW(),$H$6)),INDEX($A:$AP,ROW(),$H$6),IFERROR(--SUBSTITUTE(SUBSTITUTE(TRIM(INDEX($A:$AP,ROW(),$H$6)),",",""),"원",""),0)))))</f>
        <v/>
      </c>
      <c r="AW71" s="2">
        <f>IF(OR($AS71="",$C$6=""),"",TRIM(INDEX($A:$AP,ROW(),$C$6)&amp;""))</f>
        <v/>
      </c>
      <c r="AX71" s="2">
        <f>IF($AS71="","",IF($AZ71&lt;&gt;"",SUBSTITUTE(SUBSTITUTE($AZ71,"-","")," ",""),$AY71))</f>
        <v/>
      </c>
      <c r="AY71" s="2">
        <f>IF(OR($AS71="",$E$6=""),"",TRIM(INDEX($A:$AP,ROW(),$E$6)&amp;""))</f>
        <v/>
      </c>
      <c r="AZ71" s="2">
        <f>IF(OR($AS71="",$D$6=""),"",TRIM(INDEX($A:$AP,ROW(),$D$6)&amp;""))</f>
        <v/>
      </c>
      <c r="BA71" s="2">
        <f>IF($AS71="","",IF(AND($AS71&gt;=설정!$B$10,$AS71&lt;=설정!$B$11),"포함","기간 밖"))</f>
        <v/>
      </c>
      <c r="BB71" s="2">
        <f>IF($AS71="","",IF(OR($AT71&lt;0,AND($I$6&lt;&gt;"",ISNUMBER(FIND("수정",INDEX($A:$AP,ROW(),IF($I$6="",1,$I$6))&amp;"")))),"수정","일반"))</f>
        <v/>
      </c>
      <c r="BC71" s="2">
        <f>IF($AS71="","",MID(IF($BA71="기간 밖"," / 기간 밖(신고기간 아님)","")&amp;IF(AND($AW71&lt;&gt;"",COUNTIF($AW$8:$AW$1007,$AW71)&gt;1)," / 승인번호 중복(두 번 붙여넣기?)","")&amp;IF(ABS($AU71-ROUND($AT71*0.1,0))&gt;설정!$B$8,IF($AU71=0," / 세액 0원(영세율·면세 여부 확인)"," / 세액이 공급가액 10%와 다름"),"")&amp;IF($BB71="수정"," / 수정세금계산서(합계에서 자동 가감)",""),4,200))</f>
        <v/>
      </c>
      <c r="BD71" s="2">
        <f>IF($BA71&lt;&gt;"포함","",IF(COUNTIFS($AX$8:$AX71,$AX71,$BA$8:$BA71,"포함")=1,MAX($BD$7:BD70)+1,""))</f>
        <v/>
      </c>
      <c r="BE71" s="2">
        <f>IF($BC71="","",MAX($BE$7:BE70)+1)</f>
        <v/>
      </c>
    </row>
    <row r="72">
      <c r="AR72" s="2">
        <f>IF(OR($A$5="",$B$6="",ROW()&lt;$A$5),"",IF(INDEX($A:$AP,ROW(),$B$6)="","",INDEX($A:$AP,ROW(),$B$6)))</f>
        <v/>
      </c>
      <c r="AS72" s="22">
        <f>IF($AR72="","",IF(ISNUMBER($AR72),IF($AR72&gt;=10000000,IFERROR(DATE(INT($AR72/10000),MOD(INT($AR72/100),100),MOD($AR72,100)),""),INT($AR72)),IFERROR(DATE(--LEFT(LEFT(SUBSTITUTE(SUBSTITUTE(SUBSTITUTE(SUBSTITUTE(TRIM($AR72),"-",""),".",""),"/","")," ",""),8),4),--MID(LEFT(SUBSTITUTE(SUBSTITUTE(SUBSTITUTE(SUBSTITUTE(TRIM($AR72),"-",""),".",""),"/","")," ",""),8),5,2),--MID(LEFT(SUBSTITUTE(SUBSTITUTE(SUBSTITUTE(SUBSTITUTE(TRIM($AR72),"-",""),".",""),"/","")," ",""),8),7,2)),"")))</f>
        <v/>
      </c>
      <c r="AT72" s="23">
        <f>IF($AS72="","",IF($F$6="",0,IF(ISNUMBER(INDEX($A:$AP,ROW(),$F$6)),INDEX($A:$AP,ROW(),$F$6),IFERROR(--SUBSTITUTE(SUBSTITUTE(TRIM(INDEX($A:$AP,ROW(),$F$6)),",",""),"원",""),0))))</f>
        <v/>
      </c>
      <c r="AU72" s="23">
        <f>IF($AS72="","",IF($G$6="",0,IF(ISNUMBER(INDEX($A:$AP,ROW(),$G$6)),INDEX($A:$AP,ROW(),$G$6),IFERROR(--SUBSTITUTE(SUBSTITUTE(TRIM(INDEX($A:$AP,ROW(),$G$6)),",",""),"원",""),0))))</f>
        <v/>
      </c>
      <c r="AV72" s="23">
        <f>IF($AS72="","",IF($H$6="",$AT72+$AU72,IF($H$6="",0,IF(ISNUMBER(INDEX($A:$AP,ROW(),$H$6)),INDEX($A:$AP,ROW(),$H$6),IFERROR(--SUBSTITUTE(SUBSTITUTE(TRIM(INDEX($A:$AP,ROW(),$H$6)),",",""),"원",""),0)))))</f>
        <v/>
      </c>
      <c r="AW72" s="2">
        <f>IF(OR($AS72="",$C$6=""),"",TRIM(INDEX($A:$AP,ROW(),$C$6)&amp;""))</f>
        <v/>
      </c>
      <c r="AX72" s="2">
        <f>IF($AS72="","",IF($AZ72&lt;&gt;"",SUBSTITUTE(SUBSTITUTE($AZ72,"-","")," ",""),$AY72))</f>
        <v/>
      </c>
      <c r="AY72" s="2">
        <f>IF(OR($AS72="",$E$6=""),"",TRIM(INDEX($A:$AP,ROW(),$E$6)&amp;""))</f>
        <v/>
      </c>
      <c r="AZ72" s="2">
        <f>IF(OR($AS72="",$D$6=""),"",TRIM(INDEX($A:$AP,ROW(),$D$6)&amp;""))</f>
        <v/>
      </c>
      <c r="BA72" s="2">
        <f>IF($AS72="","",IF(AND($AS72&gt;=설정!$B$10,$AS72&lt;=설정!$B$11),"포함","기간 밖"))</f>
        <v/>
      </c>
      <c r="BB72" s="2">
        <f>IF($AS72="","",IF(OR($AT72&lt;0,AND($I$6&lt;&gt;"",ISNUMBER(FIND("수정",INDEX($A:$AP,ROW(),IF($I$6="",1,$I$6))&amp;"")))),"수정","일반"))</f>
        <v/>
      </c>
      <c r="BC72" s="2">
        <f>IF($AS72="","",MID(IF($BA72="기간 밖"," / 기간 밖(신고기간 아님)","")&amp;IF(AND($AW72&lt;&gt;"",COUNTIF($AW$8:$AW$1007,$AW72)&gt;1)," / 승인번호 중복(두 번 붙여넣기?)","")&amp;IF(ABS($AU72-ROUND($AT72*0.1,0))&gt;설정!$B$8,IF($AU72=0," / 세액 0원(영세율·면세 여부 확인)"," / 세액이 공급가액 10%와 다름"),"")&amp;IF($BB72="수정"," / 수정세금계산서(합계에서 자동 가감)",""),4,200))</f>
        <v/>
      </c>
      <c r="BD72" s="2">
        <f>IF($BA72&lt;&gt;"포함","",IF(COUNTIFS($AX$8:$AX72,$AX72,$BA$8:$BA72,"포함")=1,MAX($BD$7:BD71)+1,""))</f>
        <v/>
      </c>
      <c r="BE72" s="2">
        <f>IF($BC72="","",MAX($BE$7:BE71)+1)</f>
        <v/>
      </c>
    </row>
    <row r="73">
      <c r="AR73" s="2">
        <f>IF(OR($A$5="",$B$6="",ROW()&lt;$A$5),"",IF(INDEX($A:$AP,ROW(),$B$6)="","",INDEX($A:$AP,ROW(),$B$6)))</f>
        <v/>
      </c>
      <c r="AS73" s="22">
        <f>IF($AR73="","",IF(ISNUMBER($AR73),IF($AR73&gt;=10000000,IFERROR(DATE(INT($AR73/10000),MOD(INT($AR73/100),100),MOD($AR73,100)),""),INT($AR73)),IFERROR(DATE(--LEFT(LEFT(SUBSTITUTE(SUBSTITUTE(SUBSTITUTE(SUBSTITUTE(TRIM($AR73),"-",""),".",""),"/","")," ",""),8),4),--MID(LEFT(SUBSTITUTE(SUBSTITUTE(SUBSTITUTE(SUBSTITUTE(TRIM($AR73),"-",""),".",""),"/","")," ",""),8),5,2),--MID(LEFT(SUBSTITUTE(SUBSTITUTE(SUBSTITUTE(SUBSTITUTE(TRIM($AR73),"-",""),".",""),"/","")," ",""),8),7,2)),"")))</f>
        <v/>
      </c>
      <c r="AT73" s="23">
        <f>IF($AS73="","",IF($F$6="",0,IF(ISNUMBER(INDEX($A:$AP,ROW(),$F$6)),INDEX($A:$AP,ROW(),$F$6),IFERROR(--SUBSTITUTE(SUBSTITUTE(TRIM(INDEX($A:$AP,ROW(),$F$6)),",",""),"원",""),0))))</f>
        <v/>
      </c>
      <c r="AU73" s="23">
        <f>IF($AS73="","",IF($G$6="",0,IF(ISNUMBER(INDEX($A:$AP,ROW(),$G$6)),INDEX($A:$AP,ROW(),$G$6),IFERROR(--SUBSTITUTE(SUBSTITUTE(TRIM(INDEX($A:$AP,ROW(),$G$6)),",",""),"원",""),0))))</f>
        <v/>
      </c>
      <c r="AV73" s="23">
        <f>IF($AS73="","",IF($H$6="",$AT73+$AU73,IF($H$6="",0,IF(ISNUMBER(INDEX($A:$AP,ROW(),$H$6)),INDEX($A:$AP,ROW(),$H$6),IFERROR(--SUBSTITUTE(SUBSTITUTE(TRIM(INDEX($A:$AP,ROW(),$H$6)),",",""),"원",""),0)))))</f>
        <v/>
      </c>
      <c r="AW73" s="2">
        <f>IF(OR($AS73="",$C$6=""),"",TRIM(INDEX($A:$AP,ROW(),$C$6)&amp;""))</f>
        <v/>
      </c>
      <c r="AX73" s="2">
        <f>IF($AS73="","",IF($AZ73&lt;&gt;"",SUBSTITUTE(SUBSTITUTE($AZ73,"-","")," ",""),$AY73))</f>
        <v/>
      </c>
      <c r="AY73" s="2">
        <f>IF(OR($AS73="",$E$6=""),"",TRIM(INDEX($A:$AP,ROW(),$E$6)&amp;""))</f>
        <v/>
      </c>
      <c r="AZ73" s="2">
        <f>IF(OR($AS73="",$D$6=""),"",TRIM(INDEX($A:$AP,ROW(),$D$6)&amp;""))</f>
        <v/>
      </c>
      <c r="BA73" s="2">
        <f>IF($AS73="","",IF(AND($AS73&gt;=설정!$B$10,$AS73&lt;=설정!$B$11),"포함","기간 밖"))</f>
        <v/>
      </c>
      <c r="BB73" s="2">
        <f>IF($AS73="","",IF(OR($AT73&lt;0,AND($I$6&lt;&gt;"",ISNUMBER(FIND("수정",INDEX($A:$AP,ROW(),IF($I$6="",1,$I$6))&amp;"")))),"수정","일반"))</f>
        <v/>
      </c>
      <c r="BC73" s="2">
        <f>IF($AS73="","",MID(IF($BA73="기간 밖"," / 기간 밖(신고기간 아님)","")&amp;IF(AND($AW73&lt;&gt;"",COUNTIF($AW$8:$AW$1007,$AW73)&gt;1)," / 승인번호 중복(두 번 붙여넣기?)","")&amp;IF(ABS($AU73-ROUND($AT73*0.1,0))&gt;설정!$B$8,IF($AU73=0," / 세액 0원(영세율·면세 여부 확인)"," / 세액이 공급가액 10%와 다름"),"")&amp;IF($BB73="수정"," / 수정세금계산서(합계에서 자동 가감)",""),4,200))</f>
        <v/>
      </c>
      <c r="BD73" s="2">
        <f>IF($BA73&lt;&gt;"포함","",IF(COUNTIFS($AX$8:$AX73,$AX73,$BA$8:$BA73,"포함")=1,MAX($BD$7:BD72)+1,""))</f>
        <v/>
      </c>
      <c r="BE73" s="2">
        <f>IF($BC73="","",MAX($BE$7:BE72)+1)</f>
        <v/>
      </c>
    </row>
    <row r="74">
      <c r="AR74" s="2">
        <f>IF(OR($A$5="",$B$6="",ROW()&lt;$A$5),"",IF(INDEX($A:$AP,ROW(),$B$6)="","",INDEX($A:$AP,ROW(),$B$6)))</f>
        <v/>
      </c>
      <c r="AS74" s="22">
        <f>IF($AR74="","",IF(ISNUMBER($AR74),IF($AR74&gt;=10000000,IFERROR(DATE(INT($AR74/10000),MOD(INT($AR74/100),100),MOD($AR74,100)),""),INT($AR74)),IFERROR(DATE(--LEFT(LEFT(SUBSTITUTE(SUBSTITUTE(SUBSTITUTE(SUBSTITUTE(TRIM($AR74),"-",""),".",""),"/","")," ",""),8),4),--MID(LEFT(SUBSTITUTE(SUBSTITUTE(SUBSTITUTE(SUBSTITUTE(TRIM($AR74),"-",""),".",""),"/","")," ",""),8),5,2),--MID(LEFT(SUBSTITUTE(SUBSTITUTE(SUBSTITUTE(SUBSTITUTE(TRIM($AR74),"-",""),".",""),"/","")," ",""),8),7,2)),"")))</f>
        <v/>
      </c>
      <c r="AT74" s="23">
        <f>IF($AS74="","",IF($F$6="",0,IF(ISNUMBER(INDEX($A:$AP,ROW(),$F$6)),INDEX($A:$AP,ROW(),$F$6),IFERROR(--SUBSTITUTE(SUBSTITUTE(TRIM(INDEX($A:$AP,ROW(),$F$6)),",",""),"원",""),0))))</f>
        <v/>
      </c>
      <c r="AU74" s="23">
        <f>IF($AS74="","",IF($G$6="",0,IF(ISNUMBER(INDEX($A:$AP,ROW(),$G$6)),INDEX($A:$AP,ROW(),$G$6),IFERROR(--SUBSTITUTE(SUBSTITUTE(TRIM(INDEX($A:$AP,ROW(),$G$6)),",",""),"원",""),0))))</f>
        <v/>
      </c>
      <c r="AV74" s="23">
        <f>IF($AS74="","",IF($H$6="",$AT74+$AU74,IF($H$6="",0,IF(ISNUMBER(INDEX($A:$AP,ROW(),$H$6)),INDEX($A:$AP,ROW(),$H$6),IFERROR(--SUBSTITUTE(SUBSTITUTE(TRIM(INDEX($A:$AP,ROW(),$H$6)),",",""),"원",""),0)))))</f>
        <v/>
      </c>
      <c r="AW74" s="2">
        <f>IF(OR($AS74="",$C$6=""),"",TRIM(INDEX($A:$AP,ROW(),$C$6)&amp;""))</f>
        <v/>
      </c>
      <c r="AX74" s="2">
        <f>IF($AS74="","",IF($AZ74&lt;&gt;"",SUBSTITUTE(SUBSTITUTE($AZ74,"-","")," ",""),$AY74))</f>
        <v/>
      </c>
      <c r="AY74" s="2">
        <f>IF(OR($AS74="",$E$6=""),"",TRIM(INDEX($A:$AP,ROW(),$E$6)&amp;""))</f>
        <v/>
      </c>
      <c r="AZ74" s="2">
        <f>IF(OR($AS74="",$D$6=""),"",TRIM(INDEX($A:$AP,ROW(),$D$6)&amp;""))</f>
        <v/>
      </c>
      <c r="BA74" s="2">
        <f>IF($AS74="","",IF(AND($AS74&gt;=설정!$B$10,$AS74&lt;=설정!$B$11),"포함","기간 밖"))</f>
        <v/>
      </c>
      <c r="BB74" s="2">
        <f>IF($AS74="","",IF(OR($AT74&lt;0,AND($I$6&lt;&gt;"",ISNUMBER(FIND("수정",INDEX($A:$AP,ROW(),IF($I$6="",1,$I$6))&amp;"")))),"수정","일반"))</f>
        <v/>
      </c>
      <c r="BC74" s="2">
        <f>IF($AS74="","",MID(IF($BA74="기간 밖"," / 기간 밖(신고기간 아님)","")&amp;IF(AND($AW74&lt;&gt;"",COUNTIF($AW$8:$AW$1007,$AW74)&gt;1)," / 승인번호 중복(두 번 붙여넣기?)","")&amp;IF(ABS($AU74-ROUND($AT74*0.1,0))&gt;설정!$B$8,IF($AU74=0," / 세액 0원(영세율·면세 여부 확인)"," / 세액이 공급가액 10%와 다름"),"")&amp;IF($BB74="수정"," / 수정세금계산서(합계에서 자동 가감)",""),4,200))</f>
        <v/>
      </c>
      <c r="BD74" s="2">
        <f>IF($BA74&lt;&gt;"포함","",IF(COUNTIFS($AX$8:$AX74,$AX74,$BA$8:$BA74,"포함")=1,MAX($BD$7:BD73)+1,""))</f>
        <v/>
      </c>
      <c r="BE74" s="2">
        <f>IF($BC74="","",MAX($BE$7:BE73)+1)</f>
        <v/>
      </c>
    </row>
    <row r="75">
      <c r="AR75" s="2">
        <f>IF(OR($A$5="",$B$6="",ROW()&lt;$A$5),"",IF(INDEX($A:$AP,ROW(),$B$6)="","",INDEX($A:$AP,ROW(),$B$6)))</f>
        <v/>
      </c>
      <c r="AS75" s="22">
        <f>IF($AR75="","",IF(ISNUMBER($AR75),IF($AR75&gt;=10000000,IFERROR(DATE(INT($AR75/10000),MOD(INT($AR75/100),100),MOD($AR75,100)),""),INT($AR75)),IFERROR(DATE(--LEFT(LEFT(SUBSTITUTE(SUBSTITUTE(SUBSTITUTE(SUBSTITUTE(TRIM($AR75),"-",""),".",""),"/","")," ",""),8),4),--MID(LEFT(SUBSTITUTE(SUBSTITUTE(SUBSTITUTE(SUBSTITUTE(TRIM($AR75),"-",""),".",""),"/","")," ",""),8),5,2),--MID(LEFT(SUBSTITUTE(SUBSTITUTE(SUBSTITUTE(SUBSTITUTE(TRIM($AR75),"-",""),".",""),"/","")," ",""),8),7,2)),"")))</f>
        <v/>
      </c>
      <c r="AT75" s="23">
        <f>IF($AS75="","",IF($F$6="",0,IF(ISNUMBER(INDEX($A:$AP,ROW(),$F$6)),INDEX($A:$AP,ROW(),$F$6),IFERROR(--SUBSTITUTE(SUBSTITUTE(TRIM(INDEX($A:$AP,ROW(),$F$6)),",",""),"원",""),0))))</f>
        <v/>
      </c>
      <c r="AU75" s="23">
        <f>IF($AS75="","",IF($G$6="",0,IF(ISNUMBER(INDEX($A:$AP,ROW(),$G$6)),INDEX($A:$AP,ROW(),$G$6),IFERROR(--SUBSTITUTE(SUBSTITUTE(TRIM(INDEX($A:$AP,ROW(),$G$6)),",",""),"원",""),0))))</f>
        <v/>
      </c>
      <c r="AV75" s="23">
        <f>IF($AS75="","",IF($H$6="",$AT75+$AU75,IF($H$6="",0,IF(ISNUMBER(INDEX($A:$AP,ROW(),$H$6)),INDEX($A:$AP,ROW(),$H$6),IFERROR(--SUBSTITUTE(SUBSTITUTE(TRIM(INDEX($A:$AP,ROW(),$H$6)),",",""),"원",""),0)))))</f>
        <v/>
      </c>
      <c r="AW75" s="2">
        <f>IF(OR($AS75="",$C$6=""),"",TRIM(INDEX($A:$AP,ROW(),$C$6)&amp;""))</f>
        <v/>
      </c>
      <c r="AX75" s="2">
        <f>IF($AS75="","",IF($AZ75&lt;&gt;"",SUBSTITUTE(SUBSTITUTE($AZ75,"-","")," ",""),$AY75))</f>
        <v/>
      </c>
      <c r="AY75" s="2">
        <f>IF(OR($AS75="",$E$6=""),"",TRIM(INDEX($A:$AP,ROW(),$E$6)&amp;""))</f>
        <v/>
      </c>
      <c r="AZ75" s="2">
        <f>IF(OR($AS75="",$D$6=""),"",TRIM(INDEX($A:$AP,ROW(),$D$6)&amp;""))</f>
        <v/>
      </c>
      <c r="BA75" s="2">
        <f>IF($AS75="","",IF(AND($AS75&gt;=설정!$B$10,$AS75&lt;=설정!$B$11),"포함","기간 밖"))</f>
        <v/>
      </c>
      <c r="BB75" s="2">
        <f>IF($AS75="","",IF(OR($AT75&lt;0,AND($I$6&lt;&gt;"",ISNUMBER(FIND("수정",INDEX($A:$AP,ROW(),IF($I$6="",1,$I$6))&amp;"")))),"수정","일반"))</f>
        <v/>
      </c>
      <c r="BC75" s="2">
        <f>IF($AS75="","",MID(IF($BA75="기간 밖"," / 기간 밖(신고기간 아님)","")&amp;IF(AND($AW75&lt;&gt;"",COUNTIF($AW$8:$AW$1007,$AW75)&gt;1)," / 승인번호 중복(두 번 붙여넣기?)","")&amp;IF(ABS($AU75-ROUND($AT75*0.1,0))&gt;설정!$B$8,IF($AU75=0," / 세액 0원(영세율·면세 여부 확인)"," / 세액이 공급가액 10%와 다름"),"")&amp;IF($BB75="수정"," / 수정세금계산서(합계에서 자동 가감)",""),4,200))</f>
        <v/>
      </c>
      <c r="BD75" s="2">
        <f>IF($BA75&lt;&gt;"포함","",IF(COUNTIFS($AX$8:$AX75,$AX75,$BA$8:$BA75,"포함")=1,MAX($BD$7:BD74)+1,""))</f>
        <v/>
      </c>
      <c r="BE75" s="2">
        <f>IF($BC75="","",MAX($BE$7:BE74)+1)</f>
        <v/>
      </c>
    </row>
    <row r="76">
      <c r="AR76" s="2">
        <f>IF(OR($A$5="",$B$6="",ROW()&lt;$A$5),"",IF(INDEX($A:$AP,ROW(),$B$6)="","",INDEX($A:$AP,ROW(),$B$6)))</f>
        <v/>
      </c>
      <c r="AS76" s="22">
        <f>IF($AR76="","",IF(ISNUMBER($AR76),IF($AR76&gt;=10000000,IFERROR(DATE(INT($AR76/10000),MOD(INT($AR76/100),100),MOD($AR76,100)),""),INT($AR76)),IFERROR(DATE(--LEFT(LEFT(SUBSTITUTE(SUBSTITUTE(SUBSTITUTE(SUBSTITUTE(TRIM($AR76),"-",""),".",""),"/","")," ",""),8),4),--MID(LEFT(SUBSTITUTE(SUBSTITUTE(SUBSTITUTE(SUBSTITUTE(TRIM($AR76),"-",""),".",""),"/","")," ",""),8),5,2),--MID(LEFT(SUBSTITUTE(SUBSTITUTE(SUBSTITUTE(SUBSTITUTE(TRIM($AR76),"-",""),".",""),"/","")," ",""),8),7,2)),"")))</f>
        <v/>
      </c>
      <c r="AT76" s="23">
        <f>IF($AS76="","",IF($F$6="",0,IF(ISNUMBER(INDEX($A:$AP,ROW(),$F$6)),INDEX($A:$AP,ROW(),$F$6),IFERROR(--SUBSTITUTE(SUBSTITUTE(TRIM(INDEX($A:$AP,ROW(),$F$6)),",",""),"원",""),0))))</f>
        <v/>
      </c>
      <c r="AU76" s="23">
        <f>IF($AS76="","",IF($G$6="",0,IF(ISNUMBER(INDEX($A:$AP,ROW(),$G$6)),INDEX($A:$AP,ROW(),$G$6),IFERROR(--SUBSTITUTE(SUBSTITUTE(TRIM(INDEX($A:$AP,ROW(),$G$6)),",",""),"원",""),0))))</f>
        <v/>
      </c>
      <c r="AV76" s="23">
        <f>IF($AS76="","",IF($H$6="",$AT76+$AU76,IF($H$6="",0,IF(ISNUMBER(INDEX($A:$AP,ROW(),$H$6)),INDEX($A:$AP,ROW(),$H$6),IFERROR(--SUBSTITUTE(SUBSTITUTE(TRIM(INDEX($A:$AP,ROW(),$H$6)),",",""),"원",""),0)))))</f>
        <v/>
      </c>
      <c r="AW76" s="2">
        <f>IF(OR($AS76="",$C$6=""),"",TRIM(INDEX($A:$AP,ROW(),$C$6)&amp;""))</f>
        <v/>
      </c>
      <c r="AX76" s="2">
        <f>IF($AS76="","",IF($AZ76&lt;&gt;"",SUBSTITUTE(SUBSTITUTE($AZ76,"-","")," ",""),$AY76))</f>
        <v/>
      </c>
      <c r="AY76" s="2">
        <f>IF(OR($AS76="",$E$6=""),"",TRIM(INDEX($A:$AP,ROW(),$E$6)&amp;""))</f>
        <v/>
      </c>
      <c r="AZ76" s="2">
        <f>IF(OR($AS76="",$D$6=""),"",TRIM(INDEX($A:$AP,ROW(),$D$6)&amp;""))</f>
        <v/>
      </c>
      <c r="BA76" s="2">
        <f>IF($AS76="","",IF(AND($AS76&gt;=설정!$B$10,$AS76&lt;=설정!$B$11),"포함","기간 밖"))</f>
        <v/>
      </c>
      <c r="BB76" s="2">
        <f>IF($AS76="","",IF(OR($AT76&lt;0,AND($I$6&lt;&gt;"",ISNUMBER(FIND("수정",INDEX($A:$AP,ROW(),IF($I$6="",1,$I$6))&amp;"")))),"수정","일반"))</f>
        <v/>
      </c>
      <c r="BC76" s="2">
        <f>IF($AS76="","",MID(IF($BA76="기간 밖"," / 기간 밖(신고기간 아님)","")&amp;IF(AND($AW76&lt;&gt;"",COUNTIF($AW$8:$AW$1007,$AW76)&gt;1)," / 승인번호 중복(두 번 붙여넣기?)","")&amp;IF(ABS($AU76-ROUND($AT76*0.1,0))&gt;설정!$B$8,IF($AU76=0," / 세액 0원(영세율·면세 여부 확인)"," / 세액이 공급가액 10%와 다름"),"")&amp;IF($BB76="수정"," / 수정세금계산서(합계에서 자동 가감)",""),4,200))</f>
        <v/>
      </c>
      <c r="BD76" s="2">
        <f>IF($BA76&lt;&gt;"포함","",IF(COUNTIFS($AX$8:$AX76,$AX76,$BA$8:$BA76,"포함")=1,MAX($BD$7:BD75)+1,""))</f>
        <v/>
      </c>
      <c r="BE76" s="2">
        <f>IF($BC76="","",MAX($BE$7:BE75)+1)</f>
        <v/>
      </c>
    </row>
    <row r="77">
      <c r="AR77" s="2">
        <f>IF(OR($A$5="",$B$6="",ROW()&lt;$A$5),"",IF(INDEX($A:$AP,ROW(),$B$6)="","",INDEX($A:$AP,ROW(),$B$6)))</f>
        <v/>
      </c>
      <c r="AS77" s="22">
        <f>IF($AR77="","",IF(ISNUMBER($AR77),IF($AR77&gt;=10000000,IFERROR(DATE(INT($AR77/10000),MOD(INT($AR77/100),100),MOD($AR77,100)),""),INT($AR77)),IFERROR(DATE(--LEFT(LEFT(SUBSTITUTE(SUBSTITUTE(SUBSTITUTE(SUBSTITUTE(TRIM($AR77),"-",""),".",""),"/","")," ",""),8),4),--MID(LEFT(SUBSTITUTE(SUBSTITUTE(SUBSTITUTE(SUBSTITUTE(TRIM($AR77),"-",""),".",""),"/","")," ",""),8),5,2),--MID(LEFT(SUBSTITUTE(SUBSTITUTE(SUBSTITUTE(SUBSTITUTE(TRIM($AR77),"-",""),".",""),"/","")," ",""),8),7,2)),"")))</f>
        <v/>
      </c>
      <c r="AT77" s="23">
        <f>IF($AS77="","",IF($F$6="",0,IF(ISNUMBER(INDEX($A:$AP,ROW(),$F$6)),INDEX($A:$AP,ROW(),$F$6),IFERROR(--SUBSTITUTE(SUBSTITUTE(TRIM(INDEX($A:$AP,ROW(),$F$6)),",",""),"원",""),0))))</f>
        <v/>
      </c>
      <c r="AU77" s="23">
        <f>IF($AS77="","",IF($G$6="",0,IF(ISNUMBER(INDEX($A:$AP,ROW(),$G$6)),INDEX($A:$AP,ROW(),$G$6),IFERROR(--SUBSTITUTE(SUBSTITUTE(TRIM(INDEX($A:$AP,ROW(),$G$6)),",",""),"원",""),0))))</f>
        <v/>
      </c>
      <c r="AV77" s="23">
        <f>IF($AS77="","",IF($H$6="",$AT77+$AU77,IF($H$6="",0,IF(ISNUMBER(INDEX($A:$AP,ROW(),$H$6)),INDEX($A:$AP,ROW(),$H$6),IFERROR(--SUBSTITUTE(SUBSTITUTE(TRIM(INDEX($A:$AP,ROW(),$H$6)),",",""),"원",""),0)))))</f>
        <v/>
      </c>
      <c r="AW77" s="2">
        <f>IF(OR($AS77="",$C$6=""),"",TRIM(INDEX($A:$AP,ROW(),$C$6)&amp;""))</f>
        <v/>
      </c>
      <c r="AX77" s="2">
        <f>IF($AS77="","",IF($AZ77&lt;&gt;"",SUBSTITUTE(SUBSTITUTE($AZ77,"-","")," ",""),$AY77))</f>
        <v/>
      </c>
      <c r="AY77" s="2">
        <f>IF(OR($AS77="",$E$6=""),"",TRIM(INDEX($A:$AP,ROW(),$E$6)&amp;""))</f>
        <v/>
      </c>
      <c r="AZ77" s="2">
        <f>IF(OR($AS77="",$D$6=""),"",TRIM(INDEX($A:$AP,ROW(),$D$6)&amp;""))</f>
        <v/>
      </c>
      <c r="BA77" s="2">
        <f>IF($AS77="","",IF(AND($AS77&gt;=설정!$B$10,$AS77&lt;=설정!$B$11),"포함","기간 밖"))</f>
        <v/>
      </c>
      <c r="BB77" s="2">
        <f>IF($AS77="","",IF(OR($AT77&lt;0,AND($I$6&lt;&gt;"",ISNUMBER(FIND("수정",INDEX($A:$AP,ROW(),IF($I$6="",1,$I$6))&amp;"")))),"수정","일반"))</f>
        <v/>
      </c>
      <c r="BC77" s="2">
        <f>IF($AS77="","",MID(IF($BA77="기간 밖"," / 기간 밖(신고기간 아님)","")&amp;IF(AND($AW77&lt;&gt;"",COUNTIF($AW$8:$AW$1007,$AW77)&gt;1)," / 승인번호 중복(두 번 붙여넣기?)","")&amp;IF(ABS($AU77-ROUND($AT77*0.1,0))&gt;설정!$B$8,IF($AU77=0," / 세액 0원(영세율·면세 여부 확인)"," / 세액이 공급가액 10%와 다름"),"")&amp;IF($BB77="수정"," / 수정세금계산서(합계에서 자동 가감)",""),4,200))</f>
        <v/>
      </c>
      <c r="BD77" s="2">
        <f>IF($BA77&lt;&gt;"포함","",IF(COUNTIFS($AX$8:$AX77,$AX77,$BA$8:$BA77,"포함")=1,MAX($BD$7:BD76)+1,""))</f>
        <v/>
      </c>
      <c r="BE77" s="2">
        <f>IF($BC77="","",MAX($BE$7:BE76)+1)</f>
        <v/>
      </c>
    </row>
    <row r="78">
      <c r="AR78" s="2">
        <f>IF(OR($A$5="",$B$6="",ROW()&lt;$A$5),"",IF(INDEX($A:$AP,ROW(),$B$6)="","",INDEX($A:$AP,ROW(),$B$6)))</f>
        <v/>
      </c>
      <c r="AS78" s="22">
        <f>IF($AR78="","",IF(ISNUMBER($AR78),IF($AR78&gt;=10000000,IFERROR(DATE(INT($AR78/10000),MOD(INT($AR78/100),100),MOD($AR78,100)),""),INT($AR78)),IFERROR(DATE(--LEFT(LEFT(SUBSTITUTE(SUBSTITUTE(SUBSTITUTE(SUBSTITUTE(TRIM($AR78),"-",""),".",""),"/","")," ",""),8),4),--MID(LEFT(SUBSTITUTE(SUBSTITUTE(SUBSTITUTE(SUBSTITUTE(TRIM($AR78),"-",""),".",""),"/","")," ",""),8),5,2),--MID(LEFT(SUBSTITUTE(SUBSTITUTE(SUBSTITUTE(SUBSTITUTE(TRIM($AR78),"-",""),".",""),"/","")," ",""),8),7,2)),"")))</f>
        <v/>
      </c>
      <c r="AT78" s="23">
        <f>IF($AS78="","",IF($F$6="",0,IF(ISNUMBER(INDEX($A:$AP,ROW(),$F$6)),INDEX($A:$AP,ROW(),$F$6),IFERROR(--SUBSTITUTE(SUBSTITUTE(TRIM(INDEX($A:$AP,ROW(),$F$6)),",",""),"원",""),0))))</f>
        <v/>
      </c>
      <c r="AU78" s="23">
        <f>IF($AS78="","",IF($G$6="",0,IF(ISNUMBER(INDEX($A:$AP,ROW(),$G$6)),INDEX($A:$AP,ROW(),$G$6),IFERROR(--SUBSTITUTE(SUBSTITUTE(TRIM(INDEX($A:$AP,ROW(),$G$6)),",",""),"원",""),0))))</f>
        <v/>
      </c>
      <c r="AV78" s="23">
        <f>IF($AS78="","",IF($H$6="",$AT78+$AU78,IF($H$6="",0,IF(ISNUMBER(INDEX($A:$AP,ROW(),$H$6)),INDEX($A:$AP,ROW(),$H$6),IFERROR(--SUBSTITUTE(SUBSTITUTE(TRIM(INDEX($A:$AP,ROW(),$H$6)),",",""),"원",""),0)))))</f>
        <v/>
      </c>
      <c r="AW78" s="2">
        <f>IF(OR($AS78="",$C$6=""),"",TRIM(INDEX($A:$AP,ROW(),$C$6)&amp;""))</f>
        <v/>
      </c>
      <c r="AX78" s="2">
        <f>IF($AS78="","",IF($AZ78&lt;&gt;"",SUBSTITUTE(SUBSTITUTE($AZ78,"-","")," ",""),$AY78))</f>
        <v/>
      </c>
      <c r="AY78" s="2">
        <f>IF(OR($AS78="",$E$6=""),"",TRIM(INDEX($A:$AP,ROW(),$E$6)&amp;""))</f>
        <v/>
      </c>
      <c r="AZ78" s="2">
        <f>IF(OR($AS78="",$D$6=""),"",TRIM(INDEX($A:$AP,ROW(),$D$6)&amp;""))</f>
        <v/>
      </c>
      <c r="BA78" s="2">
        <f>IF($AS78="","",IF(AND($AS78&gt;=설정!$B$10,$AS78&lt;=설정!$B$11),"포함","기간 밖"))</f>
        <v/>
      </c>
      <c r="BB78" s="2">
        <f>IF($AS78="","",IF(OR($AT78&lt;0,AND($I$6&lt;&gt;"",ISNUMBER(FIND("수정",INDEX($A:$AP,ROW(),IF($I$6="",1,$I$6))&amp;"")))),"수정","일반"))</f>
        <v/>
      </c>
      <c r="BC78" s="2">
        <f>IF($AS78="","",MID(IF($BA78="기간 밖"," / 기간 밖(신고기간 아님)","")&amp;IF(AND($AW78&lt;&gt;"",COUNTIF($AW$8:$AW$1007,$AW78)&gt;1)," / 승인번호 중복(두 번 붙여넣기?)","")&amp;IF(ABS($AU78-ROUND($AT78*0.1,0))&gt;설정!$B$8,IF($AU78=0," / 세액 0원(영세율·면세 여부 확인)"," / 세액이 공급가액 10%와 다름"),"")&amp;IF($BB78="수정"," / 수정세금계산서(합계에서 자동 가감)",""),4,200))</f>
        <v/>
      </c>
      <c r="BD78" s="2">
        <f>IF($BA78&lt;&gt;"포함","",IF(COUNTIFS($AX$8:$AX78,$AX78,$BA$8:$BA78,"포함")=1,MAX($BD$7:BD77)+1,""))</f>
        <v/>
      </c>
      <c r="BE78" s="2">
        <f>IF($BC78="","",MAX($BE$7:BE77)+1)</f>
        <v/>
      </c>
    </row>
    <row r="79">
      <c r="AR79" s="2">
        <f>IF(OR($A$5="",$B$6="",ROW()&lt;$A$5),"",IF(INDEX($A:$AP,ROW(),$B$6)="","",INDEX($A:$AP,ROW(),$B$6)))</f>
        <v/>
      </c>
      <c r="AS79" s="22">
        <f>IF($AR79="","",IF(ISNUMBER($AR79),IF($AR79&gt;=10000000,IFERROR(DATE(INT($AR79/10000),MOD(INT($AR79/100),100),MOD($AR79,100)),""),INT($AR79)),IFERROR(DATE(--LEFT(LEFT(SUBSTITUTE(SUBSTITUTE(SUBSTITUTE(SUBSTITUTE(TRIM($AR79),"-",""),".",""),"/","")," ",""),8),4),--MID(LEFT(SUBSTITUTE(SUBSTITUTE(SUBSTITUTE(SUBSTITUTE(TRIM($AR79),"-",""),".",""),"/","")," ",""),8),5,2),--MID(LEFT(SUBSTITUTE(SUBSTITUTE(SUBSTITUTE(SUBSTITUTE(TRIM($AR79),"-",""),".",""),"/","")," ",""),8),7,2)),"")))</f>
        <v/>
      </c>
      <c r="AT79" s="23">
        <f>IF($AS79="","",IF($F$6="",0,IF(ISNUMBER(INDEX($A:$AP,ROW(),$F$6)),INDEX($A:$AP,ROW(),$F$6),IFERROR(--SUBSTITUTE(SUBSTITUTE(TRIM(INDEX($A:$AP,ROW(),$F$6)),",",""),"원",""),0))))</f>
        <v/>
      </c>
      <c r="AU79" s="23">
        <f>IF($AS79="","",IF($G$6="",0,IF(ISNUMBER(INDEX($A:$AP,ROW(),$G$6)),INDEX($A:$AP,ROW(),$G$6),IFERROR(--SUBSTITUTE(SUBSTITUTE(TRIM(INDEX($A:$AP,ROW(),$G$6)),",",""),"원",""),0))))</f>
        <v/>
      </c>
      <c r="AV79" s="23">
        <f>IF($AS79="","",IF($H$6="",$AT79+$AU79,IF($H$6="",0,IF(ISNUMBER(INDEX($A:$AP,ROW(),$H$6)),INDEX($A:$AP,ROW(),$H$6),IFERROR(--SUBSTITUTE(SUBSTITUTE(TRIM(INDEX($A:$AP,ROW(),$H$6)),",",""),"원",""),0)))))</f>
        <v/>
      </c>
      <c r="AW79" s="2">
        <f>IF(OR($AS79="",$C$6=""),"",TRIM(INDEX($A:$AP,ROW(),$C$6)&amp;""))</f>
        <v/>
      </c>
      <c r="AX79" s="2">
        <f>IF($AS79="","",IF($AZ79&lt;&gt;"",SUBSTITUTE(SUBSTITUTE($AZ79,"-","")," ",""),$AY79))</f>
        <v/>
      </c>
      <c r="AY79" s="2">
        <f>IF(OR($AS79="",$E$6=""),"",TRIM(INDEX($A:$AP,ROW(),$E$6)&amp;""))</f>
        <v/>
      </c>
      <c r="AZ79" s="2">
        <f>IF(OR($AS79="",$D$6=""),"",TRIM(INDEX($A:$AP,ROW(),$D$6)&amp;""))</f>
        <v/>
      </c>
      <c r="BA79" s="2">
        <f>IF($AS79="","",IF(AND($AS79&gt;=설정!$B$10,$AS79&lt;=설정!$B$11),"포함","기간 밖"))</f>
        <v/>
      </c>
      <c r="BB79" s="2">
        <f>IF($AS79="","",IF(OR($AT79&lt;0,AND($I$6&lt;&gt;"",ISNUMBER(FIND("수정",INDEX($A:$AP,ROW(),IF($I$6="",1,$I$6))&amp;"")))),"수정","일반"))</f>
        <v/>
      </c>
      <c r="BC79" s="2">
        <f>IF($AS79="","",MID(IF($BA79="기간 밖"," / 기간 밖(신고기간 아님)","")&amp;IF(AND($AW79&lt;&gt;"",COUNTIF($AW$8:$AW$1007,$AW79)&gt;1)," / 승인번호 중복(두 번 붙여넣기?)","")&amp;IF(ABS($AU79-ROUND($AT79*0.1,0))&gt;설정!$B$8,IF($AU79=0," / 세액 0원(영세율·면세 여부 확인)"," / 세액이 공급가액 10%와 다름"),"")&amp;IF($BB79="수정"," / 수정세금계산서(합계에서 자동 가감)",""),4,200))</f>
        <v/>
      </c>
      <c r="BD79" s="2">
        <f>IF($BA79&lt;&gt;"포함","",IF(COUNTIFS($AX$8:$AX79,$AX79,$BA$8:$BA79,"포함")=1,MAX($BD$7:BD78)+1,""))</f>
        <v/>
      </c>
      <c r="BE79" s="2">
        <f>IF($BC79="","",MAX($BE$7:BE78)+1)</f>
        <v/>
      </c>
    </row>
    <row r="80">
      <c r="AR80" s="2">
        <f>IF(OR($A$5="",$B$6="",ROW()&lt;$A$5),"",IF(INDEX($A:$AP,ROW(),$B$6)="","",INDEX($A:$AP,ROW(),$B$6)))</f>
        <v/>
      </c>
      <c r="AS80" s="22">
        <f>IF($AR80="","",IF(ISNUMBER($AR80),IF($AR80&gt;=10000000,IFERROR(DATE(INT($AR80/10000),MOD(INT($AR80/100),100),MOD($AR80,100)),""),INT($AR80)),IFERROR(DATE(--LEFT(LEFT(SUBSTITUTE(SUBSTITUTE(SUBSTITUTE(SUBSTITUTE(TRIM($AR80),"-",""),".",""),"/","")," ",""),8),4),--MID(LEFT(SUBSTITUTE(SUBSTITUTE(SUBSTITUTE(SUBSTITUTE(TRIM($AR80),"-",""),".",""),"/","")," ",""),8),5,2),--MID(LEFT(SUBSTITUTE(SUBSTITUTE(SUBSTITUTE(SUBSTITUTE(TRIM($AR80),"-",""),".",""),"/","")," ",""),8),7,2)),"")))</f>
        <v/>
      </c>
      <c r="AT80" s="23">
        <f>IF($AS80="","",IF($F$6="",0,IF(ISNUMBER(INDEX($A:$AP,ROW(),$F$6)),INDEX($A:$AP,ROW(),$F$6),IFERROR(--SUBSTITUTE(SUBSTITUTE(TRIM(INDEX($A:$AP,ROW(),$F$6)),",",""),"원",""),0))))</f>
        <v/>
      </c>
      <c r="AU80" s="23">
        <f>IF($AS80="","",IF($G$6="",0,IF(ISNUMBER(INDEX($A:$AP,ROW(),$G$6)),INDEX($A:$AP,ROW(),$G$6),IFERROR(--SUBSTITUTE(SUBSTITUTE(TRIM(INDEX($A:$AP,ROW(),$G$6)),",",""),"원",""),0))))</f>
        <v/>
      </c>
      <c r="AV80" s="23">
        <f>IF($AS80="","",IF($H$6="",$AT80+$AU80,IF($H$6="",0,IF(ISNUMBER(INDEX($A:$AP,ROW(),$H$6)),INDEX($A:$AP,ROW(),$H$6),IFERROR(--SUBSTITUTE(SUBSTITUTE(TRIM(INDEX($A:$AP,ROW(),$H$6)),",",""),"원",""),0)))))</f>
        <v/>
      </c>
      <c r="AW80" s="2">
        <f>IF(OR($AS80="",$C$6=""),"",TRIM(INDEX($A:$AP,ROW(),$C$6)&amp;""))</f>
        <v/>
      </c>
      <c r="AX80" s="2">
        <f>IF($AS80="","",IF($AZ80&lt;&gt;"",SUBSTITUTE(SUBSTITUTE($AZ80,"-","")," ",""),$AY80))</f>
        <v/>
      </c>
      <c r="AY80" s="2">
        <f>IF(OR($AS80="",$E$6=""),"",TRIM(INDEX($A:$AP,ROW(),$E$6)&amp;""))</f>
        <v/>
      </c>
      <c r="AZ80" s="2">
        <f>IF(OR($AS80="",$D$6=""),"",TRIM(INDEX($A:$AP,ROW(),$D$6)&amp;""))</f>
        <v/>
      </c>
      <c r="BA80" s="2">
        <f>IF($AS80="","",IF(AND($AS80&gt;=설정!$B$10,$AS80&lt;=설정!$B$11),"포함","기간 밖"))</f>
        <v/>
      </c>
      <c r="BB80" s="2">
        <f>IF($AS80="","",IF(OR($AT80&lt;0,AND($I$6&lt;&gt;"",ISNUMBER(FIND("수정",INDEX($A:$AP,ROW(),IF($I$6="",1,$I$6))&amp;"")))),"수정","일반"))</f>
        <v/>
      </c>
      <c r="BC80" s="2">
        <f>IF($AS80="","",MID(IF($BA80="기간 밖"," / 기간 밖(신고기간 아님)","")&amp;IF(AND($AW80&lt;&gt;"",COUNTIF($AW$8:$AW$1007,$AW80)&gt;1)," / 승인번호 중복(두 번 붙여넣기?)","")&amp;IF(ABS($AU80-ROUND($AT80*0.1,0))&gt;설정!$B$8,IF($AU80=0," / 세액 0원(영세율·면세 여부 확인)"," / 세액이 공급가액 10%와 다름"),"")&amp;IF($BB80="수정"," / 수정세금계산서(합계에서 자동 가감)",""),4,200))</f>
        <v/>
      </c>
      <c r="BD80" s="2">
        <f>IF($BA80&lt;&gt;"포함","",IF(COUNTIFS($AX$8:$AX80,$AX80,$BA$8:$BA80,"포함")=1,MAX($BD$7:BD79)+1,""))</f>
        <v/>
      </c>
      <c r="BE80" s="2">
        <f>IF($BC80="","",MAX($BE$7:BE79)+1)</f>
        <v/>
      </c>
    </row>
    <row r="81">
      <c r="AR81" s="2">
        <f>IF(OR($A$5="",$B$6="",ROW()&lt;$A$5),"",IF(INDEX($A:$AP,ROW(),$B$6)="","",INDEX($A:$AP,ROW(),$B$6)))</f>
        <v/>
      </c>
      <c r="AS81" s="22">
        <f>IF($AR81="","",IF(ISNUMBER($AR81),IF($AR81&gt;=10000000,IFERROR(DATE(INT($AR81/10000),MOD(INT($AR81/100),100),MOD($AR81,100)),""),INT($AR81)),IFERROR(DATE(--LEFT(LEFT(SUBSTITUTE(SUBSTITUTE(SUBSTITUTE(SUBSTITUTE(TRIM($AR81),"-",""),".",""),"/","")," ",""),8),4),--MID(LEFT(SUBSTITUTE(SUBSTITUTE(SUBSTITUTE(SUBSTITUTE(TRIM($AR81),"-",""),".",""),"/","")," ",""),8),5,2),--MID(LEFT(SUBSTITUTE(SUBSTITUTE(SUBSTITUTE(SUBSTITUTE(TRIM($AR81),"-",""),".",""),"/","")," ",""),8),7,2)),"")))</f>
        <v/>
      </c>
      <c r="AT81" s="23">
        <f>IF($AS81="","",IF($F$6="",0,IF(ISNUMBER(INDEX($A:$AP,ROW(),$F$6)),INDEX($A:$AP,ROW(),$F$6),IFERROR(--SUBSTITUTE(SUBSTITUTE(TRIM(INDEX($A:$AP,ROW(),$F$6)),",",""),"원",""),0))))</f>
        <v/>
      </c>
      <c r="AU81" s="23">
        <f>IF($AS81="","",IF($G$6="",0,IF(ISNUMBER(INDEX($A:$AP,ROW(),$G$6)),INDEX($A:$AP,ROW(),$G$6),IFERROR(--SUBSTITUTE(SUBSTITUTE(TRIM(INDEX($A:$AP,ROW(),$G$6)),",",""),"원",""),0))))</f>
        <v/>
      </c>
      <c r="AV81" s="23">
        <f>IF($AS81="","",IF($H$6="",$AT81+$AU81,IF($H$6="",0,IF(ISNUMBER(INDEX($A:$AP,ROW(),$H$6)),INDEX($A:$AP,ROW(),$H$6),IFERROR(--SUBSTITUTE(SUBSTITUTE(TRIM(INDEX($A:$AP,ROW(),$H$6)),",",""),"원",""),0)))))</f>
        <v/>
      </c>
      <c r="AW81" s="2">
        <f>IF(OR($AS81="",$C$6=""),"",TRIM(INDEX($A:$AP,ROW(),$C$6)&amp;""))</f>
        <v/>
      </c>
      <c r="AX81" s="2">
        <f>IF($AS81="","",IF($AZ81&lt;&gt;"",SUBSTITUTE(SUBSTITUTE($AZ81,"-","")," ",""),$AY81))</f>
        <v/>
      </c>
      <c r="AY81" s="2">
        <f>IF(OR($AS81="",$E$6=""),"",TRIM(INDEX($A:$AP,ROW(),$E$6)&amp;""))</f>
        <v/>
      </c>
      <c r="AZ81" s="2">
        <f>IF(OR($AS81="",$D$6=""),"",TRIM(INDEX($A:$AP,ROW(),$D$6)&amp;""))</f>
        <v/>
      </c>
      <c r="BA81" s="2">
        <f>IF($AS81="","",IF(AND($AS81&gt;=설정!$B$10,$AS81&lt;=설정!$B$11),"포함","기간 밖"))</f>
        <v/>
      </c>
      <c r="BB81" s="2">
        <f>IF($AS81="","",IF(OR($AT81&lt;0,AND($I$6&lt;&gt;"",ISNUMBER(FIND("수정",INDEX($A:$AP,ROW(),IF($I$6="",1,$I$6))&amp;"")))),"수정","일반"))</f>
        <v/>
      </c>
      <c r="BC81" s="2">
        <f>IF($AS81="","",MID(IF($BA81="기간 밖"," / 기간 밖(신고기간 아님)","")&amp;IF(AND($AW81&lt;&gt;"",COUNTIF($AW$8:$AW$1007,$AW81)&gt;1)," / 승인번호 중복(두 번 붙여넣기?)","")&amp;IF(ABS($AU81-ROUND($AT81*0.1,0))&gt;설정!$B$8,IF($AU81=0," / 세액 0원(영세율·면세 여부 확인)"," / 세액이 공급가액 10%와 다름"),"")&amp;IF($BB81="수정"," / 수정세금계산서(합계에서 자동 가감)",""),4,200))</f>
        <v/>
      </c>
      <c r="BD81" s="2">
        <f>IF($BA81&lt;&gt;"포함","",IF(COUNTIFS($AX$8:$AX81,$AX81,$BA$8:$BA81,"포함")=1,MAX($BD$7:BD80)+1,""))</f>
        <v/>
      </c>
      <c r="BE81" s="2">
        <f>IF($BC81="","",MAX($BE$7:BE80)+1)</f>
        <v/>
      </c>
    </row>
    <row r="82">
      <c r="AR82" s="2">
        <f>IF(OR($A$5="",$B$6="",ROW()&lt;$A$5),"",IF(INDEX($A:$AP,ROW(),$B$6)="","",INDEX($A:$AP,ROW(),$B$6)))</f>
        <v/>
      </c>
      <c r="AS82" s="22">
        <f>IF($AR82="","",IF(ISNUMBER($AR82),IF($AR82&gt;=10000000,IFERROR(DATE(INT($AR82/10000),MOD(INT($AR82/100),100),MOD($AR82,100)),""),INT($AR82)),IFERROR(DATE(--LEFT(LEFT(SUBSTITUTE(SUBSTITUTE(SUBSTITUTE(SUBSTITUTE(TRIM($AR82),"-",""),".",""),"/","")," ",""),8),4),--MID(LEFT(SUBSTITUTE(SUBSTITUTE(SUBSTITUTE(SUBSTITUTE(TRIM($AR82),"-",""),".",""),"/","")," ",""),8),5,2),--MID(LEFT(SUBSTITUTE(SUBSTITUTE(SUBSTITUTE(SUBSTITUTE(TRIM($AR82),"-",""),".",""),"/","")," ",""),8),7,2)),"")))</f>
        <v/>
      </c>
      <c r="AT82" s="23">
        <f>IF($AS82="","",IF($F$6="",0,IF(ISNUMBER(INDEX($A:$AP,ROW(),$F$6)),INDEX($A:$AP,ROW(),$F$6),IFERROR(--SUBSTITUTE(SUBSTITUTE(TRIM(INDEX($A:$AP,ROW(),$F$6)),",",""),"원",""),0))))</f>
        <v/>
      </c>
      <c r="AU82" s="23">
        <f>IF($AS82="","",IF($G$6="",0,IF(ISNUMBER(INDEX($A:$AP,ROW(),$G$6)),INDEX($A:$AP,ROW(),$G$6),IFERROR(--SUBSTITUTE(SUBSTITUTE(TRIM(INDEX($A:$AP,ROW(),$G$6)),",",""),"원",""),0))))</f>
        <v/>
      </c>
      <c r="AV82" s="23">
        <f>IF($AS82="","",IF($H$6="",$AT82+$AU82,IF($H$6="",0,IF(ISNUMBER(INDEX($A:$AP,ROW(),$H$6)),INDEX($A:$AP,ROW(),$H$6),IFERROR(--SUBSTITUTE(SUBSTITUTE(TRIM(INDEX($A:$AP,ROW(),$H$6)),",",""),"원",""),0)))))</f>
        <v/>
      </c>
      <c r="AW82" s="2">
        <f>IF(OR($AS82="",$C$6=""),"",TRIM(INDEX($A:$AP,ROW(),$C$6)&amp;""))</f>
        <v/>
      </c>
      <c r="AX82" s="2">
        <f>IF($AS82="","",IF($AZ82&lt;&gt;"",SUBSTITUTE(SUBSTITUTE($AZ82,"-","")," ",""),$AY82))</f>
        <v/>
      </c>
      <c r="AY82" s="2">
        <f>IF(OR($AS82="",$E$6=""),"",TRIM(INDEX($A:$AP,ROW(),$E$6)&amp;""))</f>
        <v/>
      </c>
      <c r="AZ82" s="2">
        <f>IF(OR($AS82="",$D$6=""),"",TRIM(INDEX($A:$AP,ROW(),$D$6)&amp;""))</f>
        <v/>
      </c>
      <c r="BA82" s="2">
        <f>IF($AS82="","",IF(AND($AS82&gt;=설정!$B$10,$AS82&lt;=설정!$B$11),"포함","기간 밖"))</f>
        <v/>
      </c>
      <c r="BB82" s="2">
        <f>IF($AS82="","",IF(OR($AT82&lt;0,AND($I$6&lt;&gt;"",ISNUMBER(FIND("수정",INDEX($A:$AP,ROW(),IF($I$6="",1,$I$6))&amp;"")))),"수정","일반"))</f>
        <v/>
      </c>
      <c r="BC82" s="2">
        <f>IF($AS82="","",MID(IF($BA82="기간 밖"," / 기간 밖(신고기간 아님)","")&amp;IF(AND($AW82&lt;&gt;"",COUNTIF($AW$8:$AW$1007,$AW82)&gt;1)," / 승인번호 중복(두 번 붙여넣기?)","")&amp;IF(ABS($AU82-ROUND($AT82*0.1,0))&gt;설정!$B$8,IF($AU82=0," / 세액 0원(영세율·면세 여부 확인)"," / 세액이 공급가액 10%와 다름"),"")&amp;IF($BB82="수정"," / 수정세금계산서(합계에서 자동 가감)",""),4,200))</f>
        <v/>
      </c>
      <c r="BD82" s="2">
        <f>IF($BA82&lt;&gt;"포함","",IF(COUNTIFS($AX$8:$AX82,$AX82,$BA$8:$BA82,"포함")=1,MAX($BD$7:BD81)+1,""))</f>
        <v/>
      </c>
      <c r="BE82" s="2">
        <f>IF($BC82="","",MAX($BE$7:BE81)+1)</f>
        <v/>
      </c>
    </row>
    <row r="83">
      <c r="AR83" s="2">
        <f>IF(OR($A$5="",$B$6="",ROW()&lt;$A$5),"",IF(INDEX($A:$AP,ROW(),$B$6)="","",INDEX($A:$AP,ROW(),$B$6)))</f>
        <v/>
      </c>
      <c r="AS83" s="22">
        <f>IF($AR83="","",IF(ISNUMBER($AR83),IF($AR83&gt;=10000000,IFERROR(DATE(INT($AR83/10000),MOD(INT($AR83/100),100),MOD($AR83,100)),""),INT($AR83)),IFERROR(DATE(--LEFT(LEFT(SUBSTITUTE(SUBSTITUTE(SUBSTITUTE(SUBSTITUTE(TRIM($AR83),"-",""),".",""),"/","")," ",""),8),4),--MID(LEFT(SUBSTITUTE(SUBSTITUTE(SUBSTITUTE(SUBSTITUTE(TRIM($AR83),"-",""),".",""),"/","")," ",""),8),5,2),--MID(LEFT(SUBSTITUTE(SUBSTITUTE(SUBSTITUTE(SUBSTITUTE(TRIM($AR83),"-",""),".",""),"/","")," ",""),8),7,2)),"")))</f>
        <v/>
      </c>
      <c r="AT83" s="23">
        <f>IF($AS83="","",IF($F$6="",0,IF(ISNUMBER(INDEX($A:$AP,ROW(),$F$6)),INDEX($A:$AP,ROW(),$F$6),IFERROR(--SUBSTITUTE(SUBSTITUTE(TRIM(INDEX($A:$AP,ROW(),$F$6)),",",""),"원",""),0))))</f>
        <v/>
      </c>
      <c r="AU83" s="23">
        <f>IF($AS83="","",IF($G$6="",0,IF(ISNUMBER(INDEX($A:$AP,ROW(),$G$6)),INDEX($A:$AP,ROW(),$G$6),IFERROR(--SUBSTITUTE(SUBSTITUTE(TRIM(INDEX($A:$AP,ROW(),$G$6)),",",""),"원",""),0))))</f>
        <v/>
      </c>
      <c r="AV83" s="23">
        <f>IF($AS83="","",IF($H$6="",$AT83+$AU83,IF($H$6="",0,IF(ISNUMBER(INDEX($A:$AP,ROW(),$H$6)),INDEX($A:$AP,ROW(),$H$6),IFERROR(--SUBSTITUTE(SUBSTITUTE(TRIM(INDEX($A:$AP,ROW(),$H$6)),",",""),"원",""),0)))))</f>
        <v/>
      </c>
      <c r="AW83" s="2">
        <f>IF(OR($AS83="",$C$6=""),"",TRIM(INDEX($A:$AP,ROW(),$C$6)&amp;""))</f>
        <v/>
      </c>
      <c r="AX83" s="2">
        <f>IF($AS83="","",IF($AZ83&lt;&gt;"",SUBSTITUTE(SUBSTITUTE($AZ83,"-","")," ",""),$AY83))</f>
        <v/>
      </c>
      <c r="AY83" s="2">
        <f>IF(OR($AS83="",$E$6=""),"",TRIM(INDEX($A:$AP,ROW(),$E$6)&amp;""))</f>
        <v/>
      </c>
      <c r="AZ83" s="2">
        <f>IF(OR($AS83="",$D$6=""),"",TRIM(INDEX($A:$AP,ROW(),$D$6)&amp;""))</f>
        <v/>
      </c>
      <c r="BA83" s="2">
        <f>IF($AS83="","",IF(AND($AS83&gt;=설정!$B$10,$AS83&lt;=설정!$B$11),"포함","기간 밖"))</f>
        <v/>
      </c>
      <c r="BB83" s="2">
        <f>IF($AS83="","",IF(OR($AT83&lt;0,AND($I$6&lt;&gt;"",ISNUMBER(FIND("수정",INDEX($A:$AP,ROW(),IF($I$6="",1,$I$6))&amp;"")))),"수정","일반"))</f>
        <v/>
      </c>
      <c r="BC83" s="2">
        <f>IF($AS83="","",MID(IF($BA83="기간 밖"," / 기간 밖(신고기간 아님)","")&amp;IF(AND($AW83&lt;&gt;"",COUNTIF($AW$8:$AW$1007,$AW83)&gt;1)," / 승인번호 중복(두 번 붙여넣기?)","")&amp;IF(ABS($AU83-ROUND($AT83*0.1,0))&gt;설정!$B$8,IF($AU83=0," / 세액 0원(영세율·면세 여부 확인)"," / 세액이 공급가액 10%와 다름"),"")&amp;IF($BB83="수정"," / 수정세금계산서(합계에서 자동 가감)",""),4,200))</f>
        <v/>
      </c>
      <c r="BD83" s="2">
        <f>IF($BA83&lt;&gt;"포함","",IF(COUNTIFS($AX$8:$AX83,$AX83,$BA$8:$BA83,"포함")=1,MAX($BD$7:BD82)+1,""))</f>
        <v/>
      </c>
      <c r="BE83" s="2">
        <f>IF($BC83="","",MAX($BE$7:BE82)+1)</f>
        <v/>
      </c>
    </row>
    <row r="84">
      <c r="AR84" s="2">
        <f>IF(OR($A$5="",$B$6="",ROW()&lt;$A$5),"",IF(INDEX($A:$AP,ROW(),$B$6)="","",INDEX($A:$AP,ROW(),$B$6)))</f>
        <v/>
      </c>
      <c r="AS84" s="22">
        <f>IF($AR84="","",IF(ISNUMBER($AR84),IF($AR84&gt;=10000000,IFERROR(DATE(INT($AR84/10000),MOD(INT($AR84/100),100),MOD($AR84,100)),""),INT($AR84)),IFERROR(DATE(--LEFT(LEFT(SUBSTITUTE(SUBSTITUTE(SUBSTITUTE(SUBSTITUTE(TRIM($AR84),"-",""),".",""),"/","")," ",""),8),4),--MID(LEFT(SUBSTITUTE(SUBSTITUTE(SUBSTITUTE(SUBSTITUTE(TRIM($AR84),"-",""),".",""),"/","")," ",""),8),5,2),--MID(LEFT(SUBSTITUTE(SUBSTITUTE(SUBSTITUTE(SUBSTITUTE(TRIM($AR84),"-",""),".",""),"/","")," ",""),8),7,2)),"")))</f>
        <v/>
      </c>
      <c r="AT84" s="23">
        <f>IF($AS84="","",IF($F$6="",0,IF(ISNUMBER(INDEX($A:$AP,ROW(),$F$6)),INDEX($A:$AP,ROW(),$F$6),IFERROR(--SUBSTITUTE(SUBSTITUTE(TRIM(INDEX($A:$AP,ROW(),$F$6)),",",""),"원",""),0))))</f>
        <v/>
      </c>
      <c r="AU84" s="23">
        <f>IF($AS84="","",IF($G$6="",0,IF(ISNUMBER(INDEX($A:$AP,ROW(),$G$6)),INDEX($A:$AP,ROW(),$G$6),IFERROR(--SUBSTITUTE(SUBSTITUTE(TRIM(INDEX($A:$AP,ROW(),$G$6)),",",""),"원",""),0))))</f>
        <v/>
      </c>
      <c r="AV84" s="23">
        <f>IF($AS84="","",IF($H$6="",$AT84+$AU84,IF($H$6="",0,IF(ISNUMBER(INDEX($A:$AP,ROW(),$H$6)),INDEX($A:$AP,ROW(),$H$6),IFERROR(--SUBSTITUTE(SUBSTITUTE(TRIM(INDEX($A:$AP,ROW(),$H$6)),",",""),"원",""),0)))))</f>
        <v/>
      </c>
      <c r="AW84" s="2">
        <f>IF(OR($AS84="",$C$6=""),"",TRIM(INDEX($A:$AP,ROW(),$C$6)&amp;""))</f>
        <v/>
      </c>
      <c r="AX84" s="2">
        <f>IF($AS84="","",IF($AZ84&lt;&gt;"",SUBSTITUTE(SUBSTITUTE($AZ84,"-","")," ",""),$AY84))</f>
        <v/>
      </c>
      <c r="AY84" s="2">
        <f>IF(OR($AS84="",$E$6=""),"",TRIM(INDEX($A:$AP,ROW(),$E$6)&amp;""))</f>
        <v/>
      </c>
      <c r="AZ84" s="2">
        <f>IF(OR($AS84="",$D$6=""),"",TRIM(INDEX($A:$AP,ROW(),$D$6)&amp;""))</f>
        <v/>
      </c>
      <c r="BA84" s="2">
        <f>IF($AS84="","",IF(AND($AS84&gt;=설정!$B$10,$AS84&lt;=설정!$B$11),"포함","기간 밖"))</f>
        <v/>
      </c>
      <c r="BB84" s="2">
        <f>IF($AS84="","",IF(OR($AT84&lt;0,AND($I$6&lt;&gt;"",ISNUMBER(FIND("수정",INDEX($A:$AP,ROW(),IF($I$6="",1,$I$6))&amp;"")))),"수정","일반"))</f>
        <v/>
      </c>
      <c r="BC84" s="2">
        <f>IF($AS84="","",MID(IF($BA84="기간 밖"," / 기간 밖(신고기간 아님)","")&amp;IF(AND($AW84&lt;&gt;"",COUNTIF($AW$8:$AW$1007,$AW84)&gt;1)," / 승인번호 중복(두 번 붙여넣기?)","")&amp;IF(ABS($AU84-ROUND($AT84*0.1,0))&gt;설정!$B$8,IF($AU84=0," / 세액 0원(영세율·면세 여부 확인)"," / 세액이 공급가액 10%와 다름"),"")&amp;IF($BB84="수정"," / 수정세금계산서(합계에서 자동 가감)",""),4,200))</f>
        <v/>
      </c>
      <c r="BD84" s="2">
        <f>IF($BA84&lt;&gt;"포함","",IF(COUNTIFS($AX$8:$AX84,$AX84,$BA$8:$BA84,"포함")=1,MAX($BD$7:BD83)+1,""))</f>
        <v/>
      </c>
      <c r="BE84" s="2">
        <f>IF($BC84="","",MAX($BE$7:BE83)+1)</f>
        <v/>
      </c>
    </row>
    <row r="85">
      <c r="AR85" s="2">
        <f>IF(OR($A$5="",$B$6="",ROW()&lt;$A$5),"",IF(INDEX($A:$AP,ROW(),$B$6)="","",INDEX($A:$AP,ROW(),$B$6)))</f>
        <v/>
      </c>
      <c r="AS85" s="22">
        <f>IF($AR85="","",IF(ISNUMBER($AR85),IF($AR85&gt;=10000000,IFERROR(DATE(INT($AR85/10000),MOD(INT($AR85/100),100),MOD($AR85,100)),""),INT($AR85)),IFERROR(DATE(--LEFT(LEFT(SUBSTITUTE(SUBSTITUTE(SUBSTITUTE(SUBSTITUTE(TRIM($AR85),"-",""),".",""),"/","")," ",""),8),4),--MID(LEFT(SUBSTITUTE(SUBSTITUTE(SUBSTITUTE(SUBSTITUTE(TRIM($AR85),"-",""),".",""),"/","")," ",""),8),5,2),--MID(LEFT(SUBSTITUTE(SUBSTITUTE(SUBSTITUTE(SUBSTITUTE(TRIM($AR85),"-",""),".",""),"/","")," ",""),8),7,2)),"")))</f>
        <v/>
      </c>
      <c r="AT85" s="23">
        <f>IF($AS85="","",IF($F$6="",0,IF(ISNUMBER(INDEX($A:$AP,ROW(),$F$6)),INDEX($A:$AP,ROW(),$F$6),IFERROR(--SUBSTITUTE(SUBSTITUTE(TRIM(INDEX($A:$AP,ROW(),$F$6)),",",""),"원",""),0))))</f>
        <v/>
      </c>
      <c r="AU85" s="23">
        <f>IF($AS85="","",IF($G$6="",0,IF(ISNUMBER(INDEX($A:$AP,ROW(),$G$6)),INDEX($A:$AP,ROW(),$G$6),IFERROR(--SUBSTITUTE(SUBSTITUTE(TRIM(INDEX($A:$AP,ROW(),$G$6)),",",""),"원",""),0))))</f>
        <v/>
      </c>
      <c r="AV85" s="23">
        <f>IF($AS85="","",IF($H$6="",$AT85+$AU85,IF($H$6="",0,IF(ISNUMBER(INDEX($A:$AP,ROW(),$H$6)),INDEX($A:$AP,ROW(),$H$6),IFERROR(--SUBSTITUTE(SUBSTITUTE(TRIM(INDEX($A:$AP,ROW(),$H$6)),",",""),"원",""),0)))))</f>
        <v/>
      </c>
      <c r="AW85" s="2">
        <f>IF(OR($AS85="",$C$6=""),"",TRIM(INDEX($A:$AP,ROW(),$C$6)&amp;""))</f>
        <v/>
      </c>
      <c r="AX85" s="2">
        <f>IF($AS85="","",IF($AZ85&lt;&gt;"",SUBSTITUTE(SUBSTITUTE($AZ85,"-","")," ",""),$AY85))</f>
        <v/>
      </c>
      <c r="AY85" s="2">
        <f>IF(OR($AS85="",$E$6=""),"",TRIM(INDEX($A:$AP,ROW(),$E$6)&amp;""))</f>
        <v/>
      </c>
      <c r="AZ85" s="2">
        <f>IF(OR($AS85="",$D$6=""),"",TRIM(INDEX($A:$AP,ROW(),$D$6)&amp;""))</f>
        <v/>
      </c>
      <c r="BA85" s="2">
        <f>IF($AS85="","",IF(AND($AS85&gt;=설정!$B$10,$AS85&lt;=설정!$B$11),"포함","기간 밖"))</f>
        <v/>
      </c>
      <c r="BB85" s="2">
        <f>IF($AS85="","",IF(OR($AT85&lt;0,AND($I$6&lt;&gt;"",ISNUMBER(FIND("수정",INDEX($A:$AP,ROW(),IF($I$6="",1,$I$6))&amp;"")))),"수정","일반"))</f>
        <v/>
      </c>
      <c r="BC85" s="2">
        <f>IF($AS85="","",MID(IF($BA85="기간 밖"," / 기간 밖(신고기간 아님)","")&amp;IF(AND($AW85&lt;&gt;"",COUNTIF($AW$8:$AW$1007,$AW85)&gt;1)," / 승인번호 중복(두 번 붙여넣기?)","")&amp;IF(ABS($AU85-ROUND($AT85*0.1,0))&gt;설정!$B$8,IF($AU85=0," / 세액 0원(영세율·면세 여부 확인)"," / 세액이 공급가액 10%와 다름"),"")&amp;IF($BB85="수정"," / 수정세금계산서(합계에서 자동 가감)",""),4,200))</f>
        <v/>
      </c>
      <c r="BD85" s="2">
        <f>IF($BA85&lt;&gt;"포함","",IF(COUNTIFS($AX$8:$AX85,$AX85,$BA$8:$BA85,"포함")=1,MAX($BD$7:BD84)+1,""))</f>
        <v/>
      </c>
      <c r="BE85" s="2">
        <f>IF($BC85="","",MAX($BE$7:BE84)+1)</f>
        <v/>
      </c>
    </row>
    <row r="86">
      <c r="AR86" s="2">
        <f>IF(OR($A$5="",$B$6="",ROW()&lt;$A$5),"",IF(INDEX($A:$AP,ROW(),$B$6)="","",INDEX($A:$AP,ROW(),$B$6)))</f>
        <v/>
      </c>
      <c r="AS86" s="22">
        <f>IF($AR86="","",IF(ISNUMBER($AR86),IF($AR86&gt;=10000000,IFERROR(DATE(INT($AR86/10000),MOD(INT($AR86/100),100),MOD($AR86,100)),""),INT($AR86)),IFERROR(DATE(--LEFT(LEFT(SUBSTITUTE(SUBSTITUTE(SUBSTITUTE(SUBSTITUTE(TRIM($AR86),"-",""),".",""),"/","")," ",""),8),4),--MID(LEFT(SUBSTITUTE(SUBSTITUTE(SUBSTITUTE(SUBSTITUTE(TRIM($AR86),"-",""),".",""),"/","")," ",""),8),5,2),--MID(LEFT(SUBSTITUTE(SUBSTITUTE(SUBSTITUTE(SUBSTITUTE(TRIM($AR86),"-",""),".",""),"/","")," ",""),8),7,2)),"")))</f>
        <v/>
      </c>
      <c r="AT86" s="23">
        <f>IF($AS86="","",IF($F$6="",0,IF(ISNUMBER(INDEX($A:$AP,ROW(),$F$6)),INDEX($A:$AP,ROW(),$F$6),IFERROR(--SUBSTITUTE(SUBSTITUTE(TRIM(INDEX($A:$AP,ROW(),$F$6)),",",""),"원",""),0))))</f>
        <v/>
      </c>
      <c r="AU86" s="23">
        <f>IF($AS86="","",IF($G$6="",0,IF(ISNUMBER(INDEX($A:$AP,ROW(),$G$6)),INDEX($A:$AP,ROW(),$G$6),IFERROR(--SUBSTITUTE(SUBSTITUTE(TRIM(INDEX($A:$AP,ROW(),$G$6)),",",""),"원",""),0))))</f>
        <v/>
      </c>
      <c r="AV86" s="23">
        <f>IF($AS86="","",IF($H$6="",$AT86+$AU86,IF($H$6="",0,IF(ISNUMBER(INDEX($A:$AP,ROW(),$H$6)),INDEX($A:$AP,ROW(),$H$6),IFERROR(--SUBSTITUTE(SUBSTITUTE(TRIM(INDEX($A:$AP,ROW(),$H$6)),",",""),"원",""),0)))))</f>
        <v/>
      </c>
      <c r="AW86" s="2">
        <f>IF(OR($AS86="",$C$6=""),"",TRIM(INDEX($A:$AP,ROW(),$C$6)&amp;""))</f>
        <v/>
      </c>
      <c r="AX86" s="2">
        <f>IF($AS86="","",IF($AZ86&lt;&gt;"",SUBSTITUTE(SUBSTITUTE($AZ86,"-","")," ",""),$AY86))</f>
        <v/>
      </c>
      <c r="AY86" s="2">
        <f>IF(OR($AS86="",$E$6=""),"",TRIM(INDEX($A:$AP,ROW(),$E$6)&amp;""))</f>
        <v/>
      </c>
      <c r="AZ86" s="2">
        <f>IF(OR($AS86="",$D$6=""),"",TRIM(INDEX($A:$AP,ROW(),$D$6)&amp;""))</f>
        <v/>
      </c>
      <c r="BA86" s="2">
        <f>IF($AS86="","",IF(AND($AS86&gt;=설정!$B$10,$AS86&lt;=설정!$B$11),"포함","기간 밖"))</f>
        <v/>
      </c>
      <c r="BB86" s="2">
        <f>IF($AS86="","",IF(OR($AT86&lt;0,AND($I$6&lt;&gt;"",ISNUMBER(FIND("수정",INDEX($A:$AP,ROW(),IF($I$6="",1,$I$6))&amp;"")))),"수정","일반"))</f>
        <v/>
      </c>
      <c r="BC86" s="2">
        <f>IF($AS86="","",MID(IF($BA86="기간 밖"," / 기간 밖(신고기간 아님)","")&amp;IF(AND($AW86&lt;&gt;"",COUNTIF($AW$8:$AW$1007,$AW86)&gt;1)," / 승인번호 중복(두 번 붙여넣기?)","")&amp;IF(ABS($AU86-ROUND($AT86*0.1,0))&gt;설정!$B$8,IF($AU86=0," / 세액 0원(영세율·면세 여부 확인)"," / 세액이 공급가액 10%와 다름"),"")&amp;IF($BB86="수정"," / 수정세금계산서(합계에서 자동 가감)",""),4,200))</f>
        <v/>
      </c>
      <c r="BD86" s="2">
        <f>IF($BA86&lt;&gt;"포함","",IF(COUNTIFS($AX$8:$AX86,$AX86,$BA$8:$BA86,"포함")=1,MAX($BD$7:BD85)+1,""))</f>
        <v/>
      </c>
      <c r="BE86" s="2">
        <f>IF($BC86="","",MAX($BE$7:BE85)+1)</f>
        <v/>
      </c>
    </row>
    <row r="87">
      <c r="AR87" s="2">
        <f>IF(OR($A$5="",$B$6="",ROW()&lt;$A$5),"",IF(INDEX($A:$AP,ROW(),$B$6)="","",INDEX($A:$AP,ROW(),$B$6)))</f>
        <v/>
      </c>
      <c r="AS87" s="22">
        <f>IF($AR87="","",IF(ISNUMBER($AR87),IF($AR87&gt;=10000000,IFERROR(DATE(INT($AR87/10000),MOD(INT($AR87/100),100),MOD($AR87,100)),""),INT($AR87)),IFERROR(DATE(--LEFT(LEFT(SUBSTITUTE(SUBSTITUTE(SUBSTITUTE(SUBSTITUTE(TRIM($AR87),"-",""),".",""),"/","")," ",""),8),4),--MID(LEFT(SUBSTITUTE(SUBSTITUTE(SUBSTITUTE(SUBSTITUTE(TRIM($AR87),"-",""),".",""),"/","")," ",""),8),5,2),--MID(LEFT(SUBSTITUTE(SUBSTITUTE(SUBSTITUTE(SUBSTITUTE(TRIM($AR87),"-",""),".",""),"/","")," ",""),8),7,2)),"")))</f>
        <v/>
      </c>
      <c r="AT87" s="23">
        <f>IF($AS87="","",IF($F$6="",0,IF(ISNUMBER(INDEX($A:$AP,ROW(),$F$6)),INDEX($A:$AP,ROW(),$F$6),IFERROR(--SUBSTITUTE(SUBSTITUTE(TRIM(INDEX($A:$AP,ROW(),$F$6)),",",""),"원",""),0))))</f>
        <v/>
      </c>
      <c r="AU87" s="23">
        <f>IF($AS87="","",IF($G$6="",0,IF(ISNUMBER(INDEX($A:$AP,ROW(),$G$6)),INDEX($A:$AP,ROW(),$G$6),IFERROR(--SUBSTITUTE(SUBSTITUTE(TRIM(INDEX($A:$AP,ROW(),$G$6)),",",""),"원",""),0))))</f>
        <v/>
      </c>
      <c r="AV87" s="23">
        <f>IF($AS87="","",IF($H$6="",$AT87+$AU87,IF($H$6="",0,IF(ISNUMBER(INDEX($A:$AP,ROW(),$H$6)),INDEX($A:$AP,ROW(),$H$6),IFERROR(--SUBSTITUTE(SUBSTITUTE(TRIM(INDEX($A:$AP,ROW(),$H$6)),",",""),"원",""),0)))))</f>
        <v/>
      </c>
      <c r="AW87" s="2">
        <f>IF(OR($AS87="",$C$6=""),"",TRIM(INDEX($A:$AP,ROW(),$C$6)&amp;""))</f>
        <v/>
      </c>
      <c r="AX87" s="2">
        <f>IF($AS87="","",IF($AZ87&lt;&gt;"",SUBSTITUTE(SUBSTITUTE($AZ87,"-","")," ",""),$AY87))</f>
        <v/>
      </c>
      <c r="AY87" s="2">
        <f>IF(OR($AS87="",$E$6=""),"",TRIM(INDEX($A:$AP,ROW(),$E$6)&amp;""))</f>
        <v/>
      </c>
      <c r="AZ87" s="2">
        <f>IF(OR($AS87="",$D$6=""),"",TRIM(INDEX($A:$AP,ROW(),$D$6)&amp;""))</f>
        <v/>
      </c>
      <c r="BA87" s="2">
        <f>IF($AS87="","",IF(AND($AS87&gt;=설정!$B$10,$AS87&lt;=설정!$B$11),"포함","기간 밖"))</f>
        <v/>
      </c>
      <c r="BB87" s="2">
        <f>IF($AS87="","",IF(OR($AT87&lt;0,AND($I$6&lt;&gt;"",ISNUMBER(FIND("수정",INDEX($A:$AP,ROW(),IF($I$6="",1,$I$6))&amp;"")))),"수정","일반"))</f>
        <v/>
      </c>
      <c r="BC87" s="2">
        <f>IF($AS87="","",MID(IF($BA87="기간 밖"," / 기간 밖(신고기간 아님)","")&amp;IF(AND($AW87&lt;&gt;"",COUNTIF($AW$8:$AW$1007,$AW87)&gt;1)," / 승인번호 중복(두 번 붙여넣기?)","")&amp;IF(ABS($AU87-ROUND($AT87*0.1,0))&gt;설정!$B$8,IF($AU87=0," / 세액 0원(영세율·면세 여부 확인)"," / 세액이 공급가액 10%와 다름"),"")&amp;IF($BB87="수정"," / 수정세금계산서(합계에서 자동 가감)",""),4,200))</f>
        <v/>
      </c>
      <c r="BD87" s="2">
        <f>IF($BA87&lt;&gt;"포함","",IF(COUNTIFS($AX$8:$AX87,$AX87,$BA$8:$BA87,"포함")=1,MAX($BD$7:BD86)+1,""))</f>
        <v/>
      </c>
      <c r="BE87" s="2">
        <f>IF($BC87="","",MAX($BE$7:BE86)+1)</f>
        <v/>
      </c>
    </row>
    <row r="88">
      <c r="AR88" s="2">
        <f>IF(OR($A$5="",$B$6="",ROW()&lt;$A$5),"",IF(INDEX($A:$AP,ROW(),$B$6)="","",INDEX($A:$AP,ROW(),$B$6)))</f>
        <v/>
      </c>
      <c r="AS88" s="22">
        <f>IF($AR88="","",IF(ISNUMBER($AR88),IF($AR88&gt;=10000000,IFERROR(DATE(INT($AR88/10000),MOD(INT($AR88/100),100),MOD($AR88,100)),""),INT($AR88)),IFERROR(DATE(--LEFT(LEFT(SUBSTITUTE(SUBSTITUTE(SUBSTITUTE(SUBSTITUTE(TRIM($AR88),"-",""),".",""),"/","")," ",""),8),4),--MID(LEFT(SUBSTITUTE(SUBSTITUTE(SUBSTITUTE(SUBSTITUTE(TRIM($AR88),"-",""),".",""),"/","")," ",""),8),5,2),--MID(LEFT(SUBSTITUTE(SUBSTITUTE(SUBSTITUTE(SUBSTITUTE(TRIM($AR88),"-",""),".",""),"/","")," ",""),8),7,2)),"")))</f>
        <v/>
      </c>
      <c r="AT88" s="23">
        <f>IF($AS88="","",IF($F$6="",0,IF(ISNUMBER(INDEX($A:$AP,ROW(),$F$6)),INDEX($A:$AP,ROW(),$F$6),IFERROR(--SUBSTITUTE(SUBSTITUTE(TRIM(INDEX($A:$AP,ROW(),$F$6)),",",""),"원",""),0))))</f>
        <v/>
      </c>
      <c r="AU88" s="23">
        <f>IF($AS88="","",IF($G$6="",0,IF(ISNUMBER(INDEX($A:$AP,ROW(),$G$6)),INDEX($A:$AP,ROW(),$G$6),IFERROR(--SUBSTITUTE(SUBSTITUTE(TRIM(INDEX($A:$AP,ROW(),$G$6)),",",""),"원",""),0))))</f>
        <v/>
      </c>
      <c r="AV88" s="23">
        <f>IF($AS88="","",IF($H$6="",$AT88+$AU88,IF($H$6="",0,IF(ISNUMBER(INDEX($A:$AP,ROW(),$H$6)),INDEX($A:$AP,ROW(),$H$6),IFERROR(--SUBSTITUTE(SUBSTITUTE(TRIM(INDEX($A:$AP,ROW(),$H$6)),",",""),"원",""),0)))))</f>
        <v/>
      </c>
      <c r="AW88" s="2">
        <f>IF(OR($AS88="",$C$6=""),"",TRIM(INDEX($A:$AP,ROW(),$C$6)&amp;""))</f>
        <v/>
      </c>
      <c r="AX88" s="2">
        <f>IF($AS88="","",IF($AZ88&lt;&gt;"",SUBSTITUTE(SUBSTITUTE($AZ88,"-","")," ",""),$AY88))</f>
        <v/>
      </c>
      <c r="AY88" s="2">
        <f>IF(OR($AS88="",$E$6=""),"",TRIM(INDEX($A:$AP,ROW(),$E$6)&amp;""))</f>
        <v/>
      </c>
      <c r="AZ88" s="2">
        <f>IF(OR($AS88="",$D$6=""),"",TRIM(INDEX($A:$AP,ROW(),$D$6)&amp;""))</f>
        <v/>
      </c>
      <c r="BA88" s="2">
        <f>IF($AS88="","",IF(AND($AS88&gt;=설정!$B$10,$AS88&lt;=설정!$B$11),"포함","기간 밖"))</f>
        <v/>
      </c>
      <c r="BB88" s="2">
        <f>IF($AS88="","",IF(OR($AT88&lt;0,AND($I$6&lt;&gt;"",ISNUMBER(FIND("수정",INDEX($A:$AP,ROW(),IF($I$6="",1,$I$6))&amp;"")))),"수정","일반"))</f>
        <v/>
      </c>
      <c r="BC88" s="2">
        <f>IF($AS88="","",MID(IF($BA88="기간 밖"," / 기간 밖(신고기간 아님)","")&amp;IF(AND($AW88&lt;&gt;"",COUNTIF($AW$8:$AW$1007,$AW88)&gt;1)," / 승인번호 중복(두 번 붙여넣기?)","")&amp;IF(ABS($AU88-ROUND($AT88*0.1,0))&gt;설정!$B$8,IF($AU88=0," / 세액 0원(영세율·면세 여부 확인)"," / 세액이 공급가액 10%와 다름"),"")&amp;IF($BB88="수정"," / 수정세금계산서(합계에서 자동 가감)",""),4,200))</f>
        <v/>
      </c>
      <c r="BD88" s="2">
        <f>IF($BA88&lt;&gt;"포함","",IF(COUNTIFS($AX$8:$AX88,$AX88,$BA$8:$BA88,"포함")=1,MAX($BD$7:BD87)+1,""))</f>
        <v/>
      </c>
      <c r="BE88" s="2">
        <f>IF($BC88="","",MAX($BE$7:BE87)+1)</f>
        <v/>
      </c>
    </row>
    <row r="89">
      <c r="AR89" s="2">
        <f>IF(OR($A$5="",$B$6="",ROW()&lt;$A$5),"",IF(INDEX($A:$AP,ROW(),$B$6)="","",INDEX($A:$AP,ROW(),$B$6)))</f>
        <v/>
      </c>
      <c r="AS89" s="22">
        <f>IF($AR89="","",IF(ISNUMBER($AR89),IF($AR89&gt;=10000000,IFERROR(DATE(INT($AR89/10000),MOD(INT($AR89/100),100),MOD($AR89,100)),""),INT($AR89)),IFERROR(DATE(--LEFT(LEFT(SUBSTITUTE(SUBSTITUTE(SUBSTITUTE(SUBSTITUTE(TRIM($AR89),"-",""),".",""),"/","")," ",""),8),4),--MID(LEFT(SUBSTITUTE(SUBSTITUTE(SUBSTITUTE(SUBSTITUTE(TRIM($AR89),"-",""),".",""),"/","")," ",""),8),5,2),--MID(LEFT(SUBSTITUTE(SUBSTITUTE(SUBSTITUTE(SUBSTITUTE(TRIM($AR89),"-",""),".",""),"/","")," ",""),8),7,2)),"")))</f>
        <v/>
      </c>
      <c r="AT89" s="23">
        <f>IF($AS89="","",IF($F$6="",0,IF(ISNUMBER(INDEX($A:$AP,ROW(),$F$6)),INDEX($A:$AP,ROW(),$F$6),IFERROR(--SUBSTITUTE(SUBSTITUTE(TRIM(INDEX($A:$AP,ROW(),$F$6)),",",""),"원",""),0))))</f>
        <v/>
      </c>
      <c r="AU89" s="23">
        <f>IF($AS89="","",IF($G$6="",0,IF(ISNUMBER(INDEX($A:$AP,ROW(),$G$6)),INDEX($A:$AP,ROW(),$G$6),IFERROR(--SUBSTITUTE(SUBSTITUTE(TRIM(INDEX($A:$AP,ROW(),$G$6)),",",""),"원",""),0))))</f>
        <v/>
      </c>
      <c r="AV89" s="23">
        <f>IF($AS89="","",IF($H$6="",$AT89+$AU89,IF($H$6="",0,IF(ISNUMBER(INDEX($A:$AP,ROW(),$H$6)),INDEX($A:$AP,ROW(),$H$6),IFERROR(--SUBSTITUTE(SUBSTITUTE(TRIM(INDEX($A:$AP,ROW(),$H$6)),",",""),"원",""),0)))))</f>
        <v/>
      </c>
      <c r="AW89" s="2">
        <f>IF(OR($AS89="",$C$6=""),"",TRIM(INDEX($A:$AP,ROW(),$C$6)&amp;""))</f>
        <v/>
      </c>
      <c r="AX89" s="2">
        <f>IF($AS89="","",IF($AZ89&lt;&gt;"",SUBSTITUTE(SUBSTITUTE($AZ89,"-","")," ",""),$AY89))</f>
        <v/>
      </c>
      <c r="AY89" s="2">
        <f>IF(OR($AS89="",$E$6=""),"",TRIM(INDEX($A:$AP,ROW(),$E$6)&amp;""))</f>
        <v/>
      </c>
      <c r="AZ89" s="2">
        <f>IF(OR($AS89="",$D$6=""),"",TRIM(INDEX($A:$AP,ROW(),$D$6)&amp;""))</f>
        <v/>
      </c>
      <c r="BA89" s="2">
        <f>IF($AS89="","",IF(AND($AS89&gt;=설정!$B$10,$AS89&lt;=설정!$B$11),"포함","기간 밖"))</f>
        <v/>
      </c>
      <c r="BB89" s="2">
        <f>IF($AS89="","",IF(OR($AT89&lt;0,AND($I$6&lt;&gt;"",ISNUMBER(FIND("수정",INDEX($A:$AP,ROW(),IF($I$6="",1,$I$6))&amp;"")))),"수정","일반"))</f>
        <v/>
      </c>
      <c r="BC89" s="2">
        <f>IF($AS89="","",MID(IF($BA89="기간 밖"," / 기간 밖(신고기간 아님)","")&amp;IF(AND($AW89&lt;&gt;"",COUNTIF($AW$8:$AW$1007,$AW89)&gt;1)," / 승인번호 중복(두 번 붙여넣기?)","")&amp;IF(ABS($AU89-ROUND($AT89*0.1,0))&gt;설정!$B$8,IF($AU89=0," / 세액 0원(영세율·면세 여부 확인)"," / 세액이 공급가액 10%와 다름"),"")&amp;IF($BB89="수정"," / 수정세금계산서(합계에서 자동 가감)",""),4,200))</f>
        <v/>
      </c>
      <c r="BD89" s="2">
        <f>IF($BA89&lt;&gt;"포함","",IF(COUNTIFS($AX$8:$AX89,$AX89,$BA$8:$BA89,"포함")=1,MAX($BD$7:BD88)+1,""))</f>
        <v/>
      </c>
      <c r="BE89" s="2">
        <f>IF($BC89="","",MAX($BE$7:BE88)+1)</f>
        <v/>
      </c>
    </row>
    <row r="90">
      <c r="AR90" s="2">
        <f>IF(OR($A$5="",$B$6="",ROW()&lt;$A$5),"",IF(INDEX($A:$AP,ROW(),$B$6)="","",INDEX($A:$AP,ROW(),$B$6)))</f>
        <v/>
      </c>
      <c r="AS90" s="22">
        <f>IF($AR90="","",IF(ISNUMBER($AR90),IF($AR90&gt;=10000000,IFERROR(DATE(INT($AR90/10000),MOD(INT($AR90/100),100),MOD($AR90,100)),""),INT($AR90)),IFERROR(DATE(--LEFT(LEFT(SUBSTITUTE(SUBSTITUTE(SUBSTITUTE(SUBSTITUTE(TRIM($AR90),"-",""),".",""),"/","")," ",""),8),4),--MID(LEFT(SUBSTITUTE(SUBSTITUTE(SUBSTITUTE(SUBSTITUTE(TRIM($AR90),"-",""),".",""),"/","")," ",""),8),5,2),--MID(LEFT(SUBSTITUTE(SUBSTITUTE(SUBSTITUTE(SUBSTITUTE(TRIM($AR90),"-",""),".",""),"/","")," ",""),8),7,2)),"")))</f>
        <v/>
      </c>
      <c r="AT90" s="23">
        <f>IF($AS90="","",IF($F$6="",0,IF(ISNUMBER(INDEX($A:$AP,ROW(),$F$6)),INDEX($A:$AP,ROW(),$F$6),IFERROR(--SUBSTITUTE(SUBSTITUTE(TRIM(INDEX($A:$AP,ROW(),$F$6)),",",""),"원",""),0))))</f>
        <v/>
      </c>
      <c r="AU90" s="23">
        <f>IF($AS90="","",IF($G$6="",0,IF(ISNUMBER(INDEX($A:$AP,ROW(),$G$6)),INDEX($A:$AP,ROW(),$G$6),IFERROR(--SUBSTITUTE(SUBSTITUTE(TRIM(INDEX($A:$AP,ROW(),$G$6)),",",""),"원",""),0))))</f>
        <v/>
      </c>
      <c r="AV90" s="23">
        <f>IF($AS90="","",IF($H$6="",$AT90+$AU90,IF($H$6="",0,IF(ISNUMBER(INDEX($A:$AP,ROW(),$H$6)),INDEX($A:$AP,ROW(),$H$6),IFERROR(--SUBSTITUTE(SUBSTITUTE(TRIM(INDEX($A:$AP,ROW(),$H$6)),",",""),"원",""),0)))))</f>
        <v/>
      </c>
      <c r="AW90" s="2">
        <f>IF(OR($AS90="",$C$6=""),"",TRIM(INDEX($A:$AP,ROW(),$C$6)&amp;""))</f>
        <v/>
      </c>
      <c r="AX90" s="2">
        <f>IF($AS90="","",IF($AZ90&lt;&gt;"",SUBSTITUTE(SUBSTITUTE($AZ90,"-","")," ",""),$AY90))</f>
        <v/>
      </c>
      <c r="AY90" s="2">
        <f>IF(OR($AS90="",$E$6=""),"",TRIM(INDEX($A:$AP,ROW(),$E$6)&amp;""))</f>
        <v/>
      </c>
      <c r="AZ90" s="2">
        <f>IF(OR($AS90="",$D$6=""),"",TRIM(INDEX($A:$AP,ROW(),$D$6)&amp;""))</f>
        <v/>
      </c>
      <c r="BA90" s="2">
        <f>IF($AS90="","",IF(AND($AS90&gt;=설정!$B$10,$AS90&lt;=설정!$B$11),"포함","기간 밖"))</f>
        <v/>
      </c>
      <c r="BB90" s="2">
        <f>IF($AS90="","",IF(OR($AT90&lt;0,AND($I$6&lt;&gt;"",ISNUMBER(FIND("수정",INDEX($A:$AP,ROW(),IF($I$6="",1,$I$6))&amp;"")))),"수정","일반"))</f>
        <v/>
      </c>
      <c r="BC90" s="2">
        <f>IF($AS90="","",MID(IF($BA90="기간 밖"," / 기간 밖(신고기간 아님)","")&amp;IF(AND($AW90&lt;&gt;"",COUNTIF($AW$8:$AW$1007,$AW90)&gt;1)," / 승인번호 중복(두 번 붙여넣기?)","")&amp;IF(ABS($AU90-ROUND($AT90*0.1,0))&gt;설정!$B$8,IF($AU90=0," / 세액 0원(영세율·면세 여부 확인)"," / 세액이 공급가액 10%와 다름"),"")&amp;IF($BB90="수정"," / 수정세금계산서(합계에서 자동 가감)",""),4,200))</f>
        <v/>
      </c>
      <c r="BD90" s="2">
        <f>IF($BA90&lt;&gt;"포함","",IF(COUNTIFS($AX$8:$AX90,$AX90,$BA$8:$BA90,"포함")=1,MAX($BD$7:BD89)+1,""))</f>
        <v/>
      </c>
      <c r="BE90" s="2">
        <f>IF($BC90="","",MAX($BE$7:BE89)+1)</f>
        <v/>
      </c>
    </row>
    <row r="91">
      <c r="AR91" s="2">
        <f>IF(OR($A$5="",$B$6="",ROW()&lt;$A$5),"",IF(INDEX($A:$AP,ROW(),$B$6)="","",INDEX($A:$AP,ROW(),$B$6)))</f>
        <v/>
      </c>
      <c r="AS91" s="22">
        <f>IF($AR91="","",IF(ISNUMBER($AR91),IF($AR91&gt;=10000000,IFERROR(DATE(INT($AR91/10000),MOD(INT($AR91/100),100),MOD($AR91,100)),""),INT($AR91)),IFERROR(DATE(--LEFT(LEFT(SUBSTITUTE(SUBSTITUTE(SUBSTITUTE(SUBSTITUTE(TRIM($AR91),"-",""),".",""),"/","")," ",""),8),4),--MID(LEFT(SUBSTITUTE(SUBSTITUTE(SUBSTITUTE(SUBSTITUTE(TRIM($AR91),"-",""),".",""),"/","")," ",""),8),5,2),--MID(LEFT(SUBSTITUTE(SUBSTITUTE(SUBSTITUTE(SUBSTITUTE(TRIM($AR91),"-",""),".",""),"/","")," ",""),8),7,2)),"")))</f>
        <v/>
      </c>
      <c r="AT91" s="23">
        <f>IF($AS91="","",IF($F$6="",0,IF(ISNUMBER(INDEX($A:$AP,ROW(),$F$6)),INDEX($A:$AP,ROW(),$F$6),IFERROR(--SUBSTITUTE(SUBSTITUTE(TRIM(INDEX($A:$AP,ROW(),$F$6)),",",""),"원",""),0))))</f>
        <v/>
      </c>
      <c r="AU91" s="23">
        <f>IF($AS91="","",IF($G$6="",0,IF(ISNUMBER(INDEX($A:$AP,ROW(),$G$6)),INDEX($A:$AP,ROW(),$G$6),IFERROR(--SUBSTITUTE(SUBSTITUTE(TRIM(INDEX($A:$AP,ROW(),$G$6)),",",""),"원",""),0))))</f>
        <v/>
      </c>
      <c r="AV91" s="23">
        <f>IF($AS91="","",IF($H$6="",$AT91+$AU91,IF($H$6="",0,IF(ISNUMBER(INDEX($A:$AP,ROW(),$H$6)),INDEX($A:$AP,ROW(),$H$6),IFERROR(--SUBSTITUTE(SUBSTITUTE(TRIM(INDEX($A:$AP,ROW(),$H$6)),",",""),"원",""),0)))))</f>
        <v/>
      </c>
      <c r="AW91" s="2">
        <f>IF(OR($AS91="",$C$6=""),"",TRIM(INDEX($A:$AP,ROW(),$C$6)&amp;""))</f>
        <v/>
      </c>
      <c r="AX91" s="2">
        <f>IF($AS91="","",IF($AZ91&lt;&gt;"",SUBSTITUTE(SUBSTITUTE($AZ91,"-","")," ",""),$AY91))</f>
        <v/>
      </c>
      <c r="AY91" s="2">
        <f>IF(OR($AS91="",$E$6=""),"",TRIM(INDEX($A:$AP,ROW(),$E$6)&amp;""))</f>
        <v/>
      </c>
      <c r="AZ91" s="2">
        <f>IF(OR($AS91="",$D$6=""),"",TRIM(INDEX($A:$AP,ROW(),$D$6)&amp;""))</f>
        <v/>
      </c>
      <c r="BA91" s="2">
        <f>IF($AS91="","",IF(AND($AS91&gt;=설정!$B$10,$AS91&lt;=설정!$B$11),"포함","기간 밖"))</f>
        <v/>
      </c>
      <c r="BB91" s="2">
        <f>IF($AS91="","",IF(OR($AT91&lt;0,AND($I$6&lt;&gt;"",ISNUMBER(FIND("수정",INDEX($A:$AP,ROW(),IF($I$6="",1,$I$6))&amp;"")))),"수정","일반"))</f>
        <v/>
      </c>
      <c r="BC91" s="2">
        <f>IF($AS91="","",MID(IF($BA91="기간 밖"," / 기간 밖(신고기간 아님)","")&amp;IF(AND($AW91&lt;&gt;"",COUNTIF($AW$8:$AW$1007,$AW91)&gt;1)," / 승인번호 중복(두 번 붙여넣기?)","")&amp;IF(ABS($AU91-ROUND($AT91*0.1,0))&gt;설정!$B$8,IF($AU91=0," / 세액 0원(영세율·면세 여부 확인)"," / 세액이 공급가액 10%와 다름"),"")&amp;IF($BB91="수정"," / 수정세금계산서(합계에서 자동 가감)",""),4,200))</f>
        <v/>
      </c>
      <c r="BD91" s="2">
        <f>IF($BA91&lt;&gt;"포함","",IF(COUNTIFS($AX$8:$AX91,$AX91,$BA$8:$BA91,"포함")=1,MAX($BD$7:BD90)+1,""))</f>
        <v/>
      </c>
      <c r="BE91" s="2">
        <f>IF($BC91="","",MAX($BE$7:BE90)+1)</f>
        <v/>
      </c>
    </row>
    <row r="92">
      <c r="AR92" s="2">
        <f>IF(OR($A$5="",$B$6="",ROW()&lt;$A$5),"",IF(INDEX($A:$AP,ROW(),$B$6)="","",INDEX($A:$AP,ROW(),$B$6)))</f>
        <v/>
      </c>
      <c r="AS92" s="22">
        <f>IF($AR92="","",IF(ISNUMBER($AR92),IF($AR92&gt;=10000000,IFERROR(DATE(INT($AR92/10000),MOD(INT($AR92/100),100),MOD($AR92,100)),""),INT($AR92)),IFERROR(DATE(--LEFT(LEFT(SUBSTITUTE(SUBSTITUTE(SUBSTITUTE(SUBSTITUTE(TRIM($AR92),"-",""),".",""),"/","")," ",""),8),4),--MID(LEFT(SUBSTITUTE(SUBSTITUTE(SUBSTITUTE(SUBSTITUTE(TRIM($AR92),"-",""),".",""),"/","")," ",""),8),5,2),--MID(LEFT(SUBSTITUTE(SUBSTITUTE(SUBSTITUTE(SUBSTITUTE(TRIM($AR92),"-",""),".",""),"/","")," ",""),8),7,2)),"")))</f>
        <v/>
      </c>
      <c r="AT92" s="23">
        <f>IF($AS92="","",IF($F$6="",0,IF(ISNUMBER(INDEX($A:$AP,ROW(),$F$6)),INDEX($A:$AP,ROW(),$F$6),IFERROR(--SUBSTITUTE(SUBSTITUTE(TRIM(INDEX($A:$AP,ROW(),$F$6)),",",""),"원",""),0))))</f>
        <v/>
      </c>
      <c r="AU92" s="23">
        <f>IF($AS92="","",IF($G$6="",0,IF(ISNUMBER(INDEX($A:$AP,ROW(),$G$6)),INDEX($A:$AP,ROW(),$G$6),IFERROR(--SUBSTITUTE(SUBSTITUTE(TRIM(INDEX($A:$AP,ROW(),$G$6)),",",""),"원",""),0))))</f>
        <v/>
      </c>
      <c r="AV92" s="23">
        <f>IF($AS92="","",IF($H$6="",$AT92+$AU92,IF($H$6="",0,IF(ISNUMBER(INDEX($A:$AP,ROW(),$H$6)),INDEX($A:$AP,ROW(),$H$6),IFERROR(--SUBSTITUTE(SUBSTITUTE(TRIM(INDEX($A:$AP,ROW(),$H$6)),",",""),"원",""),0)))))</f>
        <v/>
      </c>
      <c r="AW92" s="2">
        <f>IF(OR($AS92="",$C$6=""),"",TRIM(INDEX($A:$AP,ROW(),$C$6)&amp;""))</f>
        <v/>
      </c>
      <c r="AX92" s="2">
        <f>IF($AS92="","",IF($AZ92&lt;&gt;"",SUBSTITUTE(SUBSTITUTE($AZ92,"-","")," ",""),$AY92))</f>
        <v/>
      </c>
      <c r="AY92" s="2">
        <f>IF(OR($AS92="",$E$6=""),"",TRIM(INDEX($A:$AP,ROW(),$E$6)&amp;""))</f>
        <v/>
      </c>
      <c r="AZ92" s="2">
        <f>IF(OR($AS92="",$D$6=""),"",TRIM(INDEX($A:$AP,ROW(),$D$6)&amp;""))</f>
        <v/>
      </c>
      <c r="BA92" s="2">
        <f>IF($AS92="","",IF(AND($AS92&gt;=설정!$B$10,$AS92&lt;=설정!$B$11),"포함","기간 밖"))</f>
        <v/>
      </c>
      <c r="BB92" s="2">
        <f>IF($AS92="","",IF(OR($AT92&lt;0,AND($I$6&lt;&gt;"",ISNUMBER(FIND("수정",INDEX($A:$AP,ROW(),IF($I$6="",1,$I$6))&amp;"")))),"수정","일반"))</f>
        <v/>
      </c>
      <c r="BC92" s="2">
        <f>IF($AS92="","",MID(IF($BA92="기간 밖"," / 기간 밖(신고기간 아님)","")&amp;IF(AND($AW92&lt;&gt;"",COUNTIF($AW$8:$AW$1007,$AW92)&gt;1)," / 승인번호 중복(두 번 붙여넣기?)","")&amp;IF(ABS($AU92-ROUND($AT92*0.1,0))&gt;설정!$B$8,IF($AU92=0," / 세액 0원(영세율·면세 여부 확인)"," / 세액이 공급가액 10%와 다름"),"")&amp;IF($BB92="수정"," / 수정세금계산서(합계에서 자동 가감)",""),4,200))</f>
        <v/>
      </c>
      <c r="BD92" s="2">
        <f>IF($BA92&lt;&gt;"포함","",IF(COUNTIFS($AX$8:$AX92,$AX92,$BA$8:$BA92,"포함")=1,MAX($BD$7:BD91)+1,""))</f>
        <v/>
      </c>
      <c r="BE92" s="2">
        <f>IF($BC92="","",MAX($BE$7:BE91)+1)</f>
        <v/>
      </c>
    </row>
    <row r="93">
      <c r="AR93" s="2">
        <f>IF(OR($A$5="",$B$6="",ROW()&lt;$A$5),"",IF(INDEX($A:$AP,ROW(),$B$6)="","",INDEX($A:$AP,ROW(),$B$6)))</f>
        <v/>
      </c>
      <c r="AS93" s="22">
        <f>IF($AR93="","",IF(ISNUMBER($AR93),IF($AR93&gt;=10000000,IFERROR(DATE(INT($AR93/10000),MOD(INT($AR93/100),100),MOD($AR93,100)),""),INT($AR93)),IFERROR(DATE(--LEFT(LEFT(SUBSTITUTE(SUBSTITUTE(SUBSTITUTE(SUBSTITUTE(TRIM($AR93),"-",""),".",""),"/","")," ",""),8),4),--MID(LEFT(SUBSTITUTE(SUBSTITUTE(SUBSTITUTE(SUBSTITUTE(TRIM($AR93),"-",""),".",""),"/","")," ",""),8),5,2),--MID(LEFT(SUBSTITUTE(SUBSTITUTE(SUBSTITUTE(SUBSTITUTE(TRIM($AR93),"-",""),".",""),"/","")," ",""),8),7,2)),"")))</f>
        <v/>
      </c>
      <c r="AT93" s="23">
        <f>IF($AS93="","",IF($F$6="",0,IF(ISNUMBER(INDEX($A:$AP,ROW(),$F$6)),INDEX($A:$AP,ROW(),$F$6),IFERROR(--SUBSTITUTE(SUBSTITUTE(TRIM(INDEX($A:$AP,ROW(),$F$6)),",",""),"원",""),0))))</f>
        <v/>
      </c>
      <c r="AU93" s="23">
        <f>IF($AS93="","",IF($G$6="",0,IF(ISNUMBER(INDEX($A:$AP,ROW(),$G$6)),INDEX($A:$AP,ROW(),$G$6),IFERROR(--SUBSTITUTE(SUBSTITUTE(TRIM(INDEX($A:$AP,ROW(),$G$6)),",",""),"원",""),0))))</f>
        <v/>
      </c>
      <c r="AV93" s="23">
        <f>IF($AS93="","",IF($H$6="",$AT93+$AU93,IF($H$6="",0,IF(ISNUMBER(INDEX($A:$AP,ROW(),$H$6)),INDEX($A:$AP,ROW(),$H$6),IFERROR(--SUBSTITUTE(SUBSTITUTE(TRIM(INDEX($A:$AP,ROW(),$H$6)),",",""),"원",""),0)))))</f>
        <v/>
      </c>
      <c r="AW93" s="2">
        <f>IF(OR($AS93="",$C$6=""),"",TRIM(INDEX($A:$AP,ROW(),$C$6)&amp;""))</f>
        <v/>
      </c>
      <c r="AX93" s="2">
        <f>IF($AS93="","",IF($AZ93&lt;&gt;"",SUBSTITUTE(SUBSTITUTE($AZ93,"-","")," ",""),$AY93))</f>
        <v/>
      </c>
      <c r="AY93" s="2">
        <f>IF(OR($AS93="",$E$6=""),"",TRIM(INDEX($A:$AP,ROW(),$E$6)&amp;""))</f>
        <v/>
      </c>
      <c r="AZ93" s="2">
        <f>IF(OR($AS93="",$D$6=""),"",TRIM(INDEX($A:$AP,ROW(),$D$6)&amp;""))</f>
        <v/>
      </c>
      <c r="BA93" s="2">
        <f>IF($AS93="","",IF(AND($AS93&gt;=설정!$B$10,$AS93&lt;=설정!$B$11),"포함","기간 밖"))</f>
        <v/>
      </c>
      <c r="BB93" s="2">
        <f>IF($AS93="","",IF(OR($AT93&lt;0,AND($I$6&lt;&gt;"",ISNUMBER(FIND("수정",INDEX($A:$AP,ROW(),IF($I$6="",1,$I$6))&amp;"")))),"수정","일반"))</f>
        <v/>
      </c>
      <c r="BC93" s="2">
        <f>IF($AS93="","",MID(IF($BA93="기간 밖"," / 기간 밖(신고기간 아님)","")&amp;IF(AND($AW93&lt;&gt;"",COUNTIF($AW$8:$AW$1007,$AW93)&gt;1)," / 승인번호 중복(두 번 붙여넣기?)","")&amp;IF(ABS($AU93-ROUND($AT93*0.1,0))&gt;설정!$B$8,IF($AU93=0," / 세액 0원(영세율·면세 여부 확인)"," / 세액이 공급가액 10%와 다름"),"")&amp;IF($BB93="수정"," / 수정세금계산서(합계에서 자동 가감)",""),4,200))</f>
        <v/>
      </c>
      <c r="BD93" s="2">
        <f>IF($BA93&lt;&gt;"포함","",IF(COUNTIFS($AX$8:$AX93,$AX93,$BA$8:$BA93,"포함")=1,MAX($BD$7:BD92)+1,""))</f>
        <v/>
      </c>
      <c r="BE93" s="2">
        <f>IF($BC93="","",MAX($BE$7:BE92)+1)</f>
        <v/>
      </c>
    </row>
    <row r="94">
      <c r="AR94" s="2">
        <f>IF(OR($A$5="",$B$6="",ROW()&lt;$A$5),"",IF(INDEX($A:$AP,ROW(),$B$6)="","",INDEX($A:$AP,ROW(),$B$6)))</f>
        <v/>
      </c>
      <c r="AS94" s="22">
        <f>IF($AR94="","",IF(ISNUMBER($AR94),IF($AR94&gt;=10000000,IFERROR(DATE(INT($AR94/10000),MOD(INT($AR94/100),100),MOD($AR94,100)),""),INT($AR94)),IFERROR(DATE(--LEFT(LEFT(SUBSTITUTE(SUBSTITUTE(SUBSTITUTE(SUBSTITUTE(TRIM($AR94),"-",""),".",""),"/","")," ",""),8),4),--MID(LEFT(SUBSTITUTE(SUBSTITUTE(SUBSTITUTE(SUBSTITUTE(TRIM($AR94),"-",""),".",""),"/","")," ",""),8),5,2),--MID(LEFT(SUBSTITUTE(SUBSTITUTE(SUBSTITUTE(SUBSTITUTE(TRIM($AR94),"-",""),".",""),"/","")," ",""),8),7,2)),"")))</f>
        <v/>
      </c>
      <c r="AT94" s="23">
        <f>IF($AS94="","",IF($F$6="",0,IF(ISNUMBER(INDEX($A:$AP,ROW(),$F$6)),INDEX($A:$AP,ROW(),$F$6),IFERROR(--SUBSTITUTE(SUBSTITUTE(TRIM(INDEX($A:$AP,ROW(),$F$6)),",",""),"원",""),0))))</f>
        <v/>
      </c>
      <c r="AU94" s="23">
        <f>IF($AS94="","",IF($G$6="",0,IF(ISNUMBER(INDEX($A:$AP,ROW(),$G$6)),INDEX($A:$AP,ROW(),$G$6),IFERROR(--SUBSTITUTE(SUBSTITUTE(TRIM(INDEX($A:$AP,ROW(),$G$6)),",",""),"원",""),0))))</f>
        <v/>
      </c>
      <c r="AV94" s="23">
        <f>IF($AS94="","",IF($H$6="",$AT94+$AU94,IF($H$6="",0,IF(ISNUMBER(INDEX($A:$AP,ROW(),$H$6)),INDEX($A:$AP,ROW(),$H$6),IFERROR(--SUBSTITUTE(SUBSTITUTE(TRIM(INDEX($A:$AP,ROW(),$H$6)),",",""),"원",""),0)))))</f>
        <v/>
      </c>
      <c r="AW94" s="2">
        <f>IF(OR($AS94="",$C$6=""),"",TRIM(INDEX($A:$AP,ROW(),$C$6)&amp;""))</f>
        <v/>
      </c>
      <c r="AX94" s="2">
        <f>IF($AS94="","",IF($AZ94&lt;&gt;"",SUBSTITUTE(SUBSTITUTE($AZ94,"-","")," ",""),$AY94))</f>
        <v/>
      </c>
      <c r="AY94" s="2">
        <f>IF(OR($AS94="",$E$6=""),"",TRIM(INDEX($A:$AP,ROW(),$E$6)&amp;""))</f>
        <v/>
      </c>
      <c r="AZ94" s="2">
        <f>IF(OR($AS94="",$D$6=""),"",TRIM(INDEX($A:$AP,ROW(),$D$6)&amp;""))</f>
        <v/>
      </c>
      <c r="BA94" s="2">
        <f>IF($AS94="","",IF(AND($AS94&gt;=설정!$B$10,$AS94&lt;=설정!$B$11),"포함","기간 밖"))</f>
        <v/>
      </c>
      <c r="BB94" s="2">
        <f>IF($AS94="","",IF(OR($AT94&lt;0,AND($I$6&lt;&gt;"",ISNUMBER(FIND("수정",INDEX($A:$AP,ROW(),IF($I$6="",1,$I$6))&amp;"")))),"수정","일반"))</f>
        <v/>
      </c>
      <c r="BC94" s="2">
        <f>IF($AS94="","",MID(IF($BA94="기간 밖"," / 기간 밖(신고기간 아님)","")&amp;IF(AND($AW94&lt;&gt;"",COUNTIF($AW$8:$AW$1007,$AW94)&gt;1)," / 승인번호 중복(두 번 붙여넣기?)","")&amp;IF(ABS($AU94-ROUND($AT94*0.1,0))&gt;설정!$B$8,IF($AU94=0," / 세액 0원(영세율·면세 여부 확인)"," / 세액이 공급가액 10%와 다름"),"")&amp;IF($BB94="수정"," / 수정세금계산서(합계에서 자동 가감)",""),4,200))</f>
        <v/>
      </c>
      <c r="BD94" s="2">
        <f>IF($BA94&lt;&gt;"포함","",IF(COUNTIFS($AX$8:$AX94,$AX94,$BA$8:$BA94,"포함")=1,MAX($BD$7:BD93)+1,""))</f>
        <v/>
      </c>
      <c r="BE94" s="2">
        <f>IF($BC94="","",MAX($BE$7:BE93)+1)</f>
        <v/>
      </c>
    </row>
    <row r="95">
      <c r="AR95" s="2">
        <f>IF(OR($A$5="",$B$6="",ROW()&lt;$A$5),"",IF(INDEX($A:$AP,ROW(),$B$6)="","",INDEX($A:$AP,ROW(),$B$6)))</f>
        <v/>
      </c>
      <c r="AS95" s="22">
        <f>IF($AR95="","",IF(ISNUMBER($AR95),IF($AR95&gt;=10000000,IFERROR(DATE(INT($AR95/10000),MOD(INT($AR95/100),100),MOD($AR95,100)),""),INT($AR95)),IFERROR(DATE(--LEFT(LEFT(SUBSTITUTE(SUBSTITUTE(SUBSTITUTE(SUBSTITUTE(TRIM($AR95),"-",""),".",""),"/","")," ",""),8),4),--MID(LEFT(SUBSTITUTE(SUBSTITUTE(SUBSTITUTE(SUBSTITUTE(TRIM($AR95),"-",""),".",""),"/","")," ",""),8),5,2),--MID(LEFT(SUBSTITUTE(SUBSTITUTE(SUBSTITUTE(SUBSTITUTE(TRIM($AR95),"-",""),".",""),"/","")," ",""),8),7,2)),"")))</f>
        <v/>
      </c>
      <c r="AT95" s="23">
        <f>IF($AS95="","",IF($F$6="",0,IF(ISNUMBER(INDEX($A:$AP,ROW(),$F$6)),INDEX($A:$AP,ROW(),$F$6),IFERROR(--SUBSTITUTE(SUBSTITUTE(TRIM(INDEX($A:$AP,ROW(),$F$6)),",",""),"원",""),0))))</f>
        <v/>
      </c>
      <c r="AU95" s="23">
        <f>IF($AS95="","",IF($G$6="",0,IF(ISNUMBER(INDEX($A:$AP,ROW(),$G$6)),INDEX($A:$AP,ROW(),$G$6),IFERROR(--SUBSTITUTE(SUBSTITUTE(TRIM(INDEX($A:$AP,ROW(),$G$6)),",",""),"원",""),0))))</f>
        <v/>
      </c>
      <c r="AV95" s="23">
        <f>IF($AS95="","",IF($H$6="",$AT95+$AU95,IF($H$6="",0,IF(ISNUMBER(INDEX($A:$AP,ROW(),$H$6)),INDEX($A:$AP,ROW(),$H$6),IFERROR(--SUBSTITUTE(SUBSTITUTE(TRIM(INDEX($A:$AP,ROW(),$H$6)),",",""),"원",""),0)))))</f>
        <v/>
      </c>
      <c r="AW95" s="2">
        <f>IF(OR($AS95="",$C$6=""),"",TRIM(INDEX($A:$AP,ROW(),$C$6)&amp;""))</f>
        <v/>
      </c>
      <c r="AX95" s="2">
        <f>IF($AS95="","",IF($AZ95&lt;&gt;"",SUBSTITUTE(SUBSTITUTE($AZ95,"-","")," ",""),$AY95))</f>
        <v/>
      </c>
      <c r="AY95" s="2">
        <f>IF(OR($AS95="",$E$6=""),"",TRIM(INDEX($A:$AP,ROW(),$E$6)&amp;""))</f>
        <v/>
      </c>
      <c r="AZ95" s="2">
        <f>IF(OR($AS95="",$D$6=""),"",TRIM(INDEX($A:$AP,ROW(),$D$6)&amp;""))</f>
        <v/>
      </c>
      <c r="BA95" s="2">
        <f>IF($AS95="","",IF(AND($AS95&gt;=설정!$B$10,$AS95&lt;=설정!$B$11),"포함","기간 밖"))</f>
        <v/>
      </c>
      <c r="BB95" s="2">
        <f>IF($AS95="","",IF(OR($AT95&lt;0,AND($I$6&lt;&gt;"",ISNUMBER(FIND("수정",INDEX($A:$AP,ROW(),IF($I$6="",1,$I$6))&amp;"")))),"수정","일반"))</f>
        <v/>
      </c>
      <c r="BC95" s="2">
        <f>IF($AS95="","",MID(IF($BA95="기간 밖"," / 기간 밖(신고기간 아님)","")&amp;IF(AND($AW95&lt;&gt;"",COUNTIF($AW$8:$AW$1007,$AW95)&gt;1)," / 승인번호 중복(두 번 붙여넣기?)","")&amp;IF(ABS($AU95-ROUND($AT95*0.1,0))&gt;설정!$B$8,IF($AU95=0," / 세액 0원(영세율·면세 여부 확인)"," / 세액이 공급가액 10%와 다름"),"")&amp;IF($BB95="수정"," / 수정세금계산서(합계에서 자동 가감)",""),4,200))</f>
        <v/>
      </c>
      <c r="BD95" s="2">
        <f>IF($BA95&lt;&gt;"포함","",IF(COUNTIFS($AX$8:$AX95,$AX95,$BA$8:$BA95,"포함")=1,MAX($BD$7:BD94)+1,""))</f>
        <v/>
      </c>
      <c r="BE95" s="2">
        <f>IF($BC95="","",MAX($BE$7:BE94)+1)</f>
        <v/>
      </c>
    </row>
    <row r="96">
      <c r="AR96" s="2">
        <f>IF(OR($A$5="",$B$6="",ROW()&lt;$A$5),"",IF(INDEX($A:$AP,ROW(),$B$6)="","",INDEX($A:$AP,ROW(),$B$6)))</f>
        <v/>
      </c>
      <c r="AS96" s="22">
        <f>IF($AR96="","",IF(ISNUMBER($AR96),IF($AR96&gt;=10000000,IFERROR(DATE(INT($AR96/10000),MOD(INT($AR96/100),100),MOD($AR96,100)),""),INT($AR96)),IFERROR(DATE(--LEFT(LEFT(SUBSTITUTE(SUBSTITUTE(SUBSTITUTE(SUBSTITUTE(TRIM($AR96),"-",""),".",""),"/","")," ",""),8),4),--MID(LEFT(SUBSTITUTE(SUBSTITUTE(SUBSTITUTE(SUBSTITUTE(TRIM($AR96),"-",""),".",""),"/","")," ",""),8),5,2),--MID(LEFT(SUBSTITUTE(SUBSTITUTE(SUBSTITUTE(SUBSTITUTE(TRIM($AR96),"-",""),".",""),"/","")," ",""),8),7,2)),"")))</f>
        <v/>
      </c>
      <c r="AT96" s="23">
        <f>IF($AS96="","",IF($F$6="",0,IF(ISNUMBER(INDEX($A:$AP,ROW(),$F$6)),INDEX($A:$AP,ROW(),$F$6),IFERROR(--SUBSTITUTE(SUBSTITUTE(TRIM(INDEX($A:$AP,ROW(),$F$6)),",",""),"원",""),0))))</f>
        <v/>
      </c>
      <c r="AU96" s="23">
        <f>IF($AS96="","",IF($G$6="",0,IF(ISNUMBER(INDEX($A:$AP,ROW(),$G$6)),INDEX($A:$AP,ROW(),$G$6),IFERROR(--SUBSTITUTE(SUBSTITUTE(TRIM(INDEX($A:$AP,ROW(),$G$6)),",",""),"원",""),0))))</f>
        <v/>
      </c>
      <c r="AV96" s="23">
        <f>IF($AS96="","",IF($H$6="",$AT96+$AU96,IF($H$6="",0,IF(ISNUMBER(INDEX($A:$AP,ROW(),$H$6)),INDEX($A:$AP,ROW(),$H$6),IFERROR(--SUBSTITUTE(SUBSTITUTE(TRIM(INDEX($A:$AP,ROW(),$H$6)),",",""),"원",""),0)))))</f>
        <v/>
      </c>
      <c r="AW96" s="2">
        <f>IF(OR($AS96="",$C$6=""),"",TRIM(INDEX($A:$AP,ROW(),$C$6)&amp;""))</f>
        <v/>
      </c>
      <c r="AX96" s="2">
        <f>IF($AS96="","",IF($AZ96&lt;&gt;"",SUBSTITUTE(SUBSTITUTE($AZ96,"-","")," ",""),$AY96))</f>
        <v/>
      </c>
      <c r="AY96" s="2">
        <f>IF(OR($AS96="",$E$6=""),"",TRIM(INDEX($A:$AP,ROW(),$E$6)&amp;""))</f>
        <v/>
      </c>
      <c r="AZ96" s="2">
        <f>IF(OR($AS96="",$D$6=""),"",TRIM(INDEX($A:$AP,ROW(),$D$6)&amp;""))</f>
        <v/>
      </c>
      <c r="BA96" s="2">
        <f>IF($AS96="","",IF(AND($AS96&gt;=설정!$B$10,$AS96&lt;=설정!$B$11),"포함","기간 밖"))</f>
        <v/>
      </c>
      <c r="BB96" s="2">
        <f>IF($AS96="","",IF(OR($AT96&lt;0,AND($I$6&lt;&gt;"",ISNUMBER(FIND("수정",INDEX($A:$AP,ROW(),IF($I$6="",1,$I$6))&amp;"")))),"수정","일반"))</f>
        <v/>
      </c>
      <c r="BC96" s="2">
        <f>IF($AS96="","",MID(IF($BA96="기간 밖"," / 기간 밖(신고기간 아님)","")&amp;IF(AND($AW96&lt;&gt;"",COUNTIF($AW$8:$AW$1007,$AW96)&gt;1)," / 승인번호 중복(두 번 붙여넣기?)","")&amp;IF(ABS($AU96-ROUND($AT96*0.1,0))&gt;설정!$B$8,IF($AU96=0," / 세액 0원(영세율·면세 여부 확인)"," / 세액이 공급가액 10%와 다름"),"")&amp;IF($BB96="수정"," / 수정세금계산서(합계에서 자동 가감)",""),4,200))</f>
        <v/>
      </c>
      <c r="BD96" s="2">
        <f>IF($BA96&lt;&gt;"포함","",IF(COUNTIFS($AX$8:$AX96,$AX96,$BA$8:$BA96,"포함")=1,MAX($BD$7:BD95)+1,""))</f>
        <v/>
      </c>
      <c r="BE96" s="2">
        <f>IF($BC96="","",MAX($BE$7:BE95)+1)</f>
        <v/>
      </c>
    </row>
    <row r="97">
      <c r="AR97" s="2">
        <f>IF(OR($A$5="",$B$6="",ROW()&lt;$A$5),"",IF(INDEX($A:$AP,ROW(),$B$6)="","",INDEX($A:$AP,ROW(),$B$6)))</f>
        <v/>
      </c>
      <c r="AS97" s="22">
        <f>IF($AR97="","",IF(ISNUMBER($AR97),IF($AR97&gt;=10000000,IFERROR(DATE(INT($AR97/10000),MOD(INT($AR97/100),100),MOD($AR97,100)),""),INT($AR97)),IFERROR(DATE(--LEFT(LEFT(SUBSTITUTE(SUBSTITUTE(SUBSTITUTE(SUBSTITUTE(TRIM($AR97),"-",""),".",""),"/","")," ",""),8),4),--MID(LEFT(SUBSTITUTE(SUBSTITUTE(SUBSTITUTE(SUBSTITUTE(TRIM($AR97),"-",""),".",""),"/","")," ",""),8),5,2),--MID(LEFT(SUBSTITUTE(SUBSTITUTE(SUBSTITUTE(SUBSTITUTE(TRIM($AR97),"-",""),".",""),"/","")," ",""),8),7,2)),"")))</f>
        <v/>
      </c>
      <c r="AT97" s="23">
        <f>IF($AS97="","",IF($F$6="",0,IF(ISNUMBER(INDEX($A:$AP,ROW(),$F$6)),INDEX($A:$AP,ROW(),$F$6),IFERROR(--SUBSTITUTE(SUBSTITUTE(TRIM(INDEX($A:$AP,ROW(),$F$6)),",",""),"원",""),0))))</f>
        <v/>
      </c>
      <c r="AU97" s="23">
        <f>IF($AS97="","",IF($G$6="",0,IF(ISNUMBER(INDEX($A:$AP,ROW(),$G$6)),INDEX($A:$AP,ROW(),$G$6),IFERROR(--SUBSTITUTE(SUBSTITUTE(TRIM(INDEX($A:$AP,ROW(),$G$6)),",",""),"원",""),0))))</f>
        <v/>
      </c>
      <c r="AV97" s="23">
        <f>IF($AS97="","",IF($H$6="",$AT97+$AU97,IF($H$6="",0,IF(ISNUMBER(INDEX($A:$AP,ROW(),$H$6)),INDEX($A:$AP,ROW(),$H$6),IFERROR(--SUBSTITUTE(SUBSTITUTE(TRIM(INDEX($A:$AP,ROW(),$H$6)),",",""),"원",""),0)))))</f>
        <v/>
      </c>
      <c r="AW97" s="2">
        <f>IF(OR($AS97="",$C$6=""),"",TRIM(INDEX($A:$AP,ROW(),$C$6)&amp;""))</f>
        <v/>
      </c>
      <c r="AX97" s="2">
        <f>IF($AS97="","",IF($AZ97&lt;&gt;"",SUBSTITUTE(SUBSTITUTE($AZ97,"-","")," ",""),$AY97))</f>
        <v/>
      </c>
      <c r="AY97" s="2">
        <f>IF(OR($AS97="",$E$6=""),"",TRIM(INDEX($A:$AP,ROW(),$E$6)&amp;""))</f>
        <v/>
      </c>
      <c r="AZ97" s="2">
        <f>IF(OR($AS97="",$D$6=""),"",TRIM(INDEX($A:$AP,ROW(),$D$6)&amp;""))</f>
        <v/>
      </c>
      <c r="BA97" s="2">
        <f>IF($AS97="","",IF(AND($AS97&gt;=설정!$B$10,$AS97&lt;=설정!$B$11),"포함","기간 밖"))</f>
        <v/>
      </c>
      <c r="BB97" s="2">
        <f>IF($AS97="","",IF(OR($AT97&lt;0,AND($I$6&lt;&gt;"",ISNUMBER(FIND("수정",INDEX($A:$AP,ROW(),IF($I$6="",1,$I$6))&amp;"")))),"수정","일반"))</f>
        <v/>
      </c>
      <c r="BC97" s="2">
        <f>IF($AS97="","",MID(IF($BA97="기간 밖"," / 기간 밖(신고기간 아님)","")&amp;IF(AND($AW97&lt;&gt;"",COUNTIF($AW$8:$AW$1007,$AW97)&gt;1)," / 승인번호 중복(두 번 붙여넣기?)","")&amp;IF(ABS($AU97-ROUND($AT97*0.1,0))&gt;설정!$B$8,IF($AU97=0," / 세액 0원(영세율·면세 여부 확인)"," / 세액이 공급가액 10%와 다름"),"")&amp;IF($BB97="수정"," / 수정세금계산서(합계에서 자동 가감)",""),4,200))</f>
        <v/>
      </c>
      <c r="BD97" s="2">
        <f>IF($BA97&lt;&gt;"포함","",IF(COUNTIFS($AX$8:$AX97,$AX97,$BA$8:$BA97,"포함")=1,MAX($BD$7:BD96)+1,""))</f>
        <v/>
      </c>
      <c r="BE97" s="2">
        <f>IF($BC97="","",MAX($BE$7:BE96)+1)</f>
        <v/>
      </c>
    </row>
    <row r="98">
      <c r="AR98" s="2">
        <f>IF(OR($A$5="",$B$6="",ROW()&lt;$A$5),"",IF(INDEX($A:$AP,ROW(),$B$6)="","",INDEX($A:$AP,ROW(),$B$6)))</f>
        <v/>
      </c>
      <c r="AS98" s="22">
        <f>IF($AR98="","",IF(ISNUMBER($AR98),IF($AR98&gt;=10000000,IFERROR(DATE(INT($AR98/10000),MOD(INT($AR98/100),100),MOD($AR98,100)),""),INT($AR98)),IFERROR(DATE(--LEFT(LEFT(SUBSTITUTE(SUBSTITUTE(SUBSTITUTE(SUBSTITUTE(TRIM($AR98),"-",""),".",""),"/","")," ",""),8),4),--MID(LEFT(SUBSTITUTE(SUBSTITUTE(SUBSTITUTE(SUBSTITUTE(TRIM($AR98),"-",""),".",""),"/","")," ",""),8),5,2),--MID(LEFT(SUBSTITUTE(SUBSTITUTE(SUBSTITUTE(SUBSTITUTE(TRIM($AR98),"-",""),".",""),"/","")," ",""),8),7,2)),"")))</f>
        <v/>
      </c>
      <c r="AT98" s="23">
        <f>IF($AS98="","",IF($F$6="",0,IF(ISNUMBER(INDEX($A:$AP,ROW(),$F$6)),INDEX($A:$AP,ROW(),$F$6),IFERROR(--SUBSTITUTE(SUBSTITUTE(TRIM(INDEX($A:$AP,ROW(),$F$6)),",",""),"원",""),0))))</f>
        <v/>
      </c>
      <c r="AU98" s="23">
        <f>IF($AS98="","",IF($G$6="",0,IF(ISNUMBER(INDEX($A:$AP,ROW(),$G$6)),INDEX($A:$AP,ROW(),$G$6),IFERROR(--SUBSTITUTE(SUBSTITUTE(TRIM(INDEX($A:$AP,ROW(),$G$6)),",",""),"원",""),0))))</f>
        <v/>
      </c>
      <c r="AV98" s="23">
        <f>IF($AS98="","",IF($H$6="",$AT98+$AU98,IF($H$6="",0,IF(ISNUMBER(INDEX($A:$AP,ROW(),$H$6)),INDEX($A:$AP,ROW(),$H$6),IFERROR(--SUBSTITUTE(SUBSTITUTE(TRIM(INDEX($A:$AP,ROW(),$H$6)),",",""),"원",""),0)))))</f>
        <v/>
      </c>
      <c r="AW98" s="2">
        <f>IF(OR($AS98="",$C$6=""),"",TRIM(INDEX($A:$AP,ROW(),$C$6)&amp;""))</f>
        <v/>
      </c>
      <c r="AX98" s="2">
        <f>IF($AS98="","",IF($AZ98&lt;&gt;"",SUBSTITUTE(SUBSTITUTE($AZ98,"-","")," ",""),$AY98))</f>
        <v/>
      </c>
      <c r="AY98" s="2">
        <f>IF(OR($AS98="",$E$6=""),"",TRIM(INDEX($A:$AP,ROW(),$E$6)&amp;""))</f>
        <v/>
      </c>
      <c r="AZ98" s="2">
        <f>IF(OR($AS98="",$D$6=""),"",TRIM(INDEX($A:$AP,ROW(),$D$6)&amp;""))</f>
        <v/>
      </c>
      <c r="BA98" s="2">
        <f>IF($AS98="","",IF(AND($AS98&gt;=설정!$B$10,$AS98&lt;=설정!$B$11),"포함","기간 밖"))</f>
        <v/>
      </c>
      <c r="BB98" s="2">
        <f>IF($AS98="","",IF(OR($AT98&lt;0,AND($I$6&lt;&gt;"",ISNUMBER(FIND("수정",INDEX($A:$AP,ROW(),IF($I$6="",1,$I$6))&amp;"")))),"수정","일반"))</f>
        <v/>
      </c>
      <c r="BC98" s="2">
        <f>IF($AS98="","",MID(IF($BA98="기간 밖"," / 기간 밖(신고기간 아님)","")&amp;IF(AND($AW98&lt;&gt;"",COUNTIF($AW$8:$AW$1007,$AW98)&gt;1)," / 승인번호 중복(두 번 붙여넣기?)","")&amp;IF(ABS($AU98-ROUND($AT98*0.1,0))&gt;설정!$B$8,IF($AU98=0," / 세액 0원(영세율·면세 여부 확인)"," / 세액이 공급가액 10%와 다름"),"")&amp;IF($BB98="수정"," / 수정세금계산서(합계에서 자동 가감)",""),4,200))</f>
        <v/>
      </c>
      <c r="BD98" s="2">
        <f>IF($BA98&lt;&gt;"포함","",IF(COUNTIFS($AX$8:$AX98,$AX98,$BA$8:$BA98,"포함")=1,MAX($BD$7:BD97)+1,""))</f>
        <v/>
      </c>
      <c r="BE98" s="2">
        <f>IF($BC98="","",MAX($BE$7:BE97)+1)</f>
        <v/>
      </c>
    </row>
    <row r="99">
      <c r="AR99" s="2">
        <f>IF(OR($A$5="",$B$6="",ROW()&lt;$A$5),"",IF(INDEX($A:$AP,ROW(),$B$6)="","",INDEX($A:$AP,ROW(),$B$6)))</f>
        <v/>
      </c>
      <c r="AS99" s="22">
        <f>IF($AR99="","",IF(ISNUMBER($AR99),IF($AR99&gt;=10000000,IFERROR(DATE(INT($AR99/10000),MOD(INT($AR99/100),100),MOD($AR99,100)),""),INT($AR99)),IFERROR(DATE(--LEFT(LEFT(SUBSTITUTE(SUBSTITUTE(SUBSTITUTE(SUBSTITUTE(TRIM($AR99),"-",""),".",""),"/","")," ",""),8),4),--MID(LEFT(SUBSTITUTE(SUBSTITUTE(SUBSTITUTE(SUBSTITUTE(TRIM($AR99),"-",""),".",""),"/","")," ",""),8),5,2),--MID(LEFT(SUBSTITUTE(SUBSTITUTE(SUBSTITUTE(SUBSTITUTE(TRIM($AR99),"-",""),".",""),"/","")," ",""),8),7,2)),"")))</f>
        <v/>
      </c>
      <c r="AT99" s="23">
        <f>IF($AS99="","",IF($F$6="",0,IF(ISNUMBER(INDEX($A:$AP,ROW(),$F$6)),INDEX($A:$AP,ROW(),$F$6),IFERROR(--SUBSTITUTE(SUBSTITUTE(TRIM(INDEX($A:$AP,ROW(),$F$6)),",",""),"원",""),0))))</f>
        <v/>
      </c>
      <c r="AU99" s="23">
        <f>IF($AS99="","",IF($G$6="",0,IF(ISNUMBER(INDEX($A:$AP,ROW(),$G$6)),INDEX($A:$AP,ROW(),$G$6),IFERROR(--SUBSTITUTE(SUBSTITUTE(TRIM(INDEX($A:$AP,ROW(),$G$6)),",",""),"원",""),0))))</f>
        <v/>
      </c>
      <c r="AV99" s="23">
        <f>IF($AS99="","",IF($H$6="",$AT99+$AU99,IF($H$6="",0,IF(ISNUMBER(INDEX($A:$AP,ROW(),$H$6)),INDEX($A:$AP,ROW(),$H$6),IFERROR(--SUBSTITUTE(SUBSTITUTE(TRIM(INDEX($A:$AP,ROW(),$H$6)),",",""),"원",""),0)))))</f>
        <v/>
      </c>
      <c r="AW99" s="2">
        <f>IF(OR($AS99="",$C$6=""),"",TRIM(INDEX($A:$AP,ROW(),$C$6)&amp;""))</f>
        <v/>
      </c>
      <c r="AX99" s="2">
        <f>IF($AS99="","",IF($AZ99&lt;&gt;"",SUBSTITUTE(SUBSTITUTE($AZ99,"-","")," ",""),$AY99))</f>
        <v/>
      </c>
      <c r="AY99" s="2">
        <f>IF(OR($AS99="",$E$6=""),"",TRIM(INDEX($A:$AP,ROW(),$E$6)&amp;""))</f>
        <v/>
      </c>
      <c r="AZ99" s="2">
        <f>IF(OR($AS99="",$D$6=""),"",TRIM(INDEX($A:$AP,ROW(),$D$6)&amp;""))</f>
        <v/>
      </c>
      <c r="BA99" s="2">
        <f>IF($AS99="","",IF(AND($AS99&gt;=설정!$B$10,$AS99&lt;=설정!$B$11),"포함","기간 밖"))</f>
        <v/>
      </c>
      <c r="BB99" s="2">
        <f>IF($AS99="","",IF(OR($AT99&lt;0,AND($I$6&lt;&gt;"",ISNUMBER(FIND("수정",INDEX($A:$AP,ROW(),IF($I$6="",1,$I$6))&amp;"")))),"수정","일반"))</f>
        <v/>
      </c>
      <c r="BC99" s="2">
        <f>IF($AS99="","",MID(IF($BA99="기간 밖"," / 기간 밖(신고기간 아님)","")&amp;IF(AND($AW99&lt;&gt;"",COUNTIF($AW$8:$AW$1007,$AW99)&gt;1)," / 승인번호 중복(두 번 붙여넣기?)","")&amp;IF(ABS($AU99-ROUND($AT99*0.1,0))&gt;설정!$B$8,IF($AU99=0," / 세액 0원(영세율·면세 여부 확인)"," / 세액이 공급가액 10%와 다름"),"")&amp;IF($BB99="수정"," / 수정세금계산서(합계에서 자동 가감)",""),4,200))</f>
        <v/>
      </c>
      <c r="BD99" s="2">
        <f>IF($BA99&lt;&gt;"포함","",IF(COUNTIFS($AX$8:$AX99,$AX99,$BA$8:$BA99,"포함")=1,MAX($BD$7:BD98)+1,""))</f>
        <v/>
      </c>
      <c r="BE99" s="2">
        <f>IF($BC99="","",MAX($BE$7:BE98)+1)</f>
        <v/>
      </c>
    </row>
    <row r="100">
      <c r="AR100" s="2">
        <f>IF(OR($A$5="",$B$6="",ROW()&lt;$A$5),"",IF(INDEX($A:$AP,ROW(),$B$6)="","",INDEX($A:$AP,ROW(),$B$6)))</f>
        <v/>
      </c>
      <c r="AS100" s="22">
        <f>IF($AR100="","",IF(ISNUMBER($AR100),IF($AR100&gt;=10000000,IFERROR(DATE(INT($AR100/10000),MOD(INT($AR100/100),100),MOD($AR100,100)),""),INT($AR100)),IFERROR(DATE(--LEFT(LEFT(SUBSTITUTE(SUBSTITUTE(SUBSTITUTE(SUBSTITUTE(TRIM($AR100),"-",""),".",""),"/","")," ",""),8),4),--MID(LEFT(SUBSTITUTE(SUBSTITUTE(SUBSTITUTE(SUBSTITUTE(TRIM($AR100),"-",""),".",""),"/","")," ",""),8),5,2),--MID(LEFT(SUBSTITUTE(SUBSTITUTE(SUBSTITUTE(SUBSTITUTE(TRIM($AR100),"-",""),".",""),"/","")," ",""),8),7,2)),"")))</f>
        <v/>
      </c>
      <c r="AT100" s="23">
        <f>IF($AS100="","",IF($F$6="",0,IF(ISNUMBER(INDEX($A:$AP,ROW(),$F$6)),INDEX($A:$AP,ROW(),$F$6),IFERROR(--SUBSTITUTE(SUBSTITUTE(TRIM(INDEX($A:$AP,ROW(),$F$6)),",",""),"원",""),0))))</f>
        <v/>
      </c>
      <c r="AU100" s="23">
        <f>IF($AS100="","",IF($G$6="",0,IF(ISNUMBER(INDEX($A:$AP,ROW(),$G$6)),INDEX($A:$AP,ROW(),$G$6),IFERROR(--SUBSTITUTE(SUBSTITUTE(TRIM(INDEX($A:$AP,ROW(),$G$6)),",",""),"원",""),0))))</f>
        <v/>
      </c>
      <c r="AV100" s="23">
        <f>IF($AS100="","",IF($H$6="",$AT100+$AU100,IF($H$6="",0,IF(ISNUMBER(INDEX($A:$AP,ROW(),$H$6)),INDEX($A:$AP,ROW(),$H$6),IFERROR(--SUBSTITUTE(SUBSTITUTE(TRIM(INDEX($A:$AP,ROW(),$H$6)),",",""),"원",""),0)))))</f>
        <v/>
      </c>
      <c r="AW100" s="2">
        <f>IF(OR($AS100="",$C$6=""),"",TRIM(INDEX($A:$AP,ROW(),$C$6)&amp;""))</f>
        <v/>
      </c>
      <c r="AX100" s="2">
        <f>IF($AS100="","",IF($AZ100&lt;&gt;"",SUBSTITUTE(SUBSTITUTE($AZ100,"-","")," ",""),$AY100))</f>
        <v/>
      </c>
      <c r="AY100" s="2">
        <f>IF(OR($AS100="",$E$6=""),"",TRIM(INDEX($A:$AP,ROW(),$E$6)&amp;""))</f>
        <v/>
      </c>
      <c r="AZ100" s="2">
        <f>IF(OR($AS100="",$D$6=""),"",TRIM(INDEX($A:$AP,ROW(),$D$6)&amp;""))</f>
        <v/>
      </c>
      <c r="BA100" s="2">
        <f>IF($AS100="","",IF(AND($AS100&gt;=설정!$B$10,$AS100&lt;=설정!$B$11),"포함","기간 밖"))</f>
        <v/>
      </c>
      <c r="BB100" s="2">
        <f>IF($AS100="","",IF(OR($AT100&lt;0,AND($I$6&lt;&gt;"",ISNUMBER(FIND("수정",INDEX($A:$AP,ROW(),IF($I$6="",1,$I$6))&amp;"")))),"수정","일반"))</f>
        <v/>
      </c>
      <c r="BC100" s="2">
        <f>IF($AS100="","",MID(IF($BA100="기간 밖"," / 기간 밖(신고기간 아님)","")&amp;IF(AND($AW100&lt;&gt;"",COUNTIF($AW$8:$AW$1007,$AW100)&gt;1)," / 승인번호 중복(두 번 붙여넣기?)","")&amp;IF(ABS($AU100-ROUND($AT100*0.1,0))&gt;설정!$B$8,IF($AU100=0," / 세액 0원(영세율·면세 여부 확인)"," / 세액이 공급가액 10%와 다름"),"")&amp;IF($BB100="수정"," / 수정세금계산서(합계에서 자동 가감)",""),4,200))</f>
        <v/>
      </c>
      <c r="BD100" s="2">
        <f>IF($BA100&lt;&gt;"포함","",IF(COUNTIFS($AX$8:$AX100,$AX100,$BA$8:$BA100,"포함")=1,MAX($BD$7:BD99)+1,""))</f>
        <v/>
      </c>
      <c r="BE100" s="2">
        <f>IF($BC100="","",MAX($BE$7:BE99)+1)</f>
        <v/>
      </c>
    </row>
    <row r="101">
      <c r="AR101" s="2">
        <f>IF(OR($A$5="",$B$6="",ROW()&lt;$A$5),"",IF(INDEX($A:$AP,ROW(),$B$6)="","",INDEX($A:$AP,ROW(),$B$6)))</f>
        <v/>
      </c>
      <c r="AS101" s="22">
        <f>IF($AR101="","",IF(ISNUMBER($AR101),IF($AR101&gt;=10000000,IFERROR(DATE(INT($AR101/10000),MOD(INT($AR101/100),100),MOD($AR101,100)),""),INT($AR101)),IFERROR(DATE(--LEFT(LEFT(SUBSTITUTE(SUBSTITUTE(SUBSTITUTE(SUBSTITUTE(TRIM($AR101),"-",""),".",""),"/","")," ",""),8),4),--MID(LEFT(SUBSTITUTE(SUBSTITUTE(SUBSTITUTE(SUBSTITUTE(TRIM($AR101),"-",""),".",""),"/","")," ",""),8),5,2),--MID(LEFT(SUBSTITUTE(SUBSTITUTE(SUBSTITUTE(SUBSTITUTE(TRIM($AR101),"-",""),".",""),"/","")," ",""),8),7,2)),"")))</f>
        <v/>
      </c>
      <c r="AT101" s="23">
        <f>IF($AS101="","",IF($F$6="",0,IF(ISNUMBER(INDEX($A:$AP,ROW(),$F$6)),INDEX($A:$AP,ROW(),$F$6),IFERROR(--SUBSTITUTE(SUBSTITUTE(TRIM(INDEX($A:$AP,ROW(),$F$6)),",",""),"원",""),0))))</f>
        <v/>
      </c>
      <c r="AU101" s="23">
        <f>IF($AS101="","",IF($G$6="",0,IF(ISNUMBER(INDEX($A:$AP,ROW(),$G$6)),INDEX($A:$AP,ROW(),$G$6),IFERROR(--SUBSTITUTE(SUBSTITUTE(TRIM(INDEX($A:$AP,ROW(),$G$6)),",",""),"원",""),0))))</f>
        <v/>
      </c>
      <c r="AV101" s="23">
        <f>IF($AS101="","",IF($H$6="",$AT101+$AU101,IF($H$6="",0,IF(ISNUMBER(INDEX($A:$AP,ROW(),$H$6)),INDEX($A:$AP,ROW(),$H$6),IFERROR(--SUBSTITUTE(SUBSTITUTE(TRIM(INDEX($A:$AP,ROW(),$H$6)),",",""),"원",""),0)))))</f>
        <v/>
      </c>
      <c r="AW101" s="2">
        <f>IF(OR($AS101="",$C$6=""),"",TRIM(INDEX($A:$AP,ROW(),$C$6)&amp;""))</f>
        <v/>
      </c>
      <c r="AX101" s="2">
        <f>IF($AS101="","",IF($AZ101&lt;&gt;"",SUBSTITUTE(SUBSTITUTE($AZ101,"-","")," ",""),$AY101))</f>
        <v/>
      </c>
      <c r="AY101" s="2">
        <f>IF(OR($AS101="",$E$6=""),"",TRIM(INDEX($A:$AP,ROW(),$E$6)&amp;""))</f>
        <v/>
      </c>
      <c r="AZ101" s="2">
        <f>IF(OR($AS101="",$D$6=""),"",TRIM(INDEX($A:$AP,ROW(),$D$6)&amp;""))</f>
        <v/>
      </c>
      <c r="BA101" s="2">
        <f>IF($AS101="","",IF(AND($AS101&gt;=설정!$B$10,$AS101&lt;=설정!$B$11),"포함","기간 밖"))</f>
        <v/>
      </c>
      <c r="BB101" s="2">
        <f>IF($AS101="","",IF(OR($AT101&lt;0,AND($I$6&lt;&gt;"",ISNUMBER(FIND("수정",INDEX($A:$AP,ROW(),IF($I$6="",1,$I$6))&amp;"")))),"수정","일반"))</f>
        <v/>
      </c>
      <c r="BC101" s="2">
        <f>IF($AS101="","",MID(IF($BA101="기간 밖"," / 기간 밖(신고기간 아님)","")&amp;IF(AND($AW101&lt;&gt;"",COUNTIF($AW$8:$AW$1007,$AW101)&gt;1)," / 승인번호 중복(두 번 붙여넣기?)","")&amp;IF(ABS($AU101-ROUND($AT101*0.1,0))&gt;설정!$B$8,IF($AU101=0," / 세액 0원(영세율·면세 여부 확인)"," / 세액이 공급가액 10%와 다름"),"")&amp;IF($BB101="수정"," / 수정세금계산서(합계에서 자동 가감)",""),4,200))</f>
        <v/>
      </c>
      <c r="BD101" s="2">
        <f>IF($BA101&lt;&gt;"포함","",IF(COUNTIFS($AX$8:$AX101,$AX101,$BA$8:$BA101,"포함")=1,MAX($BD$7:BD100)+1,""))</f>
        <v/>
      </c>
      <c r="BE101" s="2">
        <f>IF($BC101="","",MAX($BE$7:BE100)+1)</f>
        <v/>
      </c>
    </row>
    <row r="102">
      <c r="AR102" s="2">
        <f>IF(OR($A$5="",$B$6="",ROW()&lt;$A$5),"",IF(INDEX($A:$AP,ROW(),$B$6)="","",INDEX($A:$AP,ROW(),$B$6)))</f>
        <v/>
      </c>
      <c r="AS102" s="22">
        <f>IF($AR102="","",IF(ISNUMBER($AR102),IF($AR102&gt;=10000000,IFERROR(DATE(INT($AR102/10000),MOD(INT($AR102/100),100),MOD($AR102,100)),""),INT($AR102)),IFERROR(DATE(--LEFT(LEFT(SUBSTITUTE(SUBSTITUTE(SUBSTITUTE(SUBSTITUTE(TRIM($AR102),"-",""),".",""),"/","")," ",""),8),4),--MID(LEFT(SUBSTITUTE(SUBSTITUTE(SUBSTITUTE(SUBSTITUTE(TRIM($AR102),"-",""),".",""),"/","")," ",""),8),5,2),--MID(LEFT(SUBSTITUTE(SUBSTITUTE(SUBSTITUTE(SUBSTITUTE(TRIM($AR102),"-",""),".",""),"/","")," ",""),8),7,2)),"")))</f>
        <v/>
      </c>
      <c r="AT102" s="23">
        <f>IF($AS102="","",IF($F$6="",0,IF(ISNUMBER(INDEX($A:$AP,ROW(),$F$6)),INDEX($A:$AP,ROW(),$F$6),IFERROR(--SUBSTITUTE(SUBSTITUTE(TRIM(INDEX($A:$AP,ROW(),$F$6)),",",""),"원",""),0))))</f>
        <v/>
      </c>
      <c r="AU102" s="23">
        <f>IF($AS102="","",IF($G$6="",0,IF(ISNUMBER(INDEX($A:$AP,ROW(),$G$6)),INDEX($A:$AP,ROW(),$G$6),IFERROR(--SUBSTITUTE(SUBSTITUTE(TRIM(INDEX($A:$AP,ROW(),$G$6)),",",""),"원",""),0))))</f>
        <v/>
      </c>
      <c r="AV102" s="23">
        <f>IF($AS102="","",IF($H$6="",$AT102+$AU102,IF($H$6="",0,IF(ISNUMBER(INDEX($A:$AP,ROW(),$H$6)),INDEX($A:$AP,ROW(),$H$6),IFERROR(--SUBSTITUTE(SUBSTITUTE(TRIM(INDEX($A:$AP,ROW(),$H$6)),",",""),"원",""),0)))))</f>
        <v/>
      </c>
      <c r="AW102" s="2">
        <f>IF(OR($AS102="",$C$6=""),"",TRIM(INDEX($A:$AP,ROW(),$C$6)&amp;""))</f>
        <v/>
      </c>
      <c r="AX102" s="2">
        <f>IF($AS102="","",IF($AZ102&lt;&gt;"",SUBSTITUTE(SUBSTITUTE($AZ102,"-","")," ",""),$AY102))</f>
        <v/>
      </c>
      <c r="AY102" s="2">
        <f>IF(OR($AS102="",$E$6=""),"",TRIM(INDEX($A:$AP,ROW(),$E$6)&amp;""))</f>
        <v/>
      </c>
      <c r="AZ102" s="2">
        <f>IF(OR($AS102="",$D$6=""),"",TRIM(INDEX($A:$AP,ROW(),$D$6)&amp;""))</f>
        <v/>
      </c>
      <c r="BA102" s="2">
        <f>IF($AS102="","",IF(AND($AS102&gt;=설정!$B$10,$AS102&lt;=설정!$B$11),"포함","기간 밖"))</f>
        <v/>
      </c>
      <c r="BB102" s="2">
        <f>IF($AS102="","",IF(OR($AT102&lt;0,AND($I$6&lt;&gt;"",ISNUMBER(FIND("수정",INDEX($A:$AP,ROW(),IF($I$6="",1,$I$6))&amp;"")))),"수정","일반"))</f>
        <v/>
      </c>
      <c r="BC102" s="2">
        <f>IF($AS102="","",MID(IF($BA102="기간 밖"," / 기간 밖(신고기간 아님)","")&amp;IF(AND($AW102&lt;&gt;"",COUNTIF($AW$8:$AW$1007,$AW102)&gt;1)," / 승인번호 중복(두 번 붙여넣기?)","")&amp;IF(ABS($AU102-ROUND($AT102*0.1,0))&gt;설정!$B$8,IF($AU102=0," / 세액 0원(영세율·면세 여부 확인)"," / 세액이 공급가액 10%와 다름"),"")&amp;IF($BB102="수정"," / 수정세금계산서(합계에서 자동 가감)",""),4,200))</f>
        <v/>
      </c>
      <c r="BD102" s="2">
        <f>IF($BA102&lt;&gt;"포함","",IF(COUNTIFS($AX$8:$AX102,$AX102,$BA$8:$BA102,"포함")=1,MAX($BD$7:BD101)+1,""))</f>
        <v/>
      </c>
      <c r="BE102" s="2">
        <f>IF($BC102="","",MAX($BE$7:BE101)+1)</f>
        <v/>
      </c>
    </row>
    <row r="103">
      <c r="AR103" s="2">
        <f>IF(OR($A$5="",$B$6="",ROW()&lt;$A$5),"",IF(INDEX($A:$AP,ROW(),$B$6)="","",INDEX($A:$AP,ROW(),$B$6)))</f>
        <v/>
      </c>
      <c r="AS103" s="22">
        <f>IF($AR103="","",IF(ISNUMBER($AR103),IF($AR103&gt;=10000000,IFERROR(DATE(INT($AR103/10000),MOD(INT($AR103/100),100),MOD($AR103,100)),""),INT($AR103)),IFERROR(DATE(--LEFT(LEFT(SUBSTITUTE(SUBSTITUTE(SUBSTITUTE(SUBSTITUTE(TRIM($AR103),"-",""),".",""),"/","")," ",""),8),4),--MID(LEFT(SUBSTITUTE(SUBSTITUTE(SUBSTITUTE(SUBSTITUTE(TRIM($AR103),"-",""),".",""),"/","")," ",""),8),5,2),--MID(LEFT(SUBSTITUTE(SUBSTITUTE(SUBSTITUTE(SUBSTITUTE(TRIM($AR103),"-",""),".",""),"/","")," ",""),8),7,2)),"")))</f>
        <v/>
      </c>
      <c r="AT103" s="23">
        <f>IF($AS103="","",IF($F$6="",0,IF(ISNUMBER(INDEX($A:$AP,ROW(),$F$6)),INDEX($A:$AP,ROW(),$F$6),IFERROR(--SUBSTITUTE(SUBSTITUTE(TRIM(INDEX($A:$AP,ROW(),$F$6)),",",""),"원",""),0))))</f>
        <v/>
      </c>
      <c r="AU103" s="23">
        <f>IF($AS103="","",IF($G$6="",0,IF(ISNUMBER(INDEX($A:$AP,ROW(),$G$6)),INDEX($A:$AP,ROW(),$G$6),IFERROR(--SUBSTITUTE(SUBSTITUTE(TRIM(INDEX($A:$AP,ROW(),$G$6)),",",""),"원",""),0))))</f>
        <v/>
      </c>
      <c r="AV103" s="23">
        <f>IF($AS103="","",IF($H$6="",$AT103+$AU103,IF($H$6="",0,IF(ISNUMBER(INDEX($A:$AP,ROW(),$H$6)),INDEX($A:$AP,ROW(),$H$6),IFERROR(--SUBSTITUTE(SUBSTITUTE(TRIM(INDEX($A:$AP,ROW(),$H$6)),",",""),"원",""),0)))))</f>
        <v/>
      </c>
      <c r="AW103" s="2">
        <f>IF(OR($AS103="",$C$6=""),"",TRIM(INDEX($A:$AP,ROW(),$C$6)&amp;""))</f>
        <v/>
      </c>
      <c r="AX103" s="2">
        <f>IF($AS103="","",IF($AZ103&lt;&gt;"",SUBSTITUTE(SUBSTITUTE($AZ103,"-","")," ",""),$AY103))</f>
        <v/>
      </c>
      <c r="AY103" s="2">
        <f>IF(OR($AS103="",$E$6=""),"",TRIM(INDEX($A:$AP,ROW(),$E$6)&amp;""))</f>
        <v/>
      </c>
      <c r="AZ103" s="2">
        <f>IF(OR($AS103="",$D$6=""),"",TRIM(INDEX($A:$AP,ROW(),$D$6)&amp;""))</f>
        <v/>
      </c>
      <c r="BA103" s="2">
        <f>IF($AS103="","",IF(AND($AS103&gt;=설정!$B$10,$AS103&lt;=설정!$B$11),"포함","기간 밖"))</f>
        <v/>
      </c>
      <c r="BB103" s="2">
        <f>IF($AS103="","",IF(OR($AT103&lt;0,AND($I$6&lt;&gt;"",ISNUMBER(FIND("수정",INDEX($A:$AP,ROW(),IF($I$6="",1,$I$6))&amp;"")))),"수정","일반"))</f>
        <v/>
      </c>
      <c r="BC103" s="2">
        <f>IF($AS103="","",MID(IF($BA103="기간 밖"," / 기간 밖(신고기간 아님)","")&amp;IF(AND($AW103&lt;&gt;"",COUNTIF($AW$8:$AW$1007,$AW103)&gt;1)," / 승인번호 중복(두 번 붙여넣기?)","")&amp;IF(ABS($AU103-ROUND($AT103*0.1,0))&gt;설정!$B$8,IF($AU103=0," / 세액 0원(영세율·면세 여부 확인)"," / 세액이 공급가액 10%와 다름"),"")&amp;IF($BB103="수정"," / 수정세금계산서(합계에서 자동 가감)",""),4,200))</f>
        <v/>
      </c>
      <c r="BD103" s="2">
        <f>IF($BA103&lt;&gt;"포함","",IF(COUNTIFS($AX$8:$AX103,$AX103,$BA$8:$BA103,"포함")=1,MAX($BD$7:BD102)+1,""))</f>
        <v/>
      </c>
      <c r="BE103" s="2">
        <f>IF($BC103="","",MAX($BE$7:BE102)+1)</f>
        <v/>
      </c>
    </row>
    <row r="104">
      <c r="AR104" s="2">
        <f>IF(OR($A$5="",$B$6="",ROW()&lt;$A$5),"",IF(INDEX($A:$AP,ROW(),$B$6)="","",INDEX($A:$AP,ROW(),$B$6)))</f>
        <v/>
      </c>
      <c r="AS104" s="22">
        <f>IF($AR104="","",IF(ISNUMBER($AR104),IF($AR104&gt;=10000000,IFERROR(DATE(INT($AR104/10000),MOD(INT($AR104/100),100),MOD($AR104,100)),""),INT($AR104)),IFERROR(DATE(--LEFT(LEFT(SUBSTITUTE(SUBSTITUTE(SUBSTITUTE(SUBSTITUTE(TRIM($AR104),"-",""),".",""),"/","")," ",""),8),4),--MID(LEFT(SUBSTITUTE(SUBSTITUTE(SUBSTITUTE(SUBSTITUTE(TRIM($AR104),"-",""),".",""),"/","")," ",""),8),5,2),--MID(LEFT(SUBSTITUTE(SUBSTITUTE(SUBSTITUTE(SUBSTITUTE(TRIM($AR104),"-",""),".",""),"/","")," ",""),8),7,2)),"")))</f>
        <v/>
      </c>
      <c r="AT104" s="23">
        <f>IF($AS104="","",IF($F$6="",0,IF(ISNUMBER(INDEX($A:$AP,ROW(),$F$6)),INDEX($A:$AP,ROW(),$F$6),IFERROR(--SUBSTITUTE(SUBSTITUTE(TRIM(INDEX($A:$AP,ROW(),$F$6)),",",""),"원",""),0))))</f>
        <v/>
      </c>
      <c r="AU104" s="23">
        <f>IF($AS104="","",IF($G$6="",0,IF(ISNUMBER(INDEX($A:$AP,ROW(),$G$6)),INDEX($A:$AP,ROW(),$G$6),IFERROR(--SUBSTITUTE(SUBSTITUTE(TRIM(INDEX($A:$AP,ROW(),$G$6)),",",""),"원",""),0))))</f>
        <v/>
      </c>
      <c r="AV104" s="23">
        <f>IF($AS104="","",IF($H$6="",$AT104+$AU104,IF($H$6="",0,IF(ISNUMBER(INDEX($A:$AP,ROW(),$H$6)),INDEX($A:$AP,ROW(),$H$6),IFERROR(--SUBSTITUTE(SUBSTITUTE(TRIM(INDEX($A:$AP,ROW(),$H$6)),",",""),"원",""),0)))))</f>
        <v/>
      </c>
      <c r="AW104" s="2">
        <f>IF(OR($AS104="",$C$6=""),"",TRIM(INDEX($A:$AP,ROW(),$C$6)&amp;""))</f>
        <v/>
      </c>
      <c r="AX104" s="2">
        <f>IF($AS104="","",IF($AZ104&lt;&gt;"",SUBSTITUTE(SUBSTITUTE($AZ104,"-","")," ",""),$AY104))</f>
        <v/>
      </c>
      <c r="AY104" s="2">
        <f>IF(OR($AS104="",$E$6=""),"",TRIM(INDEX($A:$AP,ROW(),$E$6)&amp;""))</f>
        <v/>
      </c>
      <c r="AZ104" s="2">
        <f>IF(OR($AS104="",$D$6=""),"",TRIM(INDEX($A:$AP,ROW(),$D$6)&amp;""))</f>
        <v/>
      </c>
      <c r="BA104" s="2">
        <f>IF($AS104="","",IF(AND($AS104&gt;=설정!$B$10,$AS104&lt;=설정!$B$11),"포함","기간 밖"))</f>
        <v/>
      </c>
      <c r="BB104" s="2">
        <f>IF($AS104="","",IF(OR($AT104&lt;0,AND($I$6&lt;&gt;"",ISNUMBER(FIND("수정",INDEX($A:$AP,ROW(),IF($I$6="",1,$I$6))&amp;"")))),"수정","일반"))</f>
        <v/>
      </c>
      <c r="BC104" s="2">
        <f>IF($AS104="","",MID(IF($BA104="기간 밖"," / 기간 밖(신고기간 아님)","")&amp;IF(AND($AW104&lt;&gt;"",COUNTIF($AW$8:$AW$1007,$AW104)&gt;1)," / 승인번호 중복(두 번 붙여넣기?)","")&amp;IF(ABS($AU104-ROUND($AT104*0.1,0))&gt;설정!$B$8,IF($AU104=0," / 세액 0원(영세율·면세 여부 확인)"," / 세액이 공급가액 10%와 다름"),"")&amp;IF($BB104="수정"," / 수정세금계산서(합계에서 자동 가감)",""),4,200))</f>
        <v/>
      </c>
      <c r="BD104" s="2">
        <f>IF($BA104&lt;&gt;"포함","",IF(COUNTIFS($AX$8:$AX104,$AX104,$BA$8:$BA104,"포함")=1,MAX($BD$7:BD103)+1,""))</f>
        <v/>
      </c>
      <c r="BE104" s="2">
        <f>IF($BC104="","",MAX($BE$7:BE103)+1)</f>
        <v/>
      </c>
    </row>
    <row r="105">
      <c r="AR105" s="2">
        <f>IF(OR($A$5="",$B$6="",ROW()&lt;$A$5),"",IF(INDEX($A:$AP,ROW(),$B$6)="","",INDEX($A:$AP,ROW(),$B$6)))</f>
        <v/>
      </c>
      <c r="AS105" s="22">
        <f>IF($AR105="","",IF(ISNUMBER($AR105),IF($AR105&gt;=10000000,IFERROR(DATE(INT($AR105/10000),MOD(INT($AR105/100),100),MOD($AR105,100)),""),INT($AR105)),IFERROR(DATE(--LEFT(LEFT(SUBSTITUTE(SUBSTITUTE(SUBSTITUTE(SUBSTITUTE(TRIM($AR105),"-",""),".",""),"/","")," ",""),8),4),--MID(LEFT(SUBSTITUTE(SUBSTITUTE(SUBSTITUTE(SUBSTITUTE(TRIM($AR105),"-",""),".",""),"/","")," ",""),8),5,2),--MID(LEFT(SUBSTITUTE(SUBSTITUTE(SUBSTITUTE(SUBSTITUTE(TRIM($AR105),"-",""),".",""),"/","")," ",""),8),7,2)),"")))</f>
        <v/>
      </c>
      <c r="AT105" s="23">
        <f>IF($AS105="","",IF($F$6="",0,IF(ISNUMBER(INDEX($A:$AP,ROW(),$F$6)),INDEX($A:$AP,ROW(),$F$6),IFERROR(--SUBSTITUTE(SUBSTITUTE(TRIM(INDEX($A:$AP,ROW(),$F$6)),",",""),"원",""),0))))</f>
        <v/>
      </c>
      <c r="AU105" s="23">
        <f>IF($AS105="","",IF($G$6="",0,IF(ISNUMBER(INDEX($A:$AP,ROW(),$G$6)),INDEX($A:$AP,ROW(),$G$6),IFERROR(--SUBSTITUTE(SUBSTITUTE(TRIM(INDEX($A:$AP,ROW(),$G$6)),",",""),"원",""),0))))</f>
        <v/>
      </c>
      <c r="AV105" s="23">
        <f>IF($AS105="","",IF($H$6="",$AT105+$AU105,IF($H$6="",0,IF(ISNUMBER(INDEX($A:$AP,ROW(),$H$6)),INDEX($A:$AP,ROW(),$H$6),IFERROR(--SUBSTITUTE(SUBSTITUTE(TRIM(INDEX($A:$AP,ROW(),$H$6)),",",""),"원",""),0)))))</f>
        <v/>
      </c>
      <c r="AW105" s="2">
        <f>IF(OR($AS105="",$C$6=""),"",TRIM(INDEX($A:$AP,ROW(),$C$6)&amp;""))</f>
        <v/>
      </c>
      <c r="AX105" s="2">
        <f>IF($AS105="","",IF($AZ105&lt;&gt;"",SUBSTITUTE(SUBSTITUTE($AZ105,"-","")," ",""),$AY105))</f>
        <v/>
      </c>
      <c r="AY105" s="2">
        <f>IF(OR($AS105="",$E$6=""),"",TRIM(INDEX($A:$AP,ROW(),$E$6)&amp;""))</f>
        <v/>
      </c>
      <c r="AZ105" s="2">
        <f>IF(OR($AS105="",$D$6=""),"",TRIM(INDEX($A:$AP,ROW(),$D$6)&amp;""))</f>
        <v/>
      </c>
      <c r="BA105" s="2">
        <f>IF($AS105="","",IF(AND($AS105&gt;=설정!$B$10,$AS105&lt;=설정!$B$11),"포함","기간 밖"))</f>
        <v/>
      </c>
      <c r="BB105" s="2">
        <f>IF($AS105="","",IF(OR($AT105&lt;0,AND($I$6&lt;&gt;"",ISNUMBER(FIND("수정",INDEX($A:$AP,ROW(),IF($I$6="",1,$I$6))&amp;"")))),"수정","일반"))</f>
        <v/>
      </c>
      <c r="BC105" s="2">
        <f>IF($AS105="","",MID(IF($BA105="기간 밖"," / 기간 밖(신고기간 아님)","")&amp;IF(AND($AW105&lt;&gt;"",COUNTIF($AW$8:$AW$1007,$AW105)&gt;1)," / 승인번호 중복(두 번 붙여넣기?)","")&amp;IF(ABS($AU105-ROUND($AT105*0.1,0))&gt;설정!$B$8,IF($AU105=0," / 세액 0원(영세율·면세 여부 확인)"," / 세액이 공급가액 10%와 다름"),"")&amp;IF($BB105="수정"," / 수정세금계산서(합계에서 자동 가감)",""),4,200))</f>
        <v/>
      </c>
      <c r="BD105" s="2">
        <f>IF($BA105&lt;&gt;"포함","",IF(COUNTIFS($AX$8:$AX105,$AX105,$BA$8:$BA105,"포함")=1,MAX($BD$7:BD104)+1,""))</f>
        <v/>
      </c>
      <c r="BE105" s="2">
        <f>IF($BC105="","",MAX($BE$7:BE104)+1)</f>
        <v/>
      </c>
    </row>
    <row r="106">
      <c r="AR106" s="2">
        <f>IF(OR($A$5="",$B$6="",ROW()&lt;$A$5),"",IF(INDEX($A:$AP,ROW(),$B$6)="","",INDEX($A:$AP,ROW(),$B$6)))</f>
        <v/>
      </c>
      <c r="AS106" s="22">
        <f>IF($AR106="","",IF(ISNUMBER($AR106),IF($AR106&gt;=10000000,IFERROR(DATE(INT($AR106/10000),MOD(INT($AR106/100),100),MOD($AR106,100)),""),INT($AR106)),IFERROR(DATE(--LEFT(LEFT(SUBSTITUTE(SUBSTITUTE(SUBSTITUTE(SUBSTITUTE(TRIM($AR106),"-",""),".",""),"/","")," ",""),8),4),--MID(LEFT(SUBSTITUTE(SUBSTITUTE(SUBSTITUTE(SUBSTITUTE(TRIM($AR106),"-",""),".",""),"/","")," ",""),8),5,2),--MID(LEFT(SUBSTITUTE(SUBSTITUTE(SUBSTITUTE(SUBSTITUTE(TRIM($AR106),"-",""),".",""),"/","")," ",""),8),7,2)),"")))</f>
        <v/>
      </c>
      <c r="AT106" s="23">
        <f>IF($AS106="","",IF($F$6="",0,IF(ISNUMBER(INDEX($A:$AP,ROW(),$F$6)),INDEX($A:$AP,ROW(),$F$6),IFERROR(--SUBSTITUTE(SUBSTITUTE(TRIM(INDEX($A:$AP,ROW(),$F$6)),",",""),"원",""),0))))</f>
        <v/>
      </c>
      <c r="AU106" s="23">
        <f>IF($AS106="","",IF($G$6="",0,IF(ISNUMBER(INDEX($A:$AP,ROW(),$G$6)),INDEX($A:$AP,ROW(),$G$6),IFERROR(--SUBSTITUTE(SUBSTITUTE(TRIM(INDEX($A:$AP,ROW(),$G$6)),",",""),"원",""),0))))</f>
        <v/>
      </c>
      <c r="AV106" s="23">
        <f>IF($AS106="","",IF($H$6="",$AT106+$AU106,IF($H$6="",0,IF(ISNUMBER(INDEX($A:$AP,ROW(),$H$6)),INDEX($A:$AP,ROW(),$H$6),IFERROR(--SUBSTITUTE(SUBSTITUTE(TRIM(INDEX($A:$AP,ROW(),$H$6)),",",""),"원",""),0)))))</f>
        <v/>
      </c>
      <c r="AW106" s="2">
        <f>IF(OR($AS106="",$C$6=""),"",TRIM(INDEX($A:$AP,ROW(),$C$6)&amp;""))</f>
        <v/>
      </c>
      <c r="AX106" s="2">
        <f>IF($AS106="","",IF($AZ106&lt;&gt;"",SUBSTITUTE(SUBSTITUTE($AZ106,"-","")," ",""),$AY106))</f>
        <v/>
      </c>
      <c r="AY106" s="2">
        <f>IF(OR($AS106="",$E$6=""),"",TRIM(INDEX($A:$AP,ROW(),$E$6)&amp;""))</f>
        <v/>
      </c>
      <c r="AZ106" s="2">
        <f>IF(OR($AS106="",$D$6=""),"",TRIM(INDEX($A:$AP,ROW(),$D$6)&amp;""))</f>
        <v/>
      </c>
      <c r="BA106" s="2">
        <f>IF($AS106="","",IF(AND($AS106&gt;=설정!$B$10,$AS106&lt;=설정!$B$11),"포함","기간 밖"))</f>
        <v/>
      </c>
      <c r="BB106" s="2">
        <f>IF($AS106="","",IF(OR($AT106&lt;0,AND($I$6&lt;&gt;"",ISNUMBER(FIND("수정",INDEX($A:$AP,ROW(),IF($I$6="",1,$I$6))&amp;"")))),"수정","일반"))</f>
        <v/>
      </c>
      <c r="BC106" s="2">
        <f>IF($AS106="","",MID(IF($BA106="기간 밖"," / 기간 밖(신고기간 아님)","")&amp;IF(AND($AW106&lt;&gt;"",COUNTIF($AW$8:$AW$1007,$AW106)&gt;1)," / 승인번호 중복(두 번 붙여넣기?)","")&amp;IF(ABS($AU106-ROUND($AT106*0.1,0))&gt;설정!$B$8,IF($AU106=0," / 세액 0원(영세율·면세 여부 확인)"," / 세액이 공급가액 10%와 다름"),"")&amp;IF($BB106="수정"," / 수정세금계산서(합계에서 자동 가감)",""),4,200))</f>
        <v/>
      </c>
      <c r="BD106" s="2">
        <f>IF($BA106&lt;&gt;"포함","",IF(COUNTIFS($AX$8:$AX106,$AX106,$BA$8:$BA106,"포함")=1,MAX($BD$7:BD105)+1,""))</f>
        <v/>
      </c>
      <c r="BE106" s="2">
        <f>IF($BC106="","",MAX($BE$7:BE105)+1)</f>
        <v/>
      </c>
    </row>
    <row r="107">
      <c r="AR107" s="2">
        <f>IF(OR($A$5="",$B$6="",ROW()&lt;$A$5),"",IF(INDEX($A:$AP,ROW(),$B$6)="","",INDEX($A:$AP,ROW(),$B$6)))</f>
        <v/>
      </c>
      <c r="AS107" s="22">
        <f>IF($AR107="","",IF(ISNUMBER($AR107),IF($AR107&gt;=10000000,IFERROR(DATE(INT($AR107/10000),MOD(INT($AR107/100),100),MOD($AR107,100)),""),INT($AR107)),IFERROR(DATE(--LEFT(LEFT(SUBSTITUTE(SUBSTITUTE(SUBSTITUTE(SUBSTITUTE(TRIM($AR107),"-",""),".",""),"/","")," ",""),8),4),--MID(LEFT(SUBSTITUTE(SUBSTITUTE(SUBSTITUTE(SUBSTITUTE(TRIM($AR107),"-",""),".",""),"/","")," ",""),8),5,2),--MID(LEFT(SUBSTITUTE(SUBSTITUTE(SUBSTITUTE(SUBSTITUTE(TRIM($AR107),"-",""),".",""),"/","")," ",""),8),7,2)),"")))</f>
        <v/>
      </c>
      <c r="AT107" s="23">
        <f>IF($AS107="","",IF($F$6="",0,IF(ISNUMBER(INDEX($A:$AP,ROW(),$F$6)),INDEX($A:$AP,ROW(),$F$6),IFERROR(--SUBSTITUTE(SUBSTITUTE(TRIM(INDEX($A:$AP,ROW(),$F$6)),",",""),"원",""),0))))</f>
        <v/>
      </c>
      <c r="AU107" s="23">
        <f>IF($AS107="","",IF($G$6="",0,IF(ISNUMBER(INDEX($A:$AP,ROW(),$G$6)),INDEX($A:$AP,ROW(),$G$6),IFERROR(--SUBSTITUTE(SUBSTITUTE(TRIM(INDEX($A:$AP,ROW(),$G$6)),",",""),"원",""),0))))</f>
        <v/>
      </c>
      <c r="AV107" s="23">
        <f>IF($AS107="","",IF($H$6="",$AT107+$AU107,IF($H$6="",0,IF(ISNUMBER(INDEX($A:$AP,ROW(),$H$6)),INDEX($A:$AP,ROW(),$H$6),IFERROR(--SUBSTITUTE(SUBSTITUTE(TRIM(INDEX($A:$AP,ROW(),$H$6)),",",""),"원",""),0)))))</f>
        <v/>
      </c>
      <c r="AW107" s="2">
        <f>IF(OR($AS107="",$C$6=""),"",TRIM(INDEX($A:$AP,ROW(),$C$6)&amp;""))</f>
        <v/>
      </c>
      <c r="AX107" s="2">
        <f>IF($AS107="","",IF($AZ107&lt;&gt;"",SUBSTITUTE(SUBSTITUTE($AZ107,"-","")," ",""),$AY107))</f>
        <v/>
      </c>
      <c r="AY107" s="2">
        <f>IF(OR($AS107="",$E$6=""),"",TRIM(INDEX($A:$AP,ROW(),$E$6)&amp;""))</f>
        <v/>
      </c>
      <c r="AZ107" s="2">
        <f>IF(OR($AS107="",$D$6=""),"",TRIM(INDEX($A:$AP,ROW(),$D$6)&amp;""))</f>
        <v/>
      </c>
      <c r="BA107" s="2">
        <f>IF($AS107="","",IF(AND($AS107&gt;=설정!$B$10,$AS107&lt;=설정!$B$11),"포함","기간 밖"))</f>
        <v/>
      </c>
      <c r="BB107" s="2">
        <f>IF($AS107="","",IF(OR($AT107&lt;0,AND($I$6&lt;&gt;"",ISNUMBER(FIND("수정",INDEX($A:$AP,ROW(),IF($I$6="",1,$I$6))&amp;"")))),"수정","일반"))</f>
        <v/>
      </c>
      <c r="BC107" s="2">
        <f>IF($AS107="","",MID(IF($BA107="기간 밖"," / 기간 밖(신고기간 아님)","")&amp;IF(AND($AW107&lt;&gt;"",COUNTIF($AW$8:$AW$1007,$AW107)&gt;1)," / 승인번호 중복(두 번 붙여넣기?)","")&amp;IF(ABS($AU107-ROUND($AT107*0.1,0))&gt;설정!$B$8,IF($AU107=0," / 세액 0원(영세율·면세 여부 확인)"," / 세액이 공급가액 10%와 다름"),"")&amp;IF($BB107="수정"," / 수정세금계산서(합계에서 자동 가감)",""),4,200))</f>
        <v/>
      </c>
      <c r="BD107" s="2">
        <f>IF($BA107&lt;&gt;"포함","",IF(COUNTIFS($AX$8:$AX107,$AX107,$BA$8:$BA107,"포함")=1,MAX($BD$7:BD106)+1,""))</f>
        <v/>
      </c>
      <c r="BE107" s="2">
        <f>IF($BC107="","",MAX($BE$7:BE106)+1)</f>
        <v/>
      </c>
    </row>
    <row r="108">
      <c r="AR108" s="2">
        <f>IF(OR($A$5="",$B$6="",ROW()&lt;$A$5),"",IF(INDEX($A:$AP,ROW(),$B$6)="","",INDEX($A:$AP,ROW(),$B$6)))</f>
        <v/>
      </c>
      <c r="AS108" s="22">
        <f>IF($AR108="","",IF(ISNUMBER($AR108),IF($AR108&gt;=10000000,IFERROR(DATE(INT($AR108/10000),MOD(INT($AR108/100),100),MOD($AR108,100)),""),INT($AR108)),IFERROR(DATE(--LEFT(LEFT(SUBSTITUTE(SUBSTITUTE(SUBSTITUTE(SUBSTITUTE(TRIM($AR108),"-",""),".",""),"/","")," ",""),8),4),--MID(LEFT(SUBSTITUTE(SUBSTITUTE(SUBSTITUTE(SUBSTITUTE(TRIM($AR108),"-",""),".",""),"/","")," ",""),8),5,2),--MID(LEFT(SUBSTITUTE(SUBSTITUTE(SUBSTITUTE(SUBSTITUTE(TRIM($AR108),"-",""),".",""),"/","")," ",""),8),7,2)),"")))</f>
        <v/>
      </c>
      <c r="AT108" s="23">
        <f>IF($AS108="","",IF($F$6="",0,IF(ISNUMBER(INDEX($A:$AP,ROW(),$F$6)),INDEX($A:$AP,ROW(),$F$6),IFERROR(--SUBSTITUTE(SUBSTITUTE(TRIM(INDEX($A:$AP,ROW(),$F$6)),",",""),"원",""),0))))</f>
        <v/>
      </c>
      <c r="AU108" s="23">
        <f>IF($AS108="","",IF($G$6="",0,IF(ISNUMBER(INDEX($A:$AP,ROW(),$G$6)),INDEX($A:$AP,ROW(),$G$6),IFERROR(--SUBSTITUTE(SUBSTITUTE(TRIM(INDEX($A:$AP,ROW(),$G$6)),",",""),"원",""),0))))</f>
        <v/>
      </c>
      <c r="AV108" s="23">
        <f>IF($AS108="","",IF($H$6="",$AT108+$AU108,IF($H$6="",0,IF(ISNUMBER(INDEX($A:$AP,ROW(),$H$6)),INDEX($A:$AP,ROW(),$H$6),IFERROR(--SUBSTITUTE(SUBSTITUTE(TRIM(INDEX($A:$AP,ROW(),$H$6)),",",""),"원",""),0)))))</f>
        <v/>
      </c>
      <c r="AW108" s="2">
        <f>IF(OR($AS108="",$C$6=""),"",TRIM(INDEX($A:$AP,ROW(),$C$6)&amp;""))</f>
        <v/>
      </c>
      <c r="AX108" s="2">
        <f>IF($AS108="","",IF($AZ108&lt;&gt;"",SUBSTITUTE(SUBSTITUTE($AZ108,"-","")," ",""),$AY108))</f>
        <v/>
      </c>
      <c r="AY108" s="2">
        <f>IF(OR($AS108="",$E$6=""),"",TRIM(INDEX($A:$AP,ROW(),$E$6)&amp;""))</f>
        <v/>
      </c>
      <c r="AZ108" s="2">
        <f>IF(OR($AS108="",$D$6=""),"",TRIM(INDEX($A:$AP,ROW(),$D$6)&amp;""))</f>
        <v/>
      </c>
      <c r="BA108" s="2">
        <f>IF($AS108="","",IF(AND($AS108&gt;=설정!$B$10,$AS108&lt;=설정!$B$11),"포함","기간 밖"))</f>
        <v/>
      </c>
      <c r="BB108" s="2">
        <f>IF($AS108="","",IF(OR($AT108&lt;0,AND($I$6&lt;&gt;"",ISNUMBER(FIND("수정",INDEX($A:$AP,ROW(),IF($I$6="",1,$I$6))&amp;"")))),"수정","일반"))</f>
        <v/>
      </c>
      <c r="BC108" s="2">
        <f>IF($AS108="","",MID(IF($BA108="기간 밖"," / 기간 밖(신고기간 아님)","")&amp;IF(AND($AW108&lt;&gt;"",COUNTIF($AW$8:$AW$1007,$AW108)&gt;1)," / 승인번호 중복(두 번 붙여넣기?)","")&amp;IF(ABS($AU108-ROUND($AT108*0.1,0))&gt;설정!$B$8,IF($AU108=0," / 세액 0원(영세율·면세 여부 확인)"," / 세액이 공급가액 10%와 다름"),"")&amp;IF($BB108="수정"," / 수정세금계산서(합계에서 자동 가감)",""),4,200))</f>
        <v/>
      </c>
      <c r="BD108" s="2">
        <f>IF($BA108&lt;&gt;"포함","",IF(COUNTIFS($AX$8:$AX108,$AX108,$BA$8:$BA108,"포함")=1,MAX($BD$7:BD107)+1,""))</f>
        <v/>
      </c>
      <c r="BE108" s="2">
        <f>IF($BC108="","",MAX($BE$7:BE107)+1)</f>
        <v/>
      </c>
    </row>
    <row r="109">
      <c r="AR109" s="2">
        <f>IF(OR($A$5="",$B$6="",ROW()&lt;$A$5),"",IF(INDEX($A:$AP,ROW(),$B$6)="","",INDEX($A:$AP,ROW(),$B$6)))</f>
        <v/>
      </c>
      <c r="AS109" s="22">
        <f>IF($AR109="","",IF(ISNUMBER($AR109),IF($AR109&gt;=10000000,IFERROR(DATE(INT($AR109/10000),MOD(INT($AR109/100),100),MOD($AR109,100)),""),INT($AR109)),IFERROR(DATE(--LEFT(LEFT(SUBSTITUTE(SUBSTITUTE(SUBSTITUTE(SUBSTITUTE(TRIM($AR109),"-",""),".",""),"/","")," ",""),8),4),--MID(LEFT(SUBSTITUTE(SUBSTITUTE(SUBSTITUTE(SUBSTITUTE(TRIM($AR109),"-",""),".",""),"/","")," ",""),8),5,2),--MID(LEFT(SUBSTITUTE(SUBSTITUTE(SUBSTITUTE(SUBSTITUTE(TRIM($AR109),"-",""),".",""),"/","")," ",""),8),7,2)),"")))</f>
        <v/>
      </c>
      <c r="AT109" s="23">
        <f>IF($AS109="","",IF($F$6="",0,IF(ISNUMBER(INDEX($A:$AP,ROW(),$F$6)),INDEX($A:$AP,ROW(),$F$6),IFERROR(--SUBSTITUTE(SUBSTITUTE(TRIM(INDEX($A:$AP,ROW(),$F$6)),",",""),"원",""),0))))</f>
        <v/>
      </c>
      <c r="AU109" s="23">
        <f>IF($AS109="","",IF($G$6="",0,IF(ISNUMBER(INDEX($A:$AP,ROW(),$G$6)),INDEX($A:$AP,ROW(),$G$6),IFERROR(--SUBSTITUTE(SUBSTITUTE(TRIM(INDEX($A:$AP,ROW(),$G$6)),",",""),"원",""),0))))</f>
        <v/>
      </c>
      <c r="AV109" s="23">
        <f>IF($AS109="","",IF($H$6="",$AT109+$AU109,IF($H$6="",0,IF(ISNUMBER(INDEX($A:$AP,ROW(),$H$6)),INDEX($A:$AP,ROW(),$H$6),IFERROR(--SUBSTITUTE(SUBSTITUTE(TRIM(INDEX($A:$AP,ROW(),$H$6)),",",""),"원",""),0)))))</f>
        <v/>
      </c>
      <c r="AW109" s="2">
        <f>IF(OR($AS109="",$C$6=""),"",TRIM(INDEX($A:$AP,ROW(),$C$6)&amp;""))</f>
        <v/>
      </c>
      <c r="AX109" s="2">
        <f>IF($AS109="","",IF($AZ109&lt;&gt;"",SUBSTITUTE(SUBSTITUTE($AZ109,"-","")," ",""),$AY109))</f>
        <v/>
      </c>
      <c r="AY109" s="2">
        <f>IF(OR($AS109="",$E$6=""),"",TRIM(INDEX($A:$AP,ROW(),$E$6)&amp;""))</f>
        <v/>
      </c>
      <c r="AZ109" s="2">
        <f>IF(OR($AS109="",$D$6=""),"",TRIM(INDEX($A:$AP,ROW(),$D$6)&amp;""))</f>
        <v/>
      </c>
      <c r="BA109" s="2">
        <f>IF($AS109="","",IF(AND($AS109&gt;=설정!$B$10,$AS109&lt;=설정!$B$11),"포함","기간 밖"))</f>
        <v/>
      </c>
      <c r="BB109" s="2">
        <f>IF($AS109="","",IF(OR($AT109&lt;0,AND($I$6&lt;&gt;"",ISNUMBER(FIND("수정",INDEX($A:$AP,ROW(),IF($I$6="",1,$I$6))&amp;"")))),"수정","일반"))</f>
        <v/>
      </c>
      <c r="BC109" s="2">
        <f>IF($AS109="","",MID(IF($BA109="기간 밖"," / 기간 밖(신고기간 아님)","")&amp;IF(AND($AW109&lt;&gt;"",COUNTIF($AW$8:$AW$1007,$AW109)&gt;1)," / 승인번호 중복(두 번 붙여넣기?)","")&amp;IF(ABS($AU109-ROUND($AT109*0.1,0))&gt;설정!$B$8,IF($AU109=0," / 세액 0원(영세율·면세 여부 확인)"," / 세액이 공급가액 10%와 다름"),"")&amp;IF($BB109="수정"," / 수정세금계산서(합계에서 자동 가감)",""),4,200))</f>
        <v/>
      </c>
      <c r="BD109" s="2">
        <f>IF($BA109&lt;&gt;"포함","",IF(COUNTIFS($AX$8:$AX109,$AX109,$BA$8:$BA109,"포함")=1,MAX($BD$7:BD108)+1,""))</f>
        <v/>
      </c>
      <c r="BE109" s="2">
        <f>IF($BC109="","",MAX($BE$7:BE108)+1)</f>
        <v/>
      </c>
    </row>
    <row r="110">
      <c r="AR110" s="2">
        <f>IF(OR($A$5="",$B$6="",ROW()&lt;$A$5),"",IF(INDEX($A:$AP,ROW(),$B$6)="","",INDEX($A:$AP,ROW(),$B$6)))</f>
        <v/>
      </c>
      <c r="AS110" s="22">
        <f>IF($AR110="","",IF(ISNUMBER($AR110),IF($AR110&gt;=10000000,IFERROR(DATE(INT($AR110/10000),MOD(INT($AR110/100),100),MOD($AR110,100)),""),INT($AR110)),IFERROR(DATE(--LEFT(LEFT(SUBSTITUTE(SUBSTITUTE(SUBSTITUTE(SUBSTITUTE(TRIM($AR110),"-",""),".",""),"/","")," ",""),8),4),--MID(LEFT(SUBSTITUTE(SUBSTITUTE(SUBSTITUTE(SUBSTITUTE(TRIM($AR110),"-",""),".",""),"/","")," ",""),8),5,2),--MID(LEFT(SUBSTITUTE(SUBSTITUTE(SUBSTITUTE(SUBSTITUTE(TRIM($AR110),"-",""),".",""),"/","")," ",""),8),7,2)),"")))</f>
        <v/>
      </c>
      <c r="AT110" s="23">
        <f>IF($AS110="","",IF($F$6="",0,IF(ISNUMBER(INDEX($A:$AP,ROW(),$F$6)),INDEX($A:$AP,ROW(),$F$6),IFERROR(--SUBSTITUTE(SUBSTITUTE(TRIM(INDEX($A:$AP,ROW(),$F$6)),",",""),"원",""),0))))</f>
        <v/>
      </c>
      <c r="AU110" s="23">
        <f>IF($AS110="","",IF($G$6="",0,IF(ISNUMBER(INDEX($A:$AP,ROW(),$G$6)),INDEX($A:$AP,ROW(),$G$6),IFERROR(--SUBSTITUTE(SUBSTITUTE(TRIM(INDEX($A:$AP,ROW(),$G$6)),",",""),"원",""),0))))</f>
        <v/>
      </c>
      <c r="AV110" s="23">
        <f>IF($AS110="","",IF($H$6="",$AT110+$AU110,IF($H$6="",0,IF(ISNUMBER(INDEX($A:$AP,ROW(),$H$6)),INDEX($A:$AP,ROW(),$H$6),IFERROR(--SUBSTITUTE(SUBSTITUTE(TRIM(INDEX($A:$AP,ROW(),$H$6)),",",""),"원",""),0)))))</f>
        <v/>
      </c>
      <c r="AW110" s="2">
        <f>IF(OR($AS110="",$C$6=""),"",TRIM(INDEX($A:$AP,ROW(),$C$6)&amp;""))</f>
        <v/>
      </c>
      <c r="AX110" s="2">
        <f>IF($AS110="","",IF($AZ110&lt;&gt;"",SUBSTITUTE(SUBSTITUTE($AZ110,"-","")," ",""),$AY110))</f>
        <v/>
      </c>
      <c r="AY110" s="2">
        <f>IF(OR($AS110="",$E$6=""),"",TRIM(INDEX($A:$AP,ROW(),$E$6)&amp;""))</f>
        <v/>
      </c>
      <c r="AZ110" s="2">
        <f>IF(OR($AS110="",$D$6=""),"",TRIM(INDEX($A:$AP,ROW(),$D$6)&amp;""))</f>
        <v/>
      </c>
      <c r="BA110" s="2">
        <f>IF($AS110="","",IF(AND($AS110&gt;=설정!$B$10,$AS110&lt;=설정!$B$11),"포함","기간 밖"))</f>
        <v/>
      </c>
      <c r="BB110" s="2">
        <f>IF($AS110="","",IF(OR($AT110&lt;0,AND($I$6&lt;&gt;"",ISNUMBER(FIND("수정",INDEX($A:$AP,ROW(),IF($I$6="",1,$I$6))&amp;"")))),"수정","일반"))</f>
        <v/>
      </c>
      <c r="BC110" s="2">
        <f>IF($AS110="","",MID(IF($BA110="기간 밖"," / 기간 밖(신고기간 아님)","")&amp;IF(AND($AW110&lt;&gt;"",COUNTIF($AW$8:$AW$1007,$AW110)&gt;1)," / 승인번호 중복(두 번 붙여넣기?)","")&amp;IF(ABS($AU110-ROUND($AT110*0.1,0))&gt;설정!$B$8,IF($AU110=0," / 세액 0원(영세율·면세 여부 확인)"," / 세액이 공급가액 10%와 다름"),"")&amp;IF($BB110="수정"," / 수정세금계산서(합계에서 자동 가감)",""),4,200))</f>
        <v/>
      </c>
      <c r="BD110" s="2">
        <f>IF($BA110&lt;&gt;"포함","",IF(COUNTIFS($AX$8:$AX110,$AX110,$BA$8:$BA110,"포함")=1,MAX($BD$7:BD109)+1,""))</f>
        <v/>
      </c>
      <c r="BE110" s="2">
        <f>IF($BC110="","",MAX($BE$7:BE109)+1)</f>
        <v/>
      </c>
    </row>
    <row r="111">
      <c r="AR111" s="2">
        <f>IF(OR($A$5="",$B$6="",ROW()&lt;$A$5),"",IF(INDEX($A:$AP,ROW(),$B$6)="","",INDEX($A:$AP,ROW(),$B$6)))</f>
        <v/>
      </c>
      <c r="AS111" s="22">
        <f>IF($AR111="","",IF(ISNUMBER($AR111),IF($AR111&gt;=10000000,IFERROR(DATE(INT($AR111/10000),MOD(INT($AR111/100),100),MOD($AR111,100)),""),INT($AR111)),IFERROR(DATE(--LEFT(LEFT(SUBSTITUTE(SUBSTITUTE(SUBSTITUTE(SUBSTITUTE(TRIM($AR111),"-",""),".",""),"/","")," ",""),8),4),--MID(LEFT(SUBSTITUTE(SUBSTITUTE(SUBSTITUTE(SUBSTITUTE(TRIM($AR111),"-",""),".",""),"/","")," ",""),8),5,2),--MID(LEFT(SUBSTITUTE(SUBSTITUTE(SUBSTITUTE(SUBSTITUTE(TRIM($AR111),"-",""),".",""),"/","")," ",""),8),7,2)),"")))</f>
        <v/>
      </c>
      <c r="AT111" s="23">
        <f>IF($AS111="","",IF($F$6="",0,IF(ISNUMBER(INDEX($A:$AP,ROW(),$F$6)),INDEX($A:$AP,ROW(),$F$6),IFERROR(--SUBSTITUTE(SUBSTITUTE(TRIM(INDEX($A:$AP,ROW(),$F$6)),",",""),"원",""),0))))</f>
        <v/>
      </c>
      <c r="AU111" s="23">
        <f>IF($AS111="","",IF($G$6="",0,IF(ISNUMBER(INDEX($A:$AP,ROW(),$G$6)),INDEX($A:$AP,ROW(),$G$6),IFERROR(--SUBSTITUTE(SUBSTITUTE(TRIM(INDEX($A:$AP,ROW(),$G$6)),",",""),"원",""),0))))</f>
        <v/>
      </c>
      <c r="AV111" s="23">
        <f>IF($AS111="","",IF($H$6="",$AT111+$AU111,IF($H$6="",0,IF(ISNUMBER(INDEX($A:$AP,ROW(),$H$6)),INDEX($A:$AP,ROW(),$H$6),IFERROR(--SUBSTITUTE(SUBSTITUTE(TRIM(INDEX($A:$AP,ROW(),$H$6)),",",""),"원",""),0)))))</f>
        <v/>
      </c>
      <c r="AW111" s="2">
        <f>IF(OR($AS111="",$C$6=""),"",TRIM(INDEX($A:$AP,ROW(),$C$6)&amp;""))</f>
        <v/>
      </c>
      <c r="AX111" s="2">
        <f>IF($AS111="","",IF($AZ111&lt;&gt;"",SUBSTITUTE(SUBSTITUTE($AZ111,"-","")," ",""),$AY111))</f>
        <v/>
      </c>
      <c r="AY111" s="2">
        <f>IF(OR($AS111="",$E$6=""),"",TRIM(INDEX($A:$AP,ROW(),$E$6)&amp;""))</f>
        <v/>
      </c>
      <c r="AZ111" s="2">
        <f>IF(OR($AS111="",$D$6=""),"",TRIM(INDEX($A:$AP,ROW(),$D$6)&amp;""))</f>
        <v/>
      </c>
      <c r="BA111" s="2">
        <f>IF($AS111="","",IF(AND($AS111&gt;=설정!$B$10,$AS111&lt;=설정!$B$11),"포함","기간 밖"))</f>
        <v/>
      </c>
      <c r="BB111" s="2">
        <f>IF($AS111="","",IF(OR($AT111&lt;0,AND($I$6&lt;&gt;"",ISNUMBER(FIND("수정",INDEX($A:$AP,ROW(),IF($I$6="",1,$I$6))&amp;"")))),"수정","일반"))</f>
        <v/>
      </c>
      <c r="BC111" s="2">
        <f>IF($AS111="","",MID(IF($BA111="기간 밖"," / 기간 밖(신고기간 아님)","")&amp;IF(AND($AW111&lt;&gt;"",COUNTIF($AW$8:$AW$1007,$AW111)&gt;1)," / 승인번호 중복(두 번 붙여넣기?)","")&amp;IF(ABS($AU111-ROUND($AT111*0.1,0))&gt;설정!$B$8,IF($AU111=0," / 세액 0원(영세율·면세 여부 확인)"," / 세액이 공급가액 10%와 다름"),"")&amp;IF($BB111="수정"," / 수정세금계산서(합계에서 자동 가감)",""),4,200))</f>
        <v/>
      </c>
      <c r="BD111" s="2">
        <f>IF($BA111&lt;&gt;"포함","",IF(COUNTIFS($AX$8:$AX111,$AX111,$BA$8:$BA111,"포함")=1,MAX($BD$7:BD110)+1,""))</f>
        <v/>
      </c>
      <c r="BE111" s="2">
        <f>IF($BC111="","",MAX($BE$7:BE110)+1)</f>
        <v/>
      </c>
    </row>
    <row r="112">
      <c r="AR112" s="2">
        <f>IF(OR($A$5="",$B$6="",ROW()&lt;$A$5),"",IF(INDEX($A:$AP,ROW(),$B$6)="","",INDEX($A:$AP,ROW(),$B$6)))</f>
        <v/>
      </c>
      <c r="AS112" s="22">
        <f>IF($AR112="","",IF(ISNUMBER($AR112),IF($AR112&gt;=10000000,IFERROR(DATE(INT($AR112/10000),MOD(INT($AR112/100),100),MOD($AR112,100)),""),INT($AR112)),IFERROR(DATE(--LEFT(LEFT(SUBSTITUTE(SUBSTITUTE(SUBSTITUTE(SUBSTITUTE(TRIM($AR112),"-",""),".",""),"/","")," ",""),8),4),--MID(LEFT(SUBSTITUTE(SUBSTITUTE(SUBSTITUTE(SUBSTITUTE(TRIM($AR112),"-",""),".",""),"/","")," ",""),8),5,2),--MID(LEFT(SUBSTITUTE(SUBSTITUTE(SUBSTITUTE(SUBSTITUTE(TRIM($AR112),"-",""),".",""),"/","")," ",""),8),7,2)),"")))</f>
        <v/>
      </c>
      <c r="AT112" s="23">
        <f>IF($AS112="","",IF($F$6="",0,IF(ISNUMBER(INDEX($A:$AP,ROW(),$F$6)),INDEX($A:$AP,ROW(),$F$6),IFERROR(--SUBSTITUTE(SUBSTITUTE(TRIM(INDEX($A:$AP,ROW(),$F$6)),",",""),"원",""),0))))</f>
        <v/>
      </c>
      <c r="AU112" s="23">
        <f>IF($AS112="","",IF($G$6="",0,IF(ISNUMBER(INDEX($A:$AP,ROW(),$G$6)),INDEX($A:$AP,ROW(),$G$6),IFERROR(--SUBSTITUTE(SUBSTITUTE(TRIM(INDEX($A:$AP,ROW(),$G$6)),",",""),"원",""),0))))</f>
        <v/>
      </c>
      <c r="AV112" s="23">
        <f>IF($AS112="","",IF($H$6="",$AT112+$AU112,IF($H$6="",0,IF(ISNUMBER(INDEX($A:$AP,ROW(),$H$6)),INDEX($A:$AP,ROW(),$H$6),IFERROR(--SUBSTITUTE(SUBSTITUTE(TRIM(INDEX($A:$AP,ROW(),$H$6)),",",""),"원",""),0)))))</f>
        <v/>
      </c>
      <c r="AW112" s="2">
        <f>IF(OR($AS112="",$C$6=""),"",TRIM(INDEX($A:$AP,ROW(),$C$6)&amp;""))</f>
        <v/>
      </c>
      <c r="AX112" s="2">
        <f>IF($AS112="","",IF($AZ112&lt;&gt;"",SUBSTITUTE(SUBSTITUTE($AZ112,"-","")," ",""),$AY112))</f>
        <v/>
      </c>
      <c r="AY112" s="2">
        <f>IF(OR($AS112="",$E$6=""),"",TRIM(INDEX($A:$AP,ROW(),$E$6)&amp;""))</f>
        <v/>
      </c>
      <c r="AZ112" s="2">
        <f>IF(OR($AS112="",$D$6=""),"",TRIM(INDEX($A:$AP,ROW(),$D$6)&amp;""))</f>
        <v/>
      </c>
      <c r="BA112" s="2">
        <f>IF($AS112="","",IF(AND($AS112&gt;=설정!$B$10,$AS112&lt;=설정!$B$11),"포함","기간 밖"))</f>
        <v/>
      </c>
      <c r="BB112" s="2">
        <f>IF($AS112="","",IF(OR($AT112&lt;0,AND($I$6&lt;&gt;"",ISNUMBER(FIND("수정",INDEX($A:$AP,ROW(),IF($I$6="",1,$I$6))&amp;"")))),"수정","일반"))</f>
        <v/>
      </c>
      <c r="BC112" s="2">
        <f>IF($AS112="","",MID(IF($BA112="기간 밖"," / 기간 밖(신고기간 아님)","")&amp;IF(AND($AW112&lt;&gt;"",COUNTIF($AW$8:$AW$1007,$AW112)&gt;1)," / 승인번호 중복(두 번 붙여넣기?)","")&amp;IF(ABS($AU112-ROUND($AT112*0.1,0))&gt;설정!$B$8,IF($AU112=0," / 세액 0원(영세율·면세 여부 확인)"," / 세액이 공급가액 10%와 다름"),"")&amp;IF($BB112="수정"," / 수정세금계산서(합계에서 자동 가감)",""),4,200))</f>
        <v/>
      </c>
      <c r="BD112" s="2">
        <f>IF($BA112&lt;&gt;"포함","",IF(COUNTIFS($AX$8:$AX112,$AX112,$BA$8:$BA112,"포함")=1,MAX($BD$7:BD111)+1,""))</f>
        <v/>
      </c>
      <c r="BE112" s="2">
        <f>IF($BC112="","",MAX($BE$7:BE111)+1)</f>
        <v/>
      </c>
    </row>
    <row r="113">
      <c r="AR113" s="2">
        <f>IF(OR($A$5="",$B$6="",ROW()&lt;$A$5),"",IF(INDEX($A:$AP,ROW(),$B$6)="","",INDEX($A:$AP,ROW(),$B$6)))</f>
        <v/>
      </c>
      <c r="AS113" s="22">
        <f>IF($AR113="","",IF(ISNUMBER($AR113),IF($AR113&gt;=10000000,IFERROR(DATE(INT($AR113/10000),MOD(INT($AR113/100),100),MOD($AR113,100)),""),INT($AR113)),IFERROR(DATE(--LEFT(LEFT(SUBSTITUTE(SUBSTITUTE(SUBSTITUTE(SUBSTITUTE(TRIM($AR113),"-",""),".",""),"/","")," ",""),8),4),--MID(LEFT(SUBSTITUTE(SUBSTITUTE(SUBSTITUTE(SUBSTITUTE(TRIM($AR113),"-",""),".",""),"/","")," ",""),8),5,2),--MID(LEFT(SUBSTITUTE(SUBSTITUTE(SUBSTITUTE(SUBSTITUTE(TRIM($AR113),"-",""),".",""),"/","")," ",""),8),7,2)),"")))</f>
        <v/>
      </c>
      <c r="AT113" s="23">
        <f>IF($AS113="","",IF($F$6="",0,IF(ISNUMBER(INDEX($A:$AP,ROW(),$F$6)),INDEX($A:$AP,ROW(),$F$6),IFERROR(--SUBSTITUTE(SUBSTITUTE(TRIM(INDEX($A:$AP,ROW(),$F$6)),",",""),"원",""),0))))</f>
        <v/>
      </c>
      <c r="AU113" s="23">
        <f>IF($AS113="","",IF($G$6="",0,IF(ISNUMBER(INDEX($A:$AP,ROW(),$G$6)),INDEX($A:$AP,ROW(),$G$6),IFERROR(--SUBSTITUTE(SUBSTITUTE(TRIM(INDEX($A:$AP,ROW(),$G$6)),",",""),"원",""),0))))</f>
        <v/>
      </c>
      <c r="AV113" s="23">
        <f>IF($AS113="","",IF($H$6="",$AT113+$AU113,IF($H$6="",0,IF(ISNUMBER(INDEX($A:$AP,ROW(),$H$6)),INDEX($A:$AP,ROW(),$H$6),IFERROR(--SUBSTITUTE(SUBSTITUTE(TRIM(INDEX($A:$AP,ROW(),$H$6)),",",""),"원",""),0)))))</f>
        <v/>
      </c>
      <c r="AW113" s="2">
        <f>IF(OR($AS113="",$C$6=""),"",TRIM(INDEX($A:$AP,ROW(),$C$6)&amp;""))</f>
        <v/>
      </c>
      <c r="AX113" s="2">
        <f>IF($AS113="","",IF($AZ113&lt;&gt;"",SUBSTITUTE(SUBSTITUTE($AZ113,"-","")," ",""),$AY113))</f>
        <v/>
      </c>
      <c r="AY113" s="2">
        <f>IF(OR($AS113="",$E$6=""),"",TRIM(INDEX($A:$AP,ROW(),$E$6)&amp;""))</f>
        <v/>
      </c>
      <c r="AZ113" s="2">
        <f>IF(OR($AS113="",$D$6=""),"",TRIM(INDEX($A:$AP,ROW(),$D$6)&amp;""))</f>
        <v/>
      </c>
      <c r="BA113" s="2">
        <f>IF($AS113="","",IF(AND($AS113&gt;=설정!$B$10,$AS113&lt;=설정!$B$11),"포함","기간 밖"))</f>
        <v/>
      </c>
      <c r="BB113" s="2">
        <f>IF($AS113="","",IF(OR($AT113&lt;0,AND($I$6&lt;&gt;"",ISNUMBER(FIND("수정",INDEX($A:$AP,ROW(),IF($I$6="",1,$I$6))&amp;"")))),"수정","일반"))</f>
        <v/>
      </c>
      <c r="BC113" s="2">
        <f>IF($AS113="","",MID(IF($BA113="기간 밖"," / 기간 밖(신고기간 아님)","")&amp;IF(AND($AW113&lt;&gt;"",COUNTIF($AW$8:$AW$1007,$AW113)&gt;1)," / 승인번호 중복(두 번 붙여넣기?)","")&amp;IF(ABS($AU113-ROUND($AT113*0.1,0))&gt;설정!$B$8,IF($AU113=0," / 세액 0원(영세율·면세 여부 확인)"," / 세액이 공급가액 10%와 다름"),"")&amp;IF($BB113="수정"," / 수정세금계산서(합계에서 자동 가감)",""),4,200))</f>
        <v/>
      </c>
      <c r="BD113" s="2">
        <f>IF($BA113&lt;&gt;"포함","",IF(COUNTIFS($AX$8:$AX113,$AX113,$BA$8:$BA113,"포함")=1,MAX($BD$7:BD112)+1,""))</f>
        <v/>
      </c>
      <c r="BE113" s="2">
        <f>IF($BC113="","",MAX($BE$7:BE112)+1)</f>
        <v/>
      </c>
    </row>
    <row r="114">
      <c r="AR114" s="2">
        <f>IF(OR($A$5="",$B$6="",ROW()&lt;$A$5),"",IF(INDEX($A:$AP,ROW(),$B$6)="","",INDEX($A:$AP,ROW(),$B$6)))</f>
        <v/>
      </c>
      <c r="AS114" s="22">
        <f>IF($AR114="","",IF(ISNUMBER($AR114),IF($AR114&gt;=10000000,IFERROR(DATE(INT($AR114/10000),MOD(INT($AR114/100),100),MOD($AR114,100)),""),INT($AR114)),IFERROR(DATE(--LEFT(LEFT(SUBSTITUTE(SUBSTITUTE(SUBSTITUTE(SUBSTITUTE(TRIM($AR114),"-",""),".",""),"/","")," ",""),8),4),--MID(LEFT(SUBSTITUTE(SUBSTITUTE(SUBSTITUTE(SUBSTITUTE(TRIM($AR114),"-",""),".",""),"/","")," ",""),8),5,2),--MID(LEFT(SUBSTITUTE(SUBSTITUTE(SUBSTITUTE(SUBSTITUTE(TRIM($AR114),"-",""),".",""),"/","")," ",""),8),7,2)),"")))</f>
        <v/>
      </c>
      <c r="AT114" s="23">
        <f>IF($AS114="","",IF($F$6="",0,IF(ISNUMBER(INDEX($A:$AP,ROW(),$F$6)),INDEX($A:$AP,ROW(),$F$6),IFERROR(--SUBSTITUTE(SUBSTITUTE(TRIM(INDEX($A:$AP,ROW(),$F$6)),",",""),"원",""),0))))</f>
        <v/>
      </c>
      <c r="AU114" s="23">
        <f>IF($AS114="","",IF($G$6="",0,IF(ISNUMBER(INDEX($A:$AP,ROW(),$G$6)),INDEX($A:$AP,ROW(),$G$6),IFERROR(--SUBSTITUTE(SUBSTITUTE(TRIM(INDEX($A:$AP,ROW(),$G$6)),",",""),"원",""),0))))</f>
        <v/>
      </c>
      <c r="AV114" s="23">
        <f>IF($AS114="","",IF($H$6="",$AT114+$AU114,IF($H$6="",0,IF(ISNUMBER(INDEX($A:$AP,ROW(),$H$6)),INDEX($A:$AP,ROW(),$H$6),IFERROR(--SUBSTITUTE(SUBSTITUTE(TRIM(INDEX($A:$AP,ROW(),$H$6)),",",""),"원",""),0)))))</f>
        <v/>
      </c>
      <c r="AW114" s="2">
        <f>IF(OR($AS114="",$C$6=""),"",TRIM(INDEX($A:$AP,ROW(),$C$6)&amp;""))</f>
        <v/>
      </c>
      <c r="AX114" s="2">
        <f>IF($AS114="","",IF($AZ114&lt;&gt;"",SUBSTITUTE(SUBSTITUTE($AZ114,"-","")," ",""),$AY114))</f>
        <v/>
      </c>
      <c r="AY114" s="2">
        <f>IF(OR($AS114="",$E$6=""),"",TRIM(INDEX($A:$AP,ROW(),$E$6)&amp;""))</f>
        <v/>
      </c>
      <c r="AZ114" s="2">
        <f>IF(OR($AS114="",$D$6=""),"",TRIM(INDEX($A:$AP,ROW(),$D$6)&amp;""))</f>
        <v/>
      </c>
      <c r="BA114" s="2">
        <f>IF($AS114="","",IF(AND($AS114&gt;=설정!$B$10,$AS114&lt;=설정!$B$11),"포함","기간 밖"))</f>
        <v/>
      </c>
      <c r="BB114" s="2">
        <f>IF($AS114="","",IF(OR($AT114&lt;0,AND($I$6&lt;&gt;"",ISNUMBER(FIND("수정",INDEX($A:$AP,ROW(),IF($I$6="",1,$I$6))&amp;"")))),"수정","일반"))</f>
        <v/>
      </c>
      <c r="BC114" s="2">
        <f>IF($AS114="","",MID(IF($BA114="기간 밖"," / 기간 밖(신고기간 아님)","")&amp;IF(AND($AW114&lt;&gt;"",COUNTIF($AW$8:$AW$1007,$AW114)&gt;1)," / 승인번호 중복(두 번 붙여넣기?)","")&amp;IF(ABS($AU114-ROUND($AT114*0.1,0))&gt;설정!$B$8,IF($AU114=0," / 세액 0원(영세율·면세 여부 확인)"," / 세액이 공급가액 10%와 다름"),"")&amp;IF($BB114="수정"," / 수정세금계산서(합계에서 자동 가감)",""),4,200))</f>
        <v/>
      </c>
      <c r="BD114" s="2">
        <f>IF($BA114&lt;&gt;"포함","",IF(COUNTIFS($AX$8:$AX114,$AX114,$BA$8:$BA114,"포함")=1,MAX($BD$7:BD113)+1,""))</f>
        <v/>
      </c>
      <c r="BE114" s="2">
        <f>IF($BC114="","",MAX($BE$7:BE113)+1)</f>
        <v/>
      </c>
    </row>
    <row r="115">
      <c r="AR115" s="2">
        <f>IF(OR($A$5="",$B$6="",ROW()&lt;$A$5),"",IF(INDEX($A:$AP,ROW(),$B$6)="","",INDEX($A:$AP,ROW(),$B$6)))</f>
        <v/>
      </c>
      <c r="AS115" s="22">
        <f>IF($AR115="","",IF(ISNUMBER($AR115),IF($AR115&gt;=10000000,IFERROR(DATE(INT($AR115/10000),MOD(INT($AR115/100),100),MOD($AR115,100)),""),INT($AR115)),IFERROR(DATE(--LEFT(LEFT(SUBSTITUTE(SUBSTITUTE(SUBSTITUTE(SUBSTITUTE(TRIM($AR115),"-",""),".",""),"/","")," ",""),8),4),--MID(LEFT(SUBSTITUTE(SUBSTITUTE(SUBSTITUTE(SUBSTITUTE(TRIM($AR115),"-",""),".",""),"/","")," ",""),8),5,2),--MID(LEFT(SUBSTITUTE(SUBSTITUTE(SUBSTITUTE(SUBSTITUTE(TRIM($AR115),"-",""),".",""),"/","")," ",""),8),7,2)),"")))</f>
        <v/>
      </c>
      <c r="AT115" s="23">
        <f>IF($AS115="","",IF($F$6="",0,IF(ISNUMBER(INDEX($A:$AP,ROW(),$F$6)),INDEX($A:$AP,ROW(),$F$6),IFERROR(--SUBSTITUTE(SUBSTITUTE(TRIM(INDEX($A:$AP,ROW(),$F$6)),",",""),"원",""),0))))</f>
        <v/>
      </c>
      <c r="AU115" s="23">
        <f>IF($AS115="","",IF($G$6="",0,IF(ISNUMBER(INDEX($A:$AP,ROW(),$G$6)),INDEX($A:$AP,ROW(),$G$6),IFERROR(--SUBSTITUTE(SUBSTITUTE(TRIM(INDEX($A:$AP,ROW(),$G$6)),",",""),"원",""),0))))</f>
        <v/>
      </c>
      <c r="AV115" s="23">
        <f>IF($AS115="","",IF($H$6="",$AT115+$AU115,IF($H$6="",0,IF(ISNUMBER(INDEX($A:$AP,ROW(),$H$6)),INDEX($A:$AP,ROW(),$H$6),IFERROR(--SUBSTITUTE(SUBSTITUTE(TRIM(INDEX($A:$AP,ROW(),$H$6)),",",""),"원",""),0)))))</f>
        <v/>
      </c>
      <c r="AW115" s="2">
        <f>IF(OR($AS115="",$C$6=""),"",TRIM(INDEX($A:$AP,ROW(),$C$6)&amp;""))</f>
        <v/>
      </c>
      <c r="AX115" s="2">
        <f>IF($AS115="","",IF($AZ115&lt;&gt;"",SUBSTITUTE(SUBSTITUTE($AZ115,"-","")," ",""),$AY115))</f>
        <v/>
      </c>
      <c r="AY115" s="2">
        <f>IF(OR($AS115="",$E$6=""),"",TRIM(INDEX($A:$AP,ROW(),$E$6)&amp;""))</f>
        <v/>
      </c>
      <c r="AZ115" s="2">
        <f>IF(OR($AS115="",$D$6=""),"",TRIM(INDEX($A:$AP,ROW(),$D$6)&amp;""))</f>
        <v/>
      </c>
      <c r="BA115" s="2">
        <f>IF($AS115="","",IF(AND($AS115&gt;=설정!$B$10,$AS115&lt;=설정!$B$11),"포함","기간 밖"))</f>
        <v/>
      </c>
      <c r="BB115" s="2">
        <f>IF($AS115="","",IF(OR($AT115&lt;0,AND($I$6&lt;&gt;"",ISNUMBER(FIND("수정",INDEX($A:$AP,ROW(),IF($I$6="",1,$I$6))&amp;"")))),"수정","일반"))</f>
        <v/>
      </c>
      <c r="BC115" s="2">
        <f>IF($AS115="","",MID(IF($BA115="기간 밖"," / 기간 밖(신고기간 아님)","")&amp;IF(AND($AW115&lt;&gt;"",COUNTIF($AW$8:$AW$1007,$AW115)&gt;1)," / 승인번호 중복(두 번 붙여넣기?)","")&amp;IF(ABS($AU115-ROUND($AT115*0.1,0))&gt;설정!$B$8,IF($AU115=0," / 세액 0원(영세율·면세 여부 확인)"," / 세액이 공급가액 10%와 다름"),"")&amp;IF($BB115="수정"," / 수정세금계산서(합계에서 자동 가감)",""),4,200))</f>
        <v/>
      </c>
      <c r="BD115" s="2">
        <f>IF($BA115&lt;&gt;"포함","",IF(COUNTIFS($AX$8:$AX115,$AX115,$BA$8:$BA115,"포함")=1,MAX($BD$7:BD114)+1,""))</f>
        <v/>
      </c>
      <c r="BE115" s="2">
        <f>IF($BC115="","",MAX($BE$7:BE114)+1)</f>
        <v/>
      </c>
    </row>
    <row r="116">
      <c r="AR116" s="2">
        <f>IF(OR($A$5="",$B$6="",ROW()&lt;$A$5),"",IF(INDEX($A:$AP,ROW(),$B$6)="","",INDEX($A:$AP,ROW(),$B$6)))</f>
        <v/>
      </c>
      <c r="AS116" s="22">
        <f>IF($AR116="","",IF(ISNUMBER($AR116),IF($AR116&gt;=10000000,IFERROR(DATE(INT($AR116/10000),MOD(INT($AR116/100),100),MOD($AR116,100)),""),INT($AR116)),IFERROR(DATE(--LEFT(LEFT(SUBSTITUTE(SUBSTITUTE(SUBSTITUTE(SUBSTITUTE(TRIM($AR116),"-",""),".",""),"/","")," ",""),8),4),--MID(LEFT(SUBSTITUTE(SUBSTITUTE(SUBSTITUTE(SUBSTITUTE(TRIM($AR116),"-",""),".",""),"/","")," ",""),8),5,2),--MID(LEFT(SUBSTITUTE(SUBSTITUTE(SUBSTITUTE(SUBSTITUTE(TRIM($AR116),"-",""),".",""),"/","")," ",""),8),7,2)),"")))</f>
        <v/>
      </c>
      <c r="AT116" s="23">
        <f>IF($AS116="","",IF($F$6="",0,IF(ISNUMBER(INDEX($A:$AP,ROW(),$F$6)),INDEX($A:$AP,ROW(),$F$6),IFERROR(--SUBSTITUTE(SUBSTITUTE(TRIM(INDEX($A:$AP,ROW(),$F$6)),",",""),"원",""),0))))</f>
        <v/>
      </c>
      <c r="AU116" s="23">
        <f>IF($AS116="","",IF($G$6="",0,IF(ISNUMBER(INDEX($A:$AP,ROW(),$G$6)),INDEX($A:$AP,ROW(),$G$6),IFERROR(--SUBSTITUTE(SUBSTITUTE(TRIM(INDEX($A:$AP,ROW(),$G$6)),",",""),"원",""),0))))</f>
        <v/>
      </c>
      <c r="AV116" s="23">
        <f>IF($AS116="","",IF($H$6="",$AT116+$AU116,IF($H$6="",0,IF(ISNUMBER(INDEX($A:$AP,ROW(),$H$6)),INDEX($A:$AP,ROW(),$H$6),IFERROR(--SUBSTITUTE(SUBSTITUTE(TRIM(INDEX($A:$AP,ROW(),$H$6)),",",""),"원",""),0)))))</f>
        <v/>
      </c>
      <c r="AW116" s="2">
        <f>IF(OR($AS116="",$C$6=""),"",TRIM(INDEX($A:$AP,ROW(),$C$6)&amp;""))</f>
        <v/>
      </c>
      <c r="AX116" s="2">
        <f>IF($AS116="","",IF($AZ116&lt;&gt;"",SUBSTITUTE(SUBSTITUTE($AZ116,"-","")," ",""),$AY116))</f>
        <v/>
      </c>
      <c r="AY116" s="2">
        <f>IF(OR($AS116="",$E$6=""),"",TRIM(INDEX($A:$AP,ROW(),$E$6)&amp;""))</f>
        <v/>
      </c>
      <c r="AZ116" s="2">
        <f>IF(OR($AS116="",$D$6=""),"",TRIM(INDEX($A:$AP,ROW(),$D$6)&amp;""))</f>
        <v/>
      </c>
      <c r="BA116" s="2">
        <f>IF($AS116="","",IF(AND($AS116&gt;=설정!$B$10,$AS116&lt;=설정!$B$11),"포함","기간 밖"))</f>
        <v/>
      </c>
      <c r="BB116" s="2">
        <f>IF($AS116="","",IF(OR($AT116&lt;0,AND($I$6&lt;&gt;"",ISNUMBER(FIND("수정",INDEX($A:$AP,ROW(),IF($I$6="",1,$I$6))&amp;"")))),"수정","일반"))</f>
        <v/>
      </c>
      <c r="BC116" s="2">
        <f>IF($AS116="","",MID(IF($BA116="기간 밖"," / 기간 밖(신고기간 아님)","")&amp;IF(AND($AW116&lt;&gt;"",COUNTIF($AW$8:$AW$1007,$AW116)&gt;1)," / 승인번호 중복(두 번 붙여넣기?)","")&amp;IF(ABS($AU116-ROUND($AT116*0.1,0))&gt;설정!$B$8,IF($AU116=0," / 세액 0원(영세율·면세 여부 확인)"," / 세액이 공급가액 10%와 다름"),"")&amp;IF($BB116="수정"," / 수정세금계산서(합계에서 자동 가감)",""),4,200))</f>
        <v/>
      </c>
      <c r="BD116" s="2">
        <f>IF($BA116&lt;&gt;"포함","",IF(COUNTIFS($AX$8:$AX116,$AX116,$BA$8:$BA116,"포함")=1,MAX($BD$7:BD115)+1,""))</f>
        <v/>
      </c>
      <c r="BE116" s="2">
        <f>IF($BC116="","",MAX($BE$7:BE115)+1)</f>
        <v/>
      </c>
    </row>
    <row r="117">
      <c r="AR117" s="2">
        <f>IF(OR($A$5="",$B$6="",ROW()&lt;$A$5),"",IF(INDEX($A:$AP,ROW(),$B$6)="","",INDEX($A:$AP,ROW(),$B$6)))</f>
        <v/>
      </c>
      <c r="AS117" s="22">
        <f>IF($AR117="","",IF(ISNUMBER($AR117),IF($AR117&gt;=10000000,IFERROR(DATE(INT($AR117/10000),MOD(INT($AR117/100),100),MOD($AR117,100)),""),INT($AR117)),IFERROR(DATE(--LEFT(LEFT(SUBSTITUTE(SUBSTITUTE(SUBSTITUTE(SUBSTITUTE(TRIM($AR117),"-",""),".",""),"/","")," ",""),8),4),--MID(LEFT(SUBSTITUTE(SUBSTITUTE(SUBSTITUTE(SUBSTITUTE(TRIM($AR117),"-",""),".",""),"/","")," ",""),8),5,2),--MID(LEFT(SUBSTITUTE(SUBSTITUTE(SUBSTITUTE(SUBSTITUTE(TRIM($AR117),"-",""),".",""),"/","")," ",""),8),7,2)),"")))</f>
        <v/>
      </c>
      <c r="AT117" s="23">
        <f>IF($AS117="","",IF($F$6="",0,IF(ISNUMBER(INDEX($A:$AP,ROW(),$F$6)),INDEX($A:$AP,ROW(),$F$6),IFERROR(--SUBSTITUTE(SUBSTITUTE(TRIM(INDEX($A:$AP,ROW(),$F$6)),",",""),"원",""),0))))</f>
        <v/>
      </c>
      <c r="AU117" s="23">
        <f>IF($AS117="","",IF($G$6="",0,IF(ISNUMBER(INDEX($A:$AP,ROW(),$G$6)),INDEX($A:$AP,ROW(),$G$6),IFERROR(--SUBSTITUTE(SUBSTITUTE(TRIM(INDEX($A:$AP,ROW(),$G$6)),",",""),"원",""),0))))</f>
        <v/>
      </c>
      <c r="AV117" s="23">
        <f>IF($AS117="","",IF($H$6="",$AT117+$AU117,IF($H$6="",0,IF(ISNUMBER(INDEX($A:$AP,ROW(),$H$6)),INDEX($A:$AP,ROW(),$H$6),IFERROR(--SUBSTITUTE(SUBSTITUTE(TRIM(INDEX($A:$AP,ROW(),$H$6)),",",""),"원",""),0)))))</f>
        <v/>
      </c>
      <c r="AW117" s="2">
        <f>IF(OR($AS117="",$C$6=""),"",TRIM(INDEX($A:$AP,ROW(),$C$6)&amp;""))</f>
        <v/>
      </c>
      <c r="AX117" s="2">
        <f>IF($AS117="","",IF($AZ117&lt;&gt;"",SUBSTITUTE(SUBSTITUTE($AZ117,"-","")," ",""),$AY117))</f>
        <v/>
      </c>
      <c r="AY117" s="2">
        <f>IF(OR($AS117="",$E$6=""),"",TRIM(INDEX($A:$AP,ROW(),$E$6)&amp;""))</f>
        <v/>
      </c>
      <c r="AZ117" s="2">
        <f>IF(OR($AS117="",$D$6=""),"",TRIM(INDEX($A:$AP,ROW(),$D$6)&amp;""))</f>
        <v/>
      </c>
      <c r="BA117" s="2">
        <f>IF($AS117="","",IF(AND($AS117&gt;=설정!$B$10,$AS117&lt;=설정!$B$11),"포함","기간 밖"))</f>
        <v/>
      </c>
      <c r="BB117" s="2">
        <f>IF($AS117="","",IF(OR($AT117&lt;0,AND($I$6&lt;&gt;"",ISNUMBER(FIND("수정",INDEX($A:$AP,ROW(),IF($I$6="",1,$I$6))&amp;"")))),"수정","일반"))</f>
        <v/>
      </c>
      <c r="BC117" s="2">
        <f>IF($AS117="","",MID(IF($BA117="기간 밖"," / 기간 밖(신고기간 아님)","")&amp;IF(AND($AW117&lt;&gt;"",COUNTIF($AW$8:$AW$1007,$AW117)&gt;1)," / 승인번호 중복(두 번 붙여넣기?)","")&amp;IF(ABS($AU117-ROUND($AT117*0.1,0))&gt;설정!$B$8,IF($AU117=0," / 세액 0원(영세율·면세 여부 확인)"," / 세액이 공급가액 10%와 다름"),"")&amp;IF($BB117="수정"," / 수정세금계산서(합계에서 자동 가감)",""),4,200))</f>
        <v/>
      </c>
      <c r="BD117" s="2">
        <f>IF($BA117&lt;&gt;"포함","",IF(COUNTIFS($AX$8:$AX117,$AX117,$BA$8:$BA117,"포함")=1,MAX($BD$7:BD116)+1,""))</f>
        <v/>
      </c>
      <c r="BE117" s="2">
        <f>IF($BC117="","",MAX($BE$7:BE116)+1)</f>
        <v/>
      </c>
    </row>
    <row r="118">
      <c r="AR118" s="2">
        <f>IF(OR($A$5="",$B$6="",ROW()&lt;$A$5),"",IF(INDEX($A:$AP,ROW(),$B$6)="","",INDEX($A:$AP,ROW(),$B$6)))</f>
        <v/>
      </c>
      <c r="AS118" s="22">
        <f>IF($AR118="","",IF(ISNUMBER($AR118),IF($AR118&gt;=10000000,IFERROR(DATE(INT($AR118/10000),MOD(INT($AR118/100),100),MOD($AR118,100)),""),INT($AR118)),IFERROR(DATE(--LEFT(LEFT(SUBSTITUTE(SUBSTITUTE(SUBSTITUTE(SUBSTITUTE(TRIM($AR118),"-",""),".",""),"/","")," ",""),8),4),--MID(LEFT(SUBSTITUTE(SUBSTITUTE(SUBSTITUTE(SUBSTITUTE(TRIM($AR118),"-",""),".",""),"/","")," ",""),8),5,2),--MID(LEFT(SUBSTITUTE(SUBSTITUTE(SUBSTITUTE(SUBSTITUTE(TRIM($AR118),"-",""),".",""),"/","")," ",""),8),7,2)),"")))</f>
        <v/>
      </c>
      <c r="AT118" s="23">
        <f>IF($AS118="","",IF($F$6="",0,IF(ISNUMBER(INDEX($A:$AP,ROW(),$F$6)),INDEX($A:$AP,ROW(),$F$6),IFERROR(--SUBSTITUTE(SUBSTITUTE(TRIM(INDEX($A:$AP,ROW(),$F$6)),",",""),"원",""),0))))</f>
        <v/>
      </c>
      <c r="AU118" s="23">
        <f>IF($AS118="","",IF($G$6="",0,IF(ISNUMBER(INDEX($A:$AP,ROW(),$G$6)),INDEX($A:$AP,ROW(),$G$6),IFERROR(--SUBSTITUTE(SUBSTITUTE(TRIM(INDEX($A:$AP,ROW(),$G$6)),",",""),"원",""),0))))</f>
        <v/>
      </c>
      <c r="AV118" s="23">
        <f>IF($AS118="","",IF($H$6="",$AT118+$AU118,IF($H$6="",0,IF(ISNUMBER(INDEX($A:$AP,ROW(),$H$6)),INDEX($A:$AP,ROW(),$H$6),IFERROR(--SUBSTITUTE(SUBSTITUTE(TRIM(INDEX($A:$AP,ROW(),$H$6)),",",""),"원",""),0)))))</f>
        <v/>
      </c>
      <c r="AW118" s="2">
        <f>IF(OR($AS118="",$C$6=""),"",TRIM(INDEX($A:$AP,ROW(),$C$6)&amp;""))</f>
        <v/>
      </c>
      <c r="AX118" s="2">
        <f>IF($AS118="","",IF($AZ118&lt;&gt;"",SUBSTITUTE(SUBSTITUTE($AZ118,"-","")," ",""),$AY118))</f>
        <v/>
      </c>
      <c r="AY118" s="2">
        <f>IF(OR($AS118="",$E$6=""),"",TRIM(INDEX($A:$AP,ROW(),$E$6)&amp;""))</f>
        <v/>
      </c>
      <c r="AZ118" s="2">
        <f>IF(OR($AS118="",$D$6=""),"",TRIM(INDEX($A:$AP,ROW(),$D$6)&amp;""))</f>
        <v/>
      </c>
      <c r="BA118" s="2">
        <f>IF($AS118="","",IF(AND($AS118&gt;=설정!$B$10,$AS118&lt;=설정!$B$11),"포함","기간 밖"))</f>
        <v/>
      </c>
      <c r="BB118" s="2">
        <f>IF($AS118="","",IF(OR($AT118&lt;0,AND($I$6&lt;&gt;"",ISNUMBER(FIND("수정",INDEX($A:$AP,ROW(),IF($I$6="",1,$I$6))&amp;"")))),"수정","일반"))</f>
        <v/>
      </c>
      <c r="BC118" s="2">
        <f>IF($AS118="","",MID(IF($BA118="기간 밖"," / 기간 밖(신고기간 아님)","")&amp;IF(AND($AW118&lt;&gt;"",COUNTIF($AW$8:$AW$1007,$AW118)&gt;1)," / 승인번호 중복(두 번 붙여넣기?)","")&amp;IF(ABS($AU118-ROUND($AT118*0.1,0))&gt;설정!$B$8,IF($AU118=0," / 세액 0원(영세율·면세 여부 확인)"," / 세액이 공급가액 10%와 다름"),"")&amp;IF($BB118="수정"," / 수정세금계산서(합계에서 자동 가감)",""),4,200))</f>
        <v/>
      </c>
      <c r="BD118" s="2">
        <f>IF($BA118&lt;&gt;"포함","",IF(COUNTIFS($AX$8:$AX118,$AX118,$BA$8:$BA118,"포함")=1,MAX($BD$7:BD117)+1,""))</f>
        <v/>
      </c>
      <c r="BE118" s="2">
        <f>IF($BC118="","",MAX($BE$7:BE117)+1)</f>
        <v/>
      </c>
    </row>
    <row r="119">
      <c r="AR119" s="2">
        <f>IF(OR($A$5="",$B$6="",ROW()&lt;$A$5),"",IF(INDEX($A:$AP,ROW(),$B$6)="","",INDEX($A:$AP,ROW(),$B$6)))</f>
        <v/>
      </c>
      <c r="AS119" s="22">
        <f>IF($AR119="","",IF(ISNUMBER($AR119),IF($AR119&gt;=10000000,IFERROR(DATE(INT($AR119/10000),MOD(INT($AR119/100),100),MOD($AR119,100)),""),INT($AR119)),IFERROR(DATE(--LEFT(LEFT(SUBSTITUTE(SUBSTITUTE(SUBSTITUTE(SUBSTITUTE(TRIM($AR119),"-",""),".",""),"/","")," ",""),8),4),--MID(LEFT(SUBSTITUTE(SUBSTITUTE(SUBSTITUTE(SUBSTITUTE(TRIM($AR119),"-",""),".",""),"/","")," ",""),8),5,2),--MID(LEFT(SUBSTITUTE(SUBSTITUTE(SUBSTITUTE(SUBSTITUTE(TRIM($AR119),"-",""),".",""),"/","")," ",""),8),7,2)),"")))</f>
        <v/>
      </c>
      <c r="AT119" s="23">
        <f>IF($AS119="","",IF($F$6="",0,IF(ISNUMBER(INDEX($A:$AP,ROW(),$F$6)),INDEX($A:$AP,ROW(),$F$6),IFERROR(--SUBSTITUTE(SUBSTITUTE(TRIM(INDEX($A:$AP,ROW(),$F$6)),",",""),"원",""),0))))</f>
        <v/>
      </c>
      <c r="AU119" s="23">
        <f>IF($AS119="","",IF($G$6="",0,IF(ISNUMBER(INDEX($A:$AP,ROW(),$G$6)),INDEX($A:$AP,ROW(),$G$6),IFERROR(--SUBSTITUTE(SUBSTITUTE(TRIM(INDEX($A:$AP,ROW(),$G$6)),",",""),"원",""),0))))</f>
        <v/>
      </c>
      <c r="AV119" s="23">
        <f>IF($AS119="","",IF($H$6="",$AT119+$AU119,IF($H$6="",0,IF(ISNUMBER(INDEX($A:$AP,ROW(),$H$6)),INDEX($A:$AP,ROW(),$H$6),IFERROR(--SUBSTITUTE(SUBSTITUTE(TRIM(INDEX($A:$AP,ROW(),$H$6)),",",""),"원",""),0)))))</f>
        <v/>
      </c>
      <c r="AW119" s="2">
        <f>IF(OR($AS119="",$C$6=""),"",TRIM(INDEX($A:$AP,ROW(),$C$6)&amp;""))</f>
        <v/>
      </c>
      <c r="AX119" s="2">
        <f>IF($AS119="","",IF($AZ119&lt;&gt;"",SUBSTITUTE(SUBSTITUTE($AZ119,"-","")," ",""),$AY119))</f>
        <v/>
      </c>
      <c r="AY119" s="2">
        <f>IF(OR($AS119="",$E$6=""),"",TRIM(INDEX($A:$AP,ROW(),$E$6)&amp;""))</f>
        <v/>
      </c>
      <c r="AZ119" s="2">
        <f>IF(OR($AS119="",$D$6=""),"",TRIM(INDEX($A:$AP,ROW(),$D$6)&amp;""))</f>
        <v/>
      </c>
      <c r="BA119" s="2">
        <f>IF($AS119="","",IF(AND($AS119&gt;=설정!$B$10,$AS119&lt;=설정!$B$11),"포함","기간 밖"))</f>
        <v/>
      </c>
      <c r="BB119" s="2">
        <f>IF($AS119="","",IF(OR($AT119&lt;0,AND($I$6&lt;&gt;"",ISNUMBER(FIND("수정",INDEX($A:$AP,ROW(),IF($I$6="",1,$I$6))&amp;"")))),"수정","일반"))</f>
        <v/>
      </c>
      <c r="BC119" s="2">
        <f>IF($AS119="","",MID(IF($BA119="기간 밖"," / 기간 밖(신고기간 아님)","")&amp;IF(AND($AW119&lt;&gt;"",COUNTIF($AW$8:$AW$1007,$AW119)&gt;1)," / 승인번호 중복(두 번 붙여넣기?)","")&amp;IF(ABS($AU119-ROUND($AT119*0.1,0))&gt;설정!$B$8,IF($AU119=0," / 세액 0원(영세율·면세 여부 확인)"," / 세액이 공급가액 10%와 다름"),"")&amp;IF($BB119="수정"," / 수정세금계산서(합계에서 자동 가감)",""),4,200))</f>
        <v/>
      </c>
      <c r="BD119" s="2">
        <f>IF($BA119&lt;&gt;"포함","",IF(COUNTIFS($AX$8:$AX119,$AX119,$BA$8:$BA119,"포함")=1,MAX($BD$7:BD118)+1,""))</f>
        <v/>
      </c>
      <c r="BE119" s="2">
        <f>IF($BC119="","",MAX($BE$7:BE118)+1)</f>
        <v/>
      </c>
    </row>
    <row r="120">
      <c r="AR120" s="2">
        <f>IF(OR($A$5="",$B$6="",ROW()&lt;$A$5),"",IF(INDEX($A:$AP,ROW(),$B$6)="","",INDEX($A:$AP,ROW(),$B$6)))</f>
        <v/>
      </c>
      <c r="AS120" s="22">
        <f>IF($AR120="","",IF(ISNUMBER($AR120),IF($AR120&gt;=10000000,IFERROR(DATE(INT($AR120/10000),MOD(INT($AR120/100),100),MOD($AR120,100)),""),INT($AR120)),IFERROR(DATE(--LEFT(LEFT(SUBSTITUTE(SUBSTITUTE(SUBSTITUTE(SUBSTITUTE(TRIM($AR120),"-",""),".",""),"/","")," ",""),8),4),--MID(LEFT(SUBSTITUTE(SUBSTITUTE(SUBSTITUTE(SUBSTITUTE(TRIM($AR120),"-",""),".",""),"/","")," ",""),8),5,2),--MID(LEFT(SUBSTITUTE(SUBSTITUTE(SUBSTITUTE(SUBSTITUTE(TRIM($AR120),"-",""),".",""),"/","")," ",""),8),7,2)),"")))</f>
        <v/>
      </c>
      <c r="AT120" s="23">
        <f>IF($AS120="","",IF($F$6="",0,IF(ISNUMBER(INDEX($A:$AP,ROW(),$F$6)),INDEX($A:$AP,ROW(),$F$6),IFERROR(--SUBSTITUTE(SUBSTITUTE(TRIM(INDEX($A:$AP,ROW(),$F$6)),",",""),"원",""),0))))</f>
        <v/>
      </c>
      <c r="AU120" s="23">
        <f>IF($AS120="","",IF($G$6="",0,IF(ISNUMBER(INDEX($A:$AP,ROW(),$G$6)),INDEX($A:$AP,ROW(),$G$6),IFERROR(--SUBSTITUTE(SUBSTITUTE(TRIM(INDEX($A:$AP,ROW(),$G$6)),",",""),"원",""),0))))</f>
        <v/>
      </c>
      <c r="AV120" s="23">
        <f>IF($AS120="","",IF($H$6="",$AT120+$AU120,IF($H$6="",0,IF(ISNUMBER(INDEX($A:$AP,ROW(),$H$6)),INDEX($A:$AP,ROW(),$H$6),IFERROR(--SUBSTITUTE(SUBSTITUTE(TRIM(INDEX($A:$AP,ROW(),$H$6)),",",""),"원",""),0)))))</f>
        <v/>
      </c>
      <c r="AW120" s="2">
        <f>IF(OR($AS120="",$C$6=""),"",TRIM(INDEX($A:$AP,ROW(),$C$6)&amp;""))</f>
        <v/>
      </c>
      <c r="AX120" s="2">
        <f>IF($AS120="","",IF($AZ120&lt;&gt;"",SUBSTITUTE(SUBSTITUTE($AZ120,"-","")," ",""),$AY120))</f>
        <v/>
      </c>
      <c r="AY120" s="2">
        <f>IF(OR($AS120="",$E$6=""),"",TRIM(INDEX($A:$AP,ROW(),$E$6)&amp;""))</f>
        <v/>
      </c>
      <c r="AZ120" s="2">
        <f>IF(OR($AS120="",$D$6=""),"",TRIM(INDEX($A:$AP,ROW(),$D$6)&amp;""))</f>
        <v/>
      </c>
      <c r="BA120" s="2">
        <f>IF($AS120="","",IF(AND($AS120&gt;=설정!$B$10,$AS120&lt;=설정!$B$11),"포함","기간 밖"))</f>
        <v/>
      </c>
      <c r="BB120" s="2">
        <f>IF($AS120="","",IF(OR($AT120&lt;0,AND($I$6&lt;&gt;"",ISNUMBER(FIND("수정",INDEX($A:$AP,ROW(),IF($I$6="",1,$I$6))&amp;"")))),"수정","일반"))</f>
        <v/>
      </c>
      <c r="BC120" s="2">
        <f>IF($AS120="","",MID(IF($BA120="기간 밖"," / 기간 밖(신고기간 아님)","")&amp;IF(AND($AW120&lt;&gt;"",COUNTIF($AW$8:$AW$1007,$AW120)&gt;1)," / 승인번호 중복(두 번 붙여넣기?)","")&amp;IF(ABS($AU120-ROUND($AT120*0.1,0))&gt;설정!$B$8,IF($AU120=0," / 세액 0원(영세율·면세 여부 확인)"," / 세액이 공급가액 10%와 다름"),"")&amp;IF($BB120="수정"," / 수정세금계산서(합계에서 자동 가감)",""),4,200))</f>
        <v/>
      </c>
      <c r="BD120" s="2">
        <f>IF($BA120&lt;&gt;"포함","",IF(COUNTIFS($AX$8:$AX120,$AX120,$BA$8:$BA120,"포함")=1,MAX($BD$7:BD119)+1,""))</f>
        <v/>
      </c>
      <c r="BE120" s="2">
        <f>IF($BC120="","",MAX($BE$7:BE119)+1)</f>
        <v/>
      </c>
    </row>
    <row r="121">
      <c r="AR121" s="2">
        <f>IF(OR($A$5="",$B$6="",ROW()&lt;$A$5),"",IF(INDEX($A:$AP,ROW(),$B$6)="","",INDEX($A:$AP,ROW(),$B$6)))</f>
        <v/>
      </c>
      <c r="AS121" s="22">
        <f>IF($AR121="","",IF(ISNUMBER($AR121),IF($AR121&gt;=10000000,IFERROR(DATE(INT($AR121/10000),MOD(INT($AR121/100),100),MOD($AR121,100)),""),INT($AR121)),IFERROR(DATE(--LEFT(LEFT(SUBSTITUTE(SUBSTITUTE(SUBSTITUTE(SUBSTITUTE(TRIM($AR121),"-",""),".",""),"/","")," ",""),8),4),--MID(LEFT(SUBSTITUTE(SUBSTITUTE(SUBSTITUTE(SUBSTITUTE(TRIM($AR121),"-",""),".",""),"/","")," ",""),8),5,2),--MID(LEFT(SUBSTITUTE(SUBSTITUTE(SUBSTITUTE(SUBSTITUTE(TRIM($AR121),"-",""),".",""),"/","")," ",""),8),7,2)),"")))</f>
        <v/>
      </c>
      <c r="AT121" s="23">
        <f>IF($AS121="","",IF($F$6="",0,IF(ISNUMBER(INDEX($A:$AP,ROW(),$F$6)),INDEX($A:$AP,ROW(),$F$6),IFERROR(--SUBSTITUTE(SUBSTITUTE(TRIM(INDEX($A:$AP,ROW(),$F$6)),",",""),"원",""),0))))</f>
        <v/>
      </c>
      <c r="AU121" s="23">
        <f>IF($AS121="","",IF($G$6="",0,IF(ISNUMBER(INDEX($A:$AP,ROW(),$G$6)),INDEX($A:$AP,ROW(),$G$6),IFERROR(--SUBSTITUTE(SUBSTITUTE(TRIM(INDEX($A:$AP,ROW(),$G$6)),",",""),"원",""),0))))</f>
        <v/>
      </c>
      <c r="AV121" s="23">
        <f>IF($AS121="","",IF($H$6="",$AT121+$AU121,IF($H$6="",0,IF(ISNUMBER(INDEX($A:$AP,ROW(),$H$6)),INDEX($A:$AP,ROW(),$H$6),IFERROR(--SUBSTITUTE(SUBSTITUTE(TRIM(INDEX($A:$AP,ROW(),$H$6)),",",""),"원",""),0)))))</f>
        <v/>
      </c>
      <c r="AW121" s="2">
        <f>IF(OR($AS121="",$C$6=""),"",TRIM(INDEX($A:$AP,ROW(),$C$6)&amp;""))</f>
        <v/>
      </c>
      <c r="AX121" s="2">
        <f>IF($AS121="","",IF($AZ121&lt;&gt;"",SUBSTITUTE(SUBSTITUTE($AZ121,"-","")," ",""),$AY121))</f>
        <v/>
      </c>
      <c r="AY121" s="2">
        <f>IF(OR($AS121="",$E$6=""),"",TRIM(INDEX($A:$AP,ROW(),$E$6)&amp;""))</f>
        <v/>
      </c>
      <c r="AZ121" s="2">
        <f>IF(OR($AS121="",$D$6=""),"",TRIM(INDEX($A:$AP,ROW(),$D$6)&amp;""))</f>
        <v/>
      </c>
      <c r="BA121" s="2">
        <f>IF($AS121="","",IF(AND($AS121&gt;=설정!$B$10,$AS121&lt;=설정!$B$11),"포함","기간 밖"))</f>
        <v/>
      </c>
      <c r="BB121" s="2">
        <f>IF($AS121="","",IF(OR($AT121&lt;0,AND($I$6&lt;&gt;"",ISNUMBER(FIND("수정",INDEX($A:$AP,ROW(),IF($I$6="",1,$I$6))&amp;"")))),"수정","일반"))</f>
        <v/>
      </c>
      <c r="BC121" s="2">
        <f>IF($AS121="","",MID(IF($BA121="기간 밖"," / 기간 밖(신고기간 아님)","")&amp;IF(AND($AW121&lt;&gt;"",COUNTIF($AW$8:$AW$1007,$AW121)&gt;1)," / 승인번호 중복(두 번 붙여넣기?)","")&amp;IF(ABS($AU121-ROUND($AT121*0.1,0))&gt;설정!$B$8,IF($AU121=0," / 세액 0원(영세율·면세 여부 확인)"," / 세액이 공급가액 10%와 다름"),"")&amp;IF($BB121="수정"," / 수정세금계산서(합계에서 자동 가감)",""),4,200))</f>
        <v/>
      </c>
      <c r="BD121" s="2">
        <f>IF($BA121&lt;&gt;"포함","",IF(COUNTIFS($AX$8:$AX121,$AX121,$BA$8:$BA121,"포함")=1,MAX($BD$7:BD120)+1,""))</f>
        <v/>
      </c>
      <c r="BE121" s="2">
        <f>IF($BC121="","",MAX($BE$7:BE120)+1)</f>
        <v/>
      </c>
    </row>
    <row r="122">
      <c r="AR122" s="2">
        <f>IF(OR($A$5="",$B$6="",ROW()&lt;$A$5),"",IF(INDEX($A:$AP,ROW(),$B$6)="","",INDEX($A:$AP,ROW(),$B$6)))</f>
        <v/>
      </c>
      <c r="AS122" s="22">
        <f>IF($AR122="","",IF(ISNUMBER($AR122),IF($AR122&gt;=10000000,IFERROR(DATE(INT($AR122/10000),MOD(INT($AR122/100),100),MOD($AR122,100)),""),INT($AR122)),IFERROR(DATE(--LEFT(LEFT(SUBSTITUTE(SUBSTITUTE(SUBSTITUTE(SUBSTITUTE(TRIM($AR122),"-",""),".",""),"/","")," ",""),8),4),--MID(LEFT(SUBSTITUTE(SUBSTITUTE(SUBSTITUTE(SUBSTITUTE(TRIM($AR122),"-",""),".",""),"/","")," ",""),8),5,2),--MID(LEFT(SUBSTITUTE(SUBSTITUTE(SUBSTITUTE(SUBSTITUTE(TRIM($AR122),"-",""),".",""),"/","")," ",""),8),7,2)),"")))</f>
        <v/>
      </c>
      <c r="AT122" s="23">
        <f>IF($AS122="","",IF($F$6="",0,IF(ISNUMBER(INDEX($A:$AP,ROW(),$F$6)),INDEX($A:$AP,ROW(),$F$6),IFERROR(--SUBSTITUTE(SUBSTITUTE(TRIM(INDEX($A:$AP,ROW(),$F$6)),",",""),"원",""),0))))</f>
        <v/>
      </c>
      <c r="AU122" s="23">
        <f>IF($AS122="","",IF($G$6="",0,IF(ISNUMBER(INDEX($A:$AP,ROW(),$G$6)),INDEX($A:$AP,ROW(),$G$6),IFERROR(--SUBSTITUTE(SUBSTITUTE(TRIM(INDEX($A:$AP,ROW(),$G$6)),",",""),"원",""),0))))</f>
        <v/>
      </c>
      <c r="AV122" s="23">
        <f>IF($AS122="","",IF($H$6="",$AT122+$AU122,IF($H$6="",0,IF(ISNUMBER(INDEX($A:$AP,ROW(),$H$6)),INDEX($A:$AP,ROW(),$H$6),IFERROR(--SUBSTITUTE(SUBSTITUTE(TRIM(INDEX($A:$AP,ROW(),$H$6)),",",""),"원",""),0)))))</f>
        <v/>
      </c>
      <c r="AW122" s="2">
        <f>IF(OR($AS122="",$C$6=""),"",TRIM(INDEX($A:$AP,ROW(),$C$6)&amp;""))</f>
        <v/>
      </c>
      <c r="AX122" s="2">
        <f>IF($AS122="","",IF($AZ122&lt;&gt;"",SUBSTITUTE(SUBSTITUTE($AZ122,"-","")," ",""),$AY122))</f>
        <v/>
      </c>
      <c r="AY122" s="2">
        <f>IF(OR($AS122="",$E$6=""),"",TRIM(INDEX($A:$AP,ROW(),$E$6)&amp;""))</f>
        <v/>
      </c>
      <c r="AZ122" s="2">
        <f>IF(OR($AS122="",$D$6=""),"",TRIM(INDEX($A:$AP,ROW(),$D$6)&amp;""))</f>
        <v/>
      </c>
      <c r="BA122" s="2">
        <f>IF($AS122="","",IF(AND($AS122&gt;=설정!$B$10,$AS122&lt;=설정!$B$11),"포함","기간 밖"))</f>
        <v/>
      </c>
      <c r="BB122" s="2">
        <f>IF($AS122="","",IF(OR($AT122&lt;0,AND($I$6&lt;&gt;"",ISNUMBER(FIND("수정",INDEX($A:$AP,ROW(),IF($I$6="",1,$I$6))&amp;"")))),"수정","일반"))</f>
        <v/>
      </c>
      <c r="BC122" s="2">
        <f>IF($AS122="","",MID(IF($BA122="기간 밖"," / 기간 밖(신고기간 아님)","")&amp;IF(AND($AW122&lt;&gt;"",COUNTIF($AW$8:$AW$1007,$AW122)&gt;1)," / 승인번호 중복(두 번 붙여넣기?)","")&amp;IF(ABS($AU122-ROUND($AT122*0.1,0))&gt;설정!$B$8,IF($AU122=0," / 세액 0원(영세율·면세 여부 확인)"," / 세액이 공급가액 10%와 다름"),"")&amp;IF($BB122="수정"," / 수정세금계산서(합계에서 자동 가감)",""),4,200))</f>
        <v/>
      </c>
      <c r="BD122" s="2">
        <f>IF($BA122&lt;&gt;"포함","",IF(COUNTIFS($AX$8:$AX122,$AX122,$BA$8:$BA122,"포함")=1,MAX($BD$7:BD121)+1,""))</f>
        <v/>
      </c>
      <c r="BE122" s="2">
        <f>IF($BC122="","",MAX($BE$7:BE121)+1)</f>
        <v/>
      </c>
    </row>
    <row r="123">
      <c r="AR123" s="2">
        <f>IF(OR($A$5="",$B$6="",ROW()&lt;$A$5),"",IF(INDEX($A:$AP,ROW(),$B$6)="","",INDEX($A:$AP,ROW(),$B$6)))</f>
        <v/>
      </c>
      <c r="AS123" s="22">
        <f>IF($AR123="","",IF(ISNUMBER($AR123),IF($AR123&gt;=10000000,IFERROR(DATE(INT($AR123/10000),MOD(INT($AR123/100),100),MOD($AR123,100)),""),INT($AR123)),IFERROR(DATE(--LEFT(LEFT(SUBSTITUTE(SUBSTITUTE(SUBSTITUTE(SUBSTITUTE(TRIM($AR123),"-",""),".",""),"/","")," ",""),8),4),--MID(LEFT(SUBSTITUTE(SUBSTITUTE(SUBSTITUTE(SUBSTITUTE(TRIM($AR123),"-",""),".",""),"/","")," ",""),8),5,2),--MID(LEFT(SUBSTITUTE(SUBSTITUTE(SUBSTITUTE(SUBSTITUTE(TRIM($AR123),"-",""),".",""),"/","")," ",""),8),7,2)),"")))</f>
        <v/>
      </c>
      <c r="AT123" s="23">
        <f>IF($AS123="","",IF($F$6="",0,IF(ISNUMBER(INDEX($A:$AP,ROW(),$F$6)),INDEX($A:$AP,ROW(),$F$6),IFERROR(--SUBSTITUTE(SUBSTITUTE(TRIM(INDEX($A:$AP,ROW(),$F$6)),",",""),"원",""),0))))</f>
        <v/>
      </c>
      <c r="AU123" s="23">
        <f>IF($AS123="","",IF($G$6="",0,IF(ISNUMBER(INDEX($A:$AP,ROW(),$G$6)),INDEX($A:$AP,ROW(),$G$6),IFERROR(--SUBSTITUTE(SUBSTITUTE(TRIM(INDEX($A:$AP,ROW(),$G$6)),",",""),"원",""),0))))</f>
        <v/>
      </c>
      <c r="AV123" s="23">
        <f>IF($AS123="","",IF($H$6="",$AT123+$AU123,IF($H$6="",0,IF(ISNUMBER(INDEX($A:$AP,ROW(),$H$6)),INDEX($A:$AP,ROW(),$H$6),IFERROR(--SUBSTITUTE(SUBSTITUTE(TRIM(INDEX($A:$AP,ROW(),$H$6)),",",""),"원",""),0)))))</f>
        <v/>
      </c>
      <c r="AW123" s="2">
        <f>IF(OR($AS123="",$C$6=""),"",TRIM(INDEX($A:$AP,ROW(),$C$6)&amp;""))</f>
        <v/>
      </c>
      <c r="AX123" s="2">
        <f>IF($AS123="","",IF($AZ123&lt;&gt;"",SUBSTITUTE(SUBSTITUTE($AZ123,"-","")," ",""),$AY123))</f>
        <v/>
      </c>
      <c r="AY123" s="2">
        <f>IF(OR($AS123="",$E$6=""),"",TRIM(INDEX($A:$AP,ROW(),$E$6)&amp;""))</f>
        <v/>
      </c>
      <c r="AZ123" s="2">
        <f>IF(OR($AS123="",$D$6=""),"",TRIM(INDEX($A:$AP,ROW(),$D$6)&amp;""))</f>
        <v/>
      </c>
      <c r="BA123" s="2">
        <f>IF($AS123="","",IF(AND($AS123&gt;=설정!$B$10,$AS123&lt;=설정!$B$11),"포함","기간 밖"))</f>
        <v/>
      </c>
      <c r="BB123" s="2">
        <f>IF($AS123="","",IF(OR($AT123&lt;0,AND($I$6&lt;&gt;"",ISNUMBER(FIND("수정",INDEX($A:$AP,ROW(),IF($I$6="",1,$I$6))&amp;"")))),"수정","일반"))</f>
        <v/>
      </c>
      <c r="BC123" s="2">
        <f>IF($AS123="","",MID(IF($BA123="기간 밖"," / 기간 밖(신고기간 아님)","")&amp;IF(AND($AW123&lt;&gt;"",COUNTIF($AW$8:$AW$1007,$AW123)&gt;1)," / 승인번호 중복(두 번 붙여넣기?)","")&amp;IF(ABS($AU123-ROUND($AT123*0.1,0))&gt;설정!$B$8,IF($AU123=0," / 세액 0원(영세율·면세 여부 확인)"," / 세액이 공급가액 10%와 다름"),"")&amp;IF($BB123="수정"," / 수정세금계산서(합계에서 자동 가감)",""),4,200))</f>
        <v/>
      </c>
      <c r="BD123" s="2">
        <f>IF($BA123&lt;&gt;"포함","",IF(COUNTIFS($AX$8:$AX123,$AX123,$BA$8:$BA123,"포함")=1,MAX($BD$7:BD122)+1,""))</f>
        <v/>
      </c>
      <c r="BE123" s="2">
        <f>IF($BC123="","",MAX($BE$7:BE122)+1)</f>
        <v/>
      </c>
    </row>
    <row r="124">
      <c r="AR124" s="2">
        <f>IF(OR($A$5="",$B$6="",ROW()&lt;$A$5),"",IF(INDEX($A:$AP,ROW(),$B$6)="","",INDEX($A:$AP,ROW(),$B$6)))</f>
        <v/>
      </c>
      <c r="AS124" s="22">
        <f>IF($AR124="","",IF(ISNUMBER($AR124),IF($AR124&gt;=10000000,IFERROR(DATE(INT($AR124/10000),MOD(INT($AR124/100),100),MOD($AR124,100)),""),INT($AR124)),IFERROR(DATE(--LEFT(LEFT(SUBSTITUTE(SUBSTITUTE(SUBSTITUTE(SUBSTITUTE(TRIM($AR124),"-",""),".",""),"/","")," ",""),8),4),--MID(LEFT(SUBSTITUTE(SUBSTITUTE(SUBSTITUTE(SUBSTITUTE(TRIM($AR124),"-",""),".",""),"/","")," ",""),8),5,2),--MID(LEFT(SUBSTITUTE(SUBSTITUTE(SUBSTITUTE(SUBSTITUTE(TRIM($AR124),"-",""),".",""),"/","")," ",""),8),7,2)),"")))</f>
        <v/>
      </c>
      <c r="AT124" s="23">
        <f>IF($AS124="","",IF($F$6="",0,IF(ISNUMBER(INDEX($A:$AP,ROW(),$F$6)),INDEX($A:$AP,ROW(),$F$6),IFERROR(--SUBSTITUTE(SUBSTITUTE(TRIM(INDEX($A:$AP,ROW(),$F$6)),",",""),"원",""),0))))</f>
        <v/>
      </c>
      <c r="AU124" s="23">
        <f>IF($AS124="","",IF($G$6="",0,IF(ISNUMBER(INDEX($A:$AP,ROW(),$G$6)),INDEX($A:$AP,ROW(),$G$6),IFERROR(--SUBSTITUTE(SUBSTITUTE(TRIM(INDEX($A:$AP,ROW(),$G$6)),",",""),"원",""),0))))</f>
        <v/>
      </c>
      <c r="AV124" s="23">
        <f>IF($AS124="","",IF($H$6="",$AT124+$AU124,IF($H$6="",0,IF(ISNUMBER(INDEX($A:$AP,ROW(),$H$6)),INDEX($A:$AP,ROW(),$H$6),IFERROR(--SUBSTITUTE(SUBSTITUTE(TRIM(INDEX($A:$AP,ROW(),$H$6)),",",""),"원",""),0)))))</f>
        <v/>
      </c>
      <c r="AW124" s="2">
        <f>IF(OR($AS124="",$C$6=""),"",TRIM(INDEX($A:$AP,ROW(),$C$6)&amp;""))</f>
        <v/>
      </c>
      <c r="AX124" s="2">
        <f>IF($AS124="","",IF($AZ124&lt;&gt;"",SUBSTITUTE(SUBSTITUTE($AZ124,"-","")," ",""),$AY124))</f>
        <v/>
      </c>
      <c r="AY124" s="2">
        <f>IF(OR($AS124="",$E$6=""),"",TRIM(INDEX($A:$AP,ROW(),$E$6)&amp;""))</f>
        <v/>
      </c>
      <c r="AZ124" s="2">
        <f>IF(OR($AS124="",$D$6=""),"",TRIM(INDEX($A:$AP,ROW(),$D$6)&amp;""))</f>
        <v/>
      </c>
      <c r="BA124" s="2">
        <f>IF($AS124="","",IF(AND($AS124&gt;=설정!$B$10,$AS124&lt;=설정!$B$11),"포함","기간 밖"))</f>
        <v/>
      </c>
      <c r="BB124" s="2">
        <f>IF($AS124="","",IF(OR($AT124&lt;0,AND($I$6&lt;&gt;"",ISNUMBER(FIND("수정",INDEX($A:$AP,ROW(),IF($I$6="",1,$I$6))&amp;"")))),"수정","일반"))</f>
        <v/>
      </c>
      <c r="BC124" s="2">
        <f>IF($AS124="","",MID(IF($BA124="기간 밖"," / 기간 밖(신고기간 아님)","")&amp;IF(AND($AW124&lt;&gt;"",COUNTIF($AW$8:$AW$1007,$AW124)&gt;1)," / 승인번호 중복(두 번 붙여넣기?)","")&amp;IF(ABS($AU124-ROUND($AT124*0.1,0))&gt;설정!$B$8,IF($AU124=0," / 세액 0원(영세율·면세 여부 확인)"," / 세액이 공급가액 10%와 다름"),"")&amp;IF($BB124="수정"," / 수정세금계산서(합계에서 자동 가감)",""),4,200))</f>
        <v/>
      </c>
      <c r="BD124" s="2">
        <f>IF($BA124&lt;&gt;"포함","",IF(COUNTIFS($AX$8:$AX124,$AX124,$BA$8:$BA124,"포함")=1,MAX($BD$7:BD123)+1,""))</f>
        <v/>
      </c>
      <c r="BE124" s="2">
        <f>IF($BC124="","",MAX($BE$7:BE123)+1)</f>
        <v/>
      </c>
    </row>
    <row r="125">
      <c r="AR125" s="2">
        <f>IF(OR($A$5="",$B$6="",ROW()&lt;$A$5),"",IF(INDEX($A:$AP,ROW(),$B$6)="","",INDEX($A:$AP,ROW(),$B$6)))</f>
        <v/>
      </c>
      <c r="AS125" s="22">
        <f>IF($AR125="","",IF(ISNUMBER($AR125),IF($AR125&gt;=10000000,IFERROR(DATE(INT($AR125/10000),MOD(INT($AR125/100),100),MOD($AR125,100)),""),INT($AR125)),IFERROR(DATE(--LEFT(LEFT(SUBSTITUTE(SUBSTITUTE(SUBSTITUTE(SUBSTITUTE(TRIM($AR125),"-",""),".",""),"/","")," ",""),8),4),--MID(LEFT(SUBSTITUTE(SUBSTITUTE(SUBSTITUTE(SUBSTITUTE(TRIM($AR125),"-",""),".",""),"/","")," ",""),8),5,2),--MID(LEFT(SUBSTITUTE(SUBSTITUTE(SUBSTITUTE(SUBSTITUTE(TRIM($AR125),"-",""),".",""),"/","")," ",""),8),7,2)),"")))</f>
        <v/>
      </c>
      <c r="AT125" s="23">
        <f>IF($AS125="","",IF($F$6="",0,IF(ISNUMBER(INDEX($A:$AP,ROW(),$F$6)),INDEX($A:$AP,ROW(),$F$6),IFERROR(--SUBSTITUTE(SUBSTITUTE(TRIM(INDEX($A:$AP,ROW(),$F$6)),",",""),"원",""),0))))</f>
        <v/>
      </c>
      <c r="AU125" s="23">
        <f>IF($AS125="","",IF($G$6="",0,IF(ISNUMBER(INDEX($A:$AP,ROW(),$G$6)),INDEX($A:$AP,ROW(),$G$6),IFERROR(--SUBSTITUTE(SUBSTITUTE(TRIM(INDEX($A:$AP,ROW(),$G$6)),",",""),"원",""),0))))</f>
        <v/>
      </c>
      <c r="AV125" s="23">
        <f>IF($AS125="","",IF($H$6="",$AT125+$AU125,IF($H$6="",0,IF(ISNUMBER(INDEX($A:$AP,ROW(),$H$6)),INDEX($A:$AP,ROW(),$H$6),IFERROR(--SUBSTITUTE(SUBSTITUTE(TRIM(INDEX($A:$AP,ROW(),$H$6)),",",""),"원",""),0)))))</f>
        <v/>
      </c>
      <c r="AW125" s="2">
        <f>IF(OR($AS125="",$C$6=""),"",TRIM(INDEX($A:$AP,ROW(),$C$6)&amp;""))</f>
        <v/>
      </c>
      <c r="AX125" s="2">
        <f>IF($AS125="","",IF($AZ125&lt;&gt;"",SUBSTITUTE(SUBSTITUTE($AZ125,"-","")," ",""),$AY125))</f>
        <v/>
      </c>
      <c r="AY125" s="2">
        <f>IF(OR($AS125="",$E$6=""),"",TRIM(INDEX($A:$AP,ROW(),$E$6)&amp;""))</f>
        <v/>
      </c>
      <c r="AZ125" s="2">
        <f>IF(OR($AS125="",$D$6=""),"",TRIM(INDEX($A:$AP,ROW(),$D$6)&amp;""))</f>
        <v/>
      </c>
      <c r="BA125" s="2">
        <f>IF($AS125="","",IF(AND($AS125&gt;=설정!$B$10,$AS125&lt;=설정!$B$11),"포함","기간 밖"))</f>
        <v/>
      </c>
      <c r="BB125" s="2">
        <f>IF($AS125="","",IF(OR($AT125&lt;0,AND($I$6&lt;&gt;"",ISNUMBER(FIND("수정",INDEX($A:$AP,ROW(),IF($I$6="",1,$I$6))&amp;"")))),"수정","일반"))</f>
        <v/>
      </c>
      <c r="BC125" s="2">
        <f>IF($AS125="","",MID(IF($BA125="기간 밖"," / 기간 밖(신고기간 아님)","")&amp;IF(AND($AW125&lt;&gt;"",COUNTIF($AW$8:$AW$1007,$AW125)&gt;1)," / 승인번호 중복(두 번 붙여넣기?)","")&amp;IF(ABS($AU125-ROUND($AT125*0.1,0))&gt;설정!$B$8,IF($AU125=0," / 세액 0원(영세율·면세 여부 확인)"," / 세액이 공급가액 10%와 다름"),"")&amp;IF($BB125="수정"," / 수정세금계산서(합계에서 자동 가감)",""),4,200))</f>
        <v/>
      </c>
      <c r="BD125" s="2">
        <f>IF($BA125&lt;&gt;"포함","",IF(COUNTIFS($AX$8:$AX125,$AX125,$BA$8:$BA125,"포함")=1,MAX($BD$7:BD124)+1,""))</f>
        <v/>
      </c>
      <c r="BE125" s="2">
        <f>IF($BC125="","",MAX($BE$7:BE124)+1)</f>
        <v/>
      </c>
    </row>
    <row r="126">
      <c r="AR126" s="2">
        <f>IF(OR($A$5="",$B$6="",ROW()&lt;$A$5),"",IF(INDEX($A:$AP,ROW(),$B$6)="","",INDEX($A:$AP,ROW(),$B$6)))</f>
        <v/>
      </c>
      <c r="AS126" s="22">
        <f>IF($AR126="","",IF(ISNUMBER($AR126),IF($AR126&gt;=10000000,IFERROR(DATE(INT($AR126/10000),MOD(INT($AR126/100),100),MOD($AR126,100)),""),INT($AR126)),IFERROR(DATE(--LEFT(LEFT(SUBSTITUTE(SUBSTITUTE(SUBSTITUTE(SUBSTITUTE(TRIM($AR126),"-",""),".",""),"/","")," ",""),8),4),--MID(LEFT(SUBSTITUTE(SUBSTITUTE(SUBSTITUTE(SUBSTITUTE(TRIM($AR126),"-",""),".",""),"/","")," ",""),8),5,2),--MID(LEFT(SUBSTITUTE(SUBSTITUTE(SUBSTITUTE(SUBSTITUTE(TRIM($AR126),"-",""),".",""),"/","")," ",""),8),7,2)),"")))</f>
        <v/>
      </c>
      <c r="AT126" s="23">
        <f>IF($AS126="","",IF($F$6="",0,IF(ISNUMBER(INDEX($A:$AP,ROW(),$F$6)),INDEX($A:$AP,ROW(),$F$6),IFERROR(--SUBSTITUTE(SUBSTITUTE(TRIM(INDEX($A:$AP,ROW(),$F$6)),",",""),"원",""),0))))</f>
        <v/>
      </c>
      <c r="AU126" s="23">
        <f>IF($AS126="","",IF($G$6="",0,IF(ISNUMBER(INDEX($A:$AP,ROW(),$G$6)),INDEX($A:$AP,ROW(),$G$6),IFERROR(--SUBSTITUTE(SUBSTITUTE(TRIM(INDEX($A:$AP,ROW(),$G$6)),",",""),"원",""),0))))</f>
        <v/>
      </c>
      <c r="AV126" s="23">
        <f>IF($AS126="","",IF($H$6="",$AT126+$AU126,IF($H$6="",0,IF(ISNUMBER(INDEX($A:$AP,ROW(),$H$6)),INDEX($A:$AP,ROW(),$H$6),IFERROR(--SUBSTITUTE(SUBSTITUTE(TRIM(INDEX($A:$AP,ROW(),$H$6)),",",""),"원",""),0)))))</f>
        <v/>
      </c>
      <c r="AW126" s="2">
        <f>IF(OR($AS126="",$C$6=""),"",TRIM(INDEX($A:$AP,ROW(),$C$6)&amp;""))</f>
        <v/>
      </c>
      <c r="AX126" s="2">
        <f>IF($AS126="","",IF($AZ126&lt;&gt;"",SUBSTITUTE(SUBSTITUTE($AZ126,"-","")," ",""),$AY126))</f>
        <v/>
      </c>
      <c r="AY126" s="2">
        <f>IF(OR($AS126="",$E$6=""),"",TRIM(INDEX($A:$AP,ROW(),$E$6)&amp;""))</f>
        <v/>
      </c>
      <c r="AZ126" s="2">
        <f>IF(OR($AS126="",$D$6=""),"",TRIM(INDEX($A:$AP,ROW(),$D$6)&amp;""))</f>
        <v/>
      </c>
      <c r="BA126" s="2">
        <f>IF($AS126="","",IF(AND($AS126&gt;=설정!$B$10,$AS126&lt;=설정!$B$11),"포함","기간 밖"))</f>
        <v/>
      </c>
      <c r="BB126" s="2">
        <f>IF($AS126="","",IF(OR($AT126&lt;0,AND($I$6&lt;&gt;"",ISNUMBER(FIND("수정",INDEX($A:$AP,ROW(),IF($I$6="",1,$I$6))&amp;"")))),"수정","일반"))</f>
        <v/>
      </c>
      <c r="BC126" s="2">
        <f>IF($AS126="","",MID(IF($BA126="기간 밖"," / 기간 밖(신고기간 아님)","")&amp;IF(AND($AW126&lt;&gt;"",COUNTIF($AW$8:$AW$1007,$AW126)&gt;1)," / 승인번호 중복(두 번 붙여넣기?)","")&amp;IF(ABS($AU126-ROUND($AT126*0.1,0))&gt;설정!$B$8,IF($AU126=0," / 세액 0원(영세율·면세 여부 확인)"," / 세액이 공급가액 10%와 다름"),"")&amp;IF($BB126="수정"," / 수정세금계산서(합계에서 자동 가감)",""),4,200))</f>
        <v/>
      </c>
      <c r="BD126" s="2">
        <f>IF($BA126&lt;&gt;"포함","",IF(COUNTIFS($AX$8:$AX126,$AX126,$BA$8:$BA126,"포함")=1,MAX($BD$7:BD125)+1,""))</f>
        <v/>
      </c>
      <c r="BE126" s="2">
        <f>IF($BC126="","",MAX($BE$7:BE125)+1)</f>
        <v/>
      </c>
    </row>
    <row r="127">
      <c r="AR127" s="2">
        <f>IF(OR($A$5="",$B$6="",ROW()&lt;$A$5),"",IF(INDEX($A:$AP,ROW(),$B$6)="","",INDEX($A:$AP,ROW(),$B$6)))</f>
        <v/>
      </c>
      <c r="AS127" s="22">
        <f>IF($AR127="","",IF(ISNUMBER($AR127),IF($AR127&gt;=10000000,IFERROR(DATE(INT($AR127/10000),MOD(INT($AR127/100),100),MOD($AR127,100)),""),INT($AR127)),IFERROR(DATE(--LEFT(LEFT(SUBSTITUTE(SUBSTITUTE(SUBSTITUTE(SUBSTITUTE(TRIM($AR127),"-",""),".",""),"/","")," ",""),8),4),--MID(LEFT(SUBSTITUTE(SUBSTITUTE(SUBSTITUTE(SUBSTITUTE(TRIM($AR127),"-",""),".",""),"/","")," ",""),8),5,2),--MID(LEFT(SUBSTITUTE(SUBSTITUTE(SUBSTITUTE(SUBSTITUTE(TRIM($AR127),"-",""),".",""),"/","")," ",""),8),7,2)),"")))</f>
        <v/>
      </c>
      <c r="AT127" s="23">
        <f>IF($AS127="","",IF($F$6="",0,IF(ISNUMBER(INDEX($A:$AP,ROW(),$F$6)),INDEX($A:$AP,ROW(),$F$6),IFERROR(--SUBSTITUTE(SUBSTITUTE(TRIM(INDEX($A:$AP,ROW(),$F$6)),",",""),"원",""),0))))</f>
        <v/>
      </c>
      <c r="AU127" s="23">
        <f>IF($AS127="","",IF($G$6="",0,IF(ISNUMBER(INDEX($A:$AP,ROW(),$G$6)),INDEX($A:$AP,ROW(),$G$6),IFERROR(--SUBSTITUTE(SUBSTITUTE(TRIM(INDEX($A:$AP,ROW(),$G$6)),",",""),"원",""),0))))</f>
        <v/>
      </c>
      <c r="AV127" s="23">
        <f>IF($AS127="","",IF($H$6="",$AT127+$AU127,IF($H$6="",0,IF(ISNUMBER(INDEX($A:$AP,ROW(),$H$6)),INDEX($A:$AP,ROW(),$H$6),IFERROR(--SUBSTITUTE(SUBSTITUTE(TRIM(INDEX($A:$AP,ROW(),$H$6)),",",""),"원",""),0)))))</f>
        <v/>
      </c>
      <c r="AW127" s="2">
        <f>IF(OR($AS127="",$C$6=""),"",TRIM(INDEX($A:$AP,ROW(),$C$6)&amp;""))</f>
        <v/>
      </c>
      <c r="AX127" s="2">
        <f>IF($AS127="","",IF($AZ127&lt;&gt;"",SUBSTITUTE(SUBSTITUTE($AZ127,"-","")," ",""),$AY127))</f>
        <v/>
      </c>
      <c r="AY127" s="2">
        <f>IF(OR($AS127="",$E$6=""),"",TRIM(INDEX($A:$AP,ROW(),$E$6)&amp;""))</f>
        <v/>
      </c>
      <c r="AZ127" s="2">
        <f>IF(OR($AS127="",$D$6=""),"",TRIM(INDEX($A:$AP,ROW(),$D$6)&amp;""))</f>
        <v/>
      </c>
      <c r="BA127" s="2">
        <f>IF($AS127="","",IF(AND($AS127&gt;=설정!$B$10,$AS127&lt;=설정!$B$11),"포함","기간 밖"))</f>
        <v/>
      </c>
      <c r="BB127" s="2">
        <f>IF($AS127="","",IF(OR($AT127&lt;0,AND($I$6&lt;&gt;"",ISNUMBER(FIND("수정",INDEX($A:$AP,ROW(),IF($I$6="",1,$I$6))&amp;"")))),"수정","일반"))</f>
        <v/>
      </c>
      <c r="BC127" s="2">
        <f>IF($AS127="","",MID(IF($BA127="기간 밖"," / 기간 밖(신고기간 아님)","")&amp;IF(AND($AW127&lt;&gt;"",COUNTIF($AW$8:$AW$1007,$AW127)&gt;1)," / 승인번호 중복(두 번 붙여넣기?)","")&amp;IF(ABS($AU127-ROUND($AT127*0.1,0))&gt;설정!$B$8,IF($AU127=0," / 세액 0원(영세율·면세 여부 확인)"," / 세액이 공급가액 10%와 다름"),"")&amp;IF($BB127="수정"," / 수정세금계산서(합계에서 자동 가감)",""),4,200))</f>
        <v/>
      </c>
      <c r="BD127" s="2">
        <f>IF($BA127&lt;&gt;"포함","",IF(COUNTIFS($AX$8:$AX127,$AX127,$BA$8:$BA127,"포함")=1,MAX($BD$7:BD126)+1,""))</f>
        <v/>
      </c>
      <c r="BE127" s="2">
        <f>IF($BC127="","",MAX($BE$7:BE126)+1)</f>
        <v/>
      </c>
    </row>
    <row r="128">
      <c r="AR128" s="2">
        <f>IF(OR($A$5="",$B$6="",ROW()&lt;$A$5),"",IF(INDEX($A:$AP,ROW(),$B$6)="","",INDEX($A:$AP,ROW(),$B$6)))</f>
        <v/>
      </c>
      <c r="AS128" s="22">
        <f>IF($AR128="","",IF(ISNUMBER($AR128),IF($AR128&gt;=10000000,IFERROR(DATE(INT($AR128/10000),MOD(INT($AR128/100),100),MOD($AR128,100)),""),INT($AR128)),IFERROR(DATE(--LEFT(LEFT(SUBSTITUTE(SUBSTITUTE(SUBSTITUTE(SUBSTITUTE(TRIM($AR128),"-",""),".",""),"/","")," ",""),8),4),--MID(LEFT(SUBSTITUTE(SUBSTITUTE(SUBSTITUTE(SUBSTITUTE(TRIM($AR128),"-",""),".",""),"/","")," ",""),8),5,2),--MID(LEFT(SUBSTITUTE(SUBSTITUTE(SUBSTITUTE(SUBSTITUTE(TRIM($AR128),"-",""),".",""),"/","")," ",""),8),7,2)),"")))</f>
        <v/>
      </c>
      <c r="AT128" s="23">
        <f>IF($AS128="","",IF($F$6="",0,IF(ISNUMBER(INDEX($A:$AP,ROW(),$F$6)),INDEX($A:$AP,ROW(),$F$6),IFERROR(--SUBSTITUTE(SUBSTITUTE(TRIM(INDEX($A:$AP,ROW(),$F$6)),",",""),"원",""),0))))</f>
        <v/>
      </c>
      <c r="AU128" s="23">
        <f>IF($AS128="","",IF($G$6="",0,IF(ISNUMBER(INDEX($A:$AP,ROW(),$G$6)),INDEX($A:$AP,ROW(),$G$6),IFERROR(--SUBSTITUTE(SUBSTITUTE(TRIM(INDEX($A:$AP,ROW(),$G$6)),",",""),"원",""),0))))</f>
        <v/>
      </c>
      <c r="AV128" s="23">
        <f>IF($AS128="","",IF($H$6="",$AT128+$AU128,IF($H$6="",0,IF(ISNUMBER(INDEX($A:$AP,ROW(),$H$6)),INDEX($A:$AP,ROW(),$H$6),IFERROR(--SUBSTITUTE(SUBSTITUTE(TRIM(INDEX($A:$AP,ROW(),$H$6)),",",""),"원",""),0)))))</f>
        <v/>
      </c>
      <c r="AW128" s="2">
        <f>IF(OR($AS128="",$C$6=""),"",TRIM(INDEX($A:$AP,ROW(),$C$6)&amp;""))</f>
        <v/>
      </c>
      <c r="AX128" s="2">
        <f>IF($AS128="","",IF($AZ128&lt;&gt;"",SUBSTITUTE(SUBSTITUTE($AZ128,"-","")," ",""),$AY128))</f>
        <v/>
      </c>
      <c r="AY128" s="2">
        <f>IF(OR($AS128="",$E$6=""),"",TRIM(INDEX($A:$AP,ROW(),$E$6)&amp;""))</f>
        <v/>
      </c>
      <c r="AZ128" s="2">
        <f>IF(OR($AS128="",$D$6=""),"",TRIM(INDEX($A:$AP,ROW(),$D$6)&amp;""))</f>
        <v/>
      </c>
      <c r="BA128" s="2">
        <f>IF($AS128="","",IF(AND($AS128&gt;=설정!$B$10,$AS128&lt;=설정!$B$11),"포함","기간 밖"))</f>
        <v/>
      </c>
      <c r="BB128" s="2">
        <f>IF($AS128="","",IF(OR($AT128&lt;0,AND($I$6&lt;&gt;"",ISNUMBER(FIND("수정",INDEX($A:$AP,ROW(),IF($I$6="",1,$I$6))&amp;"")))),"수정","일반"))</f>
        <v/>
      </c>
      <c r="BC128" s="2">
        <f>IF($AS128="","",MID(IF($BA128="기간 밖"," / 기간 밖(신고기간 아님)","")&amp;IF(AND($AW128&lt;&gt;"",COUNTIF($AW$8:$AW$1007,$AW128)&gt;1)," / 승인번호 중복(두 번 붙여넣기?)","")&amp;IF(ABS($AU128-ROUND($AT128*0.1,0))&gt;설정!$B$8,IF($AU128=0," / 세액 0원(영세율·면세 여부 확인)"," / 세액이 공급가액 10%와 다름"),"")&amp;IF($BB128="수정"," / 수정세금계산서(합계에서 자동 가감)",""),4,200))</f>
        <v/>
      </c>
      <c r="BD128" s="2">
        <f>IF($BA128&lt;&gt;"포함","",IF(COUNTIFS($AX$8:$AX128,$AX128,$BA$8:$BA128,"포함")=1,MAX($BD$7:BD127)+1,""))</f>
        <v/>
      </c>
      <c r="BE128" s="2">
        <f>IF($BC128="","",MAX($BE$7:BE127)+1)</f>
        <v/>
      </c>
    </row>
    <row r="129">
      <c r="AR129" s="2">
        <f>IF(OR($A$5="",$B$6="",ROW()&lt;$A$5),"",IF(INDEX($A:$AP,ROW(),$B$6)="","",INDEX($A:$AP,ROW(),$B$6)))</f>
        <v/>
      </c>
      <c r="AS129" s="22">
        <f>IF($AR129="","",IF(ISNUMBER($AR129),IF($AR129&gt;=10000000,IFERROR(DATE(INT($AR129/10000),MOD(INT($AR129/100),100),MOD($AR129,100)),""),INT($AR129)),IFERROR(DATE(--LEFT(LEFT(SUBSTITUTE(SUBSTITUTE(SUBSTITUTE(SUBSTITUTE(TRIM($AR129),"-",""),".",""),"/","")," ",""),8),4),--MID(LEFT(SUBSTITUTE(SUBSTITUTE(SUBSTITUTE(SUBSTITUTE(TRIM($AR129),"-",""),".",""),"/","")," ",""),8),5,2),--MID(LEFT(SUBSTITUTE(SUBSTITUTE(SUBSTITUTE(SUBSTITUTE(TRIM($AR129),"-",""),".",""),"/","")," ",""),8),7,2)),"")))</f>
        <v/>
      </c>
      <c r="AT129" s="23">
        <f>IF($AS129="","",IF($F$6="",0,IF(ISNUMBER(INDEX($A:$AP,ROW(),$F$6)),INDEX($A:$AP,ROW(),$F$6),IFERROR(--SUBSTITUTE(SUBSTITUTE(TRIM(INDEX($A:$AP,ROW(),$F$6)),",",""),"원",""),0))))</f>
        <v/>
      </c>
      <c r="AU129" s="23">
        <f>IF($AS129="","",IF($G$6="",0,IF(ISNUMBER(INDEX($A:$AP,ROW(),$G$6)),INDEX($A:$AP,ROW(),$G$6),IFERROR(--SUBSTITUTE(SUBSTITUTE(TRIM(INDEX($A:$AP,ROW(),$G$6)),",",""),"원",""),0))))</f>
        <v/>
      </c>
      <c r="AV129" s="23">
        <f>IF($AS129="","",IF($H$6="",$AT129+$AU129,IF($H$6="",0,IF(ISNUMBER(INDEX($A:$AP,ROW(),$H$6)),INDEX($A:$AP,ROW(),$H$6),IFERROR(--SUBSTITUTE(SUBSTITUTE(TRIM(INDEX($A:$AP,ROW(),$H$6)),",",""),"원",""),0)))))</f>
        <v/>
      </c>
      <c r="AW129" s="2">
        <f>IF(OR($AS129="",$C$6=""),"",TRIM(INDEX($A:$AP,ROW(),$C$6)&amp;""))</f>
        <v/>
      </c>
      <c r="AX129" s="2">
        <f>IF($AS129="","",IF($AZ129&lt;&gt;"",SUBSTITUTE(SUBSTITUTE($AZ129,"-","")," ",""),$AY129))</f>
        <v/>
      </c>
      <c r="AY129" s="2">
        <f>IF(OR($AS129="",$E$6=""),"",TRIM(INDEX($A:$AP,ROW(),$E$6)&amp;""))</f>
        <v/>
      </c>
      <c r="AZ129" s="2">
        <f>IF(OR($AS129="",$D$6=""),"",TRIM(INDEX($A:$AP,ROW(),$D$6)&amp;""))</f>
        <v/>
      </c>
      <c r="BA129" s="2">
        <f>IF($AS129="","",IF(AND($AS129&gt;=설정!$B$10,$AS129&lt;=설정!$B$11),"포함","기간 밖"))</f>
        <v/>
      </c>
      <c r="BB129" s="2">
        <f>IF($AS129="","",IF(OR($AT129&lt;0,AND($I$6&lt;&gt;"",ISNUMBER(FIND("수정",INDEX($A:$AP,ROW(),IF($I$6="",1,$I$6))&amp;"")))),"수정","일반"))</f>
        <v/>
      </c>
      <c r="BC129" s="2">
        <f>IF($AS129="","",MID(IF($BA129="기간 밖"," / 기간 밖(신고기간 아님)","")&amp;IF(AND($AW129&lt;&gt;"",COUNTIF($AW$8:$AW$1007,$AW129)&gt;1)," / 승인번호 중복(두 번 붙여넣기?)","")&amp;IF(ABS($AU129-ROUND($AT129*0.1,0))&gt;설정!$B$8,IF($AU129=0," / 세액 0원(영세율·면세 여부 확인)"," / 세액이 공급가액 10%와 다름"),"")&amp;IF($BB129="수정"," / 수정세금계산서(합계에서 자동 가감)",""),4,200))</f>
        <v/>
      </c>
      <c r="BD129" s="2">
        <f>IF($BA129&lt;&gt;"포함","",IF(COUNTIFS($AX$8:$AX129,$AX129,$BA$8:$BA129,"포함")=1,MAX($BD$7:BD128)+1,""))</f>
        <v/>
      </c>
      <c r="BE129" s="2">
        <f>IF($BC129="","",MAX($BE$7:BE128)+1)</f>
        <v/>
      </c>
    </row>
    <row r="130">
      <c r="AR130" s="2">
        <f>IF(OR($A$5="",$B$6="",ROW()&lt;$A$5),"",IF(INDEX($A:$AP,ROW(),$B$6)="","",INDEX($A:$AP,ROW(),$B$6)))</f>
        <v/>
      </c>
      <c r="AS130" s="22">
        <f>IF($AR130="","",IF(ISNUMBER($AR130),IF($AR130&gt;=10000000,IFERROR(DATE(INT($AR130/10000),MOD(INT($AR130/100),100),MOD($AR130,100)),""),INT($AR130)),IFERROR(DATE(--LEFT(LEFT(SUBSTITUTE(SUBSTITUTE(SUBSTITUTE(SUBSTITUTE(TRIM($AR130),"-",""),".",""),"/","")," ",""),8),4),--MID(LEFT(SUBSTITUTE(SUBSTITUTE(SUBSTITUTE(SUBSTITUTE(TRIM($AR130),"-",""),".",""),"/","")," ",""),8),5,2),--MID(LEFT(SUBSTITUTE(SUBSTITUTE(SUBSTITUTE(SUBSTITUTE(TRIM($AR130),"-",""),".",""),"/","")," ",""),8),7,2)),"")))</f>
        <v/>
      </c>
      <c r="AT130" s="23">
        <f>IF($AS130="","",IF($F$6="",0,IF(ISNUMBER(INDEX($A:$AP,ROW(),$F$6)),INDEX($A:$AP,ROW(),$F$6),IFERROR(--SUBSTITUTE(SUBSTITUTE(TRIM(INDEX($A:$AP,ROW(),$F$6)),",",""),"원",""),0))))</f>
        <v/>
      </c>
      <c r="AU130" s="23">
        <f>IF($AS130="","",IF($G$6="",0,IF(ISNUMBER(INDEX($A:$AP,ROW(),$G$6)),INDEX($A:$AP,ROW(),$G$6),IFERROR(--SUBSTITUTE(SUBSTITUTE(TRIM(INDEX($A:$AP,ROW(),$G$6)),",",""),"원",""),0))))</f>
        <v/>
      </c>
      <c r="AV130" s="23">
        <f>IF($AS130="","",IF($H$6="",$AT130+$AU130,IF($H$6="",0,IF(ISNUMBER(INDEX($A:$AP,ROW(),$H$6)),INDEX($A:$AP,ROW(),$H$6),IFERROR(--SUBSTITUTE(SUBSTITUTE(TRIM(INDEX($A:$AP,ROW(),$H$6)),",",""),"원",""),0)))))</f>
        <v/>
      </c>
      <c r="AW130" s="2">
        <f>IF(OR($AS130="",$C$6=""),"",TRIM(INDEX($A:$AP,ROW(),$C$6)&amp;""))</f>
        <v/>
      </c>
      <c r="AX130" s="2">
        <f>IF($AS130="","",IF($AZ130&lt;&gt;"",SUBSTITUTE(SUBSTITUTE($AZ130,"-","")," ",""),$AY130))</f>
        <v/>
      </c>
      <c r="AY130" s="2">
        <f>IF(OR($AS130="",$E$6=""),"",TRIM(INDEX($A:$AP,ROW(),$E$6)&amp;""))</f>
        <v/>
      </c>
      <c r="AZ130" s="2">
        <f>IF(OR($AS130="",$D$6=""),"",TRIM(INDEX($A:$AP,ROW(),$D$6)&amp;""))</f>
        <v/>
      </c>
      <c r="BA130" s="2">
        <f>IF($AS130="","",IF(AND($AS130&gt;=설정!$B$10,$AS130&lt;=설정!$B$11),"포함","기간 밖"))</f>
        <v/>
      </c>
      <c r="BB130" s="2">
        <f>IF($AS130="","",IF(OR($AT130&lt;0,AND($I$6&lt;&gt;"",ISNUMBER(FIND("수정",INDEX($A:$AP,ROW(),IF($I$6="",1,$I$6))&amp;"")))),"수정","일반"))</f>
        <v/>
      </c>
      <c r="BC130" s="2">
        <f>IF($AS130="","",MID(IF($BA130="기간 밖"," / 기간 밖(신고기간 아님)","")&amp;IF(AND($AW130&lt;&gt;"",COUNTIF($AW$8:$AW$1007,$AW130)&gt;1)," / 승인번호 중복(두 번 붙여넣기?)","")&amp;IF(ABS($AU130-ROUND($AT130*0.1,0))&gt;설정!$B$8,IF($AU130=0," / 세액 0원(영세율·면세 여부 확인)"," / 세액이 공급가액 10%와 다름"),"")&amp;IF($BB130="수정"," / 수정세금계산서(합계에서 자동 가감)",""),4,200))</f>
        <v/>
      </c>
      <c r="BD130" s="2">
        <f>IF($BA130&lt;&gt;"포함","",IF(COUNTIFS($AX$8:$AX130,$AX130,$BA$8:$BA130,"포함")=1,MAX($BD$7:BD129)+1,""))</f>
        <v/>
      </c>
      <c r="BE130" s="2">
        <f>IF($BC130="","",MAX($BE$7:BE129)+1)</f>
        <v/>
      </c>
    </row>
    <row r="131">
      <c r="AR131" s="2">
        <f>IF(OR($A$5="",$B$6="",ROW()&lt;$A$5),"",IF(INDEX($A:$AP,ROW(),$B$6)="","",INDEX($A:$AP,ROW(),$B$6)))</f>
        <v/>
      </c>
      <c r="AS131" s="22">
        <f>IF($AR131="","",IF(ISNUMBER($AR131),IF($AR131&gt;=10000000,IFERROR(DATE(INT($AR131/10000),MOD(INT($AR131/100),100),MOD($AR131,100)),""),INT($AR131)),IFERROR(DATE(--LEFT(LEFT(SUBSTITUTE(SUBSTITUTE(SUBSTITUTE(SUBSTITUTE(TRIM($AR131),"-",""),".",""),"/","")," ",""),8),4),--MID(LEFT(SUBSTITUTE(SUBSTITUTE(SUBSTITUTE(SUBSTITUTE(TRIM($AR131),"-",""),".",""),"/","")," ",""),8),5,2),--MID(LEFT(SUBSTITUTE(SUBSTITUTE(SUBSTITUTE(SUBSTITUTE(TRIM($AR131),"-",""),".",""),"/","")," ",""),8),7,2)),"")))</f>
        <v/>
      </c>
      <c r="AT131" s="23">
        <f>IF($AS131="","",IF($F$6="",0,IF(ISNUMBER(INDEX($A:$AP,ROW(),$F$6)),INDEX($A:$AP,ROW(),$F$6),IFERROR(--SUBSTITUTE(SUBSTITUTE(TRIM(INDEX($A:$AP,ROW(),$F$6)),",",""),"원",""),0))))</f>
        <v/>
      </c>
      <c r="AU131" s="23">
        <f>IF($AS131="","",IF($G$6="",0,IF(ISNUMBER(INDEX($A:$AP,ROW(),$G$6)),INDEX($A:$AP,ROW(),$G$6),IFERROR(--SUBSTITUTE(SUBSTITUTE(TRIM(INDEX($A:$AP,ROW(),$G$6)),",",""),"원",""),0))))</f>
        <v/>
      </c>
      <c r="AV131" s="23">
        <f>IF($AS131="","",IF($H$6="",$AT131+$AU131,IF($H$6="",0,IF(ISNUMBER(INDEX($A:$AP,ROW(),$H$6)),INDEX($A:$AP,ROW(),$H$6),IFERROR(--SUBSTITUTE(SUBSTITUTE(TRIM(INDEX($A:$AP,ROW(),$H$6)),",",""),"원",""),0)))))</f>
        <v/>
      </c>
      <c r="AW131" s="2">
        <f>IF(OR($AS131="",$C$6=""),"",TRIM(INDEX($A:$AP,ROW(),$C$6)&amp;""))</f>
        <v/>
      </c>
      <c r="AX131" s="2">
        <f>IF($AS131="","",IF($AZ131&lt;&gt;"",SUBSTITUTE(SUBSTITUTE($AZ131,"-","")," ",""),$AY131))</f>
        <v/>
      </c>
      <c r="AY131" s="2">
        <f>IF(OR($AS131="",$E$6=""),"",TRIM(INDEX($A:$AP,ROW(),$E$6)&amp;""))</f>
        <v/>
      </c>
      <c r="AZ131" s="2">
        <f>IF(OR($AS131="",$D$6=""),"",TRIM(INDEX($A:$AP,ROW(),$D$6)&amp;""))</f>
        <v/>
      </c>
      <c r="BA131" s="2">
        <f>IF($AS131="","",IF(AND($AS131&gt;=설정!$B$10,$AS131&lt;=설정!$B$11),"포함","기간 밖"))</f>
        <v/>
      </c>
      <c r="BB131" s="2">
        <f>IF($AS131="","",IF(OR($AT131&lt;0,AND($I$6&lt;&gt;"",ISNUMBER(FIND("수정",INDEX($A:$AP,ROW(),IF($I$6="",1,$I$6))&amp;"")))),"수정","일반"))</f>
        <v/>
      </c>
      <c r="BC131" s="2">
        <f>IF($AS131="","",MID(IF($BA131="기간 밖"," / 기간 밖(신고기간 아님)","")&amp;IF(AND($AW131&lt;&gt;"",COUNTIF($AW$8:$AW$1007,$AW131)&gt;1)," / 승인번호 중복(두 번 붙여넣기?)","")&amp;IF(ABS($AU131-ROUND($AT131*0.1,0))&gt;설정!$B$8,IF($AU131=0," / 세액 0원(영세율·면세 여부 확인)"," / 세액이 공급가액 10%와 다름"),"")&amp;IF($BB131="수정"," / 수정세금계산서(합계에서 자동 가감)",""),4,200))</f>
        <v/>
      </c>
      <c r="BD131" s="2">
        <f>IF($BA131&lt;&gt;"포함","",IF(COUNTIFS($AX$8:$AX131,$AX131,$BA$8:$BA131,"포함")=1,MAX($BD$7:BD130)+1,""))</f>
        <v/>
      </c>
      <c r="BE131" s="2">
        <f>IF($BC131="","",MAX($BE$7:BE130)+1)</f>
        <v/>
      </c>
    </row>
    <row r="132">
      <c r="AR132" s="2">
        <f>IF(OR($A$5="",$B$6="",ROW()&lt;$A$5),"",IF(INDEX($A:$AP,ROW(),$B$6)="","",INDEX($A:$AP,ROW(),$B$6)))</f>
        <v/>
      </c>
      <c r="AS132" s="22">
        <f>IF($AR132="","",IF(ISNUMBER($AR132),IF($AR132&gt;=10000000,IFERROR(DATE(INT($AR132/10000),MOD(INT($AR132/100),100),MOD($AR132,100)),""),INT($AR132)),IFERROR(DATE(--LEFT(LEFT(SUBSTITUTE(SUBSTITUTE(SUBSTITUTE(SUBSTITUTE(TRIM($AR132),"-",""),".",""),"/","")," ",""),8),4),--MID(LEFT(SUBSTITUTE(SUBSTITUTE(SUBSTITUTE(SUBSTITUTE(TRIM($AR132),"-",""),".",""),"/","")," ",""),8),5,2),--MID(LEFT(SUBSTITUTE(SUBSTITUTE(SUBSTITUTE(SUBSTITUTE(TRIM($AR132),"-",""),".",""),"/","")," ",""),8),7,2)),"")))</f>
        <v/>
      </c>
      <c r="AT132" s="23">
        <f>IF($AS132="","",IF($F$6="",0,IF(ISNUMBER(INDEX($A:$AP,ROW(),$F$6)),INDEX($A:$AP,ROW(),$F$6),IFERROR(--SUBSTITUTE(SUBSTITUTE(TRIM(INDEX($A:$AP,ROW(),$F$6)),",",""),"원",""),0))))</f>
        <v/>
      </c>
      <c r="AU132" s="23">
        <f>IF($AS132="","",IF($G$6="",0,IF(ISNUMBER(INDEX($A:$AP,ROW(),$G$6)),INDEX($A:$AP,ROW(),$G$6),IFERROR(--SUBSTITUTE(SUBSTITUTE(TRIM(INDEX($A:$AP,ROW(),$G$6)),",",""),"원",""),0))))</f>
        <v/>
      </c>
      <c r="AV132" s="23">
        <f>IF($AS132="","",IF($H$6="",$AT132+$AU132,IF($H$6="",0,IF(ISNUMBER(INDEX($A:$AP,ROW(),$H$6)),INDEX($A:$AP,ROW(),$H$6),IFERROR(--SUBSTITUTE(SUBSTITUTE(TRIM(INDEX($A:$AP,ROW(),$H$6)),",",""),"원",""),0)))))</f>
        <v/>
      </c>
      <c r="AW132" s="2">
        <f>IF(OR($AS132="",$C$6=""),"",TRIM(INDEX($A:$AP,ROW(),$C$6)&amp;""))</f>
        <v/>
      </c>
      <c r="AX132" s="2">
        <f>IF($AS132="","",IF($AZ132&lt;&gt;"",SUBSTITUTE(SUBSTITUTE($AZ132,"-","")," ",""),$AY132))</f>
        <v/>
      </c>
      <c r="AY132" s="2">
        <f>IF(OR($AS132="",$E$6=""),"",TRIM(INDEX($A:$AP,ROW(),$E$6)&amp;""))</f>
        <v/>
      </c>
      <c r="AZ132" s="2">
        <f>IF(OR($AS132="",$D$6=""),"",TRIM(INDEX($A:$AP,ROW(),$D$6)&amp;""))</f>
        <v/>
      </c>
      <c r="BA132" s="2">
        <f>IF($AS132="","",IF(AND($AS132&gt;=설정!$B$10,$AS132&lt;=설정!$B$11),"포함","기간 밖"))</f>
        <v/>
      </c>
      <c r="BB132" s="2">
        <f>IF($AS132="","",IF(OR($AT132&lt;0,AND($I$6&lt;&gt;"",ISNUMBER(FIND("수정",INDEX($A:$AP,ROW(),IF($I$6="",1,$I$6))&amp;"")))),"수정","일반"))</f>
        <v/>
      </c>
      <c r="BC132" s="2">
        <f>IF($AS132="","",MID(IF($BA132="기간 밖"," / 기간 밖(신고기간 아님)","")&amp;IF(AND($AW132&lt;&gt;"",COUNTIF($AW$8:$AW$1007,$AW132)&gt;1)," / 승인번호 중복(두 번 붙여넣기?)","")&amp;IF(ABS($AU132-ROUND($AT132*0.1,0))&gt;설정!$B$8,IF($AU132=0," / 세액 0원(영세율·면세 여부 확인)"," / 세액이 공급가액 10%와 다름"),"")&amp;IF($BB132="수정"," / 수정세금계산서(합계에서 자동 가감)",""),4,200))</f>
        <v/>
      </c>
      <c r="BD132" s="2">
        <f>IF($BA132&lt;&gt;"포함","",IF(COUNTIFS($AX$8:$AX132,$AX132,$BA$8:$BA132,"포함")=1,MAX($BD$7:BD131)+1,""))</f>
        <v/>
      </c>
      <c r="BE132" s="2">
        <f>IF($BC132="","",MAX($BE$7:BE131)+1)</f>
        <v/>
      </c>
    </row>
    <row r="133">
      <c r="AR133" s="2">
        <f>IF(OR($A$5="",$B$6="",ROW()&lt;$A$5),"",IF(INDEX($A:$AP,ROW(),$B$6)="","",INDEX($A:$AP,ROW(),$B$6)))</f>
        <v/>
      </c>
      <c r="AS133" s="22">
        <f>IF($AR133="","",IF(ISNUMBER($AR133),IF($AR133&gt;=10000000,IFERROR(DATE(INT($AR133/10000),MOD(INT($AR133/100),100),MOD($AR133,100)),""),INT($AR133)),IFERROR(DATE(--LEFT(LEFT(SUBSTITUTE(SUBSTITUTE(SUBSTITUTE(SUBSTITUTE(TRIM($AR133),"-",""),".",""),"/","")," ",""),8),4),--MID(LEFT(SUBSTITUTE(SUBSTITUTE(SUBSTITUTE(SUBSTITUTE(TRIM($AR133),"-",""),".",""),"/","")," ",""),8),5,2),--MID(LEFT(SUBSTITUTE(SUBSTITUTE(SUBSTITUTE(SUBSTITUTE(TRIM($AR133),"-",""),".",""),"/","")," ",""),8),7,2)),"")))</f>
        <v/>
      </c>
      <c r="AT133" s="23">
        <f>IF($AS133="","",IF($F$6="",0,IF(ISNUMBER(INDEX($A:$AP,ROW(),$F$6)),INDEX($A:$AP,ROW(),$F$6),IFERROR(--SUBSTITUTE(SUBSTITUTE(TRIM(INDEX($A:$AP,ROW(),$F$6)),",",""),"원",""),0))))</f>
        <v/>
      </c>
      <c r="AU133" s="23">
        <f>IF($AS133="","",IF($G$6="",0,IF(ISNUMBER(INDEX($A:$AP,ROW(),$G$6)),INDEX($A:$AP,ROW(),$G$6),IFERROR(--SUBSTITUTE(SUBSTITUTE(TRIM(INDEX($A:$AP,ROW(),$G$6)),",",""),"원",""),0))))</f>
        <v/>
      </c>
      <c r="AV133" s="23">
        <f>IF($AS133="","",IF($H$6="",$AT133+$AU133,IF($H$6="",0,IF(ISNUMBER(INDEX($A:$AP,ROW(),$H$6)),INDEX($A:$AP,ROW(),$H$6),IFERROR(--SUBSTITUTE(SUBSTITUTE(TRIM(INDEX($A:$AP,ROW(),$H$6)),",",""),"원",""),0)))))</f>
        <v/>
      </c>
      <c r="AW133" s="2">
        <f>IF(OR($AS133="",$C$6=""),"",TRIM(INDEX($A:$AP,ROW(),$C$6)&amp;""))</f>
        <v/>
      </c>
      <c r="AX133" s="2">
        <f>IF($AS133="","",IF($AZ133&lt;&gt;"",SUBSTITUTE(SUBSTITUTE($AZ133,"-","")," ",""),$AY133))</f>
        <v/>
      </c>
      <c r="AY133" s="2">
        <f>IF(OR($AS133="",$E$6=""),"",TRIM(INDEX($A:$AP,ROW(),$E$6)&amp;""))</f>
        <v/>
      </c>
      <c r="AZ133" s="2">
        <f>IF(OR($AS133="",$D$6=""),"",TRIM(INDEX($A:$AP,ROW(),$D$6)&amp;""))</f>
        <v/>
      </c>
      <c r="BA133" s="2">
        <f>IF($AS133="","",IF(AND($AS133&gt;=설정!$B$10,$AS133&lt;=설정!$B$11),"포함","기간 밖"))</f>
        <v/>
      </c>
      <c r="BB133" s="2">
        <f>IF($AS133="","",IF(OR($AT133&lt;0,AND($I$6&lt;&gt;"",ISNUMBER(FIND("수정",INDEX($A:$AP,ROW(),IF($I$6="",1,$I$6))&amp;"")))),"수정","일반"))</f>
        <v/>
      </c>
      <c r="BC133" s="2">
        <f>IF($AS133="","",MID(IF($BA133="기간 밖"," / 기간 밖(신고기간 아님)","")&amp;IF(AND($AW133&lt;&gt;"",COUNTIF($AW$8:$AW$1007,$AW133)&gt;1)," / 승인번호 중복(두 번 붙여넣기?)","")&amp;IF(ABS($AU133-ROUND($AT133*0.1,0))&gt;설정!$B$8,IF($AU133=0," / 세액 0원(영세율·면세 여부 확인)"," / 세액이 공급가액 10%와 다름"),"")&amp;IF($BB133="수정"," / 수정세금계산서(합계에서 자동 가감)",""),4,200))</f>
        <v/>
      </c>
      <c r="BD133" s="2">
        <f>IF($BA133&lt;&gt;"포함","",IF(COUNTIFS($AX$8:$AX133,$AX133,$BA$8:$BA133,"포함")=1,MAX($BD$7:BD132)+1,""))</f>
        <v/>
      </c>
      <c r="BE133" s="2">
        <f>IF($BC133="","",MAX($BE$7:BE132)+1)</f>
        <v/>
      </c>
    </row>
    <row r="134">
      <c r="AR134" s="2">
        <f>IF(OR($A$5="",$B$6="",ROW()&lt;$A$5),"",IF(INDEX($A:$AP,ROW(),$B$6)="","",INDEX($A:$AP,ROW(),$B$6)))</f>
        <v/>
      </c>
      <c r="AS134" s="22">
        <f>IF($AR134="","",IF(ISNUMBER($AR134),IF($AR134&gt;=10000000,IFERROR(DATE(INT($AR134/10000),MOD(INT($AR134/100),100),MOD($AR134,100)),""),INT($AR134)),IFERROR(DATE(--LEFT(LEFT(SUBSTITUTE(SUBSTITUTE(SUBSTITUTE(SUBSTITUTE(TRIM($AR134),"-",""),".",""),"/","")," ",""),8),4),--MID(LEFT(SUBSTITUTE(SUBSTITUTE(SUBSTITUTE(SUBSTITUTE(TRIM($AR134),"-",""),".",""),"/","")," ",""),8),5,2),--MID(LEFT(SUBSTITUTE(SUBSTITUTE(SUBSTITUTE(SUBSTITUTE(TRIM($AR134),"-",""),".",""),"/","")," ",""),8),7,2)),"")))</f>
        <v/>
      </c>
      <c r="AT134" s="23">
        <f>IF($AS134="","",IF($F$6="",0,IF(ISNUMBER(INDEX($A:$AP,ROW(),$F$6)),INDEX($A:$AP,ROW(),$F$6),IFERROR(--SUBSTITUTE(SUBSTITUTE(TRIM(INDEX($A:$AP,ROW(),$F$6)),",",""),"원",""),0))))</f>
        <v/>
      </c>
      <c r="AU134" s="23">
        <f>IF($AS134="","",IF($G$6="",0,IF(ISNUMBER(INDEX($A:$AP,ROW(),$G$6)),INDEX($A:$AP,ROW(),$G$6),IFERROR(--SUBSTITUTE(SUBSTITUTE(TRIM(INDEX($A:$AP,ROW(),$G$6)),",",""),"원",""),0))))</f>
        <v/>
      </c>
      <c r="AV134" s="23">
        <f>IF($AS134="","",IF($H$6="",$AT134+$AU134,IF($H$6="",0,IF(ISNUMBER(INDEX($A:$AP,ROW(),$H$6)),INDEX($A:$AP,ROW(),$H$6),IFERROR(--SUBSTITUTE(SUBSTITUTE(TRIM(INDEX($A:$AP,ROW(),$H$6)),",",""),"원",""),0)))))</f>
        <v/>
      </c>
      <c r="AW134" s="2">
        <f>IF(OR($AS134="",$C$6=""),"",TRIM(INDEX($A:$AP,ROW(),$C$6)&amp;""))</f>
        <v/>
      </c>
      <c r="AX134" s="2">
        <f>IF($AS134="","",IF($AZ134&lt;&gt;"",SUBSTITUTE(SUBSTITUTE($AZ134,"-","")," ",""),$AY134))</f>
        <v/>
      </c>
      <c r="AY134" s="2">
        <f>IF(OR($AS134="",$E$6=""),"",TRIM(INDEX($A:$AP,ROW(),$E$6)&amp;""))</f>
        <v/>
      </c>
      <c r="AZ134" s="2">
        <f>IF(OR($AS134="",$D$6=""),"",TRIM(INDEX($A:$AP,ROW(),$D$6)&amp;""))</f>
        <v/>
      </c>
      <c r="BA134" s="2">
        <f>IF($AS134="","",IF(AND($AS134&gt;=설정!$B$10,$AS134&lt;=설정!$B$11),"포함","기간 밖"))</f>
        <v/>
      </c>
      <c r="BB134" s="2">
        <f>IF($AS134="","",IF(OR($AT134&lt;0,AND($I$6&lt;&gt;"",ISNUMBER(FIND("수정",INDEX($A:$AP,ROW(),IF($I$6="",1,$I$6))&amp;"")))),"수정","일반"))</f>
        <v/>
      </c>
      <c r="BC134" s="2">
        <f>IF($AS134="","",MID(IF($BA134="기간 밖"," / 기간 밖(신고기간 아님)","")&amp;IF(AND($AW134&lt;&gt;"",COUNTIF($AW$8:$AW$1007,$AW134)&gt;1)," / 승인번호 중복(두 번 붙여넣기?)","")&amp;IF(ABS($AU134-ROUND($AT134*0.1,0))&gt;설정!$B$8,IF($AU134=0," / 세액 0원(영세율·면세 여부 확인)"," / 세액이 공급가액 10%와 다름"),"")&amp;IF($BB134="수정"," / 수정세금계산서(합계에서 자동 가감)",""),4,200))</f>
        <v/>
      </c>
      <c r="BD134" s="2">
        <f>IF($BA134&lt;&gt;"포함","",IF(COUNTIFS($AX$8:$AX134,$AX134,$BA$8:$BA134,"포함")=1,MAX($BD$7:BD133)+1,""))</f>
        <v/>
      </c>
      <c r="BE134" s="2">
        <f>IF($BC134="","",MAX($BE$7:BE133)+1)</f>
        <v/>
      </c>
    </row>
    <row r="135">
      <c r="AR135" s="2">
        <f>IF(OR($A$5="",$B$6="",ROW()&lt;$A$5),"",IF(INDEX($A:$AP,ROW(),$B$6)="","",INDEX($A:$AP,ROW(),$B$6)))</f>
        <v/>
      </c>
      <c r="AS135" s="22">
        <f>IF($AR135="","",IF(ISNUMBER($AR135),IF($AR135&gt;=10000000,IFERROR(DATE(INT($AR135/10000),MOD(INT($AR135/100),100),MOD($AR135,100)),""),INT($AR135)),IFERROR(DATE(--LEFT(LEFT(SUBSTITUTE(SUBSTITUTE(SUBSTITUTE(SUBSTITUTE(TRIM($AR135),"-",""),".",""),"/","")," ",""),8),4),--MID(LEFT(SUBSTITUTE(SUBSTITUTE(SUBSTITUTE(SUBSTITUTE(TRIM($AR135),"-",""),".",""),"/","")," ",""),8),5,2),--MID(LEFT(SUBSTITUTE(SUBSTITUTE(SUBSTITUTE(SUBSTITUTE(TRIM($AR135),"-",""),".",""),"/","")," ",""),8),7,2)),"")))</f>
        <v/>
      </c>
      <c r="AT135" s="23">
        <f>IF($AS135="","",IF($F$6="",0,IF(ISNUMBER(INDEX($A:$AP,ROW(),$F$6)),INDEX($A:$AP,ROW(),$F$6),IFERROR(--SUBSTITUTE(SUBSTITUTE(TRIM(INDEX($A:$AP,ROW(),$F$6)),",",""),"원",""),0))))</f>
        <v/>
      </c>
      <c r="AU135" s="23">
        <f>IF($AS135="","",IF($G$6="",0,IF(ISNUMBER(INDEX($A:$AP,ROW(),$G$6)),INDEX($A:$AP,ROW(),$G$6),IFERROR(--SUBSTITUTE(SUBSTITUTE(TRIM(INDEX($A:$AP,ROW(),$G$6)),",",""),"원",""),0))))</f>
        <v/>
      </c>
      <c r="AV135" s="23">
        <f>IF($AS135="","",IF($H$6="",$AT135+$AU135,IF($H$6="",0,IF(ISNUMBER(INDEX($A:$AP,ROW(),$H$6)),INDEX($A:$AP,ROW(),$H$6),IFERROR(--SUBSTITUTE(SUBSTITUTE(TRIM(INDEX($A:$AP,ROW(),$H$6)),",",""),"원",""),0)))))</f>
        <v/>
      </c>
      <c r="AW135" s="2">
        <f>IF(OR($AS135="",$C$6=""),"",TRIM(INDEX($A:$AP,ROW(),$C$6)&amp;""))</f>
        <v/>
      </c>
      <c r="AX135" s="2">
        <f>IF($AS135="","",IF($AZ135&lt;&gt;"",SUBSTITUTE(SUBSTITUTE($AZ135,"-","")," ",""),$AY135))</f>
        <v/>
      </c>
      <c r="AY135" s="2">
        <f>IF(OR($AS135="",$E$6=""),"",TRIM(INDEX($A:$AP,ROW(),$E$6)&amp;""))</f>
        <v/>
      </c>
      <c r="AZ135" s="2">
        <f>IF(OR($AS135="",$D$6=""),"",TRIM(INDEX($A:$AP,ROW(),$D$6)&amp;""))</f>
        <v/>
      </c>
      <c r="BA135" s="2">
        <f>IF($AS135="","",IF(AND($AS135&gt;=설정!$B$10,$AS135&lt;=설정!$B$11),"포함","기간 밖"))</f>
        <v/>
      </c>
      <c r="BB135" s="2">
        <f>IF($AS135="","",IF(OR($AT135&lt;0,AND($I$6&lt;&gt;"",ISNUMBER(FIND("수정",INDEX($A:$AP,ROW(),IF($I$6="",1,$I$6))&amp;"")))),"수정","일반"))</f>
        <v/>
      </c>
      <c r="BC135" s="2">
        <f>IF($AS135="","",MID(IF($BA135="기간 밖"," / 기간 밖(신고기간 아님)","")&amp;IF(AND($AW135&lt;&gt;"",COUNTIF($AW$8:$AW$1007,$AW135)&gt;1)," / 승인번호 중복(두 번 붙여넣기?)","")&amp;IF(ABS($AU135-ROUND($AT135*0.1,0))&gt;설정!$B$8,IF($AU135=0," / 세액 0원(영세율·면세 여부 확인)"," / 세액이 공급가액 10%와 다름"),"")&amp;IF($BB135="수정"," / 수정세금계산서(합계에서 자동 가감)",""),4,200))</f>
        <v/>
      </c>
      <c r="BD135" s="2">
        <f>IF($BA135&lt;&gt;"포함","",IF(COUNTIFS($AX$8:$AX135,$AX135,$BA$8:$BA135,"포함")=1,MAX($BD$7:BD134)+1,""))</f>
        <v/>
      </c>
      <c r="BE135" s="2">
        <f>IF($BC135="","",MAX($BE$7:BE134)+1)</f>
        <v/>
      </c>
    </row>
    <row r="136">
      <c r="AR136" s="2">
        <f>IF(OR($A$5="",$B$6="",ROW()&lt;$A$5),"",IF(INDEX($A:$AP,ROW(),$B$6)="","",INDEX($A:$AP,ROW(),$B$6)))</f>
        <v/>
      </c>
      <c r="AS136" s="22">
        <f>IF($AR136="","",IF(ISNUMBER($AR136),IF($AR136&gt;=10000000,IFERROR(DATE(INT($AR136/10000),MOD(INT($AR136/100),100),MOD($AR136,100)),""),INT($AR136)),IFERROR(DATE(--LEFT(LEFT(SUBSTITUTE(SUBSTITUTE(SUBSTITUTE(SUBSTITUTE(TRIM($AR136),"-",""),".",""),"/","")," ",""),8),4),--MID(LEFT(SUBSTITUTE(SUBSTITUTE(SUBSTITUTE(SUBSTITUTE(TRIM($AR136),"-",""),".",""),"/","")," ",""),8),5,2),--MID(LEFT(SUBSTITUTE(SUBSTITUTE(SUBSTITUTE(SUBSTITUTE(TRIM($AR136),"-",""),".",""),"/","")," ",""),8),7,2)),"")))</f>
        <v/>
      </c>
      <c r="AT136" s="23">
        <f>IF($AS136="","",IF($F$6="",0,IF(ISNUMBER(INDEX($A:$AP,ROW(),$F$6)),INDEX($A:$AP,ROW(),$F$6),IFERROR(--SUBSTITUTE(SUBSTITUTE(TRIM(INDEX($A:$AP,ROW(),$F$6)),",",""),"원",""),0))))</f>
        <v/>
      </c>
      <c r="AU136" s="23">
        <f>IF($AS136="","",IF($G$6="",0,IF(ISNUMBER(INDEX($A:$AP,ROW(),$G$6)),INDEX($A:$AP,ROW(),$G$6),IFERROR(--SUBSTITUTE(SUBSTITUTE(TRIM(INDEX($A:$AP,ROW(),$G$6)),",",""),"원",""),0))))</f>
        <v/>
      </c>
      <c r="AV136" s="23">
        <f>IF($AS136="","",IF($H$6="",$AT136+$AU136,IF($H$6="",0,IF(ISNUMBER(INDEX($A:$AP,ROW(),$H$6)),INDEX($A:$AP,ROW(),$H$6),IFERROR(--SUBSTITUTE(SUBSTITUTE(TRIM(INDEX($A:$AP,ROW(),$H$6)),",",""),"원",""),0)))))</f>
        <v/>
      </c>
      <c r="AW136" s="2">
        <f>IF(OR($AS136="",$C$6=""),"",TRIM(INDEX($A:$AP,ROW(),$C$6)&amp;""))</f>
        <v/>
      </c>
      <c r="AX136" s="2">
        <f>IF($AS136="","",IF($AZ136&lt;&gt;"",SUBSTITUTE(SUBSTITUTE($AZ136,"-","")," ",""),$AY136))</f>
        <v/>
      </c>
      <c r="AY136" s="2">
        <f>IF(OR($AS136="",$E$6=""),"",TRIM(INDEX($A:$AP,ROW(),$E$6)&amp;""))</f>
        <v/>
      </c>
      <c r="AZ136" s="2">
        <f>IF(OR($AS136="",$D$6=""),"",TRIM(INDEX($A:$AP,ROW(),$D$6)&amp;""))</f>
        <v/>
      </c>
      <c r="BA136" s="2">
        <f>IF($AS136="","",IF(AND($AS136&gt;=설정!$B$10,$AS136&lt;=설정!$B$11),"포함","기간 밖"))</f>
        <v/>
      </c>
      <c r="BB136" s="2">
        <f>IF($AS136="","",IF(OR($AT136&lt;0,AND($I$6&lt;&gt;"",ISNUMBER(FIND("수정",INDEX($A:$AP,ROW(),IF($I$6="",1,$I$6))&amp;"")))),"수정","일반"))</f>
        <v/>
      </c>
      <c r="BC136" s="2">
        <f>IF($AS136="","",MID(IF($BA136="기간 밖"," / 기간 밖(신고기간 아님)","")&amp;IF(AND($AW136&lt;&gt;"",COUNTIF($AW$8:$AW$1007,$AW136)&gt;1)," / 승인번호 중복(두 번 붙여넣기?)","")&amp;IF(ABS($AU136-ROUND($AT136*0.1,0))&gt;설정!$B$8,IF($AU136=0," / 세액 0원(영세율·면세 여부 확인)"," / 세액이 공급가액 10%와 다름"),"")&amp;IF($BB136="수정"," / 수정세금계산서(합계에서 자동 가감)",""),4,200))</f>
        <v/>
      </c>
      <c r="BD136" s="2">
        <f>IF($BA136&lt;&gt;"포함","",IF(COUNTIFS($AX$8:$AX136,$AX136,$BA$8:$BA136,"포함")=1,MAX($BD$7:BD135)+1,""))</f>
        <v/>
      </c>
      <c r="BE136" s="2">
        <f>IF($BC136="","",MAX($BE$7:BE135)+1)</f>
        <v/>
      </c>
    </row>
    <row r="137">
      <c r="AR137" s="2">
        <f>IF(OR($A$5="",$B$6="",ROW()&lt;$A$5),"",IF(INDEX($A:$AP,ROW(),$B$6)="","",INDEX($A:$AP,ROW(),$B$6)))</f>
        <v/>
      </c>
      <c r="AS137" s="22">
        <f>IF($AR137="","",IF(ISNUMBER($AR137),IF($AR137&gt;=10000000,IFERROR(DATE(INT($AR137/10000),MOD(INT($AR137/100),100),MOD($AR137,100)),""),INT($AR137)),IFERROR(DATE(--LEFT(LEFT(SUBSTITUTE(SUBSTITUTE(SUBSTITUTE(SUBSTITUTE(TRIM($AR137),"-",""),".",""),"/","")," ",""),8),4),--MID(LEFT(SUBSTITUTE(SUBSTITUTE(SUBSTITUTE(SUBSTITUTE(TRIM($AR137),"-",""),".",""),"/","")," ",""),8),5,2),--MID(LEFT(SUBSTITUTE(SUBSTITUTE(SUBSTITUTE(SUBSTITUTE(TRIM($AR137),"-",""),".",""),"/","")," ",""),8),7,2)),"")))</f>
        <v/>
      </c>
      <c r="AT137" s="23">
        <f>IF($AS137="","",IF($F$6="",0,IF(ISNUMBER(INDEX($A:$AP,ROW(),$F$6)),INDEX($A:$AP,ROW(),$F$6),IFERROR(--SUBSTITUTE(SUBSTITUTE(TRIM(INDEX($A:$AP,ROW(),$F$6)),",",""),"원",""),0))))</f>
        <v/>
      </c>
      <c r="AU137" s="23">
        <f>IF($AS137="","",IF($G$6="",0,IF(ISNUMBER(INDEX($A:$AP,ROW(),$G$6)),INDEX($A:$AP,ROW(),$G$6),IFERROR(--SUBSTITUTE(SUBSTITUTE(TRIM(INDEX($A:$AP,ROW(),$G$6)),",",""),"원",""),0))))</f>
        <v/>
      </c>
      <c r="AV137" s="23">
        <f>IF($AS137="","",IF($H$6="",$AT137+$AU137,IF($H$6="",0,IF(ISNUMBER(INDEX($A:$AP,ROW(),$H$6)),INDEX($A:$AP,ROW(),$H$6),IFERROR(--SUBSTITUTE(SUBSTITUTE(TRIM(INDEX($A:$AP,ROW(),$H$6)),",",""),"원",""),0)))))</f>
        <v/>
      </c>
      <c r="AW137" s="2">
        <f>IF(OR($AS137="",$C$6=""),"",TRIM(INDEX($A:$AP,ROW(),$C$6)&amp;""))</f>
        <v/>
      </c>
      <c r="AX137" s="2">
        <f>IF($AS137="","",IF($AZ137&lt;&gt;"",SUBSTITUTE(SUBSTITUTE($AZ137,"-","")," ",""),$AY137))</f>
        <v/>
      </c>
      <c r="AY137" s="2">
        <f>IF(OR($AS137="",$E$6=""),"",TRIM(INDEX($A:$AP,ROW(),$E$6)&amp;""))</f>
        <v/>
      </c>
      <c r="AZ137" s="2">
        <f>IF(OR($AS137="",$D$6=""),"",TRIM(INDEX($A:$AP,ROW(),$D$6)&amp;""))</f>
        <v/>
      </c>
      <c r="BA137" s="2">
        <f>IF($AS137="","",IF(AND($AS137&gt;=설정!$B$10,$AS137&lt;=설정!$B$11),"포함","기간 밖"))</f>
        <v/>
      </c>
      <c r="BB137" s="2">
        <f>IF($AS137="","",IF(OR($AT137&lt;0,AND($I$6&lt;&gt;"",ISNUMBER(FIND("수정",INDEX($A:$AP,ROW(),IF($I$6="",1,$I$6))&amp;"")))),"수정","일반"))</f>
        <v/>
      </c>
      <c r="BC137" s="2">
        <f>IF($AS137="","",MID(IF($BA137="기간 밖"," / 기간 밖(신고기간 아님)","")&amp;IF(AND($AW137&lt;&gt;"",COUNTIF($AW$8:$AW$1007,$AW137)&gt;1)," / 승인번호 중복(두 번 붙여넣기?)","")&amp;IF(ABS($AU137-ROUND($AT137*0.1,0))&gt;설정!$B$8,IF($AU137=0," / 세액 0원(영세율·면세 여부 확인)"," / 세액이 공급가액 10%와 다름"),"")&amp;IF($BB137="수정"," / 수정세금계산서(합계에서 자동 가감)",""),4,200))</f>
        <v/>
      </c>
      <c r="BD137" s="2">
        <f>IF($BA137&lt;&gt;"포함","",IF(COUNTIFS($AX$8:$AX137,$AX137,$BA$8:$BA137,"포함")=1,MAX($BD$7:BD136)+1,""))</f>
        <v/>
      </c>
      <c r="BE137" s="2">
        <f>IF($BC137="","",MAX($BE$7:BE136)+1)</f>
        <v/>
      </c>
    </row>
    <row r="138">
      <c r="AR138" s="2">
        <f>IF(OR($A$5="",$B$6="",ROW()&lt;$A$5),"",IF(INDEX($A:$AP,ROW(),$B$6)="","",INDEX($A:$AP,ROW(),$B$6)))</f>
        <v/>
      </c>
      <c r="AS138" s="22">
        <f>IF($AR138="","",IF(ISNUMBER($AR138),IF($AR138&gt;=10000000,IFERROR(DATE(INT($AR138/10000),MOD(INT($AR138/100),100),MOD($AR138,100)),""),INT($AR138)),IFERROR(DATE(--LEFT(LEFT(SUBSTITUTE(SUBSTITUTE(SUBSTITUTE(SUBSTITUTE(TRIM($AR138),"-",""),".",""),"/","")," ",""),8),4),--MID(LEFT(SUBSTITUTE(SUBSTITUTE(SUBSTITUTE(SUBSTITUTE(TRIM($AR138),"-",""),".",""),"/","")," ",""),8),5,2),--MID(LEFT(SUBSTITUTE(SUBSTITUTE(SUBSTITUTE(SUBSTITUTE(TRIM($AR138),"-",""),".",""),"/","")," ",""),8),7,2)),"")))</f>
        <v/>
      </c>
      <c r="AT138" s="23">
        <f>IF($AS138="","",IF($F$6="",0,IF(ISNUMBER(INDEX($A:$AP,ROW(),$F$6)),INDEX($A:$AP,ROW(),$F$6),IFERROR(--SUBSTITUTE(SUBSTITUTE(TRIM(INDEX($A:$AP,ROW(),$F$6)),",",""),"원",""),0))))</f>
        <v/>
      </c>
      <c r="AU138" s="23">
        <f>IF($AS138="","",IF($G$6="",0,IF(ISNUMBER(INDEX($A:$AP,ROW(),$G$6)),INDEX($A:$AP,ROW(),$G$6),IFERROR(--SUBSTITUTE(SUBSTITUTE(TRIM(INDEX($A:$AP,ROW(),$G$6)),",",""),"원",""),0))))</f>
        <v/>
      </c>
      <c r="AV138" s="23">
        <f>IF($AS138="","",IF($H$6="",$AT138+$AU138,IF($H$6="",0,IF(ISNUMBER(INDEX($A:$AP,ROW(),$H$6)),INDEX($A:$AP,ROW(),$H$6),IFERROR(--SUBSTITUTE(SUBSTITUTE(TRIM(INDEX($A:$AP,ROW(),$H$6)),",",""),"원",""),0)))))</f>
        <v/>
      </c>
      <c r="AW138" s="2">
        <f>IF(OR($AS138="",$C$6=""),"",TRIM(INDEX($A:$AP,ROW(),$C$6)&amp;""))</f>
        <v/>
      </c>
      <c r="AX138" s="2">
        <f>IF($AS138="","",IF($AZ138&lt;&gt;"",SUBSTITUTE(SUBSTITUTE($AZ138,"-","")," ",""),$AY138))</f>
        <v/>
      </c>
      <c r="AY138" s="2">
        <f>IF(OR($AS138="",$E$6=""),"",TRIM(INDEX($A:$AP,ROW(),$E$6)&amp;""))</f>
        <v/>
      </c>
      <c r="AZ138" s="2">
        <f>IF(OR($AS138="",$D$6=""),"",TRIM(INDEX($A:$AP,ROW(),$D$6)&amp;""))</f>
        <v/>
      </c>
      <c r="BA138" s="2">
        <f>IF($AS138="","",IF(AND($AS138&gt;=설정!$B$10,$AS138&lt;=설정!$B$11),"포함","기간 밖"))</f>
        <v/>
      </c>
      <c r="BB138" s="2">
        <f>IF($AS138="","",IF(OR($AT138&lt;0,AND($I$6&lt;&gt;"",ISNUMBER(FIND("수정",INDEX($A:$AP,ROW(),IF($I$6="",1,$I$6))&amp;"")))),"수정","일반"))</f>
        <v/>
      </c>
      <c r="BC138" s="2">
        <f>IF($AS138="","",MID(IF($BA138="기간 밖"," / 기간 밖(신고기간 아님)","")&amp;IF(AND($AW138&lt;&gt;"",COUNTIF($AW$8:$AW$1007,$AW138)&gt;1)," / 승인번호 중복(두 번 붙여넣기?)","")&amp;IF(ABS($AU138-ROUND($AT138*0.1,0))&gt;설정!$B$8,IF($AU138=0," / 세액 0원(영세율·면세 여부 확인)"," / 세액이 공급가액 10%와 다름"),"")&amp;IF($BB138="수정"," / 수정세금계산서(합계에서 자동 가감)",""),4,200))</f>
        <v/>
      </c>
      <c r="BD138" s="2">
        <f>IF($BA138&lt;&gt;"포함","",IF(COUNTIFS($AX$8:$AX138,$AX138,$BA$8:$BA138,"포함")=1,MAX($BD$7:BD137)+1,""))</f>
        <v/>
      </c>
      <c r="BE138" s="2">
        <f>IF($BC138="","",MAX($BE$7:BE137)+1)</f>
        <v/>
      </c>
    </row>
    <row r="139">
      <c r="AR139" s="2">
        <f>IF(OR($A$5="",$B$6="",ROW()&lt;$A$5),"",IF(INDEX($A:$AP,ROW(),$B$6)="","",INDEX($A:$AP,ROW(),$B$6)))</f>
        <v/>
      </c>
      <c r="AS139" s="22">
        <f>IF($AR139="","",IF(ISNUMBER($AR139),IF($AR139&gt;=10000000,IFERROR(DATE(INT($AR139/10000),MOD(INT($AR139/100),100),MOD($AR139,100)),""),INT($AR139)),IFERROR(DATE(--LEFT(LEFT(SUBSTITUTE(SUBSTITUTE(SUBSTITUTE(SUBSTITUTE(TRIM($AR139),"-",""),".",""),"/","")," ",""),8),4),--MID(LEFT(SUBSTITUTE(SUBSTITUTE(SUBSTITUTE(SUBSTITUTE(TRIM($AR139),"-",""),".",""),"/","")," ",""),8),5,2),--MID(LEFT(SUBSTITUTE(SUBSTITUTE(SUBSTITUTE(SUBSTITUTE(TRIM($AR139),"-",""),".",""),"/","")," ",""),8),7,2)),"")))</f>
        <v/>
      </c>
      <c r="AT139" s="23">
        <f>IF($AS139="","",IF($F$6="",0,IF(ISNUMBER(INDEX($A:$AP,ROW(),$F$6)),INDEX($A:$AP,ROW(),$F$6),IFERROR(--SUBSTITUTE(SUBSTITUTE(TRIM(INDEX($A:$AP,ROW(),$F$6)),",",""),"원",""),0))))</f>
        <v/>
      </c>
      <c r="AU139" s="23">
        <f>IF($AS139="","",IF($G$6="",0,IF(ISNUMBER(INDEX($A:$AP,ROW(),$G$6)),INDEX($A:$AP,ROW(),$G$6),IFERROR(--SUBSTITUTE(SUBSTITUTE(TRIM(INDEX($A:$AP,ROW(),$G$6)),",",""),"원",""),0))))</f>
        <v/>
      </c>
      <c r="AV139" s="23">
        <f>IF($AS139="","",IF($H$6="",$AT139+$AU139,IF($H$6="",0,IF(ISNUMBER(INDEX($A:$AP,ROW(),$H$6)),INDEX($A:$AP,ROW(),$H$6),IFERROR(--SUBSTITUTE(SUBSTITUTE(TRIM(INDEX($A:$AP,ROW(),$H$6)),",",""),"원",""),0)))))</f>
        <v/>
      </c>
      <c r="AW139" s="2">
        <f>IF(OR($AS139="",$C$6=""),"",TRIM(INDEX($A:$AP,ROW(),$C$6)&amp;""))</f>
        <v/>
      </c>
      <c r="AX139" s="2">
        <f>IF($AS139="","",IF($AZ139&lt;&gt;"",SUBSTITUTE(SUBSTITUTE($AZ139,"-","")," ",""),$AY139))</f>
        <v/>
      </c>
      <c r="AY139" s="2">
        <f>IF(OR($AS139="",$E$6=""),"",TRIM(INDEX($A:$AP,ROW(),$E$6)&amp;""))</f>
        <v/>
      </c>
      <c r="AZ139" s="2">
        <f>IF(OR($AS139="",$D$6=""),"",TRIM(INDEX($A:$AP,ROW(),$D$6)&amp;""))</f>
        <v/>
      </c>
      <c r="BA139" s="2">
        <f>IF($AS139="","",IF(AND($AS139&gt;=설정!$B$10,$AS139&lt;=설정!$B$11),"포함","기간 밖"))</f>
        <v/>
      </c>
      <c r="BB139" s="2">
        <f>IF($AS139="","",IF(OR($AT139&lt;0,AND($I$6&lt;&gt;"",ISNUMBER(FIND("수정",INDEX($A:$AP,ROW(),IF($I$6="",1,$I$6))&amp;"")))),"수정","일반"))</f>
        <v/>
      </c>
      <c r="BC139" s="2">
        <f>IF($AS139="","",MID(IF($BA139="기간 밖"," / 기간 밖(신고기간 아님)","")&amp;IF(AND($AW139&lt;&gt;"",COUNTIF($AW$8:$AW$1007,$AW139)&gt;1)," / 승인번호 중복(두 번 붙여넣기?)","")&amp;IF(ABS($AU139-ROUND($AT139*0.1,0))&gt;설정!$B$8,IF($AU139=0," / 세액 0원(영세율·면세 여부 확인)"," / 세액이 공급가액 10%와 다름"),"")&amp;IF($BB139="수정"," / 수정세금계산서(합계에서 자동 가감)",""),4,200))</f>
        <v/>
      </c>
      <c r="BD139" s="2">
        <f>IF($BA139&lt;&gt;"포함","",IF(COUNTIFS($AX$8:$AX139,$AX139,$BA$8:$BA139,"포함")=1,MAX($BD$7:BD138)+1,""))</f>
        <v/>
      </c>
      <c r="BE139" s="2">
        <f>IF($BC139="","",MAX($BE$7:BE138)+1)</f>
        <v/>
      </c>
    </row>
    <row r="140">
      <c r="AR140" s="2">
        <f>IF(OR($A$5="",$B$6="",ROW()&lt;$A$5),"",IF(INDEX($A:$AP,ROW(),$B$6)="","",INDEX($A:$AP,ROW(),$B$6)))</f>
        <v/>
      </c>
      <c r="AS140" s="22">
        <f>IF($AR140="","",IF(ISNUMBER($AR140),IF($AR140&gt;=10000000,IFERROR(DATE(INT($AR140/10000),MOD(INT($AR140/100),100),MOD($AR140,100)),""),INT($AR140)),IFERROR(DATE(--LEFT(LEFT(SUBSTITUTE(SUBSTITUTE(SUBSTITUTE(SUBSTITUTE(TRIM($AR140),"-",""),".",""),"/","")," ",""),8),4),--MID(LEFT(SUBSTITUTE(SUBSTITUTE(SUBSTITUTE(SUBSTITUTE(TRIM($AR140),"-",""),".",""),"/","")," ",""),8),5,2),--MID(LEFT(SUBSTITUTE(SUBSTITUTE(SUBSTITUTE(SUBSTITUTE(TRIM($AR140),"-",""),".",""),"/","")," ",""),8),7,2)),"")))</f>
        <v/>
      </c>
      <c r="AT140" s="23">
        <f>IF($AS140="","",IF($F$6="",0,IF(ISNUMBER(INDEX($A:$AP,ROW(),$F$6)),INDEX($A:$AP,ROW(),$F$6),IFERROR(--SUBSTITUTE(SUBSTITUTE(TRIM(INDEX($A:$AP,ROW(),$F$6)),",",""),"원",""),0))))</f>
        <v/>
      </c>
      <c r="AU140" s="23">
        <f>IF($AS140="","",IF($G$6="",0,IF(ISNUMBER(INDEX($A:$AP,ROW(),$G$6)),INDEX($A:$AP,ROW(),$G$6),IFERROR(--SUBSTITUTE(SUBSTITUTE(TRIM(INDEX($A:$AP,ROW(),$G$6)),",",""),"원",""),0))))</f>
        <v/>
      </c>
      <c r="AV140" s="23">
        <f>IF($AS140="","",IF($H$6="",$AT140+$AU140,IF($H$6="",0,IF(ISNUMBER(INDEX($A:$AP,ROW(),$H$6)),INDEX($A:$AP,ROW(),$H$6),IFERROR(--SUBSTITUTE(SUBSTITUTE(TRIM(INDEX($A:$AP,ROW(),$H$6)),",",""),"원",""),0)))))</f>
        <v/>
      </c>
      <c r="AW140" s="2">
        <f>IF(OR($AS140="",$C$6=""),"",TRIM(INDEX($A:$AP,ROW(),$C$6)&amp;""))</f>
        <v/>
      </c>
      <c r="AX140" s="2">
        <f>IF($AS140="","",IF($AZ140&lt;&gt;"",SUBSTITUTE(SUBSTITUTE($AZ140,"-","")," ",""),$AY140))</f>
        <v/>
      </c>
      <c r="AY140" s="2">
        <f>IF(OR($AS140="",$E$6=""),"",TRIM(INDEX($A:$AP,ROW(),$E$6)&amp;""))</f>
        <v/>
      </c>
      <c r="AZ140" s="2">
        <f>IF(OR($AS140="",$D$6=""),"",TRIM(INDEX($A:$AP,ROW(),$D$6)&amp;""))</f>
        <v/>
      </c>
      <c r="BA140" s="2">
        <f>IF($AS140="","",IF(AND($AS140&gt;=설정!$B$10,$AS140&lt;=설정!$B$11),"포함","기간 밖"))</f>
        <v/>
      </c>
      <c r="BB140" s="2">
        <f>IF($AS140="","",IF(OR($AT140&lt;0,AND($I$6&lt;&gt;"",ISNUMBER(FIND("수정",INDEX($A:$AP,ROW(),IF($I$6="",1,$I$6))&amp;"")))),"수정","일반"))</f>
        <v/>
      </c>
      <c r="BC140" s="2">
        <f>IF($AS140="","",MID(IF($BA140="기간 밖"," / 기간 밖(신고기간 아님)","")&amp;IF(AND($AW140&lt;&gt;"",COUNTIF($AW$8:$AW$1007,$AW140)&gt;1)," / 승인번호 중복(두 번 붙여넣기?)","")&amp;IF(ABS($AU140-ROUND($AT140*0.1,0))&gt;설정!$B$8,IF($AU140=0," / 세액 0원(영세율·면세 여부 확인)"," / 세액이 공급가액 10%와 다름"),"")&amp;IF($BB140="수정"," / 수정세금계산서(합계에서 자동 가감)",""),4,200))</f>
        <v/>
      </c>
      <c r="BD140" s="2">
        <f>IF($BA140&lt;&gt;"포함","",IF(COUNTIFS($AX$8:$AX140,$AX140,$BA$8:$BA140,"포함")=1,MAX($BD$7:BD139)+1,""))</f>
        <v/>
      </c>
      <c r="BE140" s="2">
        <f>IF($BC140="","",MAX($BE$7:BE139)+1)</f>
        <v/>
      </c>
    </row>
    <row r="141">
      <c r="AR141" s="2">
        <f>IF(OR($A$5="",$B$6="",ROW()&lt;$A$5),"",IF(INDEX($A:$AP,ROW(),$B$6)="","",INDEX($A:$AP,ROW(),$B$6)))</f>
        <v/>
      </c>
      <c r="AS141" s="22">
        <f>IF($AR141="","",IF(ISNUMBER($AR141),IF($AR141&gt;=10000000,IFERROR(DATE(INT($AR141/10000),MOD(INT($AR141/100),100),MOD($AR141,100)),""),INT($AR141)),IFERROR(DATE(--LEFT(LEFT(SUBSTITUTE(SUBSTITUTE(SUBSTITUTE(SUBSTITUTE(TRIM($AR141),"-",""),".",""),"/","")," ",""),8),4),--MID(LEFT(SUBSTITUTE(SUBSTITUTE(SUBSTITUTE(SUBSTITUTE(TRIM($AR141),"-",""),".",""),"/","")," ",""),8),5,2),--MID(LEFT(SUBSTITUTE(SUBSTITUTE(SUBSTITUTE(SUBSTITUTE(TRIM($AR141),"-",""),".",""),"/","")," ",""),8),7,2)),"")))</f>
        <v/>
      </c>
      <c r="AT141" s="23">
        <f>IF($AS141="","",IF($F$6="",0,IF(ISNUMBER(INDEX($A:$AP,ROW(),$F$6)),INDEX($A:$AP,ROW(),$F$6),IFERROR(--SUBSTITUTE(SUBSTITUTE(TRIM(INDEX($A:$AP,ROW(),$F$6)),",",""),"원",""),0))))</f>
        <v/>
      </c>
      <c r="AU141" s="23">
        <f>IF($AS141="","",IF($G$6="",0,IF(ISNUMBER(INDEX($A:$AP,ROW(),$G$6)),INDEX($A:$AP,ROW(),$G$6),IFERROR(--SUBSTITUTE(SUBSTITUTE(TRIM(INDEX($A:$AP,ROW(),$G$6)),",",""),"원",""),0))))</f>
        <v/>
      </c>
      <c r="AV141" s="23">
        <f>IF($AS141="","",IF($H$6="",$AT141+$AU141,IF($H$6="",0,IF(ISNUMBER(INDEX($A:$AP,ROW(),$H$6)),INDEX($A:$AP,ROW(),$H$6),IFERROR(--SUBSTITUTE(SUBSTITUTE(TRIM(INDEX($A:$AP,ROW(),$H$6)),",",""),"원",""),0)))))</f>
        <v/>
      </c>
      <c r="AW141" s="2">
        <f>IF(OR($AS141="",$C$6=""),"",TRIM(INDEX($A:$AP,ROW(),$C$6)&amp;""))</f>
        <v/>
      </c>
      <c r="AX141" s="2">
        <f>IF($AS141="","",IF($AZ141&lt;&gt;"",SUBSTITUTE(SUBSTITUTE($AZ141,"-","")," ",""),$AY141))</f>
        <v/>
      </c>
      <c r="AY141" s="2">
        <f>IF(OR($AS141="",$E$6=""),"",TRIM(INDEX($A:$AP,ROW(),$E$6)&amp;""))</f>
        <v/>
      </c>
      <c r="AZ141" s="2">
        <f>IF(OR($AS141="",$D$6=""),"",TRIM(INDEX($A:$AP,ROW(),$D$6)&amp;""))</f>
        <v/>
      </c>
      <c r="BA141" s="2">
        <f>IF($AS141="","",IF(AND($AS141&gt;=설정!$B$10,$AS141&lt;=설정!$B$11),"포함","기간 밖"))</f>
        <v/>
      </c>
      <c r="BB141" s="2">
        <f>IF($AS141="","",IF(OR($AT141&lt;0,AND($I$6&lt;&gt;"",ISNUMBER(FIND("수정",INDEX($A:$AP,ROW(),IF($I$6="",1,$I$6))&amp;"")))),"수정","일반"))</f>
        <v/>
      </c>
      <c r="BC141" s="2">
        <f>IF($AS141="","",MID(IF($BA141="기간 밖"," / 기간 밖(신고기간 아님)","")&amp;IF(AND($AW141&lt;&gt;"",COUNTIF($AW$8:$AW$1007,$AW141)&gt;1)," / 승인번호 중복(두 번 붙여넣기?)","")&amp;IF(ABS($AU141-ROUND($AT141*0.1,0))&gt;설정!$B$8,IF($AU141=0," / 세액 0원(영세율·면세 여부 확인)"," / 세액이 공급가액 10%와 다름"),"")&amp;IF($BB141="수정"," / 수정세금계산서(합계에서 자동 가감)",""),4,200))</f>
        <v/>
      </c>
      <c r="BD141" s="2">
        <f>IF($BA141&lt;&gt;"포함","",IF(COUNTIFS($AX$8:$AX141,$AX141,$BA$8:$BA141,"포함")=1,MAX($BD$7:BD140)+1,""))</f>
        <v/>
      </c>
      <c r="BE141" s="2">
        <f>IF($BC141="","",MAX($BE$7:BE140)+1)</f>
        <v/>
      </c>
    </row>
    <row r="142">
      <c r="AR142" s="2">
        <f>IF(OR($A$5="",$B$6="",ROW()&lt;$A$5),"",IF(INDEX($A:$AP,ROW(),$B$6)="","",INDEX($A:$AP,ROW(),$B$6)))</f>
        <v/>
      </c>
      <c r="AS142" s="22">
        <f>IF($AR142="","",IF(ISNUMBER($AR142),IF($AR142&gt;=10000000,IFERROR(DATE(INT($AR142/10000),MOD(INT($AR142/100),100),MOD($AR142,100)),""),INT($AR142)),IFERROR(DATE(--LEFT(LEFT(SUBSTITUTE(SUBSTITUTE(SUBSTITUTE(SUBSTITUTE(TRIM($AR142),"-",""),".",""),"/","")," ",""),8),4),--MID(LEFT(SUBSTITUTE(SUBSTITUTE(SUBSTITUTE(SUBSTITUTE(TRIM($AR142),"-",""),".",""),"/","")," ",""),8),5,2),--MID(LEFT(SUBSTITUTE(SUBSTITUTE(SUBSTITUTE(SUBSTITUTE(TRIM($AR142),"-",""),".",""),"/","")," ",""),8),7,2)),"")))</f>
        <v/>
      </c>
      <c r="AT142" s="23">
        <f>IF($AS142="","",IF($F$6="",0,IF(ISNUMBER(INDEX($A:$AP,ROW(),$F$6)),INDEX($A:$AP,ROW(),$F$6),IFERROR(--SUBSTITUTE(SUBSTITUTE(TRIM(INDEX($A:$AP,ROW(),$F$6)),",",""),"원",""),0))))</f>
        <v/>
      </c>
      <c r="AU142" s="23">
        <f>IF($AS142="","",IF($G$6="",0,IF(ISNUMBER(INDEX($A:$AP,ROW(),$G$6)),INDEX($A:$AP,ROW(),$G$6),IFERROR(--SUBSTITUTE(SUBSTITUTE(TRIM(INDEX($A:$AP,ROW(),$G$6)),",",""),"원",""),0))))</f>
        <v/>
      </c>
      <c r="AV142" s="23">
        <f>IF($AS142="","",IF($H$6="",$AT142+$AU142,IF($H$6="",0,IF(ISNUMBER(INDEX($A:$AP,ROW(),$H$6)),INDEX($A:$AP,ROW(),$H$6),IFERROR(--SUBSTITUTE(SUBSTITUTE(TRIM(INDEX($A:$AP,ROW(),$H$6)),",",""),"원",""),0)))))</f>
        <v/>
      </c>
      <c r="AW142" s="2">
        <f>IF(OR($AS142="",$C$6=""),"",TRIM(INDEX($A:$AP,ROW(),$C$6)&amp;""))</f>
        <v/>
      </c>
      <c r="AX142" s="2">
        <f>IF($AS142="","",IF($AZ142&lt;&gt;"",SUBSTITUTE(SUBSTITUTE($AZ142,"-","")," ",""),$AY142))</f>
        <v/>
      </c>
      <c r="AY142" s="2">
        <f>IF(OR($AS142="",$E$6=""),"",TRIM(INDEX($A:$AP,ROW(),$E$6)&amp;""))</f>
        <v/>
      </c>
      <c r="AZ142" s="2">
        <f>IF(OR($AS142="",$D$6=""),"",TRIM(INDEX($A:$AP,ROW(),$D$6)&amp;""))</f>
        <v/>
      </c>
      <c r="BA142" s="2">
        <f>IF($AS142="","",IF(AND($AS142&gt;=설정!$B$10,$AS142&lt;=설정!$B$11),"포함","기간 밖"))</f>
        <v/>
      </c>
      <c r="BB142" s="2">
        <f>IF($AS142="","",IF(OR($AT142&lt;0,AND($I$6&lt;&gt;"",ISNUMBER(FIND("수정",INDEX($A:$AP,ROW(),IF($I$6="",1,$I$6))&amp;"")))),"수정","일반"))</f>
        <v/>
      </c>
      <c r="BC142" s="2">
        <f>IF($AS142="","",MID(IF($BA142="기간 밖"," / 기간 밖(신고기간 아님)","")&amp;IF(AND($AW142&lt;&gt;"",COUNTIF($AW$8:$AW$1007,$AW142)&gt;1)," / 승인번호 중복(두 번 붙여넣기?)","")&amp;IF(ABS($AU142-ROUND($AT142*0.1,0))&gt;설정!$B$8,IF($AU142=0," / 세액 0원(영세율·면세 여부 확인)"," / 세액이 공급가액 10%와 다름"),"")&amp;IF($BB142="수정"," / 수정세금계산서(합계에서 자동 가감)",""),4,200))</f>
        <v/>
      </c>
      <c r="BD142" s="2">
        <f>IF($BA142&lt;&gt;"포함","",IF(COUNTIFS($AX$8:$AX142,$AX142,$BA$8:$BA142,"포함")=1,MAX($BD$7:BD141)+1,""))</f>
        <v/>
      </c>
      <c r="BE142" s="2">
        <f>IF($BC142="","",MAX($BE$7:BE141)+1)</f>
        <v/>
      </c>
    </row>
    <row r="143">
      <c r="AR143" s="2">
        <f>IF(OR($A$5="",$B$6="",ROW()&lt;$A$5),"",IF(INDEX($A:$AP,ROW(),$B$6)="","",INDEX($A:$AP,ROW(),$B$6)))</f>
        <v/>
      </c>
      <c r="AS143" s="22">
        <f>IF($AR143="","",IF(ISNUMBER($AR143),IF($AR143&gt;=10000000,IFERROR(DATE(INT($AR143/10000),MOD(INT($AR143/100),100),MOD($AR143,100)),""),INT($AR143)),IFERROR(DATE(--LEFT(LEFT(SUBSTITUTE(SUBSTITUTE(SUBSTITUTE(SUBSTITUTE(TRIM($AR143),"-",""),".",""),"/","")," ",""),8),4),--MID(LEFT(SUBSTITUTE(SUBSTITUTE(SUBSTITUTE(SUBSTITUTE(TRIM($AR143),"-",""),".",""),"/","")," ",""),8),5,2),--MID(LEFT(SUBSTITUTE(SUBSTITUTE(SUBSTITUTE(SUBSTITUTE(TRIM($AR143),"-",""),".",""),"/","")," ",""),8),7,2)),"")))</f>
        <v/>
      </c>
      <c r="AT143" s="23">
        <f>IF($AS143="","",IF($F$6="",0,IF(ISNUMBER(INDEX($A:$AP,ROW(),$F$6)),INDEX($A:$AP,ROW(),$F$6),IFERROR(--SUBSTITUTE(SUBSTITUTE(TRIM(INDEX($A:$AP,ROW(),$F$6)),",",""),"원",""),0))))</f>
        <v/>
      </c>
      <c r="AU143" s="23">
        <f>IF($AS143="","",IF($G$6="",0,IF(ISNUMBER(INDEX($A:$AP,ROW(),$G$6)),INDEX($A:$AP,ROW(),$G$6),IFERROR(--SUBSTITUTE(SUBSTITUTE(TRIM(INDEX($A:$AP,ROW(),$G$6)),",",""),"원",""),0))))</f>
        <v/>
      </c>
      <c r="AV143" s="23">
        <f>IF($AS143="","",IF($H$6="",$AT143+$AU143,IF($H$6="",0,IF(ISNUMBER(INDEX($A:$AP,ROW(),$H$6)),INDEX($A:$AP,ROW(),$H$6),IFERROR(--SUBSTITUTE(SUBSTITUTE(TRIM(INDEX($A:$AP,ROW(),$H$6)),",",""),"원",""),0)))))</f>
        <v/>
      </c>
      <c r="AW143" s="2">
        <f>IF(OR($AS143="",$C$6=""),"",TRIM(INDEX($A:$AP,ROW(),$C$6)&amp;""))</f>
        <v/>
      </c>
      <c r="AX143" s="2">
        <f>IF($AS143="","",IF($AZ143&lt;&gt;"",SUBSTITUTE(SUBSTITUTE($AZ143,"-","")," ",""),$AY143))</f>
        <v/>
      </c>
      <c r="AY143" s="2">
        <f>IF(OR($AS143="",$E$6=""),"",TRIM(INDEX($A:$AP,ROW(),$E$6)&amp;""))</f>
        <v/>
      </c>
      <c r="AZ143" s="2">
        <f>IF(OR($AS143="",$D$6=""),"",TRIM(INDEX($A:$AP,ROW(),$D$6)&amp;""))</f>
        <v/>
      </c>
      <c r="BA143" s="2">
        <f>IF($AS143="","",IF(AND($AS143&gt;=설정!$B$10,$AS143&lt;=설정!$B$11),"포함","기간 밖"))</f>
        <v/>
      </c>
      <c r="BB143" s="2">
        <f>IF($AS143="","",IF(OR($AT143&lt;0,AND($I$6&lt;&gt;"",ISNUMBER(FIND("수정",INDEX($A:$AP,ROW(),IF($I$6="",1,$I$6))&amp;"")))),"수정","일반"))</f>
        <v/>
      </c>
      <c r="BC143" s="2">
        <f>IF($AS143="","",MID(IF($BA143="기간 밖"," / 기간 밖(신고기간 아님)","")&amp;IF(AND($AW143&lt;&gt;"",COUNTIF($AW$8:$AW$1007,$AW143)&gt;1)," / 승인번호 중복(두 번 붙여넣기?)","")&amp;IF(ABS($AU143-ROUND($AT143*0.1,0))&gt;설정!$B$8,IF($AU143=0," / 세액 0원(영세율·면세 여부 확인)"," / 세액이 공급가액 10%와 다름"),"")&amp;IF($BB143="수정"," / 수정세금계산서(합계에서 자동 가감)",""),4,200))</f>
        <v/>
      </c>
      <c r="BD143" s="2">
        <f>IF($BA143&lt;&gt;"포함","",IF(COUNTIFS($AX$8:$AX143,$AX143,$BA$8:$BA143,"포함")=1,MAX($BD$7:BD142)+1,""))</f>
        <v/>
      </c>
      <c r="BE143" s="2">
        <f>IF($BC143="","",MAX($BE$7:BE142)+1)</f>
        <v/>
      </c>
    </row>
    <row r="144">
      <c r="AR144" s="2">
        <f>IF(OR($A$5="",$B$6="",ROW()&lt;$A$5),"",IF(INDEX($A:$AP,ROW(),$B$6)="","",INDEX($A:$AP,ROW(),$B$6)))</f>
        <v/>
      </c>
      <c r="AS144" s="22">
        <f>IF($AR144="","",IF(ISNUMBER($AR144),IF($AR144&gt;=10000000,IFERROR(DATE(INT($AR144/10000),MOD(INT($AR144/100),100),MOD($AR144,100)),""),INT($AR144)),IFERROR(DATE(--LEFT(LEFT(SUBSTITUTE(SUBSTITUTE(SUBSTITUTE(SUBSTITUTE(TRIM($AR144),"-",""),".",""),"/","")," ",""),8),4),--MID(LEFT(SUBSTITUTE(SUBSTITUTE(SUBSTITUTE(SUBSTITUTE(TRIM($AR144),"-",""),".",""),"/","")," ",""),8),5,2),--MID(LEFT(SUBSTITUTE(SUBSTITUTE(SUBSTITUTE(SUBSTITUTE(TRIM($AR144),"-",""),".",""),"/","")," ",""),8),7,2)),"")))</f>
        <v/>
      </c>
      <c r="AT144" s="23">
        <f>IF($AS144="","",IF($F$6="",0,IF(ISNUMBER(INDEX($A:$AP,ROW(),$F$6)),INDEX($A:$AP,ROW(),$F$6),IFERROR(--SUBSTITUTE(SUBSTITUTE(TRIM(INDEX($A:$AP,ROW(),$F$6)),",",""),"원",""),0))))</f>
        <v/>
      </c>
      <c r="AU144" s="23">
        <f>IF($AS144="","",IF($G$6="",0,IF(ISNUMBER(INDEX($A:$AP,ROW(),$G$6)),INDEX($A:$AP,ROW(),$G$6),IFERROR(--SUBSTITUTE(SUBSTITUTE(TRIM(INDEX($A:$AP,ROW(),$G$6)),",",""),"원",""),0))))</f>
        <v/>
      </c>
      <c r="AV144" s="23">
        <f>IF($AS144="","",IF($H$6="",$AT144+$AU144,IF($H$6="",0,IF(ISNUMBER(INDEX($A:$AP,ROW(),$H$6)),INDEX($A:$AP,ROW(),$H$6),IFERROR(--SUBSTITUTE(SUBSTITUTE(TRIM(INDEX($A:$AP,ROW(),$H$6)),",",""),"원",""),0)))))</f>
        <v/>
      </c>
      <c r="AW144" s="2">
        <f>IF(OR($AS144="",$C$6=""),"",TRIM(INDEX($A:$AP,ROW(),$C$6)&amp;""))</f>
        <v/>
      </c>
      <c r="AX144" s="2">
        <f>IF($AS144="","",IF($AZ144&lt;&gt;"",SUBSTITUTE(SUBSTITUTE($AZ144,"-","")," ",""),$AY144))</f>
        <v/>
      </c>
      <c r="AY144" s="2">
        <f>IF(OR($AS144="",$E$6=""),"",TRIM(INDEX($A:$AP,ROW(),$E$6)&amp;""))</f>
        <v/>
      </c>
      <c r="AZ144" s="2">
        <f>IF(OR($AS144="",$D$6=""),"",TRIM(INDEX($A:$AP,ROW(),$D$6)&amp;""))</f>
        <v/>
      </c>
      <c r="BA144" s="2">
        <f>IF($AS144="","",IF(AND($AS144&gt;=설정!$B$10,$AS144&lt;=설정!$B$11),"포함","기간 밖"))</f>
        <v/>
      </c>
      <c r="BB144" s="2">
        <f>IF($AS144="","",IF(OR($AT144&lt;0,AND($I$6&lt;&gt;"",ISNUMBER(FIND("수정",INDEX($A:$AP,ROW(),IF($I$6="",1,$I$6))&amp;"")))),"수정","일반"))</f>
        <v/>
      </c>
      <c r="BC144" s="2">
        <f>IF($AS144="","",MID(IF($BA144="기간 밖"," / 기간 밖(신고기간 아님)","")&amp;IF(AND($AW144&lt;&gt;"",COUNTIF($AW$8:$AW$1007,$AW144)&gt;1)," / 승인번호 중복(두 번 붙여넣기?)","")&amp;IF(ABS($AU144-ROUND($AT144*0.1,0))&gt;설정!$B$8,IF($AU144=0," / 세액 0원(영세율·면세 여부 확인)"," / 세액이 공급가액 10%와 다름"),"")&amp;IF($BB144="수정"," / 수정세금계산서(합계에서 자동 가감)",""),4,200))</f>
        <v/>
      </c>
      <c r="BD144" s="2">
        <f>IF($BA144&lt;&gt;"포함","",IF(COUNTIFS($AX$8:$AX144,$AX144,$BA$8:$BA144,"포함")=1,MAX($BD$7:BD143)+1,""))</f>
        <v/>
      </c>
      <c r="BE144" s="2">
        <f>IF($BC144="","",MAX($BE$7:BE143)+1)</f>
        <v/>
      </c>
    </row>
    <row r="145">
      <c r="AR145" s="2">
        <f>IF(OR($A$5="",$B$6="",ROW()&lt;$A$5),"",IF(INDEX($A:$AP,ROW(),$B$6)="","",INDEX($A:$AP,ROW(),$B$6)))</f>
        <v/>
      </c>
      <c r="AS145" s="22">
        <f>IF($AR145="","",IF(ISNUMBER($AR145),IF($AR145&gt;=10000000,IFERROR(DATE(INT($AR145/10000),MOD(INT($AR145/100),100),MOD($AR145,100)),""),INT($AR145)),IFERROR(DATE(--LEFT(LEFT(SUBSTITUTE(SUBSTITUTE(SUBSTITUTE(SUBSTITUTE(TRIM($AR145),"-",""),".",""),"/","")," ",""),8),4),--MID(LEFT(SUBSTITUTE(SUBSTITUTE(SUBSTITUTE(SUBSTITUTE(TRIM($AR145),"-",""),".",""),"/","")," ",""),8),5,2),--MID(LEFT(SUBSTITUTE(SUBSTITUTE(SUBSTITUTE(SUBSTITUTE(TRIM($AR145),"-",""),".",""),"/","")," ",""),8),7,2)),"")))</f>
        <v/>
      </c>
      <c r="AT145" s="23">
        <f>IF($AS145="","",IF($F$6="",0,IF(ISNUMBER(INDEX($A:$AP,ROW(),$F$6)),INDEX($A:$AP,ROW(),$F$6),IFERROR(--SUBSTITUTE(SUBSTITUTE(TRIM(INDEX($A:$AP,ROW(),$F$6)),",",""),"원",""),0))))</f>
        <v/>
      </c>
      <c r="AU145" s="23">
        <f>IF($AS145="","",IF($G$6="",0,IF(ISNUMBER(INDEX($A:$AP,ROW(),$G$6)),INDEX($A:$AP,ROW(),$G$6),IFERROR(--SUBSTITUTE(SUBSTITUTE(TRIM(INDEX($A:$AP,ROW(),$G$6)),",",""),"원",""),0))))</f>
        <v/>
      </c>
      <c r="AV145" s="23">
        <f>IF($AS145="","",IF($H$6="",$AT145+$AU145,IF($H$6="",0,IF(ISNUMBER(INDEX($A:$AP,ROW(),$H$6)),INDEX($A:$AP,ROW(),$H$6),IFERROR(--SUBSTITUTE(SUBSTITUTE(TRIM(INDEX($A:$AP,ROW(),$H$6)),",",""),"원",""),0)))))</f>
        <v/>
      </c>
      <c r="AW145" s="2">
        <f>IF(OR($AS145="",$C$6=""),"",TRIM(INDEX($A:$AP,ROW(),$C$6)&amp;""))</f>
        <v/>
      </c>
      <c r="AX145" s="2">
        <f>IF($AS145="","",IF($AZ145&lt;&gt;"",SUBSTITUTE(SUBSTITUTE($AZ145,"-","")," ",""),$AY145))</f>
        <v/>
      </c>
      <c r="AY145" s="2">
        <f>IF(OR($AS145="",$E$6=""),"",TRIM(INDEX($A:$AP,ROW(),$E$6)&amp;""))</f>
        <v/>
      </c>
      <c r="AZ145" s="2">
        <f>IF(OR($AS145="",$D$6=""),"",TRIM(INDEX($A:$AP,ROW(),$D$6)&amp;""))</f>
        <v/>
      </c>
      <c r="BA145" s="2">
        <f>IF($AS145="","",IF(AND($AS145&gt;=설정!$B$10,$AS145&lt;=설정!$B$11),"포함","기간 밖"))</f>
        <v/>
      </c>
      <c r="BB145" s="2">
        <f>IF($AS145="","",IF(OR($AT145&lt;0,AND($I$6&lt;&gt;"",ISNUMBER(FIND("수정",INDEX($A:$AP,ROW(),IF($I$6="",1,$I$6))&amp;"")))),"수정","일반"))</f>
        <v/>
      </c>
      <c r="BC145" s="2">
        <f>IF($AS145="","",MID(IF($BA145="기간 밖"," / 기간 밖(신고기간 아님)","")&amp;IF(AND($AW145&lt;&gt;"",COUNTIF($AW$8:$AW$1007,$AW145)&gt;1)," / 승인번호 중복(두 번 붙여넣기?)","")&amp;IF(ABS($AU145-ROUND($AT145*0.1,0))&gt;설정!$B$8,IF($AU145=0," / 세액 0원(영세율·면세 여부 확인)"," / 세액이 공급가액 10%와 다름"),"")&amp;IF($BB145="수정"," / 수정세금계산서(합계에서 자동 가감)",""),4,200))</f>
        <v/>
      </c>
      <c r="BD145" s="2">
        <f>IF($BA145&lt;&gt;"포함","",IF(COUNTIFS($AX$8:$AX145,$AX145,$BA$8:$BA145,"포함")=1,MAX($BD$7:BD144)+1,""))</f>
        <v/>
      </c>
      <c r="BE145" s="2">
        <f>IF($BC145="","",MAX($BE$7:BE144)+1)</f>
        <v/>
      </c>
    </row>
    <row r="146">
      <c r="AR146" s="2">
        <f>IF(OR($A$5="",$B$6="",ROW()&lt;$A$5),"",IF(INDEX($A:$AP,ROW(),$B$6)="","",INDEX($A:$AP,ROW(),$B$6)))</f>
        <v/>
      </c>
      <c r="AS146" s="22">
        <f>IF($AR146="","",IF(ISNUMBER($AR146),IF($AR146&gt;=10000000,IFERROR(DATE(INT($AR146/10000),MOD(INT($AR146/100),100),MOD($AR146,100)),""),INT($AR146)),IFERROR(DATE(--LEFT(LEFT(SUBSTITUTE(SUBSTITUTE(SUBSTITUTE(SUBSTITUTE(TRIM($AR146),"-",""),".",""),"/","")," ",""),8),4),--MID(LEFT(SUBSTITUTE(SUBSTITUTE(SUBSTITUTE(SUBSTITUTE(TRIM($AR146),"-",""),".",""),"/","")," ",""),8),5,2),--MID(LEFT(SUBSTITUTE(SUBSTITUTE(SUBSTITUTE(SUBSTITUTE(TRIM($AR146),"-",""),".",""),"/","")," ",""),8),7,2)),"")))</f>
        <v/>
      </c>
      <c r="AT146" s="23">
        <f>IF($AS146="","",IF($F$6="",0,IF(ISNUMBER(INDEX($A:$AP,ROW(),$F$6)),INDEX($A:$AP,ROW(),$F$6),IFERROR(--SUBSTITUTE(SUBSTITUTE(TRIM(INDEX($A:$AP,ROW(),$F$6)),",",""),"원",""),0))))</f>
        <v/>
      </c>
      <c r="AU146" s="23">
        <f>IF($AS146="","",IF($G$6="",0,IF(ISNUMBER(INDEX($A:$AP,ROW(),$G$6)),INDEX($A:$AP,ROW(),$G$6),IFERROR(--SUBSTITUTE(SUBSTITUTE(TRIM(INDEX($A:$AP,ROW(),$G$6)),",",""),"원",""),0))))</f>
        <v/>
      </c>
      <c r="AV146" s="23">
        <f>IF($AS146="","",IF($H$6="",$AT146+$AU146,IF($H$6="",0,IF(ISNUMBER(INDEX($A:$AP,ROW(),$H$6)),INDEX($A:$AP,ROW(),$H$6),IFERROR(--SUBSTITUTE(SUBSTITUTE(TRIM(INDEX($A:$AP,ROW(),$H$6)),",",""),"원",""),0)))))</f>
        <v/>
      </c>
      <c r="AW146" s="2">
        <f>IF(OR($AS146="",$C$6=""),"",TRIM(INDEX($A:$AP,ROW(),$C$6)&amp;""))</f>
        <v/>
      </c>
      <c r="AX146" s="2">
        <f>IF($AS146="","",IF($AZ146&lt;&gt;"",SUBSTITUTE(SUBSTITUTE($AZ146,"-","")," ",""),$AY146))</f>
        <v/>
      </c>
      <c r="AY146" s="2">
        <f>IF(OR($AS146="",$E$6=""),"",TRIM(INDEX($A:$AP,ROW(),$E$6)&amp;""))</f>
        <v/>
      </c>
      <c r="AZ146" s="2">
        <f>IF(OR($AS146="",$D$6=""),"",TRIM(INDEX($A:$AP,ROW(),$D$6)&amp;""))</f>
        <v/>
      </c>
      <c r="BA146" s="2">
        <f>IF($AS146="","",IF(AND($AS146&gt;=설정!$B$10,$AS146&lt;=설정!$B$11),"포함","기간 밖"))</f>
        <v/>
      </c>
      <c r="BB146" s="2">
        <f>IF($AS146="","",IF(OR($AT146&lt;0,AND($I$6&lt;&gt;"",ISNUMBER(FIND("수정",INDEX($A:$AP,ROW(),IF($I$6="",1,$I$6))&amp;"")))),"수정","일반"))</f>
        <v/>
      </c>
      <c r="BC146" s="2">
        <f>IF($AS146="","",MID(IF($BA146="기간 밖"," / 기간 밖(신고기간 아님)","")&amp;IF(AND($AW146&lt;&gt;"",COUNTIF($AW$8:$AW$1007,$AW146)&gt;1)," / 승인번호 중복(두 번 붙여넣기?)","")&amp;IF(ABS($AU146-ROUND($AT146*0.1,0))&gt;설정!$B$8,IF($AU146=0," / 세액 0원(영세율·면세 여부 확인)"," / 세액이 공급가액 10%와 다름"),"")&amp;IF($BB146="수정"," / 수정세금계산서(합계에서 자동 가감)",""),4,200))</f>
        <v/>
      </c>
      <c r="BD146" s="2">
        <f>IF($BA146&lt;&gt;"포함","",IF(COUNTIFS($AX$8:$AX146,$AX146,$BA$8:$BA146,"포함")=1,MAX($BD$7:BD145)+1,""))</f>
        <v/>
      </c>
      <c r="BE146" s="2">
        <f>IF($BC146="","",MAX($BE$7:BE145)+1)</f>
        <v/>
      </c>
    </row>
    <row r="147">
      <c r="AR147" s="2">
        <f>IF(OR($A$5="",$B$6="",ROW()&lt;$A$5),"",IF(INDEX($A:$AP,ROW(),$B$6)="","",INDEX($A:$AP,ROW(),$B$6)))</f>
        <v/>
      </c>
      <c r="AS147" s="22">
        <f>IF($AR147="","",IF(ISNUMBER($AR147),IF($AR147&gt;=10000000,IFERROR(DATE(INT($AR147/10000),MOD(INT($AR147/100),100),MOD($AR147,100)),""),INT($AR147)),IFERROR(DATE(--LEFT(LEFT(SUBSTITUTE(SUBSTITUTE(SUBSTITUTE(SUBSTITUTE(TRIM($AR147),"-",""),".",""),"/","")," ",""),8),4),--MID(LEFT(SUBSTITUTE(SUBSTITUTE(SUBSTITUTE(SUBSTITUTE(TRIM($AR147),"-",""),".",""),"/","")," ",""),8),5,2),--MID(LEFT(SUBSTITUTE(SUBSTITUTE(SUBSTITUTE(SUBSTITUTE(TRIM($AR147),"-",""),".",""),"/","")," ",""),8),7,2)),"")))</f>
        <v/>
      </c>
      <c r="AT147" s="23">
        <f>IF($AS147="","",IF($F$6="",0,IF(ISNUMBER(INDEX($A:$AP,ROW(),$F$6)),INDEX($A:$AP,ROW(),$F$6),IFERROR(--SUBSTITUTE(SUBSTITUTE(TRIM(INDEX($A:$AP,ROW(),$F$6)),",",""),"원",""),0))))</f>
        <v/>
      </c>
      <c r="AU147" s="23">
        <f>IF($AS147="","",IF($G$6="",0,IF(ISNUMBER(INDEX($A:$AP,ROW(),$G$6)),INDEX($A:$AP,ROW(),$G$6),IFERROR(--SUBSTITUTE(SUBSTITUTE(TRIM(INDEX($A:$AP,ROW(),$G$6)),",",""),"원",""),0))))</f>
        <v/>
      </c>
      <c r="AV147" s="23">
        <f>IF($AS147="","",IF($H$6="",$AT147+$AU147,IF($H$6="",0,IF(ISNUMBER(INDEX($A:$AP,ROW(),$H$6)),INDEX($A:$AP,ROW(),$H$6),IFERROR(--SUBSTITUTE(SUBSTITUTE(TRIM(INDEX($A:$AP,ROW(),$H$6)),",",""),"원",""),0)))))</f>
        <v/>
      </c>
      <c r="AW147" s="2">
        <f>IF(OR($AS147="",$C$6=""),"",TRIM(INDEX($A:$AP,ROW(),$C$6)&amp;""))</f>
        <v/>
      </c>
      <c r="AX147" s="2">
        <f>IF($AS147="","",IF($AZ147&lt;&gt;"",SUBSTITUTE(SUBSTITUTE($AZ147,"-","")," ",""),$AY147))</f>
        <v/>
      </c>
      <c r="AY147" s="2">
        <f>IF(OR($AS147="",$E$6=""),"",TRIM(INDEX($A:$AP,ROW(),$E$6)&amp;""))</f>
        <v/>
      </c>
      <c r="AZ147" s="2">
        <f>IF(OR($AS147="",$D$6=""),"",TRIM(INDEX($A:$AP,ROW(),$D$6)&amp;""))</f>
        <v/>
      </c>
      <c r="BA147" s="2">
        <f>IF($AS147="","",IF(AND($AS147&gt;=설정!$B$10,$AS147&lt;=설정!$B$11),"포함","기간 밖"))</f>
        <v/>
      </c>
      <c r="BB147" s="2">
        <f>IF($AS147="","",IF(OR($AT147&lt;0,AND($I$6&lt;&gt;"",ISNUMBER(FIND("수정",INDEX($A:$AP,ROW(),IF($I$6="",1,$I$6))&amp;"")))),"수정","일반"))</f>
        <v/>
      </c>
      <c r="BC147" s="2">
        <f>IF($AS147="","",MID(IF($BA147="기간 밖"," / 기간 밖(신고기간 아님)","")&amp;IF(AND($AW147&lt;&gt;"",COUNTIF($AW$8:$AW$1007,$AW147)&gt;1)," / 승인번호 중복(두 번 붙여넣기?)","")&amp;IF(ABS($AU147-ROUND($AT147*0.1,0))&gt;설정!$B$8,IF($AU147=0," / 세액 0원(영세율·면세 여부 확인)"," / 세액이 공급가액 10%와 다름"),"")&amp;IF($BB147="수정"," / 수정세금계산서(합계에서 자동 가감)",""),4,200))</f>
        <v/>
      </c>
      <c r="BD147" s="2">
        <f>IF($BA147&lt;&gt;"포함","",IF(COUNTIFS($AX$8:$AX147,$AX147,$BA$8:$BA147,"포함")=1,MAX($BD$7:BD146)+1,""))</f>
        <v/>
      </c>
      <c r="BE147" s="2">
        <f>IF($BC147="","",MAX($BE$7:BE146)+1)</f>
        <v/>
      </c>
    </row>
    <row r="148">
      <c r="AR148" s="2">
        <f>IF(OR($A$5="",$B$6="",ROW()&lt;$A$5),"",IF(INDEX($A:$AP,ROW(),$B$6)="","",INDEX($A:$AP,ROW(),$B$6)))</f>
        <v/>
      </c>
      <c r="AS148" s="22">
        <f>IF($AR148="","",IF(ISNUMBER($AR148),IF($AR148&gt;=10000000,IFERROR(DATE(INT($AR148/10000),MOD(INT($AR148/100),100),MOD($AR148,100)),""),INT($AR148)),IFERROR(DATE(--LEFT(LEFT(SUBSTITUTE(SUBSTITUTE(SUBSTITUTE(SUBSTITUTE(TRIM($AR148),"-",""),".",""),"/","")," ",""),8),4),--MID(LEFT(SUBSTITUTE(SUBSTITUTE(SUBSTITUTE(SUBSTITUTE(TRIM($AR148),"-",""),".",""),"/","")," ",""),8),5,2),--MID(LEFT(SUBSTITUTE(SUBSTITUTE(SUBSTITUTE(SUBSTITUTE(TRIM($AR148),"-",""),".",""),"/","")," ",""),8),7,2)),"")))</f>
        <v/>
      </c>
      <c r="AT148" s="23">
        <f>IF($AS148="","",IF($F$6="",0,IF(ISNUMBER(INDEX($A:$AP,ROW(),$F$6)),INDEX($A:$AP,ROW(),$F$6),IFERROR(--SUBSTITUTE(SUBSTITUTE(TRIM(INDEX($A:$AP,ROW(),$F$6)),",",""),"원",""),0))))</f>
        <v/>
      </c>
      <c r="AU148" s="23">
        <f>IF($AS148="","",IF($G$6="",0,IF(ISNUMBER(INDEX($A:$AP,ROW(),$G$6)),INDEX($A:$AP,ROW(),$G$6),IFERROR(--SUBSTITUTE(SUBSTITUTE(TRIM(INDEX($A:$AP,ROW(),$G$6)),",",""),"원",""),0))))</f>
        <v/>
      </c>
      <c r="AV148" s="23">
        <f>IF($AS148="","",IF($H$6="",$AT148+$AU148,IF($H$6="",0,IF(ISNUMBER(INDEX($A:$AP,ROW(),$H$6)),INDEX($A:$AP,ROW(),$H$6),IFERROR(--SUBSTITUTE(SUBSTITUTE(TRIM(INDEX($A:$AP,ROW(),$H$6)),",",""),"원",""),0)))))</f>
        <v/>
      </c>
      <c r="AW148" s="2">
        <f>IF(OR($AS148="",$C$6=""),"",TRIM(INDEX($A:$AP,ROW(),$C$6)&amp;""))</f>
        <v/>
      </c>
      <c r="AX148" s="2">
        <f>IF($AS148="","",IF($AZ148&lt;&gt;"",SUBSTITUTE(SUBSTITUTE($AZ148,"-","")," ",""),$AY148))</f>
        <v/>
      </c>
      <c r="AY148" s="2">
        <f>IF(OR($AS148="",$E$6=""),"",TRIM(INDEX($A:$AP,ROW(),$E$6)&amp;""))</f>
        <v/>
      </c>
      <c r="AZ148" s="2">
        <f>IF(OR($AS148="",$D$6=""),"",TRIM(INDEX($A:$AP,ROW(),$D$6)&amp;""))</f>
        <v/>
      </c>
      <c r="BA148" s="2">
        <f>IF($AS148="","",IF(AND($AS148&gt;=설정!$B$10,$AS148&lt;=설정!$B$11),"포함","기간 밖"))</f>
        <v/>
      </c>
      <c r="BB148" s="2">
        <f>IF($AS148="","",IF(OR($AT148&lt;0,AND($I$6&lt;&gt;"",ISNUMBER(FIND("수정",INDEX($A:$AP,ROW(),IF($I$6="",1,$I$6))&amp;"")))),"수정","일반"))</f>
        <v/>
      </c>
      <c r="BC148" s="2">
        <f>IF($AS148="","",MID(IF($BA148="기간 밖"," / 기간 밖(신고기간 아님)","")&amp;IF(AND($AW148&lt;&gt;"",COUNTIF($AW$8:$AW$1007,$AW148)&gt;1)," / 승인번호 중복(두 번 붙여넣기?)","")&amp;IF(ABS($AU148-ROUND($AT148*0.1,0))&gt;설정!$B$8,IF($AU148=0," / 세액 0원(영세율·면세 여부 확인)"," / 세액이 공급가액 10%와 다름"),"")&amp;IF($BB148="수정"," / 수정세금계산서(합계에서 자동 가감)",""),4,200))</f>
        <v/>
      </c>
      <c r="BD148" s="2">
        <f>IF($BA148&lt;&gt;"포함","",IF(COUNTIFS($AX$8:$AX148,$AX148,$BA$8:$BA148,"포함")=1,MAX($BD$7:BD147)+1,""))</f>
        <v/>
      </c>
      <c r="BE148" s="2">
        <f>IF($BC148="","",MAX($BE$7:BE147)+1)</f>
        <v/>
      </c>
    </row>
    <row r="149">
      <c r="AR149" s="2">
        <f>IF(OR($A$5="",$B$6="",ROW()&lt;$A$5),"",IF(INDEX($A:$AP,ROW(),$B$6)="","",INDEX($A:$AP,ROW(),$B$6)))</f>
        <v/>
      </c>
      <c r="AS149" s="22">
        <f>IF($AR149="","",IF(ISNUMBER($AR149),IF($AR149&gt;=10000000,IFERROR(DATE(INT($AR149/10000),MOD(INT($AR149/100),100),MOD($AR149,100)),""),INT($AR149)),IFERROR(DATE(--LEFT(LEFT(SUBSTITUTE(SUBSTITUTE(SUBSTITUTE(SUBSTITUTE(TRIM($AR149),"-",""),".",""),"/","")," ",""),8),4),--MID(LEFT(SUBSTITUTE(SUBSTITUTE(SUBSTITUTE(SUBSTITUTE(TRIM($AR149),"-",""),".",""),"/","")," ",""),8),5,2),--MID(LEFT(SUBSTITUTE(SUBSTITUTE(SUBSTITUTE(SUBSTITUTE(TRIM($AR149),"-",""),".",""),"/","")," ",""),8),7,2)),"")))</f>
        <v/>
      </c>
      <c r="AT149" s="23">
        <f>IF($AS149="","",IF($F$6="",0,IF(ISNUMBER(INDEX($A:$AP,ROW(),$F$6)),INDEX($A:$AP,ROW(),$F$6),IFERROR(--SUBSTITUTE(SUBSTITUTE(TRIM(INDEX($A:$AP,ROW(),$F$6)),",",""),"원",""),0))))</f>
        <v/>
      </c>
      <c r="AU149" s="23">
        <f>IF($AS149="","",IF($G$6="",0,IF(ISNUMBER(INDEX($A:$AP,ROW(),$G$6)),INDEX($A:$AP,ROW(),$G$6),IFERROR(--SUBSTITUTE(SUBSTITUTE(TRIM(INDEX($A:$AP,ROW(),$G$6)),",",""),"원",""),0))))</f>
        <v/>
      </c>
      <c r="AV149" s="23">
        <f>IF($AS149="","",IF($H$6="",$AT149+$AU149,IF($H$6="",0,IF(ISNUMBER(INDEX($A:$AP,ROW(),$H$6)),INDEX($A:$AP,ROW(),$H$6),IFERROR(--SUBSTITUTE(SUBSTITUTE(TRIM(INDEX($A:$AP,ROW(),$H$6)),",",""),"원",""),0)))))</f>
        <v/>
      </c>
      <c r="AW149" s="2">
        <f>IF(OR($AS149="",$C$6=""),"",TRIM(INDEX($A:$AP,ROW(),$C$6)&amp;""))</f>
        <v/>
      </c>
      <c r="AX149" s="2">
        <f>IF($AS149="","",IF($AZ149&lt;&gt;"",SUBSTITUTE(SUBSTITUTE($AZ149,"-","")," ",""),$AY149))</f>
        <v/>
      </c>
      <c r="AY149" s="2">
        <f>IF(OR($AS149="",$E$6=""),"",TRIM(INDEX($A:$AP,ROW(),$E$6)&amp;""))</f>
        <v/>
      </c>
      <c r="AZ149" s="2">
        <f>IF(OR($AS149="",$D$6=""),"",TRIM(INDEX($A:$AP,ROW(),$D$6)&amp;""))</f>
        <v/>
      </c>
      <c r="BA149" s="2">
        <f>IF($AS149="","",IF(AND($AS149&gt;=설정!$B$10,$AS149&lt;=설정!$B$11),"포함","기간 밖"))</f>
        <v/>
      </c>
      <c r="BB149" s="2">
        <f>IF($AS149="","",IF(OR($AT149&lt;0,AND($I$6&lt;&gt;"",ISNUMBER(FIND("수정",INDEX($A:$AP,ROW(),IF($I$6="",1,$I$6))&amp;"")))),"수정","일반"))</f>
        <v/>
      </c>
      <c r="BC149" s="2">
        <f>IF($AS149="","",MID(IF($BA149="기간 밖"," / 기간 밖(신고기간 아님)","")&amp;IF(AND($AW149&lt;&gt;"",COUNTIF($AW$8:$AW$1007,$AW149)&gt;1)," / 승인번호 중복(두 번 붙여넣기?)","")&amp;IF(ABS($AU149-ROUND($AT149*0.1,0))&gt;설정!$B$8,IF($AU149=0," / 세액 0원(영세율·면세 여부 확인)"," / 세액이 공급가액 10%와 다름"),"")&amp;IF($BB149="수정"," / 수정세금계산서(합계에서 자동 가감)",""),4,200))</f>
        <v/>
      </c>
      <c r="BD149" s="2">
        <f>IF($BA149&lt;&gt;"포함","",IF(COUNTIFS($AX$8:$AX149,$AX149,$BA$8:$BA149,"포함")=1,MAX($BD$7:BD148)+1,""))</f>
        <v/>
      </c>
      <c r="BE149" s="2">
        <f>IF($BC149="","",MAX($BE$7:BE148)+1)</f>
        <v/>
      </c>
    </row>
    <row r="150">
      <c r="AR150" s="2">
        <f>IF(OR($A$5="",$B$6="",ROW()&lt;$A$5),"",IF(INDEX($A:$AP,ROW(),$B$6)="","",INDEX($A:$AP,ROW(),$B$6)))</f>
        <v/>
      </c>
      <c r="AS150" s="22">
        <f>IF($AR150="","",IF(ISNUMBER($AR150),IF($AR150&gt;=10000000,IFERROR(DATE(INT($AR150/10000),MOD(INT($AR150/100),100),MOD($AR150,100)),""),INT($AR150)),IFERROR(DATE(--LEFT(LEFT(SUBSTITUTE(SUBSTITUTE(SUBSTITUTE(SUBSTITUTE(TRIM($AR150),"-",""),".",""),"/","")," ",""),8),4),--MID(LEFT(SUBSTITUTE(SUBSTITUTE(SUBSTITUTE(SUBSTITUTE(TRIM($AR150),"-",""),".",""),"/","")," ",""),8),5,2),--MID(LEFT(SUBSTITUTE(SUBSTITUTE(SUBSTITUTE(SUBSTITUTE(TRIM($AR150),"-",""),".",""),"/","")," ",""),8),7,2)),"")))</f>
        <v/>
      </c>
      <c r="AT150" s="23">
        <f>IF($AS150="","",IF($F$6="",0,IF(ISNUMBER(INDEX($A:$AP,ROW(),$F$6)),INDEX($A:$AP,ROW(),$F$6),IFERROR(--SUBSTITUTE(SUBSTITUTE(TRIM(INDEX($A:$AP,ROW(),$F$6)),",",""),"원",""),0))))</f>
        <v/>
      </c>
      <c r="AU150" s="23">
        <f>IF($AS150="","",IF($G$6="",0,IF(ISNUMBER(INDEX($A:$AP,ROW(),$G$6)),INDEX($A:$AP,ROW(),$G$6),IFERROR(--SUBSTITUTE(SUBSTITUTE(TRIM(INDEX($A:$AP,ROW(),$G$6)),",",""),"원",""),0))))</f>
        <v/>
      </c>
      <c r="AV150" s="23">
        <f>IF($AS150="","",IF($H$6="",$AT150+$AU150,IF($H$6="",0,IF(ISNUMBER(INDEX($A:$AP,ROW(),$H$6)),INDEX($A:$AP,ROW(),$H$6),IFERROR(--SUBSTITUTE(SUBSTITUTE(TRIM(INDEX($A:$AP,ROW(),$H$6)),",",""),"원",""),0)))))</f>
        <v/>
      </c>
      <c r="AW150" s="2">
        <f>IF(OR($AS150="",$C$6=""),"",TRIM(INDEX($A:$AP,ROW(),$C$6)&amp;""))</f>
        <v/>
      </c>
      <c r="AX150" s="2">
        <f>IF($AS150="","",IF($AZ150&lt;&gt;"",SUBSTITUTE(SUBSTITUTE($AZ150,"-","")," ",""),$AY150))</f>
        <v/>
      </c>
      <c r="AY150" s="2">
        <f>IF(OR($AS150="",$E$6=""),"",TRIM(INDEX($A:$AP,ROW(),$E$6)&amp;""))</f>
        <v/>
      </c>
      <c r="AZ150" s="2">
        <f>IF(OR($AS150="",$D$6=""),"",TRIM(INDEX($A:$AP,ROW(),$D$6)&amp;""))</f>
        <v/>
      </c>
      <c r="BA150" s="2">
        <f>IF($AS150="","",IF(AND($AS150&gt;=설정!$B$10,$AS150&lt;=설정!$B$11),"포함","기간 밖"))</f>
        <v/>
      </c>
      <c r="BB150" s="2">
        <f>IF($AS150="","",IF(OR($AT150&lt;0,AND($I$6&lt;&gt;"",ISNUMBER(FIND("수정",INDEX($A:$AP,ROW(),IF($I$6="",1,$I$6))&amp;"")))),"수정","일반"))</f>
        <v/>
      </c>
      <c r="BC150" s="2">
        <f>IF($AS150="","",MID(IF($BA150="기간 밖"," / 기간 밖(신고기간 아님)","")&amp;IF(AND($AW150&lt;&gt;"",COUNTIF($AW$8:$AW$1007,$AW150)&gt;1)," / 승인번호 중복(두 번 붙여넣기?)","")&amp;IF(ABS($AU150-ROUND($AT150*0.1,0))&gt;설정!$B$8,IF($AU150=0," / 세액 0원(영세율·면세 여부 확인)"," / 세액이 공급가액 10%와 다름"),"")&amp;IF($BB150="수정"," / 수정세금계산서(합계에서 자동 가감)",""),4,200))</f>
        <v/>
      </c>
      <c r="BD150" s="2">
        <f>IF($BA150&lt;&gt;"포함","",IF(COUNTIFS($AX$8:$AX150,$AX150,$BA$8:$BA150,"포함")=1,MAX($BD$7:BD149)+1,""))</f>
        <v/>
      </c>
      <c r="BE150" s="2">
        <f>IF($BC150="","",MAX($BE$7:BE149)+1)</f>
        <v/>
      </c>
    </row>
    <row r="151">
      <c r="AR151" s="2">
        <f>IF(OR($A$5="",$B$6="",ROW()&lt;$A$5),"",IF(INDEX($A:$AP,ROW(),$B$6)="","",INDEX($A:$AP,ROW(),$B$6)))</f>
        <v/>
      </c>
      <c r="AS151" s="22">
        <f>IF($AR151="","",IF(ISNUMBER($AR151),IF($AR151&gt;=10000000,IFERROR(DATE(INT($AR151/10000),MOD(INT($AR151/100),100),MOD($AR151,100)),""),INT($AR151)),IFERROR(DATE(--LEFT(LEFT(SUBSTITUTE(SUBSTITUTE(SUBSTITUTE(SUBSTITUTE(TRIM($AR151),"-",""),".",""),"/","")," ",""),8),4),--MID(LEFT(SUBSTITUTE(SUBSTITUTE(SUBSTITUTE(SUBSTITUTE(TRIM($AR151),"-",""),".",""),"/","")," ",""),8),5,2),--MID(LEFT(SUBSTITUTE(SUBSTITUTE(SUBSTITUTE(SUBSTITUTE(TRIM($AR151),"-",""),".",""),"/","")," ",""),8),7,2)),"")))</f>
        <v/>
      </c>
      <c r="AT151" s="23">
        <f>IF($AS151="","",IF($F$6="",0,IF(ISNUMBER(INDEX($A:$AP,ROW(),$F$6)),INDEX($A:$AP,ROW(),$F$6),IFERROR(--SUBSTITUTE(SUBSTITUTE(TRIM(INDEX($A:$AP,ROW(),$F$6)),",",""),"원",""),0))))</f>
        <v/>
      </c>
      <c r="AU151" s="23">
        <f>IF($AS151="","",IF($G$6="",0,IF(ISNUMBER(INDEX($A:$AP,ROW(),$G$6)),INDEX($A:$AP,ROW(),$G$6),IFERROR(--SUBSTITUTE(SUBSTITUTE(TRIM(INDEX($A:$AP,ROW(),$G$6)),",",""),"원",""),0))))</f>
        <v/>
      </c>
      <c r="AV151" s="23">
        <f>IF($AS151="","",IF($H$6="",$AT151+$AU151,IF($H$6="",0,IF(ISNUMBER(INDEX($A:$AP,ROW(),$H$6)),INDEX($A:$AP,ROW(),$H$6),IFERROR(--SUBSTITUTE(SUBSTITUTE(TRIM(INDEX($A:$AP,ROW(),$H$6)),",",""),"원",""),0)))))</f>
        <v/>
      </c>
      <c r="AW151" s="2">
        <f>IF(OR($AS151="",$C$6=""),"",TRIM(INDEX($A:$AP,ROW(),$C$6)&amp;""))</f>
        <v/>
      </c>
      <c r="AX151" s="2">
        <f>IF($AS151="","",IF($AZ151&lt;&gt;"",SUBSTITUTE(SUBSTITUTE($AZ151,"-","")," ",""),$AY151))</f>
        <v/>
      </c>
      <c r="AY151" s="2">
        <f>IF(OR($AS151="",$E$6=""),"",TRIM(INDEX($A:$AP,ROW(),$E$6)&amp;""))</f>
        <v/>
      </c>
      <c r="AZ151" s="2">
        <f>IF(OR($AS151="",$D$6=""),"",TRIM(INDEX($A:$AP,ROW(),$D$6)&amp;""))</f>
        <v/>
      </c>
      <c r="BA151" s="2">
        <f>IF($AS151="","",IF(AND($AS151&gt;=설정!$B$10,$AS151&lt;=설정!$B$11),"포함","기간 밖"))</f>
        <v/>
      </c>
      <c r="BB151" s="2">
        <f>IF($AS151="","",IF(OR($AT151&lt;0,AND($I$6&lt;&gt;"",ISNUMBER(FIND("수정",INDEX($A:$AP,ROW(),IF($I$6="",1,$I$6))&amp;"")))),"수정","일반"))</f>
        <v/>
      </c>
      <c r="BC151" s="2">
        <f>IF($AS151="","",MID(IF($BA151="기간 밖"," / 기간 밖(신고기간 아님)","")&amp;IF(AND($AW151&lt;&gt;"",COUNTIF($AW$8:$AW$1007,$AW151)&gt;1)," / 승인번호 중복(두 번 붙여넣기?)","")&amp;IF(ABS($AU151-ROUND($AT151*0.1,0))&gt;설정!$B$8,IF($AU151=0," / 세액 0원(영세율·면세 여부 확인)"," / 세액이 공급가액 10%와 다름"),"")&amp;IF($BB151="수정"," / 수정세금계산서(합계에서 자동 가감)",""),4,200))</f>
        <v/>
      </c>
      <c r="BD151" s="2">
        <f>IF($BA151&lt;&gt;"포함","",IF(COUNTIFS($AX$8:$AX151,$AX151,$BA$8:$BA151,"포함")=1,MAX($BD$7:BD150)+1,""))</f>
        <v/>
      </c>
      <c r="BE151" s="2">
        <f>IF($BC151="","",MAX($BE$7:BE150)+1)</f>
        <v/>
      </c>
    </row>
    <row r="152">
      <c r="AR152" s="2">
        <f>IF(OR($A$5="",$B$6="",ROW()&lt;$A$5),"",IF(INDEX($A:$AP,ROW(),$B$6)="","",INDEX($A:$AP,ROW(),$B$6)))</f>
        <v/>
      </c>
      <c r="AS152" s="22">
        <f>IF($AR152="","",IF(ISNUMBER($AR152),IF($AR152&gt;=10000000,IFERROR(DATE(INT($AR152/10000),MOD(INT($AR152/100),100),MOD($AR152,100)),""),INT($AR152)),IFERROR(DATE(--LEFT(LEFT(SUBSTITUTE(SUBSTITUTE(SUBSTITUTE(SUBSTITUTE(TRIM($AR152),"-",""),".",""),"/","")," ",""),8),4),--MID(LEFT(SUBSTITUTE(SUBSTITUTE(SUBSTITUTE(SUBSTITUTE(TRIM($AR152),"-",""),".",""),"/","")," ",""),8),5,2),--MID(LEFT(SUBSTITUTE(SUBSTITUTE(SUBSTITUTE(SUBSTITUTE(TRIM($AR152),"-",""),".",""),"/","")," ",""),8),7,2)),"")))</f>
        <v/>
      </c>
      <c r="AT152" s="23">
        <f>IF($AS152="","",IF($F$6="",0,IF(ISNUMBER(INDEX($A:$AP,ROW(),$F$6)),INDEX($A:$AP,ROW(),$F$6),IFERROR(--SUBSTITUTE(SUBSTITUTE(TRIM(INDEX($A:$AP,ROW(),$F$6)),",",""),"원",""),0))))</f>
        <v/>
      </c>
      <c r="AU152" s="23">
        <f>IF($AS152="","",IF($G$6="",0,IF(ISNUMBER(INDEX($A:$AP,ROW(),$G$6)),INDEX($A:$AP,ROW(),$G$6),IFERROR(--SUBSTITUTE(SUBSTITUTE(TRIM(INDEX($A:$AP,ROW(),$G$6)),",",""),"원",""),0))))</f>
        <v/>
      </c>
      <c r="AV152" s="23">
        <f>IF($AS152="","",IF($H$6="",$AT152+$AU152,IF($H$6="",0,IF(ISNUMBER(INDEX($A:$AP,ROW(),$H$6)),INDEX($A:$AP,ROW(),$H$6),IFERROR(--SUBSTITUTE(SUBSTITUTE(TRIM(INDEX($A:$AP,ROW(),$H$6)),",",""),"원",""),0)))))</f>
        <v/>
      </c>
      <c r="AW152" s="2">
        <f>IF(OR($AS152="",$C$6=""),"",TRIM(INDEX($A:$AP,ROW(),$C$6)&amp;""))</f>
        <v/>
      </c>
      <c r="AX152" s="2">
        <f>IF($AS152="","",IF($AZ152&lt;&gt;"",SUBSTITUTE(SUBSTITUTE($AZ152,"-","")," ",""),$AY152))</f>
        <v/>
      </c>
      <c r="AY152" s="2">
        <f>IF(OR($AS152="",$E$6=""),"",TRIM(INDEX($A:$AP,ROW(),$E$6)&amp;""))</f>
        <v/>
      </c>
      <c r="AZ152" s="2">
        <f>IF(OR($AS152="",$D$6=""),"",TRIM(INDEX($A:$AP,ROW(),$D$6)&amp;""))</f>
        <v/>
      </c>
      <c r="BA152" s="2">
        <f>IF($AS152="","",IF(AND($AS152&gt;=설정!$B$10,$AS152&lt;=설정!$B$11),"포함","기간 밖"))</f>
        <v/>
      </c>
      <c r="BB152" s="2">
        <f>IF($AS152="","",IF(OR($AT152&lt;0,AND($I$6&lt;&gt;"",ISNUMBER(FIND("수정",INDEX($A:$AP,ROW(),IF($I$6="",1,$I$6))&amp;"")))),"수정","일반"))</f>
        <v/>
      </c>
      <c r="BC152" s="2">
        <f>IF($AS152="","",MID(IF($BA152="기간 밖"," / 기간 밖(신고기간 아님)","")&amp;IF(AND($AW152&lt;&gt;"",COUNTIF($AW$8:$AW$1007,$AW152)&gt;1)," / 승인번호 중복(두 번 붙여넣기?)","")&amp;IF(ABS($AU152-ROUND($AT152*0.1,0))&gt;설정!$B$8,IF($AU152=0," / 세액 0원(영세율·면세 여부 확인)"," / 세액이 공급가액 10%와 다름"),"")&amp;IF($BB152="수정"," / 수정세금계산서(합계에서 자동 가감)",""),4,200))</f>
        <v/>
      </c>
      <c r="BD152" s="2">
        <f>IF($BA152&lt;&gt;"포함","",IF(COUNTIFS($AX$8:$AX152,$AX152,$BA$8:$BA152,"포함")=1,MAX($BD$7:BD151)+1,""))</f>
        <v/>
      </c>
      <c r="BE152" s="2">
        <f>IF($BC152="","",MAX($BE$7:BE151)+1)</f>
        <v/>
      </c>
    </row>
    <row r="153">
      <c r="AR153" s="2">
        <f>IF(OR($A$5="",$B$6="",ROW()&lt;$A$5),"",IF(INDEX($A:$AP,ROW(),$B$6)="","",INDEX($A:$AP,ROW(),$B$6)))</f>
        <v/>
      </c>
      <c r="AS153" s="22">
        <f>IF($AR153="","",IF(ISNUMBER($AR153),IF($AR153&gt;=10000000,IFERROR(DATE(INT($AR153/10000),MOD(INT($AR153/100),100),MOD($AR153,100)),""),INT($AR153)),IFERROR(DATE(--LEFT(LEFT(SUBSTITUTE(SUBSTITUTE(SUBSTITUTE(SUBSTITUTE(TRIM($AR153),"-",""),".",""),"/","")," ",""),8),4),--MID(LEFT(SUBSTITUTE(SUBSTITUTE(SUBSTITUTE(SUBSTITUTE(TRIM($AR153),"-",""),".",""),"/","")," ",""),8),5,2),--MID(LEFT(SUBSTITUTE(SUBSTITUTE(SUBSTITUTE(SUBSTITUTE(TRIM($AR153),"-",""),".",""),"/","")," ",""),8),7,2)),"")))</f>
        <v/>
      </c>
      <c r="AT153" s="23">
        <f>IF($AS153="","",IF($F$6="",0,IF(ISNUMBER(INDEX($A:$AP,ROW(),$F$6)),INDEX($A:$AP,ROW(),$F$6),IFERROR(--SUBSTITUTE(SUBSTITUTE(TRIM(INDEX($A:$AP,ROW(),$F$6)),",",""),"원",""),0))))</f>
        <v/>
      </c>
      <c r="AU153" s="23">
        <f>IF($AS153="","",IF($G$6="",0,IF(ISNUMBER(INDEX($A:$AP,ROW(),$G$6)),INDEX($A:$AP,ROW(),$G$6),IFERROR(--SUBSTITUTE(SUBSTITUTE(TRIM(INDEX($A:$AP,ROW(),$G$6)),",",""),"원",""),0))))</f>
        <v/>
      </c>
      <c r="AV153" s="23">
        <f>IF($AS153="","",IF($H$6="",$AT153+$AU153,IF($H$6="",0,IF(ISNUMBER(INDEX($A:$AP,ROW(),$H$6)),INDEX($A:$AP,ROW(),$H$6),IFERROR(--SUBSTITUTE(SUBSTITUTE(TRIM(INDEX($A:$AP,ROW(),$H$6)),",",""),"원",""),0)))))</f>
        <v/>
      </c>
      <c r="AW153" s="2">
        <f>IF(OR($AS153="",$C$6=""),"",TRIM(INDEX($A:$AP,ROW(),$C$6)&amp;""))</f>
        <v/>
      </c>
      <c r="AX153" s="2">
        <f>IF($AS153="","",IF($AZ153&lt;&gt;"",SUBSTITUTE(SUBSTITUTE($AZ153,"-","")," ",""),$AY153))</f>
        <v/>
      </c>
      <c r="AY153" s="2">
        <f>IF(OR($AS153="",$E$6=""),"",TRIM(INDEX($A:$AP,ROW(),$E$6)&amp;""))</f>
        <v/>
      </c>
      <c r="AZ153" s="2">
        <f>IF(OR($AS153="",$D$6=""),"",TRIM(INDEX($A:$AP,ROW(),$D$6)&amp;""))</f>
        <v/>
      </c>
      <c r="BA153" s="2">
        <f>IF($AS153="","",IF(AND($AS153&gt;=설정!$B$10,$AS153&lt;=설정!$B$11),"포함","기간 밖"))</f>
        <v/>
      </c>
      <c r="BB153" s="2">
        <f>IF($AS153="","",IF(OR($AT153&lt;0,AND($I$6&lt;&gt;"",ISNUMBER(FIND("수정",INDEX($A:$AP,ROW(),IF($I$6="",1,$I$6))&amp;"")))),"수정","일반"))</f>
        <v/>
      </c>
      <c r="BC153" s="2">
        <f>IF($AS153="","",MID(IF($BA153="기간 밖"," / 기간 밖(신고기간 아님)","")&amp;IF(AND($AW153&lt;&gt;"",COUNTIF($AW$8:$AW$1007,$AW153)&gt;1)," / 승인번호 중복(두 번 붙여넣기?)","")&amp;IF(ABS($AU153-ROUND($AT153*0.1,0))&gt;설정!$B$8,IF($AU153=0," / 세액 0원(영세율·면세 여부 확인)"," / 세액이 공급가액 10%와 다름"),"")&amp;IF($BB153="수정"," / 수정세금계산서(합계에서 자동 가감)",""),4,200))</f>
        <v/>
      </c>
      <c r="BD153" s="2">
        <f>IF($BA153&lt;&gt;"포함","",IF(COUNTIFS($AX$8:$AX153,$AX153,$BA$8:$BA153,"포함")=1,MAX($BD$7:BD152)+1,""))</f>
        <v/>
      </c>
      <c r="BE153" s="2">
        <f>IF($BC153="","",MAX($BE$7:BE152)+1)</f>
        <v/>
      </c>
    </row>
    <row r="154">
      <c r="AR154" s="2">
        <f>IF(OR($A$5="",$B$6="",ROW()&lt;$A$5),"",IF(INDEX($A:$AP,ROW(),$B$6)="","",INDEX($A:$AP,ROW(),$B$6)))</f>
        <v/>
      </c>
      <c r="AS154" s="22">
        <f>IF($AR154="","",IF(ISNUMBER($AR154),IF($AR154&gt;=10000000,IFERROR(DATE(INT($AR154/10000),MOD(INT($AR154/100),100),MOD($AR154,100)),""),INT($AR154)),IFERROR(DATE(--LEFT(LEFT(SUBSTITUTE(SUBSTITUTE(SUBSTITUTE(SUBSTITUTE(TRIM($AR154),"-",""),".",""),"/","")," ",""),8),4),--MID(LEFT(SUBSTITUTE(SUBSTITUTE(SUBSTITUTE(SUBSTITUTE(TRIM($AR154),"-",""),".",""),"/","")," ",""),8),5,2),--MID(LEFT(SUBSTITUTE(SUBSTITUTE(SUBSTITUTE(SUBSTITUTE(TRIM($AR154),"-",""),".",""),"/","")," ",""),8),7,2)),"")))</f>
        <v/>
      </c>
      <c r="AT154" s="23">
        <f>IF($AS154="","",IF($F$6="",0,IF(ISNUMBER(INDEX($A:$AP,ROW(),$F$6)),INDEX($A:$AP,ROW(),$F$6),IFERROR(--SUBSTITUTE(SUBSTITUTE(TRIM(INDEX($A:$AP,ROW(),$F$6)),",",""),"원",""),0))))</f>
        <v/>
      </c>
      <c r="AU154" s="23">
        <f>IF($AS154="","",IF($G$6="",0,IF(ISNUMBER(INDEX($A:$AP,ROW(),$G$6)),INDEX($A:$AP,ROW(),$G$6),IFERROR(--SUBSTITUTE(SUBSTITUTE(TRIM(INDEX($A:$AP,ROW(),$G$6)),",",""),"원",""),0))))</f>
        <v/>
      </c>
      <c r="AV154" s="23">
        <f>IF($AS154="","",IF($H$6="",$AT154+$AU154,IF($H$6="",0,IF(ISNUMBER(INDEX($A:$AP,ROW(),$H$6)),INDEX($A:$AP,ROW(),$H$6),IFERROR(--SUBSTITUTE(SUBSTITUTE(TRIM(INDEX($A:$AP,ROW(),$H$6)),",",""),"원",""),0)))))</f>
        <v/>
      </c>
      <c r="AW154" s="2">
        <f>IF(OR($AS154="",$C$6=""),"",TRIM(INDEX($A:$AP,ROW(),$C$6)&amp;""))</f>
        <v/>
      </c>
      <c r="AX154" s="2">
        <f>IF($AS154="","",IF($AZ154&lt;&gt;"",SUBSTITUTE(SUBSTITUTE($AZ154,"-","")," ",""),$AY154))</f>
        <v/>
      </c>
      <c r="AY154" s="2">
        <f>IF(OR($AS154="",$E$6=""),"",TRIM(INDEX($A:$AP,ROW(),$E$6)&amp;""))</f>
        <v/>
      </c>
      <c r="AZ154" s="2">
        <f>IF(OR($AS154="",$D$6=""),"",TRIM(INDEX($A:$AP,ROW(),$D$6)&amp;""))</f>
        <v/>
      </c>
      <c r="BA154" s="2">
        <f>IF($AS154="","",IF(AND($AS154&gt;=설정!$B$10,$AS154&lt;=설정!$B$11),"포함","기간 밖"))</f>
        <v/>
      </c>
      <c r="BB154" s="2">
        <f>IF($AS154="","",IF(OR($AT154&lt;0,AND($I$6&lt;&gt;"",ISNUMBER(FIND("수정",INDEX($A:$AP,ROW(),IF($I$6="",1,$I$6))&amp;"")))),"수정","일반"))</f>
        <v/>
      </c>
      <c r="BC154" s="2">
        <f>IF($AS154="","",MID(IF($BA154="기간 밖"," / 기간 밖(신고기간 아님)","")&amp;IF(AND($AW154&lt;&gt;"",COUNTIF($AW$8:$AW$1007,$AW154)&gt;1)," / 승인번호 중복(두 번 붙여넣기?)","")&amp;IF(ABS($AU154-ROUND($AT154*0.1,0))&gt;설정!$B$8,IF($AU154=0," / 세액 0원(영세율·면세 여부 확인)"," / 세액이 공급가액 10%와 다름"),"")&amp;IF($BB154="수정"," / 수정세금계산서(합계에서 자동 가감)",""),4,200))</f>
        <v/>
      </c>
      <c r="BD154" s="2">
        <f>IF($BA154&lt;&gt;"포함","",IF(COUNTIFS($AX$8:$AX154,$AX154,$BA$8:$BA154,"포함")=1,MAX($BD$7:BD153)+1,""))</f>
        <v/>
      </c>
      <c r="BE154" s="2">
        <f>IF($BC154="","",MAX($BE$7:BE153)+1)</f>
        <v/>
      </c>
    </row>
    <row r="155">
      <c r="AR155" s="2">
        <f>IF(OR($A$5="",$B$6="",ROW()&lt;$A$5),"",IF(INDEX($A:$AP,ROW(),$B$6)="","",INDEX($A:$AP,ROW(),$B$6)))</f>
        <v/>
      </c>
      <c r="AS155" s="22">
        <f>IF($AR155="","",IF(ISNUMBER($AR155),IF($AR155&gt;=10000000,IFERROR(DATE(INT($AR155/10000),MOD(INT($AR155/100),100),MOD($AR155,100)),""),INT($AR155)),IFERROR(DATE(--LEFT(LEFT(SUBSTITUTE(SUBSTITUTE(SUBSTITUTE(SUBSTITUTE(TRIM($AR155),"-",""),".",""),"/","")," ",""),8),4),--MID(LEFT(SUBSTITUTE(SUBSTITUTE(SUBSTITUTE(SUBSTITUTE(TRIM($AR155),"-",""),".",""),"/","")," ",""),8),5,2),--MID(LEFT(SUBSTITUTE(SUBSTITUTE(SUBSTITUTE(SUBSTITUTE(TRIM($AR155),"-",""),".",""),"/","")," ",""),8),7,2)),"")))</f>
        <v/>
      </c>
      <c r="AT155" s="23">
        <f>IF($AS155="","",IF($F$6="",0,IF(ISNUMBER(INDEX($A:$AP,ROW(),$F$6)),INDEX($A:$AP,ROW(),$F$6),IFERROR(--SUBSTITUTE(SUBSTITUTE(TRIM(INDEX($A:$AP,ROW(),$F$6)),",",""),"원",""),0))))</f>
        <v/>
      </c>
      <c r="AU155" s="23">
        <f>IF($AS155="","",IF($G$6="",0,IF(ISNUMBER(INDEX($A:$AP,ROW(),$G$6)),INDEX($A:$AP,ROW(),$G$6),IFERROR(--SUBSTITUTE(SUBSTITUTE(TRIM(INDEX($A:$AP,ROW(),$G$6)),",",""),"원",""),0))))</f>
        <v/>
      </c>
      <c r="AV155" s="23">
        <f>IF($AS155="","",IF($H$6="",$AT155+$AU155,IF($H$6="",0,IF(ISNUMBER(INDEX($A:$AP,ROW(),$H$6)),INDEX($A:$AP,ROW(),$H$6),IFERROR(--SUBSTITUTE(SUBSTITUTE(TRIM(INDEX($A:$AP,ROW(),$H$6)),",",""),"원",""),0)))))</f>
        <v/>
      </c>
      <c r="AW155" s="2">
        <f>IF(OR($AS155="",$C$6=""),"",TRIM(INDEX($A:$AP,ROW(),$C$6)&amp;""))</f>
        <v/>
      </c>
      <c r="AX155" s="2">
        <f>IF($AS155="","",IF($AZ155&lt;&gt;"",SUBSTITUTE(SUBSTITUTE($AZ155,"-","")," ",""),$AY155))</f>
        <v/>
      </c>
      <c r="AY155" s="2">
        <f>IF(OR($AS155="",$E$6=""),"",TRIM(INDEX($A:$AP,ROW(),$E$6)&amp;""))</f>
        <v/>
      </c>
      <c r="AZ155" s="2">
        <f>IF(OR($AS155="",$D$6=""),"",TRIM(INDEX($A:$AP,ROW(),$D$6)&amp;""))</f>
        <v/>
      </c>
      <c r="BA155" s="2">
        <f>IF($AS155="","",IF(AND($AS155&gt;=설정!$B$10,$AS155&lt;=설정!$B$11),"포함","기간 밖"))</f>
        <v/>
      </c>
      <c r="BB155" s="2">
        <f>IF($AS155="","",IF(OR($AT155&lt;0,AND($I$6&lt;&gt;"",ISNUMBER(FIND("수정",INDEX($A:$AP,ROW(),IF($I$6="",1,$I$6))&amp;"")))),"수정","일반"))</f>
        <v/>
      </c>
      <c r="BC155" s="2">
        <f>IF($AS155="","",MID(IF($BA155="기간 밖"," / 기간 밖(신고기간 아님)","")&amp;IF(AND($AW155&lt;&gt;"",COUNTIF($AW$8:$AW$1007,$AW155)&gt;1)," / 승인번호 중복(두 번 붙여넣기?)","")&amp;IF(ABS($AU155-ROUND($AT155*0.1,0))&gt;설정!$B$8,IF($AU155=0," / 세액 0원(영세율·면세 여부 확인)"," / 세액이 공급가액 10%와 다름"),"")&amp;IF($BB155="수정"," / 수정세금계산서(합계에서 자동 가감)",""),4,200))</f>
        <v/>
      </c>
      <c r="BD155" s="2">
        <f>IF($BA155&lt;&gt;"포함","",IF(COUNTIFS($AX$8:$AX155,$AX155,$BA$8:$BA155,"포함")=1,MAX($BD$7:BD154)+1,""))</f>
        <v/>
      </c>
      <c r="BE155" s="2">
        <f>IF($BC155="","",MAX($BE$7:BE154)+1)</f>
        <v/>
      </c>
    </row>
    <row r="156">
      <c r="AR156" s="2">
        <f>IF(OR($A$5="",$B$6="",ROW()&lt;$A$5),"",IF(INDEX($A:$AP,ROW(),$B$6)="","",INDEX($A:$AP,ROW(),$B$6)))</f>
        <v/>
      </c>
      <c r="AS156" s="22">
        <f>IF($AR156="","",IF(ISNUMBER($AR156),IF($AR156&gt;=10000000,IFERROR(DATE(INT($AR156/10000),MOD(INT($AR156/100),100),MOD($AR156,100)),""),INT($AR156)),IFERROR(DATE(--LEFT(LEFT(SUBSTITUTE(SUBSTITUTE(SUBSTITUTE(SUBSTITUTE(TRIM($AR156),"-",""),".",""),"/","")," ",""),8),4),--MID(LEFT(SUBSTITUTE(SUBSTITUTE(SUBSTITUTE(SUBSTITUTE(TRIM($AR156),"-",""),".",""),"/","")," ",""),8),5,2),--MID(LEFT(SUBSTITUTE(SUBSTITUTE(SUBSTITUTE(SUBSTITUTE(TRIM($AR156),"-",""),".",""),"/","")," ",""),8),7,2)),"")))</f>
        <v/>
      </c>
      <c r="AT156" s="23">
        <f>IF($AS156="","",IF($F$6="",0,IF(ISNUMBER(INDEX($A:$AP,ROW(),$F$6)),INDEX($A:$AP,ROW(),$F$6),IFERROR(--SUBSTITUTE(SUBSTITUTE(TRIM(INDEX($A:$AP,ROW(),$F$6)),",",""),"원",""),0))))</f>
        <v/>
      </c>
      <c r="AU156" s="23">
        <f>IF($AS156="","",IF($G$6="",0,IF(ISNUMBER(INDEX($A:$AP,ROW(),$G$6)),INDEX($A:$AP,ROW(),$G$6),IFERROR(--SUBSTITUTE(SUBSTITUTE(TRIM(INDEX($A:$AP,ROW(),$G$6)),",",""),"원",""),0))))</f>
        <v/>
      </c>
      <c r="AV156" s="23">
        <f>IF($AS156="","",IF($H$6="",$AT156+$AU156,IF($H$6="",0,IF(ISNUMBER(INDEX($A:$AP,ROW(),$H$6)),INDEX($A:$AP,ROW(),$H$6),IFERROR(--SUBSTITUTE(SUBSTITUTE(TRIM(INDEX($A:$AP,ROW(),$H$6)),",",""),"원",""),0)))))</f>
        <v/>
      </c>
      <c r="AW156" s="2">
        <f>IF(OR($AS156="",$C$6=""),"",TRIM(INDEX($A:$AP,ROW(),$C$6)&amp;""))</f>
        <v/>
      </c>
      <c r="AX156" s="2">
        <f>IF($AS156="","",IF($AZ156&lt;&gt;"",SUBSTITUTE(SUBSTITUTE($AZ156,"-","")," ",""),$AY156))</f>
        <v/>
      </c>
      <c r="AY156" s="2">
        <f>IF(OR($AS156="",$E$6=""),"",TRIM(INDEX($A:$AP,ROW(),$E$6)&amp;""))</f>
        <v/>
      </c>
      <c r="AZ156" s="2">
        <f>IF(OR($AS156="",$D$6=""),"",TRIM(INDEX($A:$AP,ROW(),$D$6)&amp;""))</f>
        <v/>
      </c>
      <c r="BA156" s="2">
        <f>IF($AS156="","",IF(AND($AS156&gt;=설정!$B$10,$AS156&lt;=설정!$B$11),"포함","기간 밖"))</f>
        <v/>
      </c>
      <c r="BB156" s="2">
        <f>IF($AS156="","",IF(OR($AT156&lt;0,AND($I$6&lt;&gt;"",ISNUMBER(FIND("수정",INDEX($A:$AP,ROW(),IF($I$6="",1,$I$6))&amp;"")))),"수정","일반"))</f>
        <v/>
      </c>
      <c r="BC156" s="2">
        <f>IF($AS156="","",MID(IF($BA156="기간 밖"," / 기간 밖(신고기간 아님)","")&amp;IF(AND($AW156&lt;&gt;"",COUNTIF($AW$8:$AW$1007,$AW156)&gt;1)," / 승인번호 중복(두 번 붙여넣기?)","")&amp;IF(ABS($AU156-ROUND($AT156*0.1,0))&gt;설정!$B$8,IF($AU156=0," / 세액 0원(영세율·면세 여부 확인)"," / 세액이 공급가액 10%와 다름"),"")&amp;IF($BB156="수정"," / 수정세금계산서(합계에서 자동 가감)",""),4,200))</f>
        <v/>
      </c>
      <c r="BD156" s="2">
        <f>IF($BA156&lt;&gt;"포함","",IF(COUNTIFS($AX$8:$AX156,$AX156,$BA$8:$BA156,"포함")=1,MAX($BD$7:BD155)+1,""))</f>
        <v/>
      </c>
      <c r="BE156" s="2">
        <f>IF($BC156="","",MAX($BE$7:BE155)+1)</f>
        <v/>
      </c>
    </row>
    <row r="157">
      <c r="AR157" s="2">
        <f>IF(OR($A$5="",$B$6="",ROW()&lt;$A$5),"",IF(INDEX($A:$AP,ROW(),$B$6)="","",INDEX($A:$AP,ROW(),$B$6)))</f>
        <v/>
      </c>
      <c r="AS157" s="22">
        <f>IF($AR157="","",IF(ISNUMBER($AR157),IF($AR157&gt;=10000000,IFERROR(DATE(INT($AR157/10000),MOD(INT($AR157/100),100),MOD($AR157,100)),""),INT($AR157)),IFERROR(DATE(--LEFT(LEFT(SUBSTITUTE(SUBSTITUTE(SUBSTITUTE(SUBSTITUTE(TRIM($AR157),"-",""),".",""),"/","")," ",""),8),4),--MID(LEFT(SUBSTITUTE(SUBSTITUTE(SUBSTITUTE(SUBSTITUTE(TRIM($AR157),"-",""),".",""),"/","")," ",""),8),5,2),--MID(LEFT(SUBSTITUTE(SUBSTITUTE(SUBSTITUTE(SUBSTITUTE(TRIM($AR157),"-",""),".",""),"/","")," ",""),8),7,2)),"")))</f>
        <v/>
      </c>
      <c r="AT157" s="23">
        <f>IF($AS157="","",IF($F$6="",0,IF(ISNUMBER(INDEX($A:$AP,ROW(),$F$6)),INDEX($A:$AP,ROW(),$F$6),IFERROR(--SUBSTITUTE(SUBSTITUTE(TRIM(INDEX($A:$AP,ROW(),$F$6)),",",""),"원",""),0))))</f>
        <v/>
      </c>
      <c r="AU157" s="23">
        <f>IF($AS157="","",IF($G$6="",0,IF(ISNUMBER(INDEX($A:$AP,ROW(),$G$6)),INDEX($A:$AP,ROW(),$G$6),IFERROR(--SUBSTITUTE(SUBSTITUTE(TRIM(INDEX($A:$AP,ROW(),$G$6)),",",""),"원",""),0))))</f>
        <v/>
      </c>
      <c r="AV157" s="23">
        <f>IF($AS157="","",IF($H$6="",$AT157+$AU157,IF($H$6="",0,IF(ISNUMBER(INDEX($A:$AP,ROW(),$H$6)),INDEX($A:$AP,ROW(),$H$6),IFERROR(--SUBSTITUTE(SUBSTITUTE(TRIM(INDEX($A:$AP,ROW(),$H$6)),",",""),"원",""),0)))))</f>
        <v/>
      </c>
      <c r="AW157" s="2">
        <f>IF(OR($AS157="",$C$6=""),"",TRIM(INDEX($A:$AP,ROW(),$C$6)&amp;""))</f>
        <v/>
      </c>
      <c r="AX157" s="2">
        <f>IF($AS157="","",IF($AZ157&lt;&gt;"",SUBSTITUTE(SUBSTITUTE($AZ157,"-","")," ",""),$AY157))</f>
        <v/>
      </c>
      <c r="AY157" s="2">
        <f>IF(OR($AS157="",$E$6=""),"",TRIM(INDEX($A:$AP,ROW(),$E$6)&amp;""))</f>
        <v/>
      </c>
      <c r="AZ157" s="2">
        <f>IF(OR($AS157="",$D$6=""),"",TRIM(INDEX($A:$AP,ROW(),$D$6)&amp;""))</f>
        <v/>
      </c>
      <c r="BA157" s="2">
        <f>IF($AS157="","",IF(AND($AS157&gt;=설정!$B$10,$AS157&lt;=설정!$B$11),"포함","기간 밖"))</f>
        <v/>
      </c>
      <c r="BB157" s="2">
        <f>IF($AS157="","",IF(OR($AT157&lt;0,AND($I$6&lt;&gt;"",ISNUMBER(FIND("수정",INDEX($A:$AP,ROW(),IF($I$6="",1,$I$6))&amp;"")))),"수정","일반"))</f>
        <v/>
      </c>
      <c r="BC157" s="2">
        <f>IF($AS157="","",MID(IF($BA157="기간 밖"," / 기간 밖(신고기간 아님)","")&amp;IF(AND($AW157&lt;&gt;"",COUNTIF($AW$8:$AW$1007,$AW157)&gt;1)," / 승인번호 중복(두 번 붙여넣기?)","")&amp;IF(ABS($AU157-ROUND($AT157*0.1,0))&gt;설정!$B$8,IF($AU157=0," / 세액 0원(영세율·면세 여부 확인)"," / 세액이 공급가액 10%와 다름"),"")&amp;IF($BB157="수정"," / 수정세금계산서(합계에서 자동 가감)",""),4,200))</f>
        <v/>
      </c>
      <c r="BD157" s="2">
        <f>IF($BA157&lt;&gt;"포함","",IF(COUNTIFS($AX$8:$AX157,$AX157,$BA$8:$BA157,"포함")=1,MAX($BD$7:BD156)+1,""))</f>
        <v/>
      </c>
      <c r="BE157" s="2">
        <f>IF($BC157="","",MAX($BE$7:BE156)+1)</f>
        <v/>
      </c>
    </row>
    <row r="158">
      <c r="AR158" s="2">
        <f>IF(OR($A$5="",$B$6="",ROW()&lt;$A$5),"",IF(INDEX($A:$AP,ROW(),$B$6)="","",INDEX($A:$AP,ROW(),$B$6)))</f>
        <v/>
      </c>
      <c r="AS158" s="22">
        <f>IF($AR158="","",IF(ISNUMBER($AR158),IF($AR158&gt;=10000000,IFERROR(DATE(INT($AR158/10000),MOD(INT($AR158/100),100),MOD($AR158,100)),""),INT($AR158)),IFERROR(DATE(--LEFT(LEFT(SUBSTITUTE(SUBSTITUTE(SUBSTITUTE(SUBSTITUTE(TRIM($AR158),"-",""),".",""),"/","")," ",""),8),4),--MID(LEFT(SUBSTITUTE(SUBSTITUTE(SUBSTITUTE(SUBSTITUTE(TRIM($AR158),"-",""),".",""),"/","")," ",""),8),5,2),--MID(LEFT(SUBSTITUTE(SUBSTITUTE(SUBSTITUTE(SUBSTITUTE(TRIM($AR158),"-",""),".",""),"/","")," ",""),8),7,2)),"")))</f>
        <v/>
      </c>
      <c r="AT158" s="23">
        <f>IF($AS158="","",IF($F$6="",0,IF(ISNUMBER(INDEX($A:$AP,ROW(),$F$6)),INDEX($A:$AP,ROW(),$F$6),IFERROR(--SUBSTITUTE(SUBSTITUTE(TRIM(INDEX($A:$AP,ROW(),$F$6)),",",""),"원",""),0))))</f>
        <v/>
      </c>
      <c r="AU158" s="23">
        <f>IF($AS158="","",IF($G$6="",0,IF(ISNUMBER(INDEX($A:$AP,ROW(),$G$6)),INDEX($A:$AP,ROW(),$G$6),IFERROR(--SUBSTITUTE(SUBSTITUTE(TRIM(INDEX($A:$AP,ROW(),$G$6)),",",""),"원",""),0))))</f>
        <v/>
      </c>
      <c r="AV158" s="23">
        <f>IF($AS158="","",IF($H$6="",$AT158+$AU158,IF($H$6="",0,IF(ISNUMBER(INDEX($A:$AP,ROW(),$H$6)),INDEX($A:$AP,ROW(),$H$6),IFERROR(--SUBSTITUTE(SUBSTITUTE(TRIM(INDEX($A:$AP,ROW(),$H$6)),",",""),"원",""),0)))))</f>
        <v/>
      </c>
      <c r="AW158" s="2">
        <f>IF(OR($AS158="",$C$6=""),"",TRIM(INDEX($A:$AP,ROW(),$C$6)&amp;""))</f>
        <v/>
      </c>
      <c r="AX158" s="2">
        <f>IF($AS158="","",IF($AZ158&lt;&gt;"",SUBSTITUTE(SUBSTITUTE($AZ158,"-","")," ",""),$AY158))</f>
        <v/>
      </c>
      <c r="AY158" s="2">
        <f>IF(OR($AS158="",$E$6=""),"",TRIM(INDEX($A:$AP,ROW(),$E$6)&amp;""))</f>
        <v/>
      </c>
      <c r="AZ158" s="2">
        <f>IF(OR($AS158="",$D$6=""),"",TRIM(INDEX($A:$AP,ROW(),$D$6)&amp;""))</f>
        <v/>
      </c>
      <c r="BA158" s="2">
        <f>IF($AS158="","",IF(AND($AS158&gt;=설정!$B$10,$AS158&lt;=설정!$B$11),"포함","기간 밖"))</f>
        <v/>
      </c>
      <c r="BB158" s="2">
        <f>IF($AS158="","",IF(OR($AT158&lt;0,AND($I$6&lt;&gt;"",ISNUMBER(FIND("수정",INDEX($A:$AP,ROW(),IF($I$6="",1,$I$6))&amp;"")))),"수정","일반"))</f>
        <v/>
      </c>
      <c r="BC158" s="2">
        <f>IF($AS158="","",MID(IF($BA158="기간 밖"," / 기간 밖(신고기간 아님)","")&amp;IF(AND($AW158&lt;&gt;"",COUNTIF($AW$8:$AW$1007,$AW158)&gt;1)," / 승인번호 중복(두 번 붙여넣기?)","")&amp;IF(ABS($AU158-ROUND($AT158*0.1,0))&gt;설정!$B$8,IF($AU158=0," / 세액 0원(영세율·면세 여부 확인)"," / 세액이 공급가액 10%와 다름"),"")&amp;IF($BB158="수정"," / 수정세금계산서(합계에서 자동 가감)",""),4,200))</f>
        <v/>
      </c>
      <c r="BD158" s="2">
        <f>IF($BA158&lt;&gt;"포함","",IF(COUNTIFS($AX$8:$AX158,$AX158,$BA$8:$BA158,"포함")=1,MAX($BD$7:BD157)+1,""))</f>
        <v/>
      </c>
      <c r="BE158" s="2">
        <f>IF($BC158="","",MAX($BE$7:BE157)+1)</f>
        <v/>
      </c>
    </row>
    <row r="159">
      <c r="AR159" s="2">
        <f>IF(OR($A$5="",$B$6="",ROW()&lt;$A$5),"",IF(INDEX($A:$AP,ROW(),$B$6)="","",INDEX($A:$AP,ROW(),$B$6)))</f>
        <v/>
      </c>
      <c r="AS159" s="22">
        <f>IF($AR159="","",IF(ISNUMBER($AR159),IF($AR159&gt;=10000000,IFERROR(DATE(INT($AR159/10000),MOD(INT($AR159/100),100),MOD($AR159,100)),""),INT($AR159)),IFERROR(DATE(--LEFT(LEFT(SUBSTITUTE(SUBSTITUTE(SUBSTITUTE(SUBSTITUTE(TRIM($AR159),"-",""),".",""),"/","")," ",""),8),4),--MID(LEFT(SUBSTITUTE(SUBSTITUTE(SUBSTITUTE(SUBSTITUTE(TRIM($AR159),"-",""),".",""),"/","")," ",""),8),5,2),--MID(LEFT(SUBSTITUTE(SUBSTITUTE(SUBSTITUTE(SUBSTITUTE(TRIM($AR159),"-",""),".",""),"/","")," ",""),8),7,2)),"")))</f>
        <v/>
      </c>
      <c r="AT159" s="23">
        <f>IF($AS159="","",IF($F$6="",0,IF(ISNUMBER(INDEX($A:$AP,ROW(),$F$6)),INDEX($A:$AP,ROW(),$F$6),IFERROR(--SUBSTITUTE(SUBSTITUTE(TRIM(INDEX($A:$AP,ROW(),$F$6)),",",""),"원",""),0))))</f>
        <v/>
      </c>
      <c r="AU159" s="23">
        <f>IF($AS159="","",IF($G$6="",0,IF(ISNUMBER(INDEX($A:$AP,ROW(),$G$6)),INDEX($A:$AP,ROW(),$G$6),IFERROR(--SUBSTITUTE(SUBSTITUTE(TRIM(INDEX($A:$AP,ROW(),$G$6)),",",""),"원",""),0))))</f>
        <v/>
      </c>
      <c r="AV159" s="23">
        <f>IF($AS159="","",IF($H$6="",$AT159+$AU159,IF($H$6="",0,IF(ISNUMBER(INDEX($A:$AP,ROW(),$H$6)),INDEX($A:$AP,ROW(),$H$6),IFERROR(--SUBSTITUTE(SUBSTITUTE(TRIM(INDEX($A:$AP,ROW(),$H$6)),",",""),"원",""),0)))))</f>
        <v/>
      </c>
      <c r="AW159" s="2">
        <f>IF(OR($AS159="",$C$6=""),"",TRIM(INDEX($A:$AP,ROW(),$C$6)&amp;""))</f>
        <v/>
      </c>
      <c r="AX159" s="2">
        <f>IF($AS159="","",IF($AZ159&lt;&gt;"",SUBSTITUTE(SUBSTITUTE($AZ159,"-","")," ",""),$AY159))</f>
        <v/>
      </c>
      <c r="AY159" s="2">
        <f>IF(OR($AS159="",$E$6=""),"",TRIM(INDEX($A:$AP,ROW(),$E$6)&amp;""))</f>
        <v/>
      </c>
      <c r="AZ159" s="2">
        <f>IF(OR($AS159="",$D$6=""),"",TRIM(INDEX($A:$AP,ROW(),$D$6)&amp;""))</f>
        <v/>
      </c>
      <c r="BA159" s="2">
        <f>IF($AS159="","",IF(AND($AS159&gt;=설정!$B$10,$AS159&lt;=설정!$B$11),"포함","기간 밖"))</f>
        <v/>
      </c>
      <c r="BB159" s="2">
        <f>IF($AS159="","",IF(OR($AT159&lt;0,AND($I$6&lt;&gt;"",ISNUMBER(FIND("수정",INDEX($A:$AP,ROW(),IF($I$6="",1,$I$6))&amp;"")))),"수정","일반"))</f>
        <v/>
      </c>
      <c r="BC159" s="2">
        <f>IF($AS159="","",MID(IF($BA159="기간 밖"," / 기간 밖(신고기간 아님)","")&amp;IF(AND($AW159&lt;&gt;"",COUNTIF($AW$8:$AW$1007,$AW159)&gt;1)," / 승인번호 중복(두 번 붙여넣기?)","")&amp;IF(ABS($AU159-ROUND($AT159*0.1,0))&gt;설정!$B$8,IF($AU159=0," / 세액 0원(영세율·면세 여부 확인)"," / 세액이 공급가액 10%와 다름"),"")&amp;IF($BB159="수정"," / 수정세금계산서(합계에서 자동 가감)",""),4,200))</f>
        <v/>
      </c>
      <c r="BD159" s="2">
        <f>IF($BA159&lt;&gt;"포함","",IF(COUNTIFS($AX$8:$AX159,$AX159,$BA$8:$BA159,"포함")=1,MAX($BD$7:BD158)+1,""))</f>
        <v/>
      </c>
      <c r="BE159" s="2">
        <f>IF($BC159="","",MAX($BE$7:BE158)+1)</f>
        <v/>
      </c>
    </row>
    <row r="160">
      <c r="AR160" s="2">
        <f>IF(OR($A$5="",$B$6="",ROW()&lt;$A$5),"",IF(INDEX($A:$AP,ROW(),$B$6)="","",INDEX($A:$AP,ROW(),$B$6)))</f>
        <v/>
      </c>
      <c r="AS160" s="22">
        <f>IF($AR160="","",IF(ISNUMBER($AR160),IF($AR160&gt;=10000000,IFERROR(DATE(INT($AR160/10000),MOD(INT($AR160/100),100),MOD($AR160,100)),""),INT($AR160)),IFERROR(DATE(--LEFT(LEFT(SUBSTITUTE(SUBSTITUTE(SUBSTITUTE(SUBSTITUTE(TRIM($AR160),"-",""),".",""),"/","")," ",""),8),4),--MID(LEFT(SUBSTITUTE(SUBSTITUTE(SUBSTITUTE(SUBSTITUTE(TRIM($AR160),"-",""),".",""),"/","")," ",""),8),5,2),--MID(LEFT(SUBSTITUTE(SUBSTITUTE(SUBSTITUTE(SUBSTITUTE(TRIM($AR160),"-",""),".",""),"/","")," ",""),8),7,2)),"")))</f>
        <v/>
      </c>
      <c r="AT160" s="23">
        <f>IF($AS160="","",IF($F$6="",0,IF(ISNUMBER(INDEX($A:$AP,ROW(),$F$6)),INDEX($A:$AP,ROW(),$F$6),IFERROR(--SUBSTITUTE(SUBSTITUTE(TRIM(INDEX($A:$AP,ROW(),$F$6)),",",""),"원",""),0))))</f>
        <v/>
      </c>
      <c r="AU160" s="23">
        <f>IF($AS160="","",IF($G$6="",0,IF(ISNUMBER(INDEX($A:$AP,ROW(),$G$6)),INDEX($A:$AP,ROW(),$G$6),IFERROR(--SUBSTITUTE(SUBSTITUTE(TRIM(INDEX($A:$AP,ROW(),$G$6)),",",""),"원",""),0))))</f>
        <v/>
      </c>
      <c r="AV160" s="23">
        <f>IF($AS160="","",IF($H$6="",$AT160+$AU160,IF($H$6="",0,IF(ISNUMBER(INDEX($A:$AP,ROW(),$H$6)),INDEX($A:$AP,ROW(),$H$6),IFERROR(--SUBSTITUTE(SUBSTITUTE(TRIM(INDEX($A:$AP,ROW(),$H$6)),",",""),"원",""),0)))))</f>
        <v/>
      </c>
      <c r="AW160" s="2">
        <f>IF(OR($AS160="",$C$6=""),"",TRIM(INDEX($A:$AP,ROW(),$C$6)&amp;""))</f>
        <v/>
      </c>
      <c r="AX160" s="2">
        <f>IF($AS160="","",IF($AZ160&lt;&gt;"",SUBSTITUTE(SUBSTITUTE($AZ160,"-","")," ",""),$AY160))</f>
        <v/>
      </c>
      <c r="AY160" s="2">
        <f>IF(OR($AS160="",$E$6=""),"",TRIM(INDEX($A:$AP,ROW(),$E$6)&amp;""))</f>
        <v/>
      </c>
      <c r="AZ160" s="2">
        <f>IF(OR($AS160="",$D$6=""),"",TRIM(INDEX($A:$AP,ROW(),$D$6)&amp;""))</f>
        <v/>
      </c>
      <c r="BA160" s="2">
        <f>IF($AS160="","",IF(AND($AS160&gt;=설정!$B$10,$AS160&lt;=설정!$B$11),"포함","기간 밖"))</f>
        <v/>
      </c>
      <c r="BB160" s="2">
        <f>IF($AS160="","",IF(OR($AT160&lt;0,AND($I$6&lt;&gt;"",ISNUMBER(FIND("수정",INDEX($A:$AP,ROW(),IF($I$6="",1,$I$6))&amp;"")))),"수정","일반"))</f>
        <v/>
      </c>
      <c r="BC160" s="2">
        <f>IF($AS160="","",MID(IF($BA160="기간 밖"," / 기간 밖(신고기간 아님)","")&amp;IF(AND($AW160&lt;&gt;"",COUNTIF($AW$8:$AW$1007,$AW160)&gt;1)," / 승인번호 중복(두 번 붙여넣기?)","")&amp;IF(ABS($AU160-ROUND($AT160*0.1,0))&gt;설정!$B$8,IF($AU160=0," / 세액 0원(영세율·면세 여부 확인)"," / 세액이 공급가액 10%와 다름"),"")&amp;IF($BB160="수정"," / 수정세금계산서(합계에서 자동 가감)",""),4,200))</f>
        <v/>
      </c>
      <c r="BD160" s="2">
        <f>IF($BA160&lt;&gt;"포함","",IF(COUNTIFS($AX$8:$AX160,$AX160,$BA$8:$BA160,"포함")=1,MAX($BD$7:BD159)+1,""))</f>
        <v/>
      </c>
      <c r="BE160" s="2">
        <f>IF($BC160="","",MAX($BE$7:BE159)+1)</f>
        <v/>
      </c>
    </row>
    <row r="161">
      <c r="AR161" s="2">
        <f>IF(OR($A$5="",$B$6="",ROW()&lt;$A$5),"",IF(INDEX($A:$AP,ROW(),$B$6)="","",INDEX($A:$AP,ROW(),$B$6)))</f>
        <v/>
      </c>
      <c r="AS161" s="22">
        <f>IF($AR161="","",IF(ISNUMBER($AR161),IF($AR161&gt;=10000000,IFERROR(DATE(INT($AR161/10000),MOD(INT($AR161/100),100),MOD($AR161,100)),""),INT($AR161)),IFERROR(DATE(--LEFT(LEFT(SUBSTITUTE(SUBSTITUTE(SUBSTITUTE(SUBSTITUTE(TRIM($AR161),"-",""),".",""),"/","")," ",""),8),4),--MID(LEFT(SUBSTITUTE(SUBSTITUTE(SUBSTITUTE(SUBSTITUTE(TRIM($AR161),"-",""),".",""),"/","")," ",""),8),5,2),--MID(LEFT(SUBSTITUTE(SUBSTITUTE(SUBSTITUTE(SUBSTITUTE(TRIM($AR161),"-",""),".",""),"/","")," ",""),8),7,2)),"")))</f>
        <v/>
      </c>
      <c r="AT161" s="23">
        <f>IF($AS161="","",IF($F$6="",0,IF(ISNUMBER(INDEX($A:$AP,ROW(),$F$6)),INDEX($A:$AP,ROW(),$F$6),IFERROR(--SUBSTITUTE(SUBSTITUTE(TRIM(INDEX($A:$AP,ROW(),$F$6)),",",""),"원",""),0))))</f>
        <v/>
      </c>
      <c r="AU161" s="23">
        <f>IF($AS161="","",IF($G$6="",0,IF(ISNUMBER(INDEX($A:$AP,ROW(),$G$6)),INDEX($A:$AP,ROW(),$G$6),IFERROR(--SUBSTITUTE(SUBSTITUTE(TRIM(INDEX($A:$AP,ROW(),$G$6)),",",""),"원",""),0))))</f>
        <v/>
      </c>
      <c r="AV161" s="23">
        <f>IF($AS161="","",IF($H$6="",$AT161+$AU161,IF($H$6="",0,IF(ISNUMBER(INDEX($A:$AP,ROW(),$H$6)),INDEX($A:$AP,ROW(),$H$6),IFERROR(--SUBSTITUTE(SUBSTITUTE(TRIM(INDEX($A:$AP,ROW(),$H$6)),",",""),"원",""),0)))))</f>
        <v/>
      </c>
      <c r="AW161" s="2">
        <f>IF(OR($AS161="",$C$6=""),"",TRIM(INDEX($A:$AP,ROW(),$C$6)&amp;""))</f>
        <v/>
      </c>
      <c r="AX161" s="2">
        <f>IF($AS161="","",IF($AZ161&lt;&gt;"",SUBSTITUTE(SUBSTITUTE($AZ161,"-","")," ",""),$AY161))</f>
        <v/>
      </c>
      <c r="AY161" s="2">
        <f>IF(OR($AS161="",$E$6=""),"",TRIM(INDEX($A:$AP,ROW(),$E$6)&amp;""))</f>
        <v/>
      </c>
      <c r="AZ161" s="2">
        <f>IF(OR($AS161="",$D$6=""),"",TRIM(INDEX($A:$AP,ROW(),$D$6)&amp;""))</f>
        <v/>
      </c>
      <c r="BA161" s="2">
        <f>IF($AS161="","",IF(AND($AS161&gt;=설정!$B$10,$AS161&lt;=설정!$B$11),"포함","기간 밖"))</f>
        <v/>
      </c>
      <c r="BB161" s="2">
        <f>IF($AS161="","",IF(OR($AT161&lt;0,AND($I$6&lt;&gt;"",ISNUMBER(FIND("수정",INDEX($A:$AP,ROW(),IF($I$6="",1,$I$6))&amp;"")))),"수정","일반"))</f>
        <v/>
      </c>
      <c r="BC161" s="2">
        <f>IF($AS161="","",MID(IF($BA161="기간 밖"," / 기간 밖(신고기간 아님)","")&amp;IF(AND($AW161&lt;&gt;"",COUNTIF($AW$8:$AW$1007,$AW161)&gt;1)," / 승인번호 중복(두 번 붙여넣기?)","")&amp;IF(ABS($AU161-ROUND($AT161*0.1,0))&gt;설정!$B$8,IF($AU161=0," / 세액 0원(영세율·면세 여부 확인)"," / 세액이 공급가액 10%와 다름"),"")&amp;IF($BB161="수정"," / 수정세금계산서(합계에서 자동 가감)",""),4,200))</f>
        <v/>
      </c>
      <c r="BD161" s="2">
        <f>IF($BA161&lt;&gt;"포함","",IF(COUNTIFS($AX$8:$AX161,$AX161,$BA$8:$BA161,"포함")=1,MAX($BD$7:BD160)+1,""))</f>
        <v/>
      </c>
      <c r="BE161" s="2">
        <f>IF($BC161="","",MAX($BE$7:BE160)+1)</f>
        <v/>
      </c>
    </row>
    <row r="162">
      <c r="AR162" s="2">
        <f>IF(OR($A$5="",$B$6="",ROW()&lt;$A$5),"",IF(INDEX($A:$AP,ROW(),$B$6)="","",INDEX($A:$AP,ROW(),$B$6)))</f>
        <v/>
      </c>
      <c r="AS162" s="22">
        <f>IF($AR162="","",IF(ISNUMBER($AR162),IF($AR162&gt;=10000000,IFERROR(DATE(INT($AR162/10000),MOD(INT($AR162/100),100),MOD($AR162,100)),""),INT($AR162)),IFERROR(DATE(--LEFT(LEFT(SUBSTITUTE(SUBSTITUTE(SUBSTITUTE(SUBSTITUTE(TRIM($AR162),"-",""),".",""),"/","")," ",""),8),4),--MID(LEFT(SUBSTITUTE(SUBSTITUTE(SUBSTITUTE(SUBSTITUTE(TRIM($AR162),"-",""),".",""),"/","")," ",""),8),5,2),--MID(LEFT(SUBSTITUTE(SUBSTITUTE(SUBSTITUTE(SUBSTITUTE(TRIM($AR162),"-",""),".",""),"/","")," ",""),8),7,2)),"")))</f>
        <v/>
      </c>
      <c r="AT162" s="23">
        <f>IF($AS162="","",IF($F$6="",0,IF(ISNUMBER(INDEX($A:$AP,ROW(),$F$6)),INDEX($A:$AP,ROW(),$F$6),IFERROR(--SUBSTITUTE(SUBSTITUTE(TRIM(INDEX($A:$AP,ROW(),$F$6)),",",""),"원",""),0))))</f>
        <v/>
      </c>
      <c r="AU162" s="23">
        <f>IF($AS162="","",IF($G$6="",0,IF(ISNUMBER(INDEX($A:$AP,ROW(),$G$6)),INDEX($A:$AP,ROW(),$G$6),IFERROR(--SUBSTITUTE(SUBSTITUTE(TRIM(INDEX($A:$AP,ROW(),$G$6)),",",""),"원",""),0))))</f>
        <v/>
      </c>
      <c r="AV162" s="23">
        <f>IF($AS162="","",IF($H$6="",$AT162+$AU162,IF($H$6="",0,IF(ISNUMBER(INDEX($A:$AP,ROW(),$H$6)),INDEX($A:$AP,ROW(),$H$6),IFERROR(--SUBSTITUTE(SUBSTITUTE(TRIM(INDEX($A:$AP,ROW(),$H$6)),",",""),"원",""),0)))))</f>
        <v/>
      </c>
      <c r="AW162" s="2">
        <f>IF(OR($AS162="",$C$6=""),"",TRIM(INDEX($A:$AP,ROW(),$C$6)&amp;""))</f>
        <v/>
      </c>
      <c r="AX162" s="2">
        <f>IF($AS162="","",IF($AZ162&lt;&gt;"",SUBSTITUTE(SUBSTITUTE($AZ162,"-","")," ",""),$AY162))</f>
        <v/>
      </c>
      <c r="AY162" s="2">
        <f>IF(OR($AS162="",$E$6=""),"",TRIM(INDEX($A:$AP,ROW(),$E$6)&amp;""))</f>
        <v/>
      </c>
      <c r="AZ162" s="2">
        <f>IF(OR($AS162="",$D$6=""),"",TRIM(INDEX($A:$AP,ROW(),$D$6)&amp;""))</f>
        <v/>
      </c>
      <c r="BA162" s="2">
        <f>IF($AS162="","",IF(AND($AS162&gt;=설정!$B$10,$AS162&lt;=설정!$B$11),"포함","기간 밖"))</f>
        <v/>
      </c>
      <c r="BB162" s="2">
        <f>IF($AS162="","",IF(OR($AT162&lt;0,AND($I$6&lt;&gt;"",ISNUMBER(FIND("수정",INDEX($A:$AP,ROW(),IF($I$6="",1,$I$6))&amp;"")))),"수정","일반"))</f>
        <v/>
      </c>
      <c r="BC162" s="2">
        <f>IF($AS162="","",MID(IF($BA162="기간 밖"," / 기간 밖(신고기간 아님)","")&amp;IF(AND($AW162&lt;&gt;"",COUNTIF($AW$8:$AW$1007,$AW162)&gt;1)," / 승인번호 중복(두 번 붙여넣기?)","")&amp;IF(ABS($AU162-ROUND($AT162*0.1,0))&gt;설정!$B$8,IF($AU162=0," / 세액 0원(영세율·면세 여부 확인)"," / 세액이 공급가액 10%와 다름"),"")&amp;IF($BB162="수정"," / 수정세금계산서(합계에서 자동 가감)",""),4,200))</f>
        <v/>
      </c>
      <c r="BD162" s="2">
        <f>IF($BA162&lt;&gt;"포함","",IF(COUNTIFS($AX$8:$AX162,$AX162,$BA$8:$BA162,"포함")=1,MAX($BD$7:BD161)+1,""))</f>
        <v/>
      </c>
      <c r="BE162" s="2">
        <f>IF($BC162="","",MAX($BE$7:BE161)+1)</f>
        <v/>
      </c>
    </row>
    <row r="163">
      <c r="AR163" s="2">
        <f>IF(OR($A$5="",$B$6="",ROW()&lt;$A$5),"",IF(INDEX($A:$AP,ROW(),$B$6)="","",INDEX($A:$AP,ROW(),$B$6)))</f>
        <v/>
      </c>
      <c r="AS163" s="22">
        <f>IF($AR163="","",IF(ISNUMBER($AR163),IF($AR163&gt;=10000000,IFERROR(DATE(INT($AR163/10000),MOD(INT($AR163/100),100),MOD($AR163,100)),""),INT($AR163)),IFERROR(DATE(--LEFT(LEFT(SUBSTITUTE(SUBSTITUTE(SUBSTITUTE(SUBSTITUTE(TRIM($AR163),"-",""),".",""),"/","")," ",""),8),4),--MID(LEFT(SUBSTITUTE(SUBSTITUTE(SUBSTITUTE(SUBSTITUTE(TRIM($AR163),"-",""),".",""),"/","")," ",""),8),5,2),--MID(LEFT(SUBSTITUTE(SUBSTITUTE(SUBSTITUTE(SUBSTITUTE(TRIM($AR163),"-",""),".",""),"/","")," ",""),8),7,2)),"")))</f>
        <v/>
      </c>
      <c r="AT163" s="23">
        <f>IF($AS163="","",IF($F$6="",0,IF(ISNUMBER(INDEX($A:$AP,ROW(),$F$6)),INDEX($A:$AP,ROW(),$F$6),IFERROR(--SUBSTITUTE(SUBSTITUTE(TRIM(INDEX($A:$AP,ROW(),$F$6)),",",""),"원",""),0))))</f>
        <v/>
      </c>
      <c r="AU163" s="23">
        <f>IF($AS163="","",IF($G$6="",0,IF(ISNUMBER(INDEX($A:$AP,ROW(),$G$6)),INDEX($A:$AP,ROW(),$G$6),IFERROR(--SUBSTITUTE(SUBSTITUTE(TRIM(INDEX($A:$AP,ROW(),$G$6)),",",""),"원",""),0))))</f>
        <v/>
      </c>
      <c r="AV163" s="23">
        <f>IF($AS163="","",IF($H$6="",$AT163+$AU163,IF($H$6="",0,IF(ISNUMBER(INDEX($A:$AP,ROW(),$H$6)),INDEX($A:$AP,ROW(),$H$6),IFERROR(--SUBSTITUTE(SUBSTITUTE(TRIM(INDEX($A:$AP,ROW(),$H$6)),",",""),"원",""),0)))))</f>
        <v/>
      </c>
      <c r="AW163" s="2">
        <f>IF(OR($AS163="",$C$6=""),"",TRIM(INDEX($A:$AP,ROW(),$C$6)&amp;""))</f>
        <v/>
      </c>
      <c r="AX163" s="2">
        <f>IF($AS163="","",IF($AZ163&lt;&gt;"",SUBSTITUTE(SUBSTITUTE($AZ163,"-","")," ",""),$AY163))</f>
        <v/>
      </c>
      <c r="AY163" s="2">
        <f>IF(OR($AS163="",$E$6=""),"",TRIM(INDEX($A:$AP,ROW(),$E$6)&amp;""))</f>
        <v/>
      </c>
      <c r="AZ163" s="2">
        <f>IF(OR($AS163="",$D$6=""),"",TRIM(INDEX($A:$AP,ROW(),$D$6)&amp;""))</f>
        <v/>
      </c>
      <c r="BA163" s="2">
        <f>IF($AS163="","",IF(AND($AS163&gt;=설정!$B$10,$AS163&lt;=설정!$B$11),"포함","기간 밖"))</f>
        <v/>
      </c>
      <c r="BB163" s="2">
        <f>IF($AS163="","",IF(OR($AT163&lt;0,AND($I$6&lt;&gt;"",ISNUMBER(FIND("수정",INDEX($A:$AP,ROW(),IF($I$6="",1,$I$6))&amp;"")))),"수정","일반"))</f>
        <v/>
      </c>
      <c r="BC163" s="2">
        <f>IF($AS163="","",MID(IF($BA163="기간 밖"," / 기간 밖(신고기간 아님)","")&amp;IF(AND($AW163&lt;&gt;"",COUNTIF($AW$8:$AW$1007,$AW163)&gt;1)," / 승인번호 중복(두 번 붙여넣기?)","")&amp;IF(ABS($AU163-ROUND($AT163*0.1,0))&gt;설정!$B$8,IF($AU163=0," / 세액 0원(영세율·면세 여부 확인)"," / 세액이 공급가액 10%와 다름"),"")&amp;IF($BB163="수정"," / 수정세금계산서(합계에서 자동 가감)",""),4,200))</f>
        <v/>
      </c>
      <c r="BD163" s="2">
        <f>IF($BA163&lt;&gt;"포함","",IF(COUNTIFS($AX$8:$AX163,$AX163,$BA$8:$BA163,"포함")=1,MAX($BD$7:BD162)+1,""))</f>
        <v/>
      </c>
      <c r="BE163" s="2">
        <f>IF($BC163="","",MAX($BE$7:BE162)+1)</f>
        <v/>
      </c>
    </row>
    <row r="164">
      <c r="AR164" s="2">
        <f>IF(OR($A$5="",$B$6="",ROW()&lt;$A$5),"",IF(INDEX($A:$AP,ROW(),$B$6)="","",INDEX($A:$AP,ROW(),$B$6)))</f>
        <v/>
      </c>
      <c r="AS164" s="22">
        <f>IF($AR164="","",IF(ISNUMBER($AR164),IF($AR164&gt;=10000000,IFERROR(DATE(INT($AR164/10000),MOD(INT($AR164/100),100),MOD($AR164,100)),""),INT($AR164)),IFERROR(DATE(--LEFT(LEFT(SUBSTITUTE(SUBSTITUTE(SUBSTITUTE(SUBSTITUTE(TRIM($AR164),"-",""),".",""),"/","")," ",""),8),4),--MID(LEFT(SUBSTITUTE(SUBSTITUTE(SUBSTITUTE(SUBSTITUTE(TRIM($AR164),"-",""),".",""),"/","")," ",""),8),5,2),--MID(LEFT(SUBSTITUTE(SUBSTITUTE(SUBSTITUTE(SUBSTITUTE(TRIM($AR164),"-",""),".",""),"/","")," ",""),8),7,2)),"")))</f>
        <v/>
      </c>
      <c r="AT164" s="23">
        <f>IF($AS164="","",IF($F$6="",0,IF(ISNUMBER(INDEX($A:$AP,ROW(),$F$6)),INDEX($A:$AP,ROW(),$F$6),IFERROR(--SUBSTITUTE(SUBSTITUTE(TRIM(INDEX($A:$AP,ROW(),$F$6)),",",""),"원",""),0))))</f>
        <v/>
      </c>
      <c r="AU164" s="23">
        <f>IF($AS164="","",IF($G$6="",0,IF(ISNUMBER(INDEX($A:$AP,ROW(),$G$6)),INDEX($A:$AP,ROW(),$G$6),IFERROR(--SUBSTITUTE(SUBSTITUTE(TRIM(INDEX($A:$AP,ROW(),$G$6)),",",""),"원",""),0))))</f>
        <v/>
      </c>
      <c r="AV164" s="23">
        <f>IF($AS164="","",IF($H$6="",$AT164+$AU164,IF($H$6="",0,IF(ISNUMBER(INDEX($A:$AP,ROW(),$H$6)),INDEX($A:$AP,ROW(),$H$6),IFERROR(--SUBSTITUTE(SUBSTITUTE(TRIM(INDEX($A:$AP,ROW(),$H$6)),",",""),"원",""),0)))))</f>
        <v/>
      </c>
      <c r="AW164" s="2">
        <f>IF(OR($AS164="",$C$6=""),"",TRIM(INDEX($A:$AP,ROW(),$C$6)&amp;""))</f>
        <v/>
      </c>
      <c r="AX164" s="2">
        <f>IF($AS164="","",IF($AZ164&lt;&gt;"",SUBSTITUTE(SUBSTITUTE($AZ164,"-","")," ",""),$AY164))</f>
        <v/>
      </c>
      <c r="AY164" s="2">
        <f>IF(OR($AS164="",$E$6=""),"",TRIM(INDEX($A:$AP,ROW(),$E$6)&amp;""))</f>
        <v/>
      </c>
      <c r="AZ164" s="2">
        <f>IF(OR($AS164="",$D$6=""),"",TRIM(INDEX($A:$AP,ROW(),$D$6)&amp;""))</f>
        <v/>
      </c>
      <c r="BA164" s="2">
        <f>IF($AS164="","",IF(AND($AS164&gt;=설정!$B$10,$AS164&lt;=설정!$B$11),"포함","기간 밖"))</f>
        <v/>
      </c>
      <c r="BB164" s="2">
        <f>IF($AS164="","",IF(OR($AT164&lt;0,AND($I$6&lt;&gt;"",ISNUMBER(FIND("수정",INDEX($A:$AP,ROW(),IF($I$6="",1,$I$6))&amp;"")))),"수정","일반"))</f>
        <v/>
      </c>
      <c r="BC164" s="2">
        <f>IF($AS164="","",MID(IF($BA164="기간 밖"," / 기간 밖(신고기간 아님)","")&amp;IF(AND($AW164&lt;&gt;"",COUNTIF($AW$8:$AW$1007,$AW164)&gt;1)," / 승인번호 중복(두 번 붙여넣기?)","")&amp;IF(ABS($AU164-ROUND($AT164*0.1,0))&gt;설정!$B$8,IF($AU164=0," / 세액 0원(영세율·면세 여부 확인)"," / 세액이 공급가액 10%와 다름"),"")&amp;IF($BB164="수정"," / 수정세금계산서(합계에서 자동 가감)",""),4,200))</f>
        <v/>
      </c>
      <c r="BD164" s="2">
        <f>IF($BA164&lt;&gt;"포함","",IF(COUNTIFS($AX$8:$AX164,$AX164,$BA$8:$BA164,"포함")=1,MAX($BD$7:BD163)+1,""))</f>
        <v/>
      </c>
      <c r="BE164" s="2">
        <f>IF($BC164="","",MAX($BE$7:BE163)+1)</f>
        <v/>
      </c>
    </row>
    <row r="165">
      <c r="AR165" s="2">
        <f>IF(OR($A$5="",$B$6="",ROW()&lt;$A$5),"",IF(INDEX($A:$AP,ROW(),$B$6)="","",INDEX($A:$AP,ROW(),$B$6)))</f>
        <v/>
      </c>
      <c r="AS165" s="22">
        <f>IF($AR165="","",IF(ISNUMBER($AR165),IF($AR165&gt;=10000000,IFERROR(DATE(INT($AR165/10000),MOD(INT($AR165/100),100),MOD($AR165,100)),""),INT($AR165)),IFERROR(DATE(--LEFT(LEFT(SUBSTITUTE(SUBSTITUTE(SUBSTITUTE(SUBSTITUTE(TRIM($AR165),"-",""),".",""),"/","")," ",""),8),4),--MID(LEFT(SUBSTITUTE(SUBSTITUTE(SUBSTITUTE(SUBSTITUTE(TRIM($AR165),"-",""),".",""),"/","")," ",""),8),5,2),--MID(LEFT(SUBSTITUTE(SUBSTITUTE(SUBSTITUTE(SUBSTITUTE(TRIM($AR165),"-",""),".",""),"/","")," ",""),8),7,2)),"")))</f>
        <v/>
      </c>
      <c r="AT165" s="23">
        <f>IF($AS165="","",IF($F$6="",0,IF(ISNUMBER(INDEX($A:$AP,ROW(),$F$6)),INDEX($A:$AP,ROW(),$F$6),IFERROR(--SUBSTITUTE(SUBSTITUTE(TRIM(INDEX($A:$AP,ROW(),$F$6)),",",""),"원",""),0))))</f>
        <v/>
      </c>
      <c r="AU165" s="23">
        <f>IF($AS165="","",IF($G$6="",0,IF(ISNUMBER(INDEX($A:$AP,ROW(),$G$6)),INDEX($A:$AP,ROW(),$G$6),IFERROR(--SUBSTITUTE(SUBSTITUTE(TRIM(INDEX($A:$AP,ROW(),$G$6)),",",""),"원",""),0))))</f>
        <v/>
      </c>
      <c r="AV165" s="23">
        <f>IF($AS165="","",IF($H$6="",$AT165+$AU165,IF($H$6="",0,IF(ISNUMBER(INDEX($A:$AP,ROW(),$H$6)),INDEX($A:$AP,ROW(),$H$6),IFERROR(--SUBSTITUTE(SUBSTITUTE(TRIM(INDEX($A:$AP,ROW(),$H$6)),",",""),"원",""),0)))))</f>
        <v/>
      </c>
      <c r="AW165" s="2">
        <f>IF(OR($AS165="",$C$6=""),"",TRIM(INDEX($A:$AP,ROW(),$C$6)&amp;""))</f>
        <v/>
      </c>
      <c r="AX165" s="2">
        <f>IF($AS165="","",IF($AZ165&lt;&gt;"",SUBSTITUTE(SUBSTITUTE($AZ165,"-","")," ",""),$AY165))</f>
        <v/>
      </c>
      <c r="AY165" s="2">
        <f>IF(OR($AS165="",$E$6=""),"",TRIM(INDEX($A:$AP,ROW(),$E$6)&amp;""))</f>
        <v/>
      </c>
      <c r="AZ165" s="2">
        <f>IF(OR($AS165="",$D$6=""),"",TRIM(INDEX($A:$AP,ROW(),$D$6)&amp;""))</f>
        <v/>
      </c>
      <c r="BA165" s="2">
        <f>IF($AS165="","",IF(AND($AS165&gt;=설정!$B$10,$AS165&lt;=설정!$B$11),"포함","기간 밖"))</f>
        <v/>
      </c>
      <c r="BB165" s="2">
        <f>IF($AS165="","",IF(OR($AT165&lt;0,AND($I$6&lt;&gt;"",ISNUMBER(FIND("수정",INDEX($A:$AP,ROW(),IF($I$6="",1,$I$6))&amp;"")))),"수정","일반"))</f>
        <v/>
      </c>
      <c r="BC165" s="2">
        <f>IF($AS165="","",MID(IF($BA165="기간 밖"," / 기간 밖(신고기간 아님)","")&amp;IF(AND($AW165&lt;&gt;"",COUNTIF($AW$8:$AW$1007,$AW165)&gt;1)," / 승인번호 중복(두 번 붙여넣기?)","")&amp;IF(ABS($AU165-ROUND($AT165*0.1,0))&gt;설정!$B$8,IF($AU165=0," / 세액 0원(영세율·면세 여부 확인)"," / 세액이 공급가액 10%와 다름"),"")&amp;IF($BB165="수정"," / 수정세금계산서(합계에서 자동 가감)",""),4,200))</f>
        <v/>
      </c>
      <c r="BD165" s="2">
        <f>IF($BA165&lt;&gt;"포함","",IF(COUNTIFS($AX$8:$AX165,$AX165,$BA$8:$BA165,"포함")=1,MAX($BD$7:BD164)+1,""))</f>
        <v/>
      </c>
      <c r="BE165" s="2">
        <f>IF($BC165="","",MAX($BE$7:BE164)+1)</f>
        <v/>
      </c>
    </row>
    <row r="166">
      <c r="AR166" s="2">
        <f>IF(OR($A$5="",$B$6="",ROW()&lt;$A$5),"",IF(INDEX($A:$AP,ROW(),$B$6)="","",INDEX($A:$AP,ROW(),$B$6)))</f>
        <v/>
      </c>
      <c r="AS166" s="22">
        <f>IF($AR166="","",IF(ISNUMBER($AR166),IF($AR166&gt;=10000000,IFERROR(DATE(INT($AR166/10000),MOD(INT($AR166/100),100),MOD($AR166,100)),""),INT($AR166)),IFERROR(DATE(--LEFT(LEFT(SUBSTITUTE(SUBSTITUTE(SUBSTITUTE(SUBSTITUTE(TRIM($AR166),"-",""),".",""),"/","")," ",""),8),4),--MID(LEFT(SUBSTITUTE(SUBSTITUTE(SUBSTITUTE(SUBSTITUTE(TRIM($AR166),"-",""),".",""),"/","")," ",""),8),5,2),--MID(LEFT(SUBSTITUTE(SUBSTITUTE(SUBSTITUTE(SUBSTITUTE(TRIM($AR166),"-",""),".",""),"/","")," ",""),8),7,2)),"")))</f>
        <v/>
      </c>
      <c r="AT166" s="23">
        <f>IF($AS166="","",IF($F$6="",0,IF(ISNUMBER(INDEX($A:$AP,ROW(),$F$6)),INDEX($A:$AP,ROW(),$F$6),IFERROR(--SUBSTITUTE(SUBSTITUTE(TRIM(INDEX($A:$AP,ROW(),$F$6)),",",""),"원",""),0))))</f>
        <v/>
      </c>
      <c r="AU166" s="23">
        <f>IF($AS166="","",IF($G$6="",0,IF(ISNUMBER(INDEX($A:$AP,ROW(),$G$6)),INDEX($A:$AP,ROW(),$G$6),IFERROR(--SUBSTITUTE(SUBSTITUTE(TRIM(INDEX($A:$AP,ROW(),$G$6)),",",""),"원",""),0))))</f>
        <v/>
      </c>
      <c r="AV166" s="23">
        <f>IF($AS166="","",IF($H$6="",$AT166+$AU166,IF($H$6="",0,IF(ISNUMBER(INDEX($A:$AP,ROW(),$H$6)),INDEX($A:$AP,ROW(),$H$6),IFERROR(--SUBSTITUTE(SUBSTITUTE(TRIM(INDEX($A:$AP,ROW(),$H$6)),",",""),"원",""),0)))))</f>
        <v/>
      </c>
      <c r="AW166" s="2">
        <f>IF(OR($AS166="",$C$6=""),"",TRIM(INDEX($A:$AP,ROW(),$C$6)&amp;""))</f>
        <v/>
      </c>
      <c r="AX166" s="2">
        <f>IF($AS166="","",IF($AZ166&lt;&gt;"",SUBSTITUTE(SUBSTITUTE($AZ166,"-","")," ",""),$AY166))</f>
        <v/>
      </c>
      <c r="AY166" s="2">
        <f>IF(OR($AS166="",$E$6=""),"",TRIM(INDEX($A:$AP,ROW(),$E$6)&amp;""))</f>
        <v/>
      </c>
      <c r="AZ166" s="2">
        <f>IF(OR($AS166="",$D$6=""),"",TRIM(INDEX($A:$AP,ROW(),$D$6)&amp;""))</f>
        <v/>
      </c>
      <c r="BA166" s="2">
        <f>IF($AS166="","",IF(AND($AS166&gt;=설정!$B$10,$AS166&lt;=설정!$B$11),"포함","기간 밖"))</f>
        <v/>
      </c>
      <c r="BB166" s="2">
        <f>IF($AS166="","",IF(OR($AT166&lt;0,AND($I$6&lt;&gt;"",ISNUMBER(FIND("수정",INDEX($A:$AP,ROW(),IF($I$6="",1,$I$6))&amp;"")))),"수정","일반"))</f>
        <v/>
      </c>
      <c r="BC166" s="2">
        <f>IF($AS166="","",MID(IF($BA166="기간 밖"," / 기간 밖(신고기간 아님)","")&amp;IF(AND($AW166&lt;&gt;"",COUNTIF($AW$8:$AW$1007,$AW166)&gt;1)," / 승인번호 중복(두 번 붙여넣기?)","")&amp;IF(ABS($AU166-ROUND($AT166*0.1,0))&gt;설정!$B$8,IF($AU166=0," / 세액 0원(영세율·면세 여부 확인)"," / 세액이 공급가액 10%와 다름"),"")&amp;IF($BB166="수정"," / 수정세금계산서(합계에서 자동 가감)",""),4,200))</f>
        <v/>
      </c>
      <c r="BD166" s="2">
        <f>IF($BA166&lt;&gt;"포함","",IF(COUNTIFS($AX$8:$AX166,$AX166,$BA$8:$BA166,"포함")=1,MAX($BD$7:BD165)+1,""))</f>
        <v/>
      </c>
      <c r="BE166" s="2">
        <f>IF($BC166="","",MAX($BE$7:BE165)+1)</f>
        <v/>
      </c>
    </row>
    <row r="167">
      <c r="AR167" s="2">
        <f>IF(OR($A$5="",$B$6="",ROW()&lt;$A$5),"",IF(INDEX($A:$AP,ROW(),$B$6)="","",INDEX($A:$AP,ROW(),$B$6)))</f>
        <v/>
      </c>
      <c r="AS167" s="22">
        <f>IF($AR167="","",IF(ISNUMBER($AR167),IF($AR167&gt;=10000000,IFERROR(DATE(INT($AR167/10000),MOD(INT($AR167/100),100),MOD($AR167,100)),""),INT($AR167)),IFERROR(DATE(--LEFT(LEFT(SUBSTITUTE(SUBSTITUTE(SUBSTITUTE(SUBSTITUTE(TRIM($AR167),"-",""),".",""),"/","")," ",""),8),4),--MID(LEFT(SUBSTITUTE(SUBSTITUTE(SUBSTITUTE(SUBSTITUTE(TRIM($AR167),"-",""),".",""),"/","")," ",""),8),5,2),--MID(LEFT(SUBSTITUTE(SUBSTITUTE(SUBSTITUTE(SUBSTITUTE(TRIM($AR167),"-",""),".",""),"/","")," ",""),8),7,2)),"")))</f>
        <v/>
      </c>
      <c r="AT167" s="23">
        <f>IF($AS167="","",IF($F$6="",0,IF(ISNUMBER(INDEX($A:$AP,ROW(),$F$6)),INDEX($A:$AP,ROW(),$F$6),IFERROR(--SUBSTITUTE(SUBSTITUTE(TRIM(INDEX($A:$AP,ROW(),$F$6)),",",""),"원",""),0))))</f>
        <v/>
      </c>
      <c r="AU167" s="23">
        <f>IF($AS167="","",IF($G$6="",0,IF(ISNUMBER(INDEX($A:$AP,ROW(),$G$6)),INDEX($A:$AP,ROW(),$G$6),IFERROR(--SUBSTITUTE(SUBSTITUTE(TRIM(INDEX($A:$AP,ROW(),$G$6)),",",""),"원",""),0))))</f>
        <v/>
      </c>
      <c r="AV167" s="23">
        <f>IF($AS167="","",IF($H$6="",$AT167+$AU167,IF($H$6="",0,IF(ISNUMBER(INDEX($A:$AP,ROW(),$H$6)),INDEX($A:$AP,ROW(),$H$6),IFERROR(--SUBSTITUTE(SUBSTITUTE(TRIM(INDEX($A:$AP,ROW(),$H$6)),",",""),"원",""),0)))))</f>
        <v/>
      </c>
      <c r="AW167" s="2">
        <f>IF(OR($AS167="",$C$6=""),"",TRIM(INDEX($A:$AP,ROW(),$C$6)&amp;""))</f>
        <v/>
      </c>
      <c r="AX167" s="2">
        <f>IF($AS167="","",IF($AZ167&lt;&gt;"",SUBSTITUTE(SUBSTITUTE($AZ167,"-","")," ",""),$AY167))</f>
        <v/>
      </c>
      <c r="AY167" s="2">
        <f>IF(OR($AS167="",$E$6=""),"",TRIM(INDEX($A:$AP,ROW(),$E$6)&amp;""))</f>
        <v/>
      </c>
      <c r="AZ167" s="2">
        <f>IF(OR($AS167="",$D$6=""),"",TRIM(INDEX($A:$AP,ROW(),$D$6)&amp;""))</f>
        <v/>
      </c>
      <c r="BA167" s="2">
        <f>IF($AS167="","",IF(AND($AS167&gt;=설정!$B$10,$AS167&lt;=설정!$B$11),"포함","기간 밖"))</f>
        <v/>
      </c>
      <c r="BB167" s="2">
        <f>IF($AS167="","",IF(OR($AT167&lt;0,AND($I$6&lt;&gt;"",ISNUMBER(FIND("수정",INDEX($A:$AP,ROW(),IF($I$6="",1,$I$6))&amp;"")))),"수정","일반"))</f>
        <v/>
      </c>
      <c r="BC167" s="2">
        <f>IF($AS167="","",MID(IF($BA167="기간 밖"," / 기간 밖(신고기간 아님)","")&amp;IF(AND($AW167&lt;&gt;"",COUNTIF($AW$8:$AW$1007,$AW167)&gt;1)," / 승인번호 중복(두 번 붙여넣기?)","")&amp;IF(ABS($AU167-ROUND($AT167*0.1,0))&gt;설정!$B$8,IF($AU167=0," / 세액 0원(영세율·면세 여부 확인)"," / 세액이 공급가액 10%와 다름"),"")&amp;IF($BB167="수정"," / 수정세금계산서(합계에서 자동 가감)",""),4,200))</f>
        <v/>
      </c>
      <c r="BD167" s="2">
        <f>IF($BA167&lt;&gt;"포함","",IF(COUNTIFS($AX$8:$AX167,$AX167,$BA$8:$BA167,"포함")=1,MAX($BD$7:BD166)+1,""))</f>
        <v/>
      </c>
      <c r="BE167" s="2">
        <f>IF($BC167="","",MAX($BE$7:BE166)+1)</f>
        <v/>
      </c>
    </row>
    <row r="168">
      <c r="AR168" s="2">
        <f>IF(OR($A$5="",$B$6="",ROW()&lt;$A$5),"",IF(INDEX($A:$AP,ROW(),$B$6)="","",INDEX($A:$AP,ROW(),$B$6)))</f>
        <v/>
      </c>
      <c r="AS168" s="22">
        <f>IF($AR168="","",IF(ISNUMBER($AR168),IF($AR168&gt;=10000000,IFERROR(DATE(INT($AR168/10000),MOD(INT($AR168/100),100),MOD($AR168,100)),""),INT($AR168)),IFERROR(DATE(--LEFT(LEFT(SUBSTITUTE(SUBSTITUTE(SUBSTITUTE(SUBSTITUTE(TRIM($AR168),"-",""),".",""),"/","")," ",""),8),4),--MID(LEFT(SUBSTITUTE(SUBSTITUTE(SUBSTITUTE(SUBSTITUTE(TRIM($AR168),"-",""),".",""),"/","")," ",""),8),5,2),--MID(LEFT(SUBSTITUTE(SUBSTITUTE(SUBSTITUTE(SUBSTITUTE(TRIM($AR168),"-",""),".",""),"/","")," ",""),8),7,2)),"")))</f>
        <v/>
      </c>
      <c r="AT168" s="23">
        <f>IF($AS168="","",IF($F$6="",0,IF(ISNUMBER(INDEX($A:$AP,ROW(),$F$6)),INDEX($A:$AP,ROW(),$F$6),IFERROR(--SUBSTITUTE(SUBSTITUTE(TRIM(INDEX($A:$AP,ROW(),$F$6)),",",""),"원",""),0))))</f>
        <v/>
      </c>
      <c r="AU168" s="23">
        <f>IF($AS168="","",IF($G$6="",0,IF(ISNUMBER(INDEX($A:$AP,ROW(),$G$6)),INDEX($A:$AP,ROW(),$G$6),IFERROR(--SUBSTITUTE(SUBSTITUTE(TRIM(INDEX($A:$AP,ROW(),$G$6)),",",""),"원",""),0))))</f>
        <v/>
      </c>
      <c r="AV168" s="23">
        <f>IF($AS168="","",IF($H$6="",$AT168+$AU168,IF($H$6="",0,IF(ISNUMBER(INDEX($A:$AP,ROW(),$H$6)),INDEX($A:$AP,ROW(),$H$6),IFERROR(--SUBSTITUTE(SUBSTITUTE(TRIM(INDEX($A:$AP,ROW(),$H$6)),",",""),"원",""),0)))))</f>
        <v/>
      </c>
      <c r="AW168" s="2">
        <f>IF(OR($AS168="",$C$6=""),"",TRIM(INDEX($A:$AP,ROW(),$C$6)&amp;""))</f>
        <v/>
      </c>
      <c r="AX168" s="2">
        <f>IF($AS168="","",IF($AZ168&lt;&gt;"",SUBSTITUTE(SUBSTITUTE($AZ168,"-","")," ",""),$AY168))</f>
        <v/>
      </c>
      <c r="AY168" s="2">
        <f>IF(OR($AS168="",$E$6=""),"",TRIM(INDEX($A:$AP,ROW(),$E$6)&amp;""))</f>
        <v/>
      </c>
      <c r="AZ168" s="2">
        <f>IF(OR($AS168="",$D$6=""),"",TRIM(INDEX($A:$AP,ROW(),$D$6)&amp;""))</f>
        <v/>
      </c>
      <c r="BA168" s="2">
        <f>IF($AS168="","",IF(AND($AS168&gt;=설정!$B$10,$AS168&lt;=설정!$B$11),"포함","기간 밖"))</f>
        <v/>
      </c>
      <c r="BB168" s="2">
        <f>IF($AS168="","",IF(OR($AT168&lt;0,AND($I$6&lt;&gt;"",ISNUMBER(FIND("수정",INDEX($A:$AP,ROW(),IF($I$6="",1,$I$6))&amp;"")))),"수정","일반"))</f>
        <v/>
      </c>
      <c r="BC168" s="2">
        <f>IF($AS168="","",MID(IF($BA168="기간 밖"," / 기간 밖(신고기간 아님)","")&amp;IF(AND($AW168&lt;&gt;"",COUNTIF($AW$8:$AW$1007,$AW168)&gt;1)," / 승인번호 중복(두 번 붙여넣기?)","")&amp;IF(ABS($AU168-ROUND($AT168*0.1,0))&gt;설정!$B$8,IF($AU168=0," / 세액 0원(영세율·면세 여부 확인)"," / 세액이 공급가액 10%와 다름"),"")&amp;IF($BB168="수정"," / 수정세금계산서(합계에서 자동 가감)",""),4,200))</f>
        <v/>
      </c>
      <c r="BD168" s="2">
        <f>IF($BA168&lt;&gt;"포함","",IF(COUNTIFS($AX$8:$AX168,$AX168,$BA$8:$BA168,"포함")=1,MAX($BD$7:BD167)+1,""))</f>
        <v/>
      </c>
      <c r="BE168" s="2">
        <f>IF($BC168="","",MAX($BE$7:BE167)+1)</f>
        <v/>
      </c>
    </row>
    <row r="169">
      <c r="AR169" s="2">
        <f>IF(OR($A$5="",$B$6="",ROW()&lt;$A$5),"",IF(INDEX($A:$AP,ROW(),$B$6)="","",INDEX($A:$AP,ROW(),$B$6)))</f>
        <v/>
      </c>
      <c r="AS169" s="22">
        <f>IF($AR169="","",IF(ISNUMBER($AR169),IF($AR169&gt;=10000000,IFERROR(DATE(INT($AR169/10000),MOD(INT($AR169/100),100),MOD($AR169,100)),""),INT($AR169)),IFERROR(DATE(--LEFT(LEFT(SUBSTITUTE(SUBSTITUTE(SUBSTITUTE(SUBSTITUTE(TRIM($AR169),"-",""),".",""),"/","")," ",""),8),4),--MID(LEFT(SUBSTITUTE(SUBSTITUTE(SUBSTITUTE(SUBSTITUTE(TRIM($AR169),"-",""),".",""),"/","")," ",""),8),5,2),--MID(LEFT(SUBSTITUTE(SUBSTITUTE(SUBSTITUTE(SUBSTITUTE(TRIM($AR169),"-",""),".",""),"/","")," ",""),8),7,2)),"")))</f>
        <v/>
      </c>
      <c r="AT169" s="23">
        <f>IF($AS169="","",IF($F$6="",0,IF(ISNUMBER(INDEX($A:$AP,ROW(),$F$6)),INDEX($A:$AP,ROW(),$F$6),IFERROR(--SUBSTITUTE(SUBSTITUTE(TRIM(INDEX($A:$AP,ROW(),$F$6)),",",""),"원",""),0))))</f>
        <v/>
      </c>
      <c r="AU169" s="23">
        <f>IF($AS169="","",IF($G$6="",0,IF(ISNUMBER(INDEX($A:$AP,ROW(),$G$6)),INDEX($A:$AP,ROW(),$G$6),IFERROR(--SUBSTITUTE(SUBSTITUTE(TRIM(INDEX($A:$AP,ROW(),$G$6)),",",""),"원",""),0))))</f>
        <v/>
      </c>
      <c r="AV169" s="23">
        <f>IF($AS169="","",IF($H$6="",$AT169+$AU169,IF($H$6="",0,IF(ISNUMBER(INDEX($A:$AP,ROW(),$H$6)),INDEX($A:$AP,ROW(),$H$6),IFERROR(--SUBSTITUTE(SUBSTITUTE(TRIM(INDEX($A:$AP,ROW(),$H$6)),",",""),"원",""),0)))))</f>
        <v/>
      </c>
      <c r="AW169" s="2">
        <f>IF(OR($AS169="",$C$6=""),"",TRIM(INDEX($A:$AP,ROW(),$C$6)&amp;""))</f>
        <v/>
      </c>
      <c r="AX169" s="2">
        <f>IF($AS169="","",IF($AZ169&lt;&gt;"",SUBSTITUTE(SUBSTITUTE($AZ169,"-","")," ",""),$AY169))</f>
        <v/>
      </c>
      <c r="AY169" s="2">
        <f>IF(OR($AS169="",$E$6=""),"",TRIM(INDEX($A:$AP,ROW(),$E$6)&amp;""))</f>
        <v/>
      </c>
      <c r="AZ169" s="2">
        <f>IF(OR($AS169="",$D$6=""),"",TRIM(INDEX($A:$AP,ROW(),$D$6)&amp;""))</f>
        <v/>
      </c>
      <c r="BA169" s="2">
        <f>IF($AS169="","",IF(AND($AS169&gt;=설정!$B$10,$AS169&lt;=설정!$B$11),"포함","기간 밖"))</f>
        <v/>
      </c>
      <c r="BB169" s="2">
        <f>IF($AS169="","",IF(OR($AT169&lt;0,AND($I$6&lt;&gt;"",ISNUMBER(FIND("수정",INDEX($A:$AP,ROW(),IF($I$6="",1,$I$6))&amp;"")))),"수정","일반"))</f>
        <v/>
      </c>
      <c r="BC169" s="2">
        <f>IF($AS169="","",MID(IF($BA169="기간 밖"," / 기간 밖(신고기간 아님)","")&amp;IF(AND($AW169&lt;&gt;"",COUNTIF($AW$8:$AW$1007,$AW169)&gt;1)," / 승인번호 중복(두 번 붙여넣기?)","")&amp;IF(ABS($AU169-ROUND($AT169*0.1,0))&gt;설정!$B$8,IF($AU169=0," / 세액 0원(영세율·면세 여부 확인)"," / 세액이 공급가액 10%와 다름"),"")&amp;IF($BB169="수정"," / 수정세금계산서(합계에서 자동 가감)",""),4,200))</f>
        <v/>
      </c>
      <c r="BD169" s="2">
        <f>IF($BA169&lt;&gt;"포함","",IF(COUNTIFS($AX$8:$AX169,$AX169,$BA$8:$BA169,"포함")=1,MAX($BD$7:BD168)+1,""))</f>
        <v/>
      </c>
      <c r="BE169" s="2">
        <f>IF($BC169="","",MAX($BE$7:BE168)+1)</f>
        <v/>
      </c>
    </row>
    <row r="170">
      <c r="AR170" s="2">
        <f>IF(OR($A$5="",$B$6="",ROW()&lt;$A$5),"",IF(INDEX($A:$AP,ROW(),$B$6)="","",INDEX($A:$AP,ROW(),$B$6)))</f>
        <v/>
      </c>
      <c r="AS170" s="22">
        <f>IF($AR170="","",IF(ISNUMBER($AR170),IF($AR170&gt;=10000000,IFERROR(DATE(INT($AR170/10000),MOD(INT($AR170/100),100),MOD($AR170,100)),""),INT($AR170)),IFERROR(DATE(--LEFT(LEFT(SUBSTITUTE(SUBSTITUTE(SUBSTITUTE(SUBSTITUTE(TRIM($AR170),"-",""),".",""),"/","")," ",""),8),4),--MID(LEFT(SUBSTITUTE(SUBSTITUTE(SUBSTITUTE(SUBSTITUTE(TRIM($AR170),"-",""),".",""),"/","")," ",""),8),5,2),--MID(LEFT(SUBSTITUTE(SUBSTITUTE(SUBSTITUTE(SUBSTITUTE(TRIM($AR170),"-",""),".",""),"/","")," ",""),8),7,2)),"")))</f>
        <v/>
      </c>
      <c r="AT170" s="23">
        <f>IF($AS170="","",IF($F$6="",0,IF(ISNUMBER(INDEX($A:$AP,ROW(),$F$6)),INDEX($A:$AP,ROW(),$F$6),IFERROR(--SUBSTITUTE(SUBSTITUTE(TRIM(INDEX($A:$AP,ROW(),$F$6)),",",""),"원",""),0))))</f>
        <v/>
      </c>
      <c r="AU170" s="23">
        <f>IF($AS170="","",IF($G$6="",0,IF(ISNUMBER(INDEX($A:$AP,ROW(),$G$6)),INDEX($A:$AP,ROW(),$G$6),IFERROR(--SUBSTITUTE(SUBSTITUTE(TRIM(INDEX($A:$AP,ROW(),$G$6)),",",""),"원",""),0))))</f>
        <v/>
      </c>
      <c r="AV170" s="23">
        <f>IF($AS170="","",IF($H$6="",$AT170+$AU170,IF($H$6="",0,IF(ISNUMBER(INDEX($A:$AP,ROW(),$H$6)),INDEX($A:$AP,ROW(),$H$6),IFERROR(--SUBSTITUTE(SUBSTITUTE(TRIM(INDEX($A:$AP,ROW(),$H$6)),",",""),"원",""),0)))))</f>
        <v/>
      </c>
      <c r="AW170" s="2">
        <f>IF(OR($AS170="",$C$6=""),"",TRIM(INDEX($A:$AP,ROW(),$C$6)&amp;""))</f>
        <v/>
      </c>
      <c r="AX170" s="2">
        <f>IF($AS170="","",IF($AZ170&lt;&gt;"",SUBSTITUTE(SUBSTITUTE($AZ170,"-","")," ",""),$AY170))</f>
        <v/>
      </c>
      <c r="AY170" s="2">
        <f>IF(OR($AS170="",$E$6=""),"",TRIM(INDEX($A:$AP,ROW(),$E$6)&amp;""))</f>
        <v/>
      </c>
      <c r="AZ170" s="2">
        <f>IF(OR($AS170="",$D$6=""),"",TRIM(INDEX($A:$AP,ROW(),$D$6)&amp;""))</f>
        <v/>
      </c>
      <c r="BA170" s="2">
        <f>IF($AS170="","",IF(AND($AS170&gt;=설정!$B$10,$AS170&lt;=설정!$B$11),"포함","기간 밖"))</f>
        <v/>
      </c>
      <c r="BB170" s="2">
        <f>IF($AS170="","",IF(OR($AT170&lt;0,AND($I$6&lt;&gt;"",ISNUMBER(FIND("수정",INDEX($A:$AP,ROW(),IF($I$6="",1,$I$6))&amp;"")))),"수정","일반"))</f>
        <v/>
      </c>
      <c r="BC170" s="2">
        <f>IF($AS170="","",MID(IF($BA170="기간 밖"," / 기간 밖(신고기간 아님)","")&amp;IF(AND($AW170&lt;&gt;"",COUNTIF($AW$8:$AW$1007,$AW170)&gt;1)," / 승인번호 중복(두 번 붙여넣기?)","")&amp;IF(ABS($AU170-ROUND($AT170*0.1,0))&gt;설정!$B$8,IF($AU170=0," / 세액 0원(영세율·면세 여부 확인)"," / 세액이 공급가액 10%와 다름"),"")&amp;IF($BB170="수정"," / 수정세금계산서(합계에서 자동 가감)",""),4,200))</f>
        <v/>
      </c>
      <c r="BD170" s="2">
        <f>IF($BA170&lt;&gt;"포함","",IF(COUNTIFS($AX$8:$AX170,$AX170,$BA$8:$BA170,"포함")=1,MAX($BD$7:BD169)+1,""))</f>
        <v/>
      </c>
      <c r="BE170" s="2">
        <f>IF($BC170="","",MAX($BE$7:BE169)+1)</f>
        <v/>
      </c>
    </row>
    <row r="171">
      <c r="AR171" s="2">
        <f>IF(OR($A$5="",$B$6="",ROW()&lt;$A$5),"",IF(INDEX($A:$AP,ROW(),$B$6)="","",INDEX($A:$AP,ROW(),$B$6)))</f>
        <v/>
      </c>
      <c r="AS171" s="22">
        <f>IF($AR171="","",IF(ISNUMBER($AR171),IF($AR171&gt;=10000000,IFERROR(DATE(INT($AR171/10000),MOD(INT($AR171/100),100),MOD($AR171,100)),""),INT($AR171)),IFERROR(DATE(--LEFT(LEFT(SUBSTITUTE(SUBSTITUTE(SUBSTITUTE(SUBSTITUTE(TRIM($AR171),"-",""),".",""),"/","")," ",""),8),4),--MID(LEFT(SUBSTITUTE(SUBSTITUTE(SUBSTITUTE(SUBSTITUTE(TRIM($AR171),"-",""),".",""),"/","")," ",""),8),5,2),--MID(LEFT(SUBSTITUTE(SUBSTITUTE(SUBSTITUTE(SUBSTITUTE(TRIM($AR171),"-",""),".",""),"/","")," ",""),8),7,2)),"")))</f>
        <v/>
      </c>
      <c r="AT171" s="23">
        <f>IF($AS171="","",IF($F$6="",0,IF(ISNUMBER(INDEX($A:$AP,ROW(),$F$6)),INDEX($A:$AP,ROW(),$F$6),IFERROR(--SUBSTITUTE(SUBSTITUTE(TRIM(INDEX($A:$AP,ROW(),$F$6)),",",""),"원",""),0))))</f>
        <v/>
      </c>
      <c r="AU171" s="23">
        <f>IF($AS171="","",IF($G$6="",0,IF(ISNUMBER(INDEX($A:$AP,ROW(),$G$6)),INDEX($A:$AP,ROW(),$G$6),IFERROR(--SUBSTITUTE(SUBSTITUTE(TRIM(INDEX($A:$AP,ROW(),$G$6)),",",""),"원",""),0))))</f>
        <v/>
      </c>
      <c r="AV171" s="23">
        <f>IF($AS171="","",IF($H$6="",$AT171+$AU171,IF($H$6="",0,IF(ISNUMBER(INDEX($A:$AP,ROW(),$H$6)),INDEX($A:$AP,ROW(),$H$6),IFERROR(--SUBSTITUTE(SUBSTITUTE(TRIM(INDEX($A:$AP,ROW(),$H$6)),",",""),"원",""),0)))))</f>
        <v/>
      </c>
      <c r="AW171" s="2">
        <f>IF(OR($AS171="",$C$6=""),"",TRIM(INDEX($A:$AP,ROW(),$C$6)&amp;""))</f>
        <v/>
      </c>
      <c r="AX171" s="2">
        <f>IF($AS171="","",IF($AZ171&lt;&gt;"",SUBSTITUTE(SUBSTITUTE($AZ171,"-","")," ",""),$AY171))</f>
        <v/>
      </c>
      <c r="AY171" s="2">
        <f>IF(OR($AS171="",$E$6=""),"",TRIM(INDEX($A:$AP,ROW(),$E$6)&amp;""))</f>
        <v/>
      </c>
      <c r="AZ171" s="2">
        <f>IF(OR($AS171="",$D$6=""),"",TRIM(INDEX($A:$AP,ROW(),$D$6)&amp;""))</f>
        <v/>
      </c>
      <c r="BA171" s="2">
        <f>IF($AS171="","",IF(AND($AS171&gt;=설정!$B$10,$AS171&lt;=설정!$B$11),"포함","기간 밖"))</f>
        <v/>
      </c>
      <c r="BB171" s="2">
        <f>IF($AS171="","",IF(OR($AT171&lt;0,AND($I$6&lt;&gt;"",ISNUMBER(FIND("수정",INDEX($A:$AP,ROW(),IF($I$6="",1,$I$6))&amp;"")))),"수정","일반"))</f>
        <v/>
      </c>
      <c r="BC171" s="2">
        <f>IF($AS171="","",MID(IF($BA171="기간 밖"," / 기간 밖(신고기간 아님)","")&amp;IF(AND($AW171&lt;&gt;"",COUNTIF($AW$8:$AW$1007,$AW171)&gt;1)," / 승인번호 중복(두 번 붙여넣기?)","")&amp;IF(ABS($AU171-ROUND($AT171*0.1,0))&gt;설정!$B$8,IF($AU171=0," / 세액 0원(영세율·면세 여부 확인)"," / 세액이 공급가액 10%와 다름"),"")&amp;IF($BB171="수정"," / 수정세금계산서(합계에서 자동 가감)",""),4,200))</f>
        <v/>
      </c>
      <c r="BD171" s="2">
        <f>IF($BA171&lt;&gt;"포함","",IF(COUNTIFS($AX$8:$AX171,$AX171,$BA$8:$BA171,"포함")=1,MAX($BD$7:BD170)+1,""))</f>
        <v/>
      </c>
      <c r="BE171" s="2">
        <f>IF($BC171="","",MAX($BE$7:BE170)+1)</f>
        <v/>
      </c>
    </row>
    <row r="172">
      <c r="AR172" s="2">
        <f>IF(OR($A$5="",$B$6="",ROW()&lt;$A$5),"",IF(INDEX($A:$AP,ROW(),$B$6)="","",INDEX($A:$AP,ROW(),$B$6)))</f>
        <v/>
      </c>
      <c r="AS172" s="22">
        <f>IF($AR172="","",IF(ISNUMBER($AR172),IF($AR172&gt;=10000000,IFERROR(DATE(INT($AR172/10000),MOD(INT($AR172/100),100),MOD($AR172,100)),""),INT($AR172)),IFERROR(DATE(--LEFT(LEFT(SUBSTITUTE(SUBSTITUTE(SUBSTITUTE(SUBSTITUTE(TRIM($AR172),"-",""),".",""),"/","")," ",""),8),4),--MID(LEFT(SUBSTITUTE(SUBSTITUTE(SUBSTITUTE(SUBSTITUTE(TRIM($AR172),"-",""),".",""),"/","")," ",""),8),5,2),--MID(LEFT(SUBSTITUTE(SUBSTITUTE(SUBSTITUTE(SUBSTITUTE(TRIM($AR172),"-",""),".",""),"/","")," ",""),8),7,2)),"")))</f>
        <v/>
      </c>
      <c r="AT172" s="23">
        <f>IF($AS172="","",IF($F$6="",0,IF(ISNUMBER(INDEX($A:$AP,ROW(),$F$6)),INDEX($A:$AP,ROW(),$F$6),IFERROR(--SUBSTITUTE(SUBSTITUTE(TRIM(INDEX($A:$AP,ROW(),$F$6)),",",""),"원",""),0))))</f>
        <v/>
      </c>
      <c r="AU172" s="23">
        <f>IF($AS172="","",IF($G$6="",0,IF(ISNUMBER(INDEX($A:$AP,ROW(),$G$6)),INDEX($A:$AP,ROW(),$G$6),IFERROR(--SUBSTITUTE(SUBSTITUTE(TRIM(INDEX($A:$AP,ROW(),$G$6)),",",""),"원",""),0))))</f>
        <v/>
      </c>
      <c r="AV172" s="23">
        <f>IF($AS172="","",IF($H$6="",$AT172+$AU172,IF($H$6="",0,IF(ISNUMBER(INDEX($A:$AP,ROW(),$H$6)),INDEX($A:$AP,ROW(),$H$6),IFERROR(--SUBSTITUTE(SUBSTITUTE(TRIM(INDEX($A:$AP,ROW(),$H$6)),",",""),"원",""),0)))))</f>
        <v/>
      </c>
      <c r="AW172" s="2">
        <f>IF(OR($AS172="",$C$6=""),"",TRIM(INDEX($A:$AP,ROW(),$C$6)&amp;""))</f>
        <v/>
      </c>
      <c r="AX172" s="2">
        <f>IF($AS172="","",IF($AZ172&lt;&gt;"",SUBSTITUTE(SUBSTITUTE($AZ172,"-","")," ",""),$AY172))</f>
        <v/>
      </c>
      <c r="AY172" s="2">
        <f>IF(OR($AS172="",$E$6=""),"",TRIM(INDEX($A:$AP,ROW(),$E$6)&amp;""))</f>
        <v/>
      </c>
      <c r="AZ172" s="2">
        <f>IF(OR($AS172="",$D$6=""),"",TRIM(INDEX($A:$AP,ROW(),$D$6)&amp;""))</f>
        <v/>
      </c>
      <c r="BA172" s="2">
        <f>IF($AS172="","",IF(AND($AS172&gt;=설정!$B$10,$AS172&lt;=설정!$B$11),"포함","기간 밖"))</f>
        <v/>
      </c>
      <c r="BB172" s="2">
        <f>IF($AS172="","",IF(OR($AT172&lt;0,AND($I$6&lt;&gt;"",ISNUMBER(FIND("수정",INDEX($A:$AP,ROW(),IF($I$6="",1,$I$6))&amp;"")))),"수정","일반"))</f>
        <v/>
      </c>
      <c r="BC172" s="2">
        <f>IF($AS172="","",MID(IF($BA172="기간 밖"," / 기간 밖(신고기간 아님)","")&amp;IF(AND($AW172&lt;&gt;"",COUNTIF($AW$8:$AW$1007,$AW172)&gt;1)," / 승인번호 중복(두 번 붙여넣기?)","")&amp;IF(ABS($AU172-ROUND($AT172*0.1,0))&gt;설정!$B$8,IF($AU172=0," / 세액 0원(영세율·면세 여부 확인)"," / 세액이 공급가액 10%와 다름"),"")&amp;IF($BB172="수정"," / 수정세금계산서(합계에서 자동 가감)",""),4,200))</f>
        <v/>
      </c>
      <c r="BD172" s="2">
        <f>IF($BA172&lt;&gt;"포함","",IF(COUNTIFS($AX$8:$AX172,$AX172,$BA$8:$BA172,"포함")=1,MAX($BD$7:BD171)+1,""))</f>
        <v/>
      </c>
      <c r="BE172" s="2">
        <f>IF($BC172="","",MAX($BE$7:BE171)+1)</f>
        <v/>
      </c>
    </row>
    <row r="173">
      <c r="AR173" s="2">
        <f>IF(OR($A$5="",$B$6="",ROW()&lt;$A$5),"",IF(INDEX($A:$AP,ROW(),$B$6)="","",INDEX($A:$AP,ROW(),$B$6)))</f>
        <v/>
      </c>
      <c r="AS173" s="22">
        <f>IF($AR173="","",IF(ISNUMBER($AR173),IF($AR173&gt;=10000000,IFERROR(DATE(INT($AR173/10000),MOD(INT($AR173/100),100),MOD($AR173,100)),""),INT($AR173)),IFERROR(DATE(--LEFT(LEFT(SUBSTITUTE(SUBSTITUTE(SUBSTITUTE(SUBSTITUTE(TRIM($AR173),"-",""),".",""),"/","")," ",""),8),4),--MID(LEFT(SUBSTITUTE(SUBSTITUTE(SUBSTITUTE(SUBSTITUTE(TRIM($AR173),"-",""),".",""),"/","")," ",""),8),5,2),--MID(LEFT(SUBSTITUTE(SUBSTITUTE(SUBSTITUTE(SUBSTITUTE(TRIM($AR173),"-",""),".",""),"/","")," ",""),8),7,2)),"")))</f>
        <v/>
      </c>
      <c r="AT173" s="23">
        <f>IF($AS173="","",IF($F$6="",0,IF(ISNUMBER(INDEX($A:$AP,ROW(),$F$6)),INDEX($A:$AP,ROW(),$F$6),IFERROR(--SUBSTITUTE(SUBSTITUTE(TRIM(INDEX($A:$AP,ROW(),$F$6)),",",""),"원",""),0))))</f>
        <v/>
      </c>
      <c r="AU173" s="23">
        <f>IF($AS173="","",IF($G$6="",0,IF(ISNUMBER(INDEX($A:$AP,ROW(),$G$6)),INDEX($A:$AP,ROW(),$G$6),IFERROR(--SUBSTITUTE(SUBSTITUTE(TRIM(INDEX($A:$AP,ROW(),$G$6)),",",""),"원",""),0))))</f>
        <v/>
      </c>
      <c r="AV173" s="23">
        <f>IF($AS173="","",IF($H$6="",$AT173+$AU173,IF($H$6="",0,IF(ISNUMBER(INDEX($A:$AP,ROW(),$H$6)),INDEX($A:$AP,ROW(),$H$6),IFERROR(--SUBSTITUTE(SUBSTITUTE(TRIM(INDEX($A:$AP,ROW(),$H$6)),",",""),"원",""),0)))))</f>
        <v/>
      </c>
      <c r="AW173" s="2">
        <f>IF(OR($AS173="",$C$6=""),"",TRIM(INDEX($A:$AP,ROW(),$C$6)&amp;""))</f>
        <v/>
      </c>
      <c r="AX173" s="2">
        <f>IF($AS173="","",IF($AZ173&lt;&gt;"",SUBSTITUTE(SUBSTITUTE($AZ173,"-","")," ",""),$AY173))</f>
        <v/>
      </c>
      <c r="AY173" s="2">
        <f>IF(OR($AS173="",$E$6=""),"",TRIM(INDEX($A:$AP,ROW(),$E$6)&amp;""))</f>
        <v/>
      </c>
      <c r="AZ173" s="2">
        <f>IF(OR($AS173="",$D$6=""),"",TRIM(INDEX($A:$AP,ROW(),$D$6)&amp;""))</f>
        <v/>
      </c>
      <c r="BA173" s="2">
        <f>IF($AS173="","",IF(AND($AS173&gt;=설정!$B$10,$AS173&lt;=설정!$B$11),"포함","기간 밖"))</f>
        <v/>
      </c>
      <c r="BB173" s="2">
        <f>IF($AS173="","",IF(OR($AT173&lt;0,AND($I$6&lt;&gt;"",ISNUMBER(FIND("수정",INDEX($A:$AP,ROW(),IF($I$6="",1,$I$6))&amp;"")))),"수정","일반"))</f>
        <v/>
      </c>
      <c r="BC173" s="2">
        <f>IF($AS173="","",MID(IF($BA173="기간 밖"," / 기간 밖(신고기간 아님)","")&amp;IF(AND($AW173&lt;&gt;"",COUNTIF($AW$8:$AW$1007,$AW173)&gt;1)," / 승인번호 중복(두 번 붙여넣기?)","")&amp;IF(ABS($AU173-ROUND($AT173*0.1,0))&gt;설정!$B$8,IF($AU173=0," / 세액 0원(영세율·면세 여부 확인)"," / 세액이 공급가액 10%와 다름"),"")&amp;IF($BB173="수정"," / 수정세금계산서(합계에서 자동 가감)",""),4,200))</f>
        <v/>
      </c>
      <c r="BD173" s="2">
        <f>IF($BA173&lt;&gt;"포함","",IF(COUNTIFS($AX$8:$AX173,$AX173,$BA$8:$BA173,"포함")=1,MAX($BD$7:BD172)+1,""))</f>
        <v/>
      </c>
      <c r="BE173" s="2">
        <f>IF($BC173="","",MAX($BE$7:BE172)+1)</f>
        <v/>
      </c>
    </row>
    <row r="174">
      <c r="AR174" s="2">
        <f>IF(OR($A$5="",$B$6="",ROW()&lt;$A$5),"",IF(INDEX($A:$AP,ROW(),$B$6)="","",INDEX($A:$AP,ROW(),$B$6)))</f>
        <v/>
      </c>
      <c r="AS174" s="22">
        <f>IF($AR174="","",IF(ISNUMBER($AR174),IF($AR174&gt;=10000000,IFERROR(DATE(INT($AR174/10000),MOD(INT($AR174/100),100),MOD($AR174,100)),""),INT($AR174)),IFERROR(DATE(--LEFT(LEFT(SUBSTITUTE(SUBSTITUTE(SUBSTITUTE(SUBSTITUTE(TRIM($AR174),"-",""),".",""),"/","")," ",""),8),4),--MID(LEFT(SUBSTITUTE(SUBSTITUTE(SUBSTITUTE(SUBSTITUTE(TRIM($AR174),"-",""),".",""),"/","")," ",""),8),5,2),--MID(LEFT(SUBSTITUTE(SUBSTITUTE(SUBSTITUTE(SUBSTITUTE(TRIM($AR174),"-",""),".",""),"/","")," ",""),8),7,2)),"")))</f>
        <v/>
      </c>
      <c r="AT174" s="23">
        <f>IF($AS174="","",IF($F$6="",0,IF(ISNUMBER(INDEX($A:$AP,ROW(),$F$6)),INDEX($A:$AP,ROW(),$F$6),IFERROR(--SUBSTITUTE(SUBSTITUTE(TRIM(INDEX($A:$AP,ROW(),$F$6)),",",""),"원",""),0))))</f>
        <v/>
      </c>
      <c r="AU174" s="23">
        <f>IF($AS174="","",IF($G$6="",0,IF(ISNUMBER(INDEX($A:$AP,ROW(),$G$6)),INDEX($A:$AP,ROW(),$G$6),IFERROR(--SUBSTITUTE(SUBSTITUTE(TRIM(INDEX($A:$AP,ROW(),$G$6)),",",""),"원",""),0))))</f>
        <v/>
      </c>
      <c r="AV174" s="23">
        <f>IF($AS174="","",IF($H$6="",$AT174+$AU174,IF($H$6="",0,IF(ISNUMBER(INDEX($A:$AP,ROW(),$H$6)),INDEX($A:$AP,ROW(),$H$6),IFERROR(--SUBSTITUTE(SUBSTITUTE(TRIM(INDEX($A:$AP,ROW(),$H$6)),",",""),"원",""),0)))))</f>
        <v/>
      </c>
      <c r="AW174" s="2">
        <f>IF(OR($AS174="",$C$6=""),"",TRIM(INDEX($A:$AP,ROW(),$C$6)&amp;""))</f>
        <v/>
      </c>
      <c r="AX174" s="2">
        <f>IF($AS174="","",IF($AZ174&lt;&gt;"",SUBSTITUTE(SUBSTITUTE($AZ174,"-","")," ",""),$AY174))</f>
        <v/>
      </c>
      <c r="AY174" s="2">
        <f>IF(OR($AS174="",$E$6=""),"",TRIM(INDEX($A:$AP,ROW(),$E$6)&amp;""))</f>
        <v/>
      </c>
      <c r="AZ174" s="2">
        <f>IF(OR($AS174="",$D$6=""),"",TRIM(INDEX($A:$AP,ROW(),$D$6)&amp;""))</f>
        <v/>
      </c>
      <c r="BA174" s="2">
        <f>IF($AS174="","",IF(AND($AS174&gt;=설정!$B$10,$AS174&lt;=설정!$B$11),"포함","기간 밖"))</f>
        <v/>
      </c>
      <c r="BB174" s="2">
        <f>IF($AS174="","",IF(OR($AT174&lt;0,AND($I$6&lt;&gt;"",ISNUMBER(FIND("수정",INDEX($A:$AP,ROW(),IF($I$6="",1,$I$6))&amp;"")))),"수정","일반"))</f>
        <v/>
      </c>
      <c r="BC174" s="2">
        <f>IF($AS174="","",MID(IF($BA174="기간 밖"," / 기간 밖(신고기간 아님)","")&amp;IF(AND($AW174&lt;&gt;"",COUNTIF($AW$8:$AW$1007,$AW174)&gt;1)," / 승인번호 중복(두 번 붙여넣기?)","")&amp;IF(ABS($AU174-ROUND($AT174*0.1,0))&gt;설정!$B$8,IF($AU174=0," / 세액 0원(영세율·면세 여부 확인)"," / 세액이 공급가액 10%와 다름"),"")&amp;IF($BB174="수정"," / 수정세금계산서(합계에서 자동 가감)",""),4,200))</f>
        <v/>
      </c>
      <c r="BD174" s="2">
        <f>IF($BA174&lt;&gt;"포함","",IF(COUNTIFS($AX$8:$AX174,$AX174,$BA$8:$BA174,"포함")=1,MAX($BD$7:BD173)+1,""))</f>
        <v/>
      </c>
      <c r="BE174" s="2">
        <f>IF($BC174="","",MAX($BE$7:BE173)+1)</f>
        <v/>
      </c>
    </row>
    <row r="175">
      <c r="AR175" s="2">
        <f>IF(OR($A$5="",$B$6="",ROW()&lt;$A$5),"",IF(INDEX($A:$AP,ROW(),$B$6)="","",INDEX($A:$AP,ROW(),$B$6)))</f>
        <v/>
      </c>
      <c r="AS175" s="22">
        <f>IF($AR175="","",IF(ISNUMBER($AR175),IF($AR175&gt;=10000000,IFERROR(DATE(INT($AR175/10000),MOD(INT($AR175/100),100),MOD($AR175,100)),""),INT($AR175)),IFERROR(DATE(--LEFT(LEFT(SUBSTITUTE(SUBSTITUTE(SUBSTITUTE(SUBSTITUTE(TRIM($AR175),"-",""),".",""),"/","")," ",""),8),4),--MID(LEFT(SUBSTITUTE(SUBSTITUTE(SUBSTITUTE(SUBSTITUTE(TRIM($AR175),"-",""),".",""),"/","")," ",""),8),5,2),--MID(LEFT(SUBSTITUTE(SUBSTITUTE(SUBSTITUTE(SUBSTITUTE(TRIM($AR175),"-",""),".",""),"/","")," ",""),8),7,2)),"")))</f>
        <v/>
      </c>
      <c r="AT175" s="23">
        <f>IF($AS175="","",IF($F$6="",0,IF(ISNUMBER(INDEX($A:$AP,ROW(),$F$6)),INDEX($A:$AP,ROW(),$F$6),IFERROR(--SUBSTITUTE(SUBSTITUTE(TRIM(INDEX($A:$AP,ROW(),$F$6)),",",""),"원",""),0))))</f>
        <v/>
      </c>
      <c r="AU175" s="23">
        <f>IF($AS175="","",IF($G$6="",0,IF(ISNUMBER(INDEX($A:$AP,ROW(),$G$6)),INDEX($A:$AP,ROW(),$G$6),IFERROR(--SUBSTITUTE(SUBSTITUTE(TRIM(INDEX($A:$AP,ROW(),$G$6)),",",""),"원",""),0))))</f>
        <v/>
      </c>
      <c r="AV175" s="23">
        <f>IF($AS175="","",IF($H$6="",$AT175+$AU175,IF($H$6="",0,IF(ISNUMBER(INDEX($A:$AP,ROW(),$H$6)),INDEX($A:$AP,ROW(),$H$6),IFERROR(--SUBSTITUTE(SUBSTITUTE(TRIM(INDEX($A:$AP,ROW(),$H$6)),",",""),"원",""),0)))))</f>
        <v/>
      </c>
      <c r="AW175" s="2">
        <f>IF(OR($AS175="",$C$6=""),"",TRIM(INDEX($A:$AP,ROW(),$C$6)&amp;""))</f>
        <v/>
      </c>
      <c r="AX175" s="2">
        <f>IF($AS175="","",IF($AZ175&lt;&gt;"",SUBSTITUTE(SUBSTITUTE($AZ175,"-","")," ",""),$AY175))</f>
        <v/>
      </c>
      <c r="AY175" s="2">
        <f>IF(OR($AS175="",$E$6=""),"",TRIM(INDEX($A:$AP,ROW(),$E$6)&amp;""))</f>
        <v/>
      </c>
      <c r="AZ175" s="2">
        <f>IF(OR($AS175="",$D$6=""),"",TRIM(INDEX($A:$AP,ROW(),$D$6)&amp;""))</f>
        <v/>
      </c>
      <c r="BA175" s="2">
        <f>IF($AS175="","",IF(AND($AS175&gt;=설정!$B$10,$AS175&lt;=설정!$B$11),"포함","기간 밖"))</f>
        <v/>
      </c>
      <c r="BB175" s="2">
        <f>IF($AS175="","",IF(OR($AT175&lt;0,AND($I$6&lt;&gt;"",ISNUMBER(FIND("수정",INDEX($A:$AP,ROW(),IF($I$6="",1,$I$6))&amp;"")))),"수정","일반"))</f>
        <v/>
      </c>
      <c r="BC175" s="2">
        <f>IF($AS175="","",MID(IF($BA175="기간 밖"," / 기간 밖(신고기간 아님)","")&amp;IF(AND($AW175&lt;&gt;"",COUNTIF($AW$8:$AW$1007,$AW175)&gt;1)," / 승인번호 중복(두 번 붙여넣기?)","")&amp;IF(ABS($AU175-ROUND($AT175*0.1,0))&gt;설정!$B$8,IF($AU175=0," / 세액 0원(영세율·면세 여부 확인)"," / 세액이 공급가액 10%와 다름"),"")&amp;IF($BB175="수정"," / 수정세금계산서(합계에서 자동 가감)",""),4,200))</f>
        <v/>
      </c>
      <c r="BD175" s="2">
        <f>IF($BA175&lt;&gt;"포함","",IF(COUNTIFS($AX$8:$AX175,$AX175,$BA$8:$BA175,"포함")=1,MAX($BD$7:BD174)+1,""))</f>
        <v/>
      </c>
      <c r="BE175" s="2">
        <f>IF($BC175="","",MAX($BE$7:BE174)+1)</f>
        <v/>
      </c>
    </row>
    <row r="176">
      <c r="AR176" s="2">
        <f>IF(OR($A$5="",$B$6="",ROW()&lt;$A$5),"",IF(INDEX($A:$AP,ROW(),$B$6)="","",INDEX($A:$AP,ROW(),$B$6)))</f>
        <v/>
      </c>
      <c r="AS176" s="22">
        <f>IF($AR176="","",IF(ISNUMBER($AR176),IF($AR176&gt;=10000000,IFERROR(DATE(INT($AR176/10000),MOD(INT($AR176/100),100),MOD($AR176,100)),""),INT($AR176)),IFERROR(DATE(--LEFT(LEFT(SUBSTITUTE(SUBSTITUTE(SUBSTITUTE(SUBSTITUTE(TRIM($AR176),"-",""),".",""),"/","")," ",""),8),4),--MID(LEFT(SUBSTITUTE(SUBSTITUTE(SUBSTITUTE(SUBSTITUTE(TRIM($AR176),"-",""),".",""),"/","")," ",""),8),5,2),--MID(LEFT(SUBSTITUTE(SUBSTITUTE(SUBSTITUTE(SUBSTITUTE(TRIM($AR176),"-",""),".",""),"/","")," ",""),8),7,2)),"")))</f>
        <v/>
      </c>
      <c r="AT176" s="23">
        <f>IF($AS176="","",IF($F$6="",0,IF(ISNUMBER(INDEX($A:$AP,ROW(),$F$6)),INDEX($A:$AP,ROW(),$F$6),IFERROR(--SUBSTITUTE(SUBSTITUTE(TRIM(INDEX($A:$AP,ROW(),$F$6)),",",""),"원",""),0))))</f>
        <v/>
      </c>
      <c r="AU176" s="23">
        <f>IF($AS176="","",IF($G$6="",0,IF(ISNUMBER(INDEX($A:$AP,ROW(),$G$6)),INDEX($A:$AP,ROW(),$G$6),IFERROR(--SUBSTITUTE(SUBSTITUTE(TRIM(INDEX($A:$AP,ROW(),$G$6)),",",""),"원",""),0))))</f>
        <v/>
      </c>
      <c r="AV176" s="23">
        <f>IF($AS176="","",IF($H$6="",$AT176+$AU176,IF($H$6="",0,IF(ISNUMBER(INDEX($A:$AP,ROW(),$H$6)),INDEX($A:$AP,ROW(),$H$6),IFERROR(--SUBSTITUTE(SUBSTITUTE(TRIM(INDEX($A:$AP,ROW(),$H$6)),",",""),"원",""),0)))))</f>
        <v/>
      </c>
      <c r="AW176" s="2">
        <f>IF(OR($AS176="",$C$6=""),"",TRIM(INDEX($A:$AP,ROW(),$C$6)&amp;""))</f>
        <v/>
      </c>
      <c r="AX176" s="2">
        <f>IF($AS176="","",IF($AZ176&lt;&gt;"",SUBSTITUTE(SUBSTITUTE($AZ176,"-","")," ",""),$AY176))</f>
        <v/>
      </c>
      <c r="AY176" s="2">
        <f>IF(OR($AS176="",$E$6=""),"",TRIM(INDEX($A:$AP,ROW(),$E$6)&amp;""))</f>
        <v/>
      </c>
      <c r="AZ176" s="2">
        <f>IF(OR($AS176="",$D$6=""),"",TRIM(INDEX($A:$AP,ROW(),$D$6)&amp;""))</f>
        <v/>
      </c>
      <c r="BA176" s="2">
        <f>IF($AS176="","",IF(AND($AS176&gt;=설정!$B$10,$AS176&lt;=설정!$B$11),"포함","기간 밖"))</f>
        <v/>
      </c>
      <c r="BB176" s="2">
        <f>IF($AS176="","",IF(OR($AT176&lt;0,AND($I$6&lt;&gt;"",ISNUMBER(FIND("수정",INDEX($A:$AP,ROW(),IF($I$6="",1,$I$6))&amp;"")))),"수정","일반"))</f>
        <v/>
      </c>
      <c r="BC176" s="2">
        <f>IF($AS176="","",MID(IF($BA176="기간 밖"," / 기간 밖(신고기간 아님)","")&amp;IF(AND($AW176&lt;&gt;"",COUNTIF($AW$8:$AW$1007,$AW176)&gt;1)," / 승인번호 중복(두 번 붙여넣기?)","")&amp;IF(ABS($AU176-ROUND($AT176*0.1,0))&gt;설정!$B$8,IF($AU176=0," / 세액 0원(영세율·면세 여부 확인)"," / 세액이 공급가액 10%와 다름"),"")&amp;IF($BB176="수정"," / 수정세금계산서(합계에서 자동 가감)",""),4,200))</f>
        <v/>
      </c>
      <c r="BD176" s="2">
        <f>IF($BA176&lt;&gt;"포함","",IF(COUNTIFS($AX$8:$AX176,$AX176,$BA$8:$BA176,"포함")=1,MAX($BD$7:BD175)+1,""))</f>
        <v/>
      </c>
      <c r="BE176" s="2">
        <f>IF($BC176="","",MAX($BE$7:BE175)+1)</f>
        <v/>
      </c>
    </row>
    <row r="177">
      <c r="AR177" s="2">
        <f>IF(OR($A$5="",$B$6="",ROW()&lt;$A$5),"",IF(INDEX($A:$AP,ROW(),$B$6)="","",INDEX($A:$AP,ROW(),$B$6)))</f>
        <v/>
      </c>
      <c r="AS177" s="22">
        <f>IF($AR177="","",IF(ISNUMBER($AR177),IF($AR177&gt;=10000000,IFERROR(DATE(INT($AR177/10000),MOD(INT($AR177/100),100),MOD($AR177,100)),""),INT($AR177)),IFERROR(DATE(--LEFT(LEFT(SUBSTITUTE(SUBSTITUTE(SUBSTITUTE(SUBSTITUTE(TRIM($AR177),"-",""),".",""),"/","")," ",""),8),4),--MID(LEFT(SUBSTITUTE(SUBSTITUTE(SUBSTITUTE(SUBSTITUTE(TRIM($AR177),"-",""),".",""),"/","")," ",""),8),5,2),--MID(LEFT(SUBSTITUTE(SUBSTITUTE(SUBSTITUTE(SUBSTITUTE(TRIM($AR177),"-",""),".",""),"/","")," ",""),8),7,2)),"")))</f>
        <v/>
      </c>
      <c r="AT177" s="23">
        <f>IF($AS177="","",IF($F$6="",0,IF(ISNUMBER(INDEX($A:$AP,ROW(),$F$6)),INDEX($A:$AP,ROW(),$F$6),IFERROR(--SUBSTITUTE(SUBSTITUTE(TRIM(INDEX($A:$AP,ROW(),$F$6)),",",""),"원",""),0))))</f>
        <v/>
      </c>
      <c r="AU177" s="23">
        <f>IF($AS177="","",IF($G$6="",0,IF(ISNUMBER(INDEX($A:$AP,ROW(),$G$6)),INDEX($A:$AP,ROW(),$G$6),IFERROR(--SUBSTITUTE(SUBSTITUTE(TRIM(INDEX($A:$AP,ROW(),$G$6)),",",""),"원",""),0))))</f>
        <v/>
      </c>
      <c r="AV177" s="23">
        <f>IF($AS177="","",IF($H$6="",$AT177+$AU177,IF($H$6="",0,IF(ISNUMBER(INDEX($A:$AP,ROW(),$H$6)),INDEX($A:$AP,ROW(),$H$6),IFERROR(--SUBSTITUTE(SUBSTITUTE(TRIM(INDEX($A:$AP,ROW(),$H$6)),",",""),"원",""),0)))))</f>
        <v/>
      </c>
      <c r="AW177" s="2">
        <f>IF(OR($AS177="",$C$6=""),"",TRIM(INDEX($A:$AP,ROW(),$C$6)&amp;""))</f>
        <v/>
      </c>
      <c r="AX177" s="2">
        <f>IF($AS177="","",IF($AZ177&lt;&gt;"",SUBSTITUTE(SUBSTITUTE($AZ177,"-","")," ",""),$AY177))</f>
        <v/>
      </c>
      <c r="AY177" s="2">
        <f>IF(OR($AS177="",$E$6=""),"",TRIM(INDEX($A:$AP,ROW(),$E$6)&amp;""))</f>
        <v/>
      </c>
      <c r="AZ177" s="2">
        <f>IF(OR($AS177="",$D$6=""),"",TRIM(INDEX($A:$AP,ROW(),$D$6)&amp;""))</f>
        <v/>
      </c>
      <c r="BA177" s="2">
        <f>IF($AS177="","",IF(AND($AS177&gt;=설정!$B$10,$AS177&lt;=설정!$B$11),"포함","기간 밖"))</f>
        <v/>
      </c>
      <c r="BB177" s="2">
        <f>IF($AS177="","",IF(OR($AT177&lt;0,AND($I$6&lt;&gt;"",ISNUMBER(FIND("수정",INDEX($A:$AP,ROW(),IF($I$6="",1,$I$6))&amp;"")))),"수정","일반"))</f>
        <v/>
      </c>
      <c r="BC177" s="2">
        <f>IF($AS177="","",MID(IF($BA177="기간 밖"," / 기간 밖(신고기간 아님)","")&amp;IF(AND($AW177&lt;&gt;"",COUNTIF($AW$8:$AW$1007,$AW177)&gt;1)," / 승인번호 중복(두 번 붙여넣기?)","")&amp;IF(ABS($AU177-ROUND($AT177*0.1,0))&gt;설정!$B$8,IF($AU177=0," / 세액 0원(영세율·면세 여부 확인)"," / 세액이 공급가액 10%와 다름"),"")&amp;IF($BB177="수정"," / 수정세금계산서(합계에서 자동 가감)",""),4,200))</f>
        <v/>
      </c>
      <c r="BD177" s="2">
        <f>IF($BA177&lt;&gt;"포함","",IF(COUNTIFS($AX$8:$AX177,$AX177,$BA$8:$BA177,"포함")=1,MAX($BD$7:BD176)+1,""))</f>
        <v/>
      </c>
      <c r="BE177" s="2">
        <f>IF($BC177="","",MAX($BE$7:BE176)+1)</f>
        <v/>
      </c>
    </row>
    <row r="178">
      <c r="AR178" s="2">
        <f>IF(OR($A$5="",$B$6="",ROW()&lt;$A$5),"",IF(INDEX($A:$AP,ROW(),$B$6)="","",INDEX($A:$AP,ROW(),$B$6)))</f>
        <v/>
      </c>
      <c r="AS178" s="22">
        <f>IF($AR178="","",IF(ISNUMBER($AR178),IF($AR178&gt;=10000000,IFERROR(DATE(INT($AR178/10000),MOD(INT($AR178/100),100),MOD($AR178,100)),""),INT($AR178)),IFERROR(DATE(--LEFT(LEFT(SUBSTITUTE(SUBSTITUTE(SUBSTITUTE(SUBSTITUTE(TRIM($AR178),"-",""),".",""),"/","")," ",""),8),4),--MID(LEFT(SUBSTITUTE(SUBSTITUTE(SUBSTITUTE(SUBSTITUTE(TRIM($AR178),"-",""),".",""),"/","")," ",""),8),5,2),--MID(LEFT(SUBSTITUTE(SUBSTITUTE(SUBSTITUTE(SUBSTITUTE(TRIM($AR178),"-",""),".",""),"/","")," ",""),8),7,2)),"")))</f>
        <v/>
      </c>
      <c r="AT178" s="23">
        <f>IF($AS178="","",IF($F$6="",0,IF(ISNUMBER(INDEX($A:$AP,ROW(),$F$6)),INDEX($A:$AP,ROW(),$F$6),IFERROR(--SUBSTITUTE(SUBSTITUTE(TRIM(INDEX($A:$AP,ROW(),$F$6)),",",""),"원",""),0))))</f>
        <v/>
      </c>
      <c r="AU178" s="23">
        <f>IF($AS178="","",IF($G$6="",0,IF(ISNUMBER(INDEX($A:$AP,ROW(),$G$6)),INDEX($A:$AP,ROW(),$G$6),IFERROR(--SUBSTITUTE(SUBSTITUTE(TRIM(INDEX($A:$AP,ROW(),$G$6)),",",""),"원",""),0))))</f>
        <v/>
      </c>
      <c r="AV178" s="23">
        <f>IF($AS178="","",IF($H$6="",$AT178+$AU178,IF($H$6="",0,IF(ISNUMBER(INDEX($A:$AP,ROW(),$H$6)),INDEX($A:$AP,ROW(),$H$6),IFERROR(--SUBSTITUTE(SUBSTITUTE(TRIM(INDEX($A:$AP,ROW(),$H$6)),",",""),"원",""),0)))))</f>
        <v/>
      </c>
      <c r="AW178" s="2">
        <f>IF(OR($AS178="",$C$6=""),"",TRIM(INDEX($A:$AP,ROW(),$C$6)&amp;""))</f>
        <v/>
      </c>
      <c r="AX178" s="2">
        <f>IF($AS178="","",IF($AZ178&lt;&gt;"",SUBSTITUTE(SUBSTITUTE($AZ178,"-","")," ",""),$AY178))</f>
        <v/>
      </c>
      <c r="AY178" s="2">
        <f>IF(OR($AS178="",$E$6=""),"",TRIM(INDEX($A:$AP,ROW(),$E$6)&amp;""))</f>
        <v/>
      </c>
      <c r="AZ178" s="2">
        <f>IF(OR($AS178="",$D$6=""),"",TRIM(INDEX($A:$AP,ROW(),$D$6)&amp;""))</f>
        <v/>
      </c>
      <c r="BA178" s="2">
        <f>IF($AS178="","",IF(AND($AS178&gt;=설정!$B$10,$AS178&lt;=설정!$B$11),"포함","기간 밖"))</f>
        <v/>
      </c>
      <c r="BB178" s="2">
        <f>IF($AS178="","",IF(OR($AT178&lt;0,AND($I$6&lt;&gt;"",ISNUMBER(FIND("수정",INDEX($A:$AP,ROW(),IF($I$6="",1,$I$6))&amp;"")))),"수정","일반"))</f>
        <v/>
      </c>
      <c r="BC178" s="2">
        <f>IF($AS178="","",MID(IF($BA178="기간 밖"," / 기간 밖(신고기간 아님)","")&amp;IF(AND($AW178&lt;&gt;"",COUNTIF($AW$8:$AW$1007,$AW178)&gt;1)," / 승인번호 중복(두 번 붙여넣기?)","")&amp;IF(ABS($AU178-ROUND($AT178*0.1,0))&gt;설정!$B$8,IF($AU178=0," / 세액 0원(영세율·면세 여부 확인)"," / 세액이 공급가액 10%와 다름"),"")&amp;IF($BB178="수정"," / 수정세금계산서(합계에서 자동 가감)",""),4,200))</f>
        <v/>
      </c>
      <c r="BD178" s="2">
        <f>IF($BA178&lt;&gt;"포함","",IF(COUNTIFS($AX$8:$AX178,$AX178,$BA$8:$BA178,"포함")=1,MAX($BD$7:BD177)+1,""))</f>
        <v/>
      </c>
      <c r="BE178" s="2">
        <f>IF($BC178="","",MAX($BE$7:BE177)+1)</f>
        <v/>
      </c>
    </row>
    <row r="179">
      <c r="AR179" s="2">
        <f>IF(OR($A$5="",$B$6="",ROW()&lt;$A$5),"",IF(INDEX($A:$AP,ROW(),$B$6)="","",INDEX($A:$AP,ROW(),$B$6)))</f>
        <v/>
      </c>
      <c r="AS179" s="22">
        <f>IF($AR179="","",IF(ISNUMBER($AR179),IF($AR179&gt;=10000000,IFERROR(DATE(INT($AR179/10000),MOD(INT($AR179/100),100),MOD($AR179,100)),""),INT($AR179)),IFERROR(DATE(--LEFT(LEFT(SUBSTITUTE(SUBSTITUTE(SUBSTITUTE(SUBSTITUTE(TRIM($AR179),"-",""),".",""),"/","")," ",""),8),4),--MID(LEFT(SUBSTITUTE(SUBSTITUTE(SUBSTITUTE(SUBSTITUTE(TRIM($AR179),"-",""),".",""),"/","")," ",""),8),5,2),--MID(LEFT(SUBSTITUTE(SUBSTITUTE(SUBSTITUTE(SUBSTITUTE(TRIM($AR179),"-",""),".",""),"/","")," ",""),8),7,2)),"")))</f>
        <v/>
      </c>
      <c r="AT179" s="23">
        <f>IF($AS179="","",IF($F$6="",0,IF(ISNUMBER(INDEX($A:$AP,ROW(),$F$6)),INDEX($A:$AP,ROW(),$F$6),IFERROR(--SUBSTITUTE(SUBSTITUTE(TRIM(INDEX($A:$AP,ROW(),$F$6)),",",""),"원",""),0))))</f>
        <v/>
      </c>
      <c r="AU179" s="23">
        <f>IF($AS179="","",IF($G$6="",0,IF(ISNUMBER(INDEX($A:$AP,ROW(),$G$6)),INDEX($A:$AP,ROW(),$G$6),IFERROR(--SUBSTITUTE(SUBSTITUTE(TRIM(INDEX($A:$AP,ROW(),$G$6)),",",""),"원",""),0))))</f>
        <v/>
      </c>
      <c r="AV179" s="23">
        <f>IF($AS179="","",IF($H$6="",$AT179+$AU179,IF($H$6="",0,IF(ISNUMBER(INDEX($A:$AP,ROW(),$H$6)),INDEX($A:$AP,ROW(),$H$6),IFERROR(--SUBSTITUTE(SUBSTITUTE(TRIM(INDEX($A:$AP,ROW(),$H$6)),",",""),"원",""),0)))))</f>
        <v/>
      </c>
      <c r="AW179" s="2">
        <f>IF(OR($AS179="",$C$6=""),"",TRIM(INDEX($A:$AP,ROW(),$C$6)&amp;""))</f>
        <v/>
      </c>
      <c r="AX179" s="2">
        <f>IF($AS179="","",IF($AZ179&lt;&gt;"",SUBSTITUTE(SUBSTITUTE($AZ179,"-","")," ",""),$AY179))</f>
        <v/>
      </c>
      <c r="AY179" s="2">
        <f>IF(OR($AS179="",$E$6=""),"",TRIM(INDEX($A:$AP,ROW(),$E$6)&amp;""))</f>
        <v/>
      </c>
      <c r="AZ179" s="2">
        <f>IF(OR($AS179="",$D$6=""),"",TRIM(INDEX($A:$AP,ROW(),$D$6)&amp;""))</f>
        <v/>
      </c>
      <c r="BA179" s="2">
        <f>IF($AS179="","",IF(AND($AS179&gt;=설정!$B$10,$AS179&lt;=설정!$B$11),"포함","기간 밖"))</f>
        <v/>
      </c>
      <c r="BB179" s="2">
        <f>IF($AS179="","",IF(OR($AT179&lt;0,AND($I$6&lt;&gt;"",ISNUMBER(FIND("수정",INDEX($A:$AP,ROW(),IF($I$6="",1,$I$6))&amp;"")))),"수정","일반"))</f>
        <v/>
      </c>
      <c r="BC179" s="2">
        <f>IF($AS179="","",MID(IF($BA179="기간 밖"," / 기간 밖(신고기간 아님)","")&amp;IF(AND($AW179&lt;&gt;"",COUNTIF($AW$8:$AW$1007,$AW179)&gt;1)," / 승인번호 중복(두 번 붙여넣기?)","")&amp;IF(ABS($AU179-ROUND($AT179*0.1,0))&gt;설정!$B$8,IF($AU179=0," / 세액 0원(영세율·면세 여부 확인)"," / 세액이 공급가액 10%와 다름"),"")&amp;IF($BB179="수정"," / 수정세금계산서(합계에서 자동 가감)",""),4,200))</f>
        <v/>
      </c>
      <c r="BD179" s="2">
        <f>IF($BA179&lt;&gt;"포함","",IF(COUNTIFS($AX$8:$AX179,$AX179,$BA$8:$BA179,"포함")=1,MAX($BD$7:BD178)+1,""))</f>
        <v/>
      </c>
      <c r="BE179" s="2">
        <f>IF($BC179="","",MAX($BE$7:BE178)+1)</f>
        <v/>
      </c>
    </row>
    <row r="180">
      <c r="AR180" s="2">
        <f>IF(OR($A$5="",$B$6="",ROW()&lt;$A$5),"",IF(INDEX($A:$AP,ROW(),$B$6)="","",INDEX($A:$AP,ROW(),$B$6)))</f>
        <v/>
      </c>
      <c r="AS180" s="22">
        <f>IF($AR180="","",IF(ISNUMBER($AR180),IF($AR180&gt;=10000000,IFERROR(DATE(INT($AR180/10000),MOD(INT($AR180/100),100),MOD($AR180,100)),""),INT($AR180)),IFERROR(DATE(--LEFT(LEFT(SUBSTITUTE(SUBSTITUTE(SUBSTITUTE(SUBSTITUTE(TRIM($AR180),"-",""),".",""),"/","")," ",""),8),4),--MID(LEFT(SUBSTITUTE(SUBSTITUTE(SUBSTITUTE(SUBSTITUTE(TRIM($AR180),"-",""),".",""),"/","")," ",""),8),5,2),--MID(LEFT(SUBSTITUTE(SUBSTITUTE(SUBSTITUTE(SUBSTITUTE(TRIM($AR180),"-",""),".",""),"/","")," ",""),8),7,2)),"")))</f>
        <v/>
      </c>
      <c r="AT180" s="23">
        <f>IF($AS180="","",IF($F$6="",0,IF(ISNUMBER(INDEX($A:$AP,ROW(),$F$6)),INDEX($A:$AP,ROW(),$F$6),IFERROR(--SUBSTITUTE(SUBSTITUTE(TRIM(INDEX($A:$AP,ROW(),$F$6)),",",""),"원",""),0))))</f>
        <v/>
      </c>
      <c r="AU180" s="23">
        <f>IF($AS180="","",IF($G$6="",0,IF(ISNUMBER(INDEX($A:$AP,ROW(),$G$6)),INDEX($A:$AP,ROW(),$G$6),IFERROR(--SUBSTITUTE(SUBSTITUTE(TRIM(INDEX($A:$AP,ROW(),$G$6)),",",""),"원",""),0))))</f>
        <v/>
      </c>
      <c r="AV180" s="23">
        <f>IF($AS180="","",IF($H$6="",$AT180+$AU180,IF($H$6="",0,IF(ISNUMBER(INDEX($A:$AP,ROW(),$H$6)),INDEX($A:$AP,ROW(),$H$6),IFERROR(--SUBSTITUTE(SUBSTITUTE(TRIM(INDEX($A:$AP,ROW(),$H$6)),",",""),"원",""),0)))))</f>
        <v/>
      </c>
      <c r="AW180" s="2">
        <f>IF(OR($AS180="",$C$6=""),"",TRIM(INDEX($A:$AP,ROW(),$C$6)&amp;""))</f>
        <v/>
      </c>
      <c r="AX180" s="2">
        <f>IF($AS180="","",IF($AZ180&lt;&gt;"",SUBSTITUTE(SUBSTITUTE($AZ180,"-","")," ",""),$AY180))</f>
        <v/>
      </c>
      <c r="AY180" s="2">
        <f>IF(OR($AS180="",$E$6=""),"",TRIM(INDEX($A:$AP,ROW(),$E$6)&amp;""))</f>
        <v/>
      </c>
      <c r="AZ180" s="2">
        <f>IF(OR($AS180="",$D$6=""),"",TRIM(INDEX($A:$AP,ROW(),$D$6)&amp;""))</f>
        <v/>
      </c>
      <c r="BA180" s="2">
        <f>IF($AS180="","",IF(AND($AS180&gt;=설정!$B$10,$AS180&lt;=설정!$B$11),"포함","기간 밖"))</f>
        <v/>
      </c>
      <c r="BB180" s="2">
        <f>IF($AS180="","",IF(OR($AT180&lt;0,AND($I$6&lt;&gt;"",ISNUMBER(FIND("수정",INDEX($A:$AP,ROW(),IF($I$6="",1,$I$6))&amp;"")))),"수정","일반"))</f>
        <v/>
      </c>
      <c r="BC180" s="2">
        <f>IF($AS180="","",MID(IF($BA180="기간 밖"," / 기간 밖(신고기간 아님)","")&amp;IF(AND($AW180&lt;&gt;"",COUNTIF($AW$8:$AW$1007,$AW180)&gt;1)," / 승인번호 중복(두 번 붙여넣기?)","")&amp;IF(ABS($AU180-ROUND($AT180*0.1,0))&gt;설정!$B$8,IF($AU180=0," / 세액 0원(영세율·면세 여부 확인)"," / 세액이 공급가액 10%와 다름"),"")&amp;IF($BB180="수정"," / 수정세금계산서(합계에서 자동 가감)",""),4,200))</f>
        <v/>
      </c>
      <c r="BD180" s="2">
        <f>IF($BA180&lt;&gt;"포함","",IF(COUNTIFS($AX$8:$AX180,$AX180,$BA$8:$BA180,"포함")=1,MAX($BD$7:BD179)+1,""))</f>
        <v/>
      </c>
      <c r="BE180" s="2">
        <f>IF($BC180="","",MAX($BE$7:BE179)+1)</f>
        <v/>
      </c>
    </row>
    <row r="181">
      <c r="AR181" s="2">
        <f>IF(OR($A$5="",$B$6="",ROW()&lt;$A$5),"",IF(INDEX($A:$AP,ROW(),$B$6)="","",INDEX($A:$AP,ROW(),$B$6)))</f>
        <v/>
      </c>
      <c r="AS181" s="22">
        <f>IF($AR181="","",IF(ISNUMBER($AR181),IF($AR181&gt;=10000000,IFERROR(DATE(INT($AR181/10000),MOD(INT($AR181/100),100),MOD($AR181,100)),""),INT($AR181)),IFERROR(DATE(--LEFT(LEFT(SUBSTITUTE(SUBSTITUTE(SUBSTITUTE(SUBSTITUTE(TRIM($AR181),"-",""),".",""),"/","")," ",""),8),4),--MID(LEFT(SUBSTITUTE(SUBSTITUTE(SUBSTITUTE(SUBSTITUTE(TRIM($AR181),"-",""),".",""),"/","")," ",""),8),5,2),--MID(LEFT(SUBSTITUTE(SUBSTITUTE(SUBSTITUTE(SUBSTITUTE(TRIM($AR181),"-",""),".",""),"/","")," ",""),8),7,2)),"")))</f>
        <v/>
      </c>
      <c r="AT181" s="23">
        <f>IF($AS181="","",IF($F$6="",0,IF(ISNUMBER(INDEX($A:$AP,ROW(),$F$6)),INDEX($A:$AP,ROW(),$F$6),IFERROR(--SUBSTITUTE(SUBSTITUTE(TRIM(INDEX($A:$AP,ROW(),$F$6)),",",""),"원",""),0))))</f>
        <v/>
      </c>
      <c r="AU181" s="23">
        <f>IF($AS181="","",IF($G$6="",0,IF(ISNUMBER(INDEX($A:$AP,ROW(),$G$6)),INDEX($A:$AP,ROW(),$G$6),IFERROR(--SUBSTITUTE(SUBSTITUTE(TRIM(INDEX($A:$AP,ROW(),$G$6)),",",""),"원",""),0))))</f>
        <v/>
      </c>
      <c r="AV181" s="23">
        <f>IF($AS181="","",IF($H$6="",$AT181+$AU181,IF($H$6="",0,IF(ISNUMBER(INDEX($A:$AP,ROW(),$H$6)),INDEX($A:$AP,ROW(),$H$6),IFERROR(--SUBSTITUTE(SUBSTITUTE(TRIM(INDEX($A:$AP,ROW(),$H$6)),",",""),"원",""),0)))))</f>
        <v/>
      </c>
      <c r="AW181" s="2">
        <f>IF(OR($AS181="",$C$6=""),"",TRIM(INDEX($A:$AP,ROW(),$C$6)&amp;""))</f>
        <v/>
      </c>
      <c r="AX181" s="2">
        <f>IF($AS181="","",IF($AZ181&lt;&gt;"",SUBSTITUTE(SUBSTITUTE($AZ181,"-","")," ",""),$AY181))</f>
        <v/>
      </c>
      <c r="AY181" s="2">
        <f>IF(OR($AS181="",$E$6=""),"",TRIM(INDEX($A:$AP,ROW(),$E$6)&amp;""))</f>
        <v/>
      </c>
      <c r="AZ181" s="2">
        <f>IF(OR($AS181="",$D$6=""),"",TRIM(INDEX($A:$AP,ROW(),$D$6)&amp;""))</f>
        <v/>
      </c>
      <c r="BA181" s="2">
        <f>IF($AS181="","",IF(AND($AS181&gt;=설정!$B$10,$AS181&lt;=설정!$B$11),"포함","기간 밖"))</f>
        <v/>
      </c>
      <c r="BB181" s="2">
        <f>IF($AS181="","",IF(OR($AT181&lt;0,AND($I$6&lt;&gt;"",ISNUMBER(FIND("수정",INDEX($A:$AP,ROW(),IF($I$6="",1,$I$6))&amp;"")))),"수정","일반"))</f>
        <v/>
      </c>
      <c r="BC181" s="2">
        <f>IF($AS181="","",MID(IF($BA181="기간 밖"," / 기간 밖(신고기간 아님)","")&amp;IF(AND($AW181&lt;&gt;"",COUNTIF($AW$8:$AW$1007,$AW181)&gt;1)," / 승인번호 중복(두 번 붙여넣기?)","")&amp;IF(ABS($AU181-ROUND($AT181*0.1,0))&gt;설정!$B$8,IF($AU181=0," / 세액 0원(영세율·면세 여부 확인)"," / 세액이 공급가액 10%와 다름"),"")&amp;IF($BB181="수정"," / 수정세금계산서(합계에서 자동 가감)",""),4,200))</f>
        <v/>
      </c>
      <c r="BD181" s="2">
        <f>IF($BA181&lt;&gt;"포함","",IF(COUNTIFS($AX$8:$AX181,$AX181,$BA$8:$BA181,"포함")=1,MAX($BD$7:BD180)+1,""))</f>
        <v/>
      </c>
      <c r="BE181" s="2">
        <f>IF($BC181="","",MAX($BE$7:BE180)+1)</f>
        <v/>
      </c>
    </row>
    <row r="182">
      <c r="AR182" s="2">
        <f>IF(OR($A$5="",$B$6="",ROW()&lt;$A$5),"",IF(INDEX($A:$AP,ROW(),$B$6)="","",INDEX($A:$AP,ROW(),$B$6)))</f>
        <v/>
      </c>
      <c r="AS182" s="22">
        <f>IF($AR182="","",IF(ISNUMBER($AR182),IF($AR182&gt;=10000000,IFERROR(DATE(INT($AR182/10000),MOD(INT($AR182/100),100),MOD($AR182,100)),""),INT($AR182)),IFERROR(DATE(--LEFT(LEFT(SUBSTITUTE(SUBSTITUTE(SUBSTITUTE(SUBSTITUTE(TRIM($AR182),"-",""),".",""),"/","")," ",""),8),4),--MID(LEFT(SUBSTITUTE(SUBSTITUTE(SUBSTITUTE(SUBSTITUTE(TRIM($AR182),"-",""),".",""),"/","")," ",""),8),5,2),--MID(LEFT(SUBSTITUTE(SUBSTITUTE(SUBSTITUTE(SUBSTITUTE(TRIM($AR182),"-",""),".",""),"/","")," ",""),8),7,2)),"")))</f>
        <v/>
      </c>
      <c r="AT182" s="23">
        <f>IF($AS182="","",IF($F$6="",0,IF(ISNUMBER(INDEX($A:$AP,ROW(),$F$6)),INDEX($A:$AP,ROW(),$F$6),IFERROR(--SUBSTITUTE(SUBSTITUTE(TRIM(INDEX($A:$AP,ROW(),$F$6)),",",""),"원",""),0))))</f>
        <v/>
      </c>
      <c r="AU182" s="23">
        <f>IF($AS182="","",IF($G$6="",0,IF(ISNUMBER(INDEX($A:$AP,ROW(),$G$6)),INDEX($A:$AP,ROW(),$G$6),IFERROR(--SUBSTITUTE(SUBSTITUTE(TRIM(INDEX($A:$AP,ROW(),$G$6)),",",""),"원",""),0))))</f>
        <v/>
      </c>
      <c r="AV182" s="23">
        <f>IF($AS182="","",IF($H$6="",$AT182+$AU182,IF($H$6="",0,IF(ISNUMBER(INDEX($A:$AP,ROW(),$H$6)),INDEX($A:$AP,ROW(),$H$6),IFERROR(--SUBSTITUTE(SUBSTITUTE(TRIM(INDEX($A:$AP,ROW(),$H$6)),",",""),"원",""),0)))))</f>
        <v/>
      </c>
      <c r="AW182" s="2">
        <f>IF(OR($AS182="",$C$6=""),"",TRIM(INDEX($A:$AP,ROW(),$C$6)&amp;""))</f>
        <v/>
      </c>
      <c r="AX182" s="2">
        <f>IF($AS182="","",IF($AZ182&lt;&gt;"",SUBSTITUTE(SUBSTITUTE($AZ182,"-","")," ",""),$AY182))</f>
        <v/>
      </c>
      <c r="AY182" s="2">
        <f>IF(OR($AS182="",$E$6=""),"",TRIM(INDEX($A:$AP,ROW(),$E$6)&amp;""))</f>
        <v/>
      </c>
      <c r="AZ182" s="2">
        <f>IF(OR($AS182="",$D$6=""),"",TRIM(INDEX($A:$AP,ROW(),$D$6)&amp;""))</f>
        <v/>
      </c>
      <c r="BA182" s="2">
        <f>IF($AS182="","",IF(AND($AS182&gt;=설정!$B$10,$AS182&lt;=설정!$B$11),"포함","기간 밖"))</f>
        <v/>
      </c>
      <c r="BB182" s="2">
        <f>IF($AS182="","",IF(OR($AT182&lt;0,AND($I$6&lt;&gt;"",ISNUMBER(FIND("수정",INDEX($A:$AP,ROW(),IF($I$6="",1,$I$6))&amp;"")))),"수정","일반"))</f>
        <v/>
      </c>
      <c r="BC182" s="2">
        <f>IF($AS182="","",MID(IF($BA182="기간 밖"," / 기간 밖(신고기간 아님)","")&amp;IF(AND($AW182&lt;&gt;"",COUNTIF($AW$8:$AW$1007,$AW182)&gt;1)," / 승인번호 중복(두 번 붙여넣기?)","")&amp;IF(ABS($AU182-ROUND($AT182*0.1,0))&gt;설정!$B$8,IF($AU182=0," / 세액 0원(영세율·면세 여부 확인)"," / 세액이 공급가액 10%와 다름"),"")&amp;IF($BB182="수정"," / 수정세금계산서(합계에서 자동 가감)",""),4,200))</f>
        <v/>
      </c>
      <c r="BD182" s="2">
        <f>IF($BA182&lt;&gt;"포함","",IF(COUNTIFS($AX$8:$AX182,$AX182,$BA$8:$BA182,"포함")=1,MAX($BD$7:BD181)+1,""))</f>
        <v/>
      </c>
      <c r="BE182" s="2">
        <f>IF($BC182="","",MAX($BE$7:BE181)+1)</f>
        <v/>
      </c>
    </row>
    <row r="183">
      <c r="AR183" s="2">
        <f>IF(OR($A$5="",$B$6="",ROW()&lt;$A$5),"",IF(INDEX($A:$AP,ROW(),$B$6)="","",INDEX($A:$AP,ROW(),$B$6)))</f>
        <v/>
      </c>
      <c r="AS183" s="22">
        <f>IF($AR183="","",IF(ISNUMBER($AR183),IF($AR183&gt;=10000000,IFERROR(DATE(INT($AR183/10000),MOD(INT($AR183/100),100),MOD($AR183,100)),""),INT($AR183)),IFERROR(DATE(--LEFT(LEFT(SUBSTITUTE(SUBSTITUTE(SUBSTITUTE(SUBSTITUTE(TRIM($AR183),"-",""),".",""),"/","")," ",""),8),4),--MID(LEFT(SUBSTITUTE(SUBSTITUTE(SUBSTITUTE(SUBSTITUTE(TRIM($AR183),"-",""),".",""),"/","")," ",""),8),5,2),--MID(LEFT(SUBSTITUTE(SUBSTITUTE(SUBSTITUTE(SUBSTITUTE(TRIM($AR183),"-",""),".",""),"/","")," ",""),8),7,2)),"")))</f>
        <v/>
      </c>
      <c r="AT183" s="23">
        <f>IF($AS183="","",IF($F$6="",0,IF(ISNUMBER(INDEX($A:$AP,ROW(),$F$6)),INDEX($A:$AP,ROW(),$F$6),IFERROR(--SUBSTITUTE(SUBSTITUTE(TRIM(INDEX($A:$AP,ROW(),$F$6)),",",""),"원",""),0))))</f>
        <v/>
      </c>
      <c r="AU183" s="23">
        <f>IF($AS183="","",IF($G$6="",0,IF(ISNUMBER(INDEX($A:$AP,ROW(),$G$6)),INDEX($A:$AP,ROW(),$G$6),IFERROR(--SUBSTITUTE(SUBSTITUTE(TRIM(INDEX($A:$AP,ROW(),$G$6)),",",""),"원",""),0))))</f>
        <v/>
      </c>
      <c r="AV183" s="23">
        <f>IF($AS183="","",IF($H$6="",$AT183+$AU183,IF($H$6="",0,IF(ISNUMBER(INDEX($A:$AP,ROW(),$H$6)),INDEX($A:$AP,ROW(),$H$6),IFERROR(--SUBSTITUTE(SUBSTITUTE(TRIM(INDEX($A:$AP,ROW(),$H$6)),",",""),"원",""),0)))))</f>
        <v/>
      </c>
      <c r="AW183" s="2">
        <f>IF(OR($AS183="",$C$6=""),"",TRIM(INDEX($A:$AP,ROW(),$C$6)&amp;""))</f>
        <v/>
      </c>
      <c r="AX183" s="2">
        <f>IF($AS183="","",IF($AZ183&lt;&gt;"",SUBSTITUTE(SUBSTITUTE($AZ183,"-","")," ",""),$AY183))</f>
        <v/>
      </c>
      <c r="AY183" s="2">
        <f>IF(OR($AS183="",$E$6=""),"",TRIM(INDEX($A:$AP,ROW(),$E$6)&amp;""))</f>
        <v/>
      </c>
      <c r="AZ183" s="2">
        <f>IF(OR($AS183="",$D$6=""),"",TRIM(INDEX($A:$AP,ROW(),$D$6)&amp;""))</f>
        <v/>
      </c>
      <c r="BA183" s="2">
        <f>IF($AS183="","",IF(AND($AS183&gt;=설정!$B$10,$AS183&lt;=설정!$B$11),"포함","기간 밖"))</f>
        <v/>
      </c>
      <c r="BB183" s="2">
        <f>IF($AS183="","",IF(OR($AT183&lt;0,AND($I$6&lt;&gt;"",ISNUMBER(FIND("수정",INDEX($A:$AP,ROW(),IF($I$6="",1,$I$6))&amp;"")))),"수정","일반"))</f>
        <v/>
      </c>
      <c r="BC183" s="2">
        <f>IF($AS183="","",MID(IF($BA183="기간 밖"," / 기간 밖(신고기간 아님)","")&amp;IF(AND($AW183&lt;&gt;"",COUNTIF($AW$8:$AW$1007,$AW183)&gt;1)," / 승인번호 중복(두 번 붙여넣기?)","")&amp;IF(ABS($AU183-ROUND($AT183*0.1,0))&gt;설정!$B$8,IF($AU183=0," / 세액 0원(영세율·면세 여부 확인)"," / 세액이 공급가액 10%와 다름"),"")&amp;IF($BB183="수정"," / 수정세금계산서(합계에서 자동 가감)",""),4,200))</f>
        <v/>
      </c>
      <c r="BD183" s="2">
        <f>IF($BA183&lt;&gt;"포함","",IF(COUNTIFS($AX$8:$AX183,$AX183,$BA$8:$BA183,"포함")=1,MAX($BD$7:BD182)+1,""))</f>
        <v/>
      </c>
      <c r="BE183" s="2">
        <f>IF($BC183="","",MAX($BE$7:BE182)+1)</f>
        <v/>
      </c>
    </row>
    <row r="184">
      <c r="AR184" s="2">
        <f>IF(OR($A$5="",$B$6="",ROW()&lt;$A$5),"",IF(INDEX($A:$AP,ROW(),$B$6)="","",INDEX($A:$AP,ROW(),$B$6)))</f>
        <v/>
      </c>
      <c r="AS184" s="22">
        <f>IF($AR184="","",IF(ISNUMBER($AR184),IF($AR184&gt;=10000000,IFERROR(DATE(INT($AR184/10000),MOD(INT($AR184/100),100),MOD($AR184,100)),""),INT($AR184)),IFERROR(DATE(--LEFT(LEFT(SUBSTITUTE(SUBSTITUTE(SUBSTITUTE(SUBSTITUTE(TRIM($AR184),"-",""),".",""),"/","")," ",""),8),4),--MID(LEFT(SUBSTITUTE(SUBSTITUTE(SUBSTITUTE(SUBSTITUTE(TRIM($AR184),"-",""),".",""),"/","")," ",""),8),5,2),--MID(LEFT(SUBSTITUTE(SUBSTITUTE(SUBSTITUTE(SUBSTITUTE(TRIM($AR184),"-",""),".",""),"/","")," ",""),8),7,2)),"")))</f>
        <v/>
      </c>
      <c r="AT184" s="23">
        <f>IF($AS184="","",IF($F$6="",0,IF(ISNUMBER(INDEX($A:$AP,ROW(),$F$6)),INDEX($A:$AP,ROW(),$F$6),IFERROR(--SUBSTITUTE(SUBSTITUTE(TRIM(INDEX($A:$AP,ROW(),$F$6)),",",""),"원",""),0))))</f>
        <v/>
      </c>
      <c r="AU184" s="23">
        <f>IF($AS184="","",IF($G$6="",0,IF(ISNUMBER(INDEX($A:$AP,ROW(),$G$6)),INDEX($A:$AP,ROW(),$G$6),IFERROR(--SUBSTITUTE(SUBSTITUTE(TRIM(INDEX($A:$AP,ROW(),$G$6)),",",""),"원",""),0))))</f>
        <v/>
      </c>
      <c r="AV184" s="23">
        <f>IF($AS184="","",IF($H$6="",$AT184+$AU184,IF($H$6="",0,IF(ISNUMBER(INDEX($A:$AP,ROW(),$H$6)),INDEX($A:$AP,ROW(),$H$6),IFERROR(--SUBSTITUTE(SUBSTITUTE(TRIM(INDEX($A:$AP,ROW(),$H$6)),",",""),"원",""),0)))))</f>
        <v/>
      </c>
      <c r="AW184" s="2">
        <f>IF(OR($AS184="",$C$6=""),"",TRIM(INDEX($A:$AP,ROW(),$C$6)&amp;""))</f>
        <v/>
      </c>
      <c r="AX184" s="2">
        <f>IF($AS184="","",IF($AZ184&lt;&gt;"",SUBSTITUTE(SUBSTITUTE($AZ184,"-","")," ",""),$AY184))</f>
        <v/>
      </c>
      <c r="AY184" s="2">
        <f>IF(OR($AS184="",$E$6=""),"",TRIM(INDEX($A:$AP,ROW(),$E$6)&amp;""))</f>
        <v/>
      </c>
      <c r="AZ184" s="2">
        <f>IF(OR($AS184="",$D$6=""),"",TRIM(INDEX($A:$AP,ROW(),$D$6)&amp;""))</f>
        <v/>
      </c>
      <c r="BA184" s="2">
        <f>IF($AS184="","",IF(AND($AS184&gt;=설정!$B$10,$AS184&lt;=설정!$B$11),"포함","기간 밖"))</f>
        <v/>
      </c>
      <c r="BB184" s="2">
        <f>IF($AS184="","",IF(OR($AT184&lt;0,AND($I$6&lt;&gt;"",ISNUMBER(FIND("수정",INDEX($A:$AP,ROW(),IF($I$6="",1,$I$6))&amp;"")))),"수정","일반"))</f>
        <v/>
      </c>
      <c r="BC184" s="2">
        <f>IF($AS184="","",MID(IF($BA184="기간 밖"," / 기간 밖(신고기간 아님)","")&amp;IF(AND($AW184&lt;&gt;"",COUNTIF($AW$8:$AW$1007,$AW184)&gt;1)," / 승인번호 중복(두 번 붙여넣기?)","")&amp;IF(ABS($AU184-ROUND($AT184*0.1,0))&gt;설정!$B$8,IF($AU184=0," / 세액 0원(영세율·면세 여부 확인)"," / 세액이 공급가액 10%와 다름"),"")&amp;IF($BB184="수정"," / 수정세금계산서(합계에서 자동 가감)",""),4,200))</f>
        <v/>
      </c>
      <c r="BD184" s="2">
        <f>IF($BA184&lt;&gt;"포함","",IF(COUNTIFS($AX$8:$AX184,$AX184,$BA$8:$BA184,"포함")=1,MAX($BD$7:BD183)+1,""))</f>
        <v/>
      </c>
      <c r="BE184" s="2">
        <f>IF($BC184="","",MAX($BE$7:BE183)+1)</f>
        <v/>
      </c>
    </row>
    <row r="185">
      <c r="AR185" s="2">
        <f>IF(OR($A$5="",$B$6="",ROW()&lt;$A$5),"",IF(INDEX($A:$AP,ROW(),$B$6)="","",INDEX($A:$AP,ROW(),$B$6)))</f>
        <v/>
      </c>
      <c r="AS185" s="22">
        <f>IF($AR185="","",IF(ISNUMBER($AR185),IF($AR185&gt;=10000000,IFERROR(DATE(INT($AR185/10000),MOD(INT($AR185/100),100),MOD($AR185,100)),""),INT($AR185)),IFERROR(DATE(--LEFT(LEFT(SUBSTITUTE(SUBSTITUTE(SUBSTITUTE(SUBSTITUTE(TRIM($AR185),"-",""),".",""),"/","")," ",""),8),4),--MID(LEFT(SUBSTITUTE(SUBSTITUTE(SUBSTITUTE(SUBSTITUTE(TRIM($AR185),"-",""),".",""),"/","")," ",""),8),5,2),--MID(LEFT(SUBSTITUTE(SUBSTITUTE(SUBSTITUTE(SUBSTITUTE(TRIM($AR185),"-",""),".",""),"/","")," ",""),8),7,2)),"")))</f>
        <v/>
      </c>
      <c r="AT185" s="23">
        <f>IF($AS185="","",IF($F$6="",0,IF(ISNUMBER(INDEX($A:$AP,ROW(),$F$6)),INDEX($A:$AP,ROW(),$F$6),IFERROR(--SUBSTITUTE(SUBSTITUTE(TRIM(INDEX($A:$AP,ROW(),$F$6)),",",""),"원",""),0))))</f>
        <v/>
      </c>
      <c r="AU185" s="23">
        <f>IF($AS185="","",IF($G$6="",0,IF(ISNUMBER(INDEX($A:$AP,ROW(),$G$6)),INDEX($A:$AP,ROW(),$G$6),IFERROR(--SUBSTITUTE(SUBSTITUTE(TRIM(INDEX($A:$AP,ROW(),$G$6)),",",""),"원",""),0))))</f>
        <v/>
      </c>
      <c r="AV185" s="23">
        <f>IF($AS185="","",IF($H$6="",$AT185+$AU185,IF($H$6="",0,IF(ISNUMBER(INDEX($A:$AP,ROW(),$H$6)),INDEX($A:$AP,ROW(),$H$6),IFERROR(--SUBSTITUTE(SUBSTITUTE(TRIM(INDEX($A:$AP,ROW(),$H$6)),",",""),"원",""),0)))))</f>
        <v/>
      </c>
      <c r="AW185" s="2">
        <f>IF(OR($AS185="",$C$6=""),"",TRIM(INDEX($A:$AP,ROW(),$C$6)&amp;""))</f>
        <v/>
      </c>
      <c r="AX185" s="2">
        <f>IF($AS185="","",IF($AZ185&lt;&gt;"",SUBSTITUTE(SUBSTITUTE($AZ185,"-","")," ",""),$AY185))</f>
        <v/>
      </c>
      <c r="AY185" s="2">
        <f>IF(OR($AS185="",$E$6=""),"",TRIM(INDEX($A:$AP,ROW(),$E$6)&amp;""))</f>
        <v/>
      </c>
      <c r="AZ185" s="2">
        <f>IF(OR($AS185="",$D$6=""),"",TRIM(INDEX($A:$AP,ROW(),$D$6)&amp;""))</f>
        <v/>
      </c>
      <c r="BA185" s="2">
        <f>IF($AS185="","",IF(AND($AS185&gt;=설정!$B$10,$AS185&lt;=설정!$B$11),"포함","기간 밖"))</f>
        <v/>
      </c>
      <c r="BB185" s="2">
        <f>IF($AS185="","",IF(OR($AT185&lt;0,AND($I$6&lt;&gt;"",ISNUMBER(FIND("수정",INDEX($A:$AP,ROW(),IF($I$6="",1,$I$6))&amp;"")))),"수정","일반"))</f>
        <v/>
      </c>
      <c r="BC185" s="2">
        <f>IF($AS185="","",MID(IF($BA185="기간 밖"," / 기간 밖(신고기간 아님)","")&amp;IF(AND($AW185&lt;&gt;"",COUNTIF($AW$8:$AW$1007,$AW185)&gt;1)," / 승인번호 중복(두 번 붙여넣기?)","")&amp;IF(ABS($AU185-ROUND($AT185*0.1,0))&gt;설정!$B$8,IF($AU185=0," / 세액 0원(영세율·면세 여부 확인)"," / 세액이 공급가액 10%와 다름"),"")&amp;IF($BB185="수정"," / 수정세금계산서(합계에서 자동 가감)",""),4,200))</f>
        <v/>
      </c>
      <c r="BD185" s="2">
        <f>IF($BA185&lt;&gt;"포함","",IF(COUNTIFS($AX$8:$AX185,$AX185,$BA$8:$BA185,"포함")=1,MAX($BD$7:BD184)+1,""))</f>
        <v/>
      </c>
      <c r="BE185" s="2">
        <f>IF($BC185="","",MAX($BE$7:BE184)+1)</f>
        <v/>
      </c>
    </row>
    <row r="186">
      <c r="AR186" s="2">
        <f>IF(OR($A$5="",$B$6="",ROW()&lt;$A$5),"",IF(INDEX($A:$AP,ROW(),$B$6)="","",INDEX($A:$AP,ROW(),$B$6)))</f>
        <v/>
      </c>
      <c r="AS186" s="22">
        <f>IF($AR186="","",IF(ISNUMBER($AR186),IF($AR186&gt;=10000000,IFERROR(DATE(INT($AR186/10000),MOD(INT($AR186/100),100),MOD($AR186,100)),""),INT($AR186)),IFERROR(DATE(--LEFT(LEFT(SUBSTITUTE(SUBSTITUTE(SUBSTITUTE(SUBSTITUTE(TRIM($AR186),"-",""),".",""),"/","")," ",""),8),4),--MID(LEFT(SUBSTITUTE(SUBSTITUTE(SUBSTITUTE(SUBSTITUTE(TRIM($AR186),"-",""),".",""),"/","")," ",""),8),5,2),--MID(LEFT(SUBSTITUTE(SUBSTITUTE(SUBSTITUTE(SUBSTITUTE(TRIM($AR186),"-",""),".",""),"/","")," ",""),8),7,2)),"")))</f>
        <v/>
      </c>
      <c r="AT186" s="23">
        <f>IF($AS186="","",IF($F$6="",0,IF(ISNUMBER(INDEX($A:$AP,ROW(),$F$6)),INDEX($A:$AP,ROW(),$F$6),IFERROR(--SUBSTITUTE(SUBSTITUTE(TRIM(INDEX($A:$AP,ROW(),$F$6)),",",""),"원",""),0))))</f>
        <v/>
      </c>
      <c r="AU186" s="23">
        <f>IF($AS186="","",IF($G$6="",0,IF(ISNUMBER(INDEX($A:$AP,ROW(),$G$6)),INDEX($A:$AP,ROW(),$G$6),IFERROR(--SUBSTITUTE(SUBSTITUTE(TRIM(INDEX($A:$AP,ROW(),$G$6)),",",""),"원",""),0))))</f>
        <v/>
      </c>
      <c r="AV186" s="23">
        <f>IF($AS186="","",IF($H$6="",$AT186+$AU186,IF($H$6="",0,IF(ISNUMBER(INDEX($A:$AP,ROW(),$H$6)),INDEX($A:$AP,ROW(),$H$6),IFERROR(--SUBSTITUTE(SUBSTITUTE(TRIM(INDEX($A:$AP,ROW(),$H$6)),",",""),"원",""),0)))))</f>
        <v/>
      </c>
      <c r="AW186" s="2">
        <f>IF(OR($AS186="",$C$6=""),"",TRIM(INDEX($A:$AP,ROW(),$C$6)&amp;""))</f>
        <v/>
      </c>
      <c r="AX186" s="2">
        <f>IF($AS186="","",IF($AZ186&lt;&gt;"",SUBSTITUTE(SUBSTITUTE($AZ186,"-","")," ",""),$AY186))</f>
        <v/>
      </c>
      <c r="AY186" s="2">
        <f>IF(OR($AS186="",$E$6=""),"",TRIM(INDEX($A:$AP,ROW(),$E$6)&amp;""))</f>
        <v/>
      </c>
      <c r="AZ186" s="2">
        <f>IF(OR($AS186="",$D$6=""),"",TRIM(INDEX($A:$AP,ROW(),$D$6)&amp;""))</f>
        <v/>
      </c>
      <c r="BA186" s="2">
        <f>IF($AS186="","",IF(AND($AS186&gt;=설정!$B$10,$AS186&lt;=설정!$B$11),"포함","기간 밖"))</f>
        <v/>
      </c>
      <c r="BB186" s="2">
        <f>IF($AS186="","",IF(OR($AT186&lt;0,AND($I$6&lt;&gt;"",ISNUMBER(FIND("수정",INDEX($A:$AP,ROW(),IF($I$6="",1,$I$6))&amp;"")))),"수정","일반"))</f>
        <v/>
      </c>
      <c r="BC186" s="2">
        <f>IF($AS186="","",MID(IF($BA186="기간 밖"," / 기간 밖(신고기간 아님)","")&amp;IF(AND($AW186&lt;&gt;"",COUNTIF($AW$8:$AW$1007,$AW186)&gt;1)," / 승인번호 중복(두 번 붙여넣기?)","")&amp;IF(ABS($AU186-ROUND($AT186*0.1,0))&gt;설정!$B$8,IF($AU186=0," / 세액 0원(영세율·면세 여부 확인)"," / 세액이 공급가액 10%와 다름"),"")&amp;IF($BB186="수정"," / 수정세금계산서(합계에서 자동 가감)",""),4,200))</f>
        <v/>
      </c>
      <c r="BD186" s="2">
        <f>IF($BA186&lt;&gt;"포함","",IF(COUNTIFS($AX$8:$AX186,$AX186,$BA$8:$BA186,"포함")=1,MAX($BD$7:BD185)+1,""))</f>
        <v/>
      </c>
      <c r="BE186" s="2">
        <f>IF($BC186="","",MAX($BE$7:BE185)+1)</f>
        <v/>
      </c>
    </row>
    <row r="187">
      <c r="AR187" s="2">
        <f>IF(OR($A$5="",$B$6="",ROW()&lt;$A$5),"",IF(INDEX($A:$AP,ROW(),$B$6)="","",INDEX($A:$AP,ROW(),$B$6)))</f>
        <v/>
      </c>
      <c r="AS187" s="22">
        <f>IF($AR187="","",IF(ISNUMBER($AR187),IF($AR187&gt;=10000000,IFERROR(DATE(INT($AR187/10000),MOD(INT($AR187/100),100),MOD($AR187,100)),""),INT($AR187)),IFERROR(DATE(--LEFT(LEFT(SUBSTITUTE(SUBSTITUTE(SUBSTITUTE(SUBSTITUTE(TRIM($AR187),"-",""),".",""),"/","")," ",""),8),4),--MID(LEFT(SUBSTITUTE(SUBSTITUTE(SUBSTITUTE(SUBSTITUTE(TRIM($AR187),"-",""),".",""),"/","")," ",""),8),5,2),--MID(LEFT(SUBSTITUTE(SUBSTITUTE(SUBSTITUTE(SUBSTITUTE(TRIM($AR187),"-",""),".",""),"/","")," ",""),8),7,2)),"")))</f>
        <v/>
      </c>
      <c r="AT187" s="23">
        <f>IF($AS187="","",IF($F$6="",0,IF(ISNUMBER(INDEX($A:$AP,ROW(),$F$6)),INDEX($A:$AP,ROW(),$F$6),IFERROR(--SUBSTITUTE(SUBSTITUTE(TRIM(INDEX($A:$AP,ROW(),$F$6)),",",""),"원",""),0))))</f>
        <v/>
      </c>
      <c r="AU187" s="23">
        <f>IF($AS187="","",IF($G$6="",0,IF(ISNUMBER(INDEX($A:$AP,ROW(),$G$6)),INDEX($A:$AP,ROW(),$G$6),IFERROR(--SUBSTITUTE(SUBSTITUTE(TRIM(INDEX($A:$AP,ROW(),$G$6)),",",""),"원",""),0))))</f>
        <v/>
      </c>
      <c r="AV187" s="23">
        <f>IF($AS187="","",IF($H$6="",$AT187+$AU187,IF($H$6="",0,IF(ISNUMBER(INDEX($A:$AP,ROW(),$H$6)),INDEX($A:$AP,ROW(),$H$6),IFERROR(--SUBSTITUTE(SUBSTITUTE(TRIM(INDEX($A:$AP,ROW(),$H$6)),",",""),"원",""),0)))))</f>
        <v/>
      </c>
      <c r="AW187" s="2">
        <f>IF(OR($AS187="",$C$6=""),"",TRIM(INDEX($A:$AP,ROW(),$C$6)&amp;""))</f>
        <v/>
      </c>
      <c r="AX187" s="2">
        <f>IF($AS187="","",IF($AZ187&lt;&gt;"",SUBSTITUTE(SUBSTITUTE($AZ187,"-","")," ",""),$AY187))</f>
        <v/>
      </c>
      <c r="AY187" s="2">
        <f>IF(OR($AS187="",$E$6=""),"",TRIM(INDEX($A:$AP,ROW(),$E$6)&amp;""))</f>
        <v/>
      </c>
      <c r="AZ187" s="2">
        <f>IF(OR($AS187="",$D$6=""),"",TRIM(INDEX($A:$AP,ROW(),$D$6)&amp;""))</f>
        <v/>
      </c>
      <c r="BA187" s="2">
        <f>IF($AS187="","",IF(AND($AS187&gt;=설정!$B$10,$AS187&lt;=설정!$B$11),"포함","기간 밖"))</f>
        <v/>
      </c>
      <c r="BB187" s="2">
        <f>IF($AS187="","",IF(OR($AT187&lt;0,AND($I$6&lt;&gt;"",ISNUMBER(FIND("수정",INDEX($A:$AP,ROW(),IF($I$6="",1,$I$6))&amp;"")))),"수정","일반"))</f>
        <v/>
      </c>
      <c r="BC187" s="2">
        <f>IF($AS187="","",MID(IF($BA187="기간 밖"," / 기간 밖(신고기간 아님)","")&amp;IF(AND($AW187&lt;&gt;"",COUNTIF($AW$8:$AW$1007,$AW187)&gt;1)," / 승인번호 중복(두 번 붙여넣기?)","")&amp;IF(ABS($AU187-ROUND($AT187*0.1,0))&gt;설정!$B$8,IF($AU187=0," / 세액 0원(영세율·면세 여부 확인)"," / 세액이 공급가액 10%와 다름"),"")&amp;IF($BB187="수정"," / 수정세금계산서(합계에서 자동 가감)",""),4,200))</f>
        <v/>
      </c>
      <c r="BD187" s="2">
        <f>IF($BA187&lt;&gt;"포함","",IF(COUNTIFS($AX$8:$AX187,$AX187,$BA$8:$BA187,"포함")=1,MAX($BD$7:BD186)+1,""))</f>
        <v/>
      </c>
      <c r="BE187" s="2">
        <f>IF($BC187="","",MAX($BE$7:BE186)+1)</f>
        <v/>
      </c>
    </row>
    <row r="188">
      <c r="AR188" s="2">
        <f>IF(OR($A$5="",$B$6="",ROW()&lt;$A$5),"",IF(INDEX($A:$AP,ROW(),$B$6)="","",INDEX($A:$AP,ROW(),$B$6)))</f>
        <v/>
      </c>
      <c r="AS188" s="22">
        <f>IF($AR188="","",IF(ISNUMBER($AR188),IF($AR188&gt;=10000000,IFERROR(DATE(INT($AR188/10000),MOD(INT($AR188/100),100),MOD($AR188,100)),""),INT($AR188)),IFERROR(DATE(--LEFT(LEFT(SUBSTITUTE(SUBSTITUTE(SUBSTITUTE(SUBSTITUTE(TRIM($AR188),"-",""),".",""),"/","")," ",""),8),4),--MID(LEFT(SUBSTITUTE(SUBSTITUTE(SUBSTITUTE(SUBSTITUTE(TRIM($AR188),"-",""),".",""),"/","")," ",""),8),5,2),--MID(LEFT(SUBSTITUTE(SUBSTITUTE(SUBSTITUTE(SUBSTITUTE(TRIM($AR188),"-",""),".",""),"/","")," ",""),8),7,2)),"")))</f>
        <v/>
      </c>
      <c r="AT188" s="23">
        <f>IF($AS188="","",IF($F$6="",0,IF(ISNUMBER(INDEX($A:$AP,ROW(),$F$6)),INDEX($A:$AP,ROW(),$F$6),IFERROR(--SUBSTITUTE(SUBSTITUTE(TRIM(INDEX($A:$AP,ROW(),$F$6)),",",""),"원",""),0))))</f>
        <v/>
      </c>
      <c r="AU188" s="23">
        <f>IF($AS188="","",IF($G$6="",0,IF(ISNUMBER(INDEX($A:$AP,ROW(),$G$6)),INDEX($A:$AP,ROW(),$G$6),IFERROR(--SUBSTITUTE(SUBSTITUTE(TRIM(INDEX($A:$AP,ROW(),$G$6)),",",""),"원",""),0))))</f>
        <v/>
      </c>
      <c r="AV188" s="23">
        <f>IF($AS188="","",IF($H$6="",$AT188+$AU188,IF($H$6="",0,IF(ISNUMBER(INDEX($A:$AP,ROW(),$H$6)),INDEX($A:$AP,ROW(),$H$6),IFERROR(--SUBSTITUTE(SUBSTITUTE(TRIM(INDEX($A:$AP,ROW(),$H$6)),",",""),"원",""),0)))))</f>
        <v/>
      </c>
      <c r="AW188" s="2">
        <f>IF(OR($AS188="",$C$6=""),"",TRIM(INDEX($A:$AP,ROW(),$C$6)&amp;""))</f>
        <v/>
      </c>
      <c r="AX188" s="2">
        <f>IF($AS188="","",IF($AZ188&lt;&gt;"",SUBSTITUTE(SUBSTITUTE($AZ188,"-","")," ",""),$AY188))</f>
        <v/>
      </c>
      <c r="AY188" s="2">
        <f>IF(OR($AS188="",$E$6=""),"",TRIM(INDEX($A:$AP,ROW(),$E$6)&amp;""))</f>
        <v/>
      </c>
      <c r="AZ188" s="2">
        <f>IF(OR($AS188="",$D$6=""),"",TRIM(INDEX($A:$AP,ROW(),$D$6)&amp;""))</f>
        <v/>
      </c>
      <c r="BA188" s="2">
        <f>IF($AS188="","",IF(AND($AS188&gt;=설정!$B$10,$AS188&lt;=설정!$B$11),"포함","기간 밖"))</f>
        <v/>
      </c>
      <c r="BB188" s="2">
        <f>IF($AS188="","",IF(OR($AT188&lt;0,AND($I$6&lt;&gt;"",ISNUMBER(FIND("수정",INDEX($A:$AP,ROW(),IF($I$6="",1,$I$6))&amp;"")))),"수정","일반"))</f>
        <v/>
      </c>
      <c r="BC188" s="2">
        <f>IF($AS188="","",MID(IF($BA188="기간 밖"," / 기간 밖(신고기간 아님)","")&amp;IF(AND($AW188&lt;&gt;"",COUNTIF($AW$8:$AW$1007,$AW188)&gt;1)," / 승인번호 중복(두 번 붙여넣기?)","")&amp;IF(ABS($AU188-ROUND($AT188*0.1,0))&gt;설정!$B$8,IF($AU188=0," / 세액 0원(영세율·면세 여부 확인)"," / 세액이 공급가액 10%와 다름"),"")&amp;IF($BB188="수정"," / 수정세금계산서(합계에서 자동 가감)",""),4,200))</f>
        <v/>
      </c>
      <c r="BD188" s="2">
        <f>IF($BA188&lt;&gt;"포함","",IF(COUNTIFS($AX$8:$AX188,$AX188,$BA$8:$BA188,"포함")=1,MAX($BD$7:BD187)+1,""))</f>
        <v/>
      </c>
      <c r="BE188" s="2">
        <f>IF($BC188="","",MAX($BE$7:BE187)+1)</f>
        <v/>
      </c>
    </row>
    <row r="189">
      <c r="AR189" s="2">
        <f>IF(OR($A$5="",$B$6="",ROW()&lt;$A$5),"",IF(INDEX($A:$AP,ROW(),$B$6)="","",INDEX($A:$AP,ROW(),$B$6)))</f>
        <v/>
      </c>
      <c r="AS189" s="22">
        <f>IF($AR189="","",IF(ISNUMBER($AR189),IF($AR189&gt;=10000000,IFERROR(DATE(INT($AR189/10000),MOD(INT($AR189/100),100),MOD($AR189,100)),""),INT($AR189)),IFERROR(DATE(--LEFT(LEFT(SUBSTITUTE(SUBSTITUTE(SUBSTITUTE(SUBSTITUTE(TRIM($AR189),"-",""),".",""),"/","")," ",""),8),4),--MID(LEFT(SUBSTITUTE(SUBSTITUTE(SUBSTITUTE(SUBSTITUTE(TRIM($AR189),"-",""),".",""),"/","")," ",""),8),5,2),--MID(LEFT(SUBSTITUTE(SUBSTITUTE(SUBSTITUTE(SUBSTITUTE(TRIM($AR189),"-",""),".",""),"/","")," ",""),8),7,2)),"")))</f>
        <v/>
      </c>
      <c r="AT189" s="23">
        <f>IF($AS189="","",IF($F$6="",0,IF(ISNUMBER(INDEX($A:$AP,ROW(),$F$6)),INDEX($A:$AP,ROW(),$F$6),IFERROR(--SUBSTITUTE(SUBSTITUTE(TRIM(INDEX($A:$AP,ROW(),$F$6)),",",""),"원",""),0))))</f>
        <v/>
      </c>
      <c r="AU189" s="23">
        <f>IF($AS189="","",IF($G$6="",0,IF(ISNUMBER(INDEX($A:$AP,ROW(),$G$6)),INDEX($A:$AP,ROW(),$G$6),IFERROR(--SUBSTITUTE(SUBSTITUTE(TRIM(INDEX($A:$AP,ROW(),$G$6)),",",""),"원",""),0))))</f>
        <v/>
      </c>
      <c r="AV189" s="23">
        <f>IF($AS189="","",IF($H$6="",$AT189+$AU189,IF($H$6="",0,IF(ISNUMBER(INDEX($A:$AP,ROW(),$H$6)),INDEX($A:$AP,ROW(),$H$6),IFERROR(--SUBSTITUTE(SUBSTITUTE(TRIM(INDEX($A:$AP,ROW(),$H$6)),",",""),"원",""),0)))))</f>
        <v/>
      </c>
      <c r="AW189" s="2">
        <f>IF(OR($AS189="",$C$6=""),"",TRIM(INDEX($A:$AP,ROW(),$C$6)&amp;""))</f>
        <v/>
      </c>
      <c r="AX189" s="2">
        <f>IF($AS189="","",IF($AZ189&lt;&gt;"",SUBSTITUTE(SUBSTITUTE($AZ189,"-","")," ",""),$AY189))</f>
        <v/>
      </c>
      <c r="AY189" s="2">
        <f>IF(OR($AS189="",$E$6=""),"",TRIM(INDEX($A:$AP,ROW(),$E$6)&amp;""))</f>
        <v/>
      </c>
      <c r="AZ189" s="2">
        <f>IF(OR($AS189="",$D$6=""),"",TRIM(INDEX($A:$AP,ROW(),$D$6)&amp;""))</f>
        <v/>
      </c>
      <c r="BA189" s="2">
        <f>IF($AS189="","",IF(AND($AS189&gt;=설정!$B$10,$AS189&lt;=설정!$B$11),"포함","기간 밖"))</f>
        <v/>
      </c>
      <c r="BB189" s="2">
        <f>IF($AS189="","",IF(OR($AT189&lt;0,AND($I$6&lt;&gt;"",ISNUMBER(FIND("수정",INDEX($A:$AP,ROW(),IF($I$6="",1,$I$6))&amp;"")))),"수정","일반"))</f>
        <v/>
      </c>
      <c r="BC189" s="2">
        <f>IF($AS189="","",MID(IF($BA189="기간 밖"," / 기간 밖(신고기간 아님)","")&amp;IF(AND($AW189&lt;&gt;"",COUNTIF($AW$8:$AW$1007,$AW189)&gt;1)," / 승인번호 중복(두 번 붙여넣기?)","")&amp;IF(ABS($AU189-ROUND($AT189*0.1,0))&gt;설정!$B$8,IF($AU189=0," / 세액 0원(영세율·면세 여부 확인)"," / 세액이 공급가액 10%와 다름"),"")&amp;IF($BB189="수정"," / 수정세금계산서(합계에서 자동 가감)",""),4,200))</f>
        <v/>
      </c>
      <c r="BD189" s="2">
        <f>IF($BA189&lt;&gt;"포함","",IF(COUNTIFS($AX$8:$AX189,$AX189,$BA$8:$BA189,"포함")=1,MAX($BD$7:BD188)+1,""))</f>
        <v/>
      </c>
      <c r="BE189" s="2">
        <f>IF($BC189="","",MAX($BE$7:BE188)+1)</f>
        <v/>
      </c>
    </row>
    <row r="190">
      <c r="AR190" s="2">
        <f>IF(OR($A$5="",$B$6="",ROW()&lt;$A$5),"",IF(INDEX($A:$AP,ROW(),$B$6)="","",INDEX($A:$AP,ROW(),$B$6)))</f>
        <v/>
      </c>
      <c r="AS190" s="22">
        <f>IF($AR190="","",IF(ISNUMBER($AR190),IF($AR190&gt;=10000000,IFERROR(DATE(INT($AR190/10000),MOD(INT($AR190/100),100),MOD($AR190,100)),""),INT($AR190)),IFERROR(DATE(--LEFT(LEFT(SUBSTITUTE(SUBSTITUTE(SUBSTITUTE(SUBSTITUTE(TRIM($AR190),"-",""),".",""),"/","")," ",""),8),4),--MID(LEFT(SUBSTITUTE(SUBSTITUTE(SUBSTITUTE(SUBSTITUTE(TRIM($AR190),"-",""),".",""),"/","")," ",""),8),5,2),--MID(LEFT(SUBSTITUTE(SUBSTITUTE(SUBSTITUTE(SUBSTITUTE(TRIM($AR190),"-",""),".",""),"/","")," ",""),8),7,2)),"")))</f>
        <v/>
      </c>
      <c r="AT190" s="23">
        <f>IF($AS190="","",IF($F$6="",0,IF(ISNUMBER(INDEX($A:$AP,ROW(),$F$6)),INDEX($A:$AP,ROW(),$F$6),IFERROR(--SUBSTITUTE(SUBSTITUTE(TRIM(INDEX($A:$AP,ROW(),$F$6)),",",""),"원",""),0))))</f>
        <v/>
      </c>
      <c r="AU190" s="23">
        <f>IF($AS190="","",IF($G$6="",0,IF(ISNUMBER(INDEX($A:$AP,ROW(),$G$6)),INDEX($A:$AP,ROW(),$G$6),IFERROR(--SUBSTITUTE(SUBSTITUTE(TRIM(INDEX($A:$AP,ROW(),$G$6)),",",""),"원",""),0))))</f>
        <v/>
      </c>
      <c r="AV190" s="23">
        <f>IF($AS190="","",IF($H$6="",$AT190+$AU190,IF($H$6="",0,IF(ISNUMBER(INDEX($A:$AP,ROW(),$H$6)),INDEX($A:$AP,ROW(),$H$6),IFERROR(--SUBSTITUTE(SUBSTITUTE(TRIM(INDEX($A:$AP,ROW(),$H$6)),",",""),"원",""),0)))))</f>
        <v/>
      </c>
      <c r="AW190" s="2">
        <f>IF(OR($AS190="",$C$6=""),"",TRIM(INDEX($A:$AP,ROW(),$C$6)&amp;""))</f>
        <v/>
      </c>
      <c r="AX190" s="2">
        <f>IF($AS190="","",IF($AZ190&lt;&gt;"",SUBSTITUTE(SUBSTITUTE($AZ190,"-","")," ",""),$AY190))</f>
        <v/>
      </c>
      <c r="AY190" s="2">
        <f>IF(OR($AS190="",$E$6=""),"",TRIM(INDEX($A:$AP,ROW(),$E$6)&amp;""))</f>
        <v/>
      </c>
      <c r="AZ190" s="2">
        <f>IF(OR($AS190="",$D$6=""),"",TRIM(INDEX($A:$AP,ROW(),$D$6)&amp;""))</f>
        <v/>
      </c>
      <c r="BA190" s="2">
        <f>IF($AS190="","",IF(AND($AS190&gt;=설정!$B$10,$AS190&lt;=설정!$B$11),"포함","기간 밖"))</f>
        <v/>
      </c>
      <c r="BB190" s="2">
        <f>IF($AS190="","",IF(OR($AT190&lt;0,AND($I$6&lt;&gt;"",ISNUMBER(FIND("수정",INDEX($A:$AP,ROW(),IF($I$6="",1,$I$6))&amp;"")))),"수정","일반"))</f>
        <v/>
      </c>
      <c r="BC190" s="2">
        <f>IF($AS190="","",MID(IF($BA190="기간 밖"," / 기간 밖(신고기간 아님)","")&amp;IF(AND($AW190&lt;&gt;"",COUNTIF($AW$8:$AW$1007,$AW190)&gt;1)," / 승인번호 중복(두 번 붙여넣기?)","")&amp;IF(ABS($AU190-ROUND($AT190*0.1,0))&gt;설정!$B$8,IF($AU190=0," / 세액 0원(영세율·면세 여부 확인)"," / 세액이 공급가액 10%와 다름"),"")&amp;IF($BB190="수정"," / 수정세금계산서(합계에서 자동 가감)",""),4,200))</f>
        <v/>
      </c>
      <c r="BD190" s="2">
        <f>IF($BA190&lt;&gt;"포함","",IF(COUNTIFS($AX$8:$AX190,$AX190,$BA$8:$BA190,"포함")=1,MAX($BD$7:BD189)+1,""))</f>
        <v/>
      </c>
      <c r="BE190" s="2">
        <f>IF($BC190="","",MAX($BE$7:BE189)+1)</f>
        <v/>
      </c>
    </row>
    <row r="191">
      <c r="AR191" s="2">
        <f>IF(OR($A$5="",$B$6="",ROW()&lt;$A$5),"",IF(INDEX($A:$AP,ROW(),$B$6)="","",INDEX($A:$AP,ROW(),$B$6)))</f>
        <v/>
      </c>
      <c r="AS191" s="22">
        <f>IF($AR191="","",IF(ISNUMBER($AR191),IF($AR191&gt;=10000000,IFERROR(DATE(INT($AR191/10000),MOD(INT($AR191/100),100),MOD($AR191,100)),""),INT($AR191)),IFERROR(DATE(--LEFT(LEFT(SUBSTITUTE(SUBSTITUTE(SUBSTITUTE(SUBSTITUTE(TRIM($AR191),"-",""),".",""),"/","")," ",""),8),4),--MID(LEFT(SUBSTITUTE(SUBSTITUTE(SUBSTITUTE(SUBSTITUTE(TRIM($AR191),"-",""),".",""),"/","")," ",""),8),5,2),--MID(LEFT(SUBSTITUTE(SUBSTITUTE(SUBSTITUTE(SUBSTITUTE(TRIM($AR191),"-",""),".",""),"/","")," ",""),8),7,2)),"")))</f>
        <v/>
      </c>
      <c r="AT191" s="23">
        <f>IF($AS191="","",IF($F$6="",0,IF(ISNUMBER(INDEX($A:$AP,ROW(),$F$6)),INDEX($A:$AP,ROW(),$F$6),IFERROR(--SUBSTITUTE(SUBSTITUTE(TRIM(INDEX($A:$AP,ROW(),$F$6)),",",""),"원",""),0))))</f>
        <v/>
      </c>
      <c r="AU191" s="23">
        <f>IF($AS191="","",IF($G$6="",0,IF(ISNUMBER(INDEX($A:$AP,ROW(),$G$6)),INDEX($A:$AP,ROW(),$G$6),IFERROR(--SUBSTITUTE(SUBSTITUTE(TRIM(INDEX($A:$AP,ROW(),$G$6)),",",""),"원",""),0))))</f>
        <v/>
      </c>
      <c r="AV191" s="23">
        <f>IF($AS191="","",IF($H$6="",$AT191+$AU191,IF($H$6="",0,IF(ISNUMBER(INDEX($A:$AP,ROW(),$H$6)),INDEX($A:$AP,ROW(),$H$6),IFERROR(--SUBSTITUTE(SUBSTITUTE(TRIM(INDEX($A:$AP,ROW(),$H$6)),",",""),"원",""),0)))))</f>
        <v/>
      </c>
      <c r="AW191" s="2">
        <f>IF(OR($AS191="",$C$6=""),"",TRIM(INDEX($A:$AP,ROW(),$C$6)&amp;""))</f>
        <v/>
      </c>
      <c r="AX191" s="2">
        <f>IF($AS191="","",IF($AZ191&lt;&gt;"",SUBSTITUTE(SUBSTITUTE($AZ191,"-","")," ",""),$AY191))</f>
        <v/>
      </c>
      <c r="AY191" s="2">
        <f>IF(OR($AS191="",$E$6=""),"",TRIM(INDEX($A:$AP,ROW(),$E$6)&amp;""))</f>
        <v/>
      </c>
      <c r="AZ191" s="2">
        <f>IF(OR($AS191="",$D$6=""),"",TRIM(INDEX($A:$AP,ROW(),$D$6)&amp;""))</f>
        <v/>
      </c>
      <c r="BA191" s="2">
        <f>IF($AS191="","",IF(AND($AS191&gt;=설정!$B$10,$AS191&lt;=설정!$B$11),"포함","기간 밖"))</f>
        <v/>
      </c>
      <c r="BB191" s="2">
        <f>IF($AS191="","",IF(OR($AT191&lt;0,AND($I$6&lt;&gt;"",ISNUMBER(FIND("수정",INDEX($A:$AP,ROW(),IF($I$6="",1,$I$6))&amp;"")))),"수정","일반"))</f>
        <v/>
      </c>
      <c r="BC191" s="2">
        <f>IF($AS191="","",MID(IF($BA191="기간 밖"," / 기간 밖(신고기간 아님)","")&amp;IF(AND($AW191&lt;&gt;"",COUNTIF($AW$8:$AW$1007,$AW191)&gt;1)," / 승인번호 중복(두 번 붙여넣기?)","")&amp;IF(ABS($AU191-ROUND($AT191*0.1,0))&gt;설정!$B$8,IF($AU191=0," / 세액 0원(영세율·면세 여부 확인)"," / 세액이 공급가액 10%와 다름"),"")&amp;IF($BB191="수정"," / 수정세금계산서(합계에서 자동 가감)",""),4,200))</f>
        <v/>
      </c>
      <c r="BD191" s="2">
        <f>IF($BA191&lt;&gt;"포함","",IF(COUNTIFS($AX$8:$AX191,$AX191,$BA$8:$BA191,"포함")=1,MAX($BD$7:BD190)+1,""))</f>
        <v/>
      </c>
      <c r="BE191" s="2">
        <f>IF($BC191="","",MAX($BE$7:BE190)+1)</f>
        <v/>
      </c>
    </row>
    <row r="192">
      <c r="AR192" s="2">
        <f>IF(OR($A$5="",$B$6="",ROW()&lt;$A$5),"",IF(INDEX($A:$AP,ROW(),$B$6)="","",INDEX($A:$AP,ROW(),$B$6)))</f>
        <v/>
      </c>
      <c r="AS192" s="22">
        <f>IF($AR192="","",IF(ISNUMBER($AR192),IF($AR192&gt;=10000000,IFERROR(DATE(INT($AR192/10000),MOD(INT($AR192/100),100),MOD($AR192,100)),""),INT($AR192)),IFERROR(DATE(--LEFT(LEFT(SUBSTITUTE(SUBSTITUTE(SUBSTITUTE(SUBSTITUTE(TRIM($AR192),"-",""),".",""),"/","")," ",""),8),4),--MID(LEFT(SUBSTITUTE(SUBSTITUTE(SUBSTITUTE(SUBSTITUTE(TRIM($AR192),"-",""),".",""),"/","")," ",""),8),5,2),--MID(LEFT(SUBSTITUTE(SUBSTITUTE(SUBSTITUTE(SUBSTITUTE(TRIM($AR192),"-",""),".",""),"/","")," ",""),8),7,2)),"")))</f>
        <v/>
      </c>
      <c r="AT192" s="23">
        <f>IF($AS192="","",IF($F$6="",0,IF(ISNUMBER(INDEX($A:$AP,ROW(),$F$6)),INDEX($A:$AP,ROW(),$F$6),IFERROR(--SUBSTITUTE(SUBSTITUTE(TRIM(INDEX($A:$AP,ROW(),$F$6)),",",""),"원",""),0))))</f>
        <v/>
      </c>
      <c r="AU192" s="23">
        <f>IF($AS192="","",IF($G$6="",0,IF(ISNUMBER(INDEX($A:$AP,ROW(),$G$6)),INDEX($A:$AP,ROW(),$G$6),IFERROR(--SUBSTITUTE(SUBSTITUTE(TRIM(INDEX($A:$AP,ROW(),$G$6)),",",""),"원",""),0))))</f>
        <v/>
      </c>
      <c r="AV192" s="23">
        <f>IF($AS192="","",IF($H$6="",$AT192+$AU192,IF($H$6="",0,IF(ISNUMBER(INDEX($A:$AP,ROW(),$H$6)),INDEX($A:$AP,ROW(),$H$6),IFERROR(--SUBSTITUTE(SUBSTITUTE(TRIM(INDEX($A:$AP,ROW(),$H$6)),",",""),"원",""),0)))))</f>
        <v/>
      </c>
      <c r="AW192" s="2">
        <f>IF(OR($AS192="",$C$6=""),"",TRIM(INDEX($A:$AP,ROW(),$C$6)&amp;""))</f>
        <v/>
      </c>
      <c r="AX192" s="2">
        <f>IF($AS192="","",IF($AZ192&lt;&gt;"",SUBSTITUTE(SUBSTITUTE($AZ192,"-","")," ",""),$AY192))</f>
        <v/>
      </c>
      <c r="AY192" s="2">
        <f>IF(OR($AS192="",$E$6=""),"",TRIM(INDEX($A:$AP,ROW(),$E$6)&amp;""))</f>
        <v/>
      </c>
      <c r="AZ192" s="2">
        <f>IF(OR($AS192="",$D$6=""),"",TRIM(INDEX($A:$AP,ROW(),$D$6)&amp;""))</f>
        <v/>
      </c>
      <c r="BA192" s="2">
        <f>IF($AS192="","",IF(AND($AS192&gt;=설정!$B$10,$AS192&lt;=설정!$B$11),"포함","기간 밖"))</f>
        <v/>
      </c>
      <c r="BB192" s="2">
        <f>IF($AS192="","",IF(OR($AT192&lt;0,AND($I$6&lt;&gt;"",ISNUMBER(FIND("수정",INDEX($A:$AP,ROW(),IF($I$6="",1,$I$6))&amp;"")))),"수정","일반"))</f>
        <v/>
      </c>
      <c r="BC192" s="2">
        <f>IF($AS192="","",MID(IF($BA192="기간 밖"," / 기간 밖(신고기간 아님)","")&amp;IF(AND($AW192&lt;&gt;"",COUNTIF($AW$8:$AW$1007,$AW192)&gt;1)," / 승인번호 중복(두 번 붙여넣기?)","")&amp;IF(ABS($AU192-ROUND($AT192*0.1,0))&gt;설정!$B$8,IF($AU192=0," / 세액 0원(영세율·면세 여부 확인)"," / 세액이 공급가액 10%와 다름"),"")&amp;IF($BB192="수정"," / 수정세금계산서(합계에서 자동 가감)",""),4,200))</f>
        <v/>
      </c>
      <c r="BD192" s="2">
        <f>IF($BA192&lt;&gt;"포함","",IF(COUNTIFS($AX$8:$AX192,$AX192,$BA$8:$BA192,"포함")=1,MAX($BD$7:BD191)+1,""))</f>
        <v/>
      </c>
      <c r="BE192" s="2">
        <f>IF($BC192="","",MAX($BE$7:BE191)+1)</f>
        <v/>
      </c>
    </row>
    <row r="193">
      <c r="AR193" s="2">
        <f>IF(OR($A$5="",$B$6="",ROW()&lt;$A$5),"",IF(INDEX($A:$AP,ROW(),$B$6)="","",INDEX($A:$AP,ROW(),$B$6)))</f>
        <v/>
      </c>
      <c r="AS193" s="22">
        <f>IF($AR193="","",IF(ISNUMBER($AR193),IF($AR193&gt;=10000000,IFERROR(DATE(INT($AR193/10000),MOD(INT($AR193/100),100),MOD($AR193,100)),""),INT($AR193)),IFERROR(DATE(--LEFT(LEFT(SUBSTITUTE(SUBSTITUTE(SUBSTITUTE(SUBSTITUTE(TRIM($AR193),"-",""),".",""),"/","")," ",""),8),4),--MID(LEFT(SUBSTITUTE(SUBSTITUTE(SUBSTITUTE(SUBSTITUTE(TRIM($AR193),"-",""),".",""),"/","")," ",""),8),5,2),--MID(LEFT(SUBSTITUTE(SUBSTITUTE(SUBSTITUTE(SUBSTITUTE(TRIM($AR193),"-",""),".",""),"/","")," ",""),8),7,2)),"")))</f>
        <v/>
      </c>
      <c r="AT193" s="23">
        <f>IF($AS193="","",IF($F$6="",0,IF(ISNUMBER(INDEX($A:$AP,ROW(),$F$6)),INDEX($A:$AP,ROW(),$F$6),IFERROR(--SUBSTITUTE(SUBSTITUTE(TRIM(INDEX($A:$AP,ROW(),$F$6)),",",""),"원",""),0))))</f>
        <v/>
      </c>
      <c r="AU193" s="23">
        <f>IF($AS193="","",IF($G$6="",0,IF(ISNUMBER(INDEX($A:$AP,ROW(),$G$6)),INDEX($A:$AP,ROW(),$G$6),IFERROR(--SUBSTITUTE(SUBSTITUTE(TRIM(INDEX($A:$AP,ROW(),$G$6)),",",""),"원",""),0))))</f>
        <v/>
      </c>
      <c r="AV193" s="23">
        <f>IF($AS193="","",IF($H$6="",$AT193+$AU193,IF($H$6="",0,IF(ISNUMBER(INDEX($A:$AP,ROW(),$H$6)),INDEX($A:$AP,ROW(),$H$6),IFERROR(--SUBSTITUTE(SUBSTITUTE(TRIM(INDEX($A:$AP,ROW(),$H$6)),",",""),"원",""),0)))))</f>
        <v/>
      </c>
      <c r="AW193" s="2">
        <f>IF(OR($AS193="",$C$6=""),"",TRIM(INDEX($A:$AP,ROW(),$C$6)&amp;""))</f>
        <v/>
      </c>
      <c r="AX193" s="2">
        <f>IF($AS193="","",IF($AZ193&lt;&gt;"",SUBSTITUTE(SUBSTITUTE($AZ193,"-","")," ",""),$AY193))</f>
        <v/>
      </c>
      <c r="AY193" s="2">
        <f>IF(OR($AS193="",$E$6=""),"",TRIM(INDEX($A:$AP,ROW(),$E$6)&amp;""))</f>
        <v/>
      </c>
      <c r="AZ193" s="2">
        <f>IF(OR($AS193="",$D$6=""),"",TRIM(INDEX($A:$AP,ROW(),$D$6)&amp;""))</f>
        <v/>
      </c>
      <c r="BA193" s="2">
        <f>IF($AS193="","",IF(AND($AS193&gt;=설정!$B$10,$AS193&lt;=설정!$B$11),"포함","기간 밖"))</f>
        <v/>
      </c>
      <c r="BB193" s="2">
        <f>IF($AS193="","",IF(OR($AT193&lt;0,AND($I$6&lt;&gt;"",ISNUMBER(FIND("수정",INDEX($A:$AP,ROW(),IF($I$6="",1,$I$6))&amp;"")))),"수정","일반"))</f>
        <v/>
      </c>
      <c r="BC193" s="2">
        <f>IF($AS193="","",MID(IF($BA193="기간 밖"," / 기간 밖(신고기간 아님)","")&amp;IF(AND($AW193&lt;&gt;"",COUNTIF($AW$8:$AW$1007,$AW193)&gt;1)," / 승인번호 중복(두 번 붙여넣기?)","")&amp;IF(ABS($AU193-ROUND($AT193*0.1,0))&gt;설정!$B$8,IF($AU193=0," / 세액 0원(영세율·면세 여부 확인)"," / 세액이 공급가액 10%와 다름"),"")&amp;IF($BB193="수정"," / 수정세금계산서(합계에서 자동 가감)",""),4,200))</f>
        <v/>
      </c>
      <c r="BD193" s="2">
        <f>IF($BA193&lt;&gt;"포함","",IF(COUNTIFS($AX$8:$AX193,$AX193,$BA$8:$BA193,"포함")=1,MAX($BD$7:BD192)+1,""))</f>
        <v/>
      </c>
      <c r="BE193" s="2">
        <f>IF($BC193="","",MAX($BE$7:BE192)+1)</f>
        <v/>
      </c>
    </row>
    <row r="194">
      <c r="AR194" s="2">
        <f>IF(OR($A$5="",$B$6="",ROW()&lt;$A$5),"",IF(INDEX($A:$AP,ROW(),$B$6)="","",INDEX($A:$AP,ROW(),$B$6)))</f>
        <v/>
      </c>
      <c r="AS194" s="22">
        <f>IF($AR194="","",IF(ISNUMBER($AR194),IF($AR194&gt;=10000000,IFERROR(DATE(INT($AR194/10000),MOD(INT($AR194/100),100),MOD($AR194,100)),""),INT($AR194)),IFERROR(DATE(--LEFT(LEFT(SUBSTITUTE(SUBSTITUTE(SUBSTITUTE(SUBSTITUTE(TRIM($AR194),"-",""),".",""),"/","")," ",""),8),4),--MID(LEFT(SUBSTITUTE(SUBSTITUTE(SUBSTITUTE(SUBSTITUTE(TRIM($AR194),"-",""),".",""),"/","")," ",""),8),5,2),--MID(LEFT(SUBSTITUTE(SUBSTITUTE(SUBSTITUTE(SUBSTITUTE(TRIM($AR194),"-",""),".",""),"/","")," ",""),8),7,2)),"")))</f>
        <v/>
      </c>
      <c r="AT194" s="23">
        <f>IF($AS194="","",IF($F$6="",0,IF(ISNUMBER(INDEX($A:$AP,ROW(),$F$6)),INDEX($A:$AP,ROW(),$F$6),IFERROR(--SUBSTITUTE(SUBSTITUTE(TRIM(INDEX($A:$AP,ROW(),$F$6)),",",""),"원",""),0))))</f>
        <v/>
      </c>
      <c r="AU194" s="23">
        <f>IF($AS194="","",IF($G$6="",0,IF(ISNUMBER(INDEX($A:$AP,ROW(),$G$6)),INDEX($A:$AP,ROW(),$G$6),IFERROR(--SUBSTITUTE(SUBSTITUTE(TRIM(INDEX($A:$AP,ROW(),$G$6)),",",""),"원",""),0))))</f>
        <v/>
      </c>
      <c r="AV194" s="23">
        <f>IF($AS194="","",IF($H$6="",$AT194+$AU194,IF($H$6="",0,IF(ISNUMBER(INDEX($A:$AP,ROW(),$H$6)),INDEX($A:$AP,ROW(),$H$6),IFERROR(--SUBSTITUTE(SUBSTITUTE(TRIM(INDEX($A:$AP,ROW(),$H$6)),",",""),"원",""),0)))))</f>
        <v/>
      </c>
      <c r="AW194" s="2">
        <f>IF(OR($AS194="",$C$6=""),"",TRIM(INDEX($A:$AP,ROW(),$C$6)&amp;""))</f>
        <v/>
      </c>
      <c r="AX194" s="2">
        <f>IF($AS194="","",IF($AZ194&lt;&gt;"",SUBSTITUTE(SUBSTITUTE($AZ194,"-","")," ",""),$AY194))</f>
        <v/>
      </c>
      <c r="AY194" s="2">
        <f>IF(OR($AS194="",$E$6=""),"",TRIM(INDEX($A:$AP,ROW(),$E$6)&amp;""))</f>
        <v/>
      </c>
      <c r="AZ194" s="2">
        <f>IF(OR($AS194="",$D$6=""),"",TRIM(INDEX($A:$AP,ROW(),$D$6)&amp;""))</f>
        <v/>
      </c>
      <c r="BA194" s="2">
        <f>IF($AS194="","",IF(AND($AS194&gt;=설정!$B$10,$AS194&lt;=설정!$B$11),"포함","기간 밖"))</f>
        <v/>
      </c>
      <c r="BB194" s="2">
        <f>IF($AS194="","",IF(OR($AT194&lt;0,AND($I$6&lt;&gt;"",ISNUMBER(FIND("수정",INDEX($A:$AP,ROW(),IF($I$6="",1,$I$6))&amp;"")))),"수정","일반"))</f>
        <v/>
      </c>
      <c r="BC194" s="2">
        <f>IF($AS194="","",MID(IF($BA194="기간 밖"," / 기간 밖(신고기간 아님)","")&amp;IF(AND($AW194&lt;&gt;"",COUNTIF($AW$8:$AW$1007,$AW194)&gt;1)," / 승인번호 중복(두 번 붙여넣기?)","")&amp;IF(ABS($AU194-ROUND($AT194*0.1,0))&gt;설정!$B$8,IF($AU194=0," / 세액 0원(영세율·면세 여부 확인)"," / 세액이 공급가액 10%와 다름"),"")&amp;IF($BB194="수정"," / 수정세금계산서(합계에서 자동 가감)",""),4,200))</f>
        <v/>
      </c>
      <c r="BD194" s="2">
        <f>IF($BA194&lt;&gt;"포함","",IF(COUNTIFS($AX$8:$AX194,$AX194,$BA$8:$BA194,"포함")=1,MAX($BD$7:BD193)+1,""))</f>
        <v/>
      </c>
      <c r="BE194" s="2">
        <f>IF($BC194="","",MAX($BE$7:BE193)+1)</f>
        <v/>
      </c>
    </row>
    <row r="195">
      <c r="AR195" s="2">
        <f>IF(OR($A$5="",$B$6="",ROW()&lt;$A$5),"",IF(INDEX($A:$AP,ROW(),$B$6)="","",INDEX($A:$AP,ROW(),$B$6)))</f>
        <v/>
      </c>
      <c r="AS195" s="22">
        <f>IF($AR195="","",IF(ISNUMBER($AR195),IF($AR195&gt;=10000000,IFERROR(DATE(INT($AR195/10000),MOD(INT($AR195/100),100),MOD($AR195,100)),""),INT($AR195)),IFERROR(DATE(--LEFT(LEFT(SUBSTITUTE(SUBSTITUTE(SUBSTITUTE(SUBSTITUTE(TRIM($AR195),"-",""),".",""),"/","")," ",""),8),4),--MID(LEFT(SUBSTITUTE(SUBSTITUTE(SUBSTITUTE(SUBSTITUTE(TRIM($AR195),"-",""),".",""),"/","")," ",""),8),5,2),--MID(LEFT(SUBSTITUTE(SUBSTITUTE(SUBSTITUTE(SUBSTITUTE(TRIM($AR195),"-",""),".",""),"/","")," ",""),8),7,2)),"")))</f>
        <v/>
      </c>
      <c r="AT195" s="23">
        <f>IF($AS195="","",IF($F$6="",0,IF(ISNUMBER(INDEX($A:$AP,ROW(),$F$6)),INDEX($A:$AP,ROW(),$F$6),IFERROR(--SUBSTITUTE(SUBSTITUTE(TRIM(INDEX($A:$AP,ROW(),$F$6)),",",""),"원",""),0))))</f>
        <v/>
      </c>
      <c r="AU195" s="23">
        <f>IF($AS195="","",IF($G$6="",0,IF(ISNUMBER(INDEX($A:$AP,ROW(),$G$6)),INDEX($A:$AP,ROW(),$G$6),IFERROR(--SUBSTITUTE(SUBSTITUTE(TRIM(INDEX($A:$AP,ROW(),$G$6)),",",""),"원",""),0))))</f>
        <v/>
      </c>
      <c r="AV195" s="23">
        <f>IF($AS195="","",IF($H$6="",$AT195+$AU195,IF($H$6="",0,IF(ISNUMBER(INDEX($A:$AP,ROW(),$H$6)),INDEX($A:$AP,ROW(),$H$6),IFERROR(--SUBSTITUTE(SUBSTITUTE(TRIM(INDEX($A:$AP,ROW(),$H$6)),",",""),"원",""),0)))))</f>
        <v/>
      </c>
      <c r="AW195" s="2">
        <f>IF(OR($AS195="",$C$6=""),"",TRIM(INDEX($A:$AP,ROW(),$C$6)&amp;""))</f>
        <v/>
      </c>
      <c r="AX195" s="2">
        <f>IF($AS195="","",IF($AZ195&lt;&gt;"",SUBSTITUTE(SUBSTITUTE($AZ195,"-","")," ",""),$AY195))</f>
        <v/>
      </c>
      <c r="AY195" s="2">
        <f>IF(OR($AS195="",$E$6=""),"",TRIM(INDEX($A:$AP,ROW(),$E$6)&amp;""))</f>
        <v/>
      </c>
      <c r="AZ195" s="2">
        <f>IF(OR($AS195="",$D$6=""),"",TRIM(INDEX($A:$AP,ROW(),$D$6)&amp;""))</f>
        <v/>
      </c>
      <c r="BA195" s="2">
        <f>IF($AS195="","",IF(AND($AS195&gt;=설정!$B$10,$AS195&lt;=설정!$B$11),"포함","기간 밖"))</f>
        <v/>
      </c>
      <c r="BB195" s="2">
        <f>IF($AS195="","",IF(OR($AT195&lt;0,AND($I$6&lt;&gt;"",ISNUMBER(FIND("수정",INDEX($A:$AP,ROW(),IF($I$6="",1,$I$6))&amp;"")))),"수정","일반"))</f>
        <v/>
      </c>
      <c r="BC195" s="2">
        <f>IF($AS195="","",MID(IF($BA195="기간 밖"," / 기간 밖(신고기간 아님)","")&amp;IF(AND($AW195&lt;&gt;"",COUNTIF($AW$8:$AW$1007,$AW195)&gt;1)," / 승인번호 중복(두 번 붙여넣기?)","")&amp;IF(ABS($AU195-ROUND($AT195*0.1,0))&gt;설정!$B$8,IF($AU195=0," / 세액 0원(영세율·면세 여부 확인)"," / 세액이 공급가액 10%와 다름"),"")&amp;IF($BB195="수정"," / 수정세금계산서(합계에서 자동 가감)",""),4,200))</f>
        <v/>
      </c>
      <c r="BD195" s="2">
        <f>IF($BA195&lt;&gt;"포함","",IF(COUNTIFS($AX$8:$AX195,$AX195,$BA$8:$BA195,"포함")=1,MAX($BD$7:BD194)+1,""))</f>
        <v/>
      </c>
      <c r="BE195" s="2">
        <f>IF($BC195="","",MAX($BE$7:BE194)+1)</f>
        <v/>
      </c>
    </row>
    <row r="196">
      <c r="AR196" s="2">
        <f>IF(OR($A$5="",$B$6="",ROW()&lt;$A$5),"",IF(INDEX($A:$AP,ROW(),$B$6)="","",INDEX($A:$AP,ROW(),$B$6)))</f>
        <v/>
      </c>
      <c r="AS196" s="22">
        <f>IF($AR196="","",IF(ISNUMBER($AR196),IF($AR196&gt;=10000000,IFERROR(DATE(INT($AR196/10000),MOD(INT($AR196/100),100),MOD($AR196,100)),""),INT($AR196)),IFERROR(DATE(--LEFT(LEFT(SUBSTITUTE(SUBSTITUTE(SUBSTITUTE(SUBSTITUTE(TRIM($AR196),"-",""),".",""),"/","")," ",""),8),4),--MID(LEFT(SUBSTITUTE(SUBSTITUTE(SUBSTITUTE(SUBSTITUTE(TRIM($AR196),"-",""),".",""),"/","")," ",""),8),5,2),--MID(LEFT(SUBSTITUTE(SUBSTITUTE(SUBSTITUTE(SUBSTITUTE(TRIM($AR196),"-",""),".",""),"/","")," ",""),8),7,2)),"")))</f>
        <v/>
      </c>
      <c r="AT196" s="23">
        <f>IF($AS196="","",IF($F$6="",0,IF(ISNUMBER(INDEX($A:$AP,ROW(),$F$6)),INDEX($A:$AP,ROW(),$F$6),IFERROR(--SUBSTITUTE(SUBSTITUTE(TRIM(INDEX($A:$AP,ROW(),$F$6)),",",""),"원",""),0))))</f>
        <v/>
      </c>
      <c r="AU196" s="23">
        <f>IF($AS196="","",IF($G$6="",0,IF(ISNUMBER(INDEX($A:$AP,ROW(),$G$6)),INDEX($A:$AP,ROW(),$G$6),IFERROR(--SUBSTITUTE(SUBSTITUTE(TRIM(INDEX($A:$AP,ROW(),$G$6)),",",""),"원",""),0))))</f>
        <v/>
      </c>
      <c r="AV196" s="23">
        <f>IF($AS196="","",IF($H$6="",$AT196+$AU196,IF($H$6="",0,IF(ISNUMBER(INDEX($A:$AP,ROW(),$H$6)),INDEX($A:$AP,ROW(),$H$6),IFERROR(--SUBSTITUTE(SUBSTITUTE(TRIM(INDEX($A:$AP,ROW(),$H$6)),",",""),"원",""),0)))))</f>
        <v/>
      </c>
      <c r="AW196" s="2">
        <f>IF(OR($AS196="",$C$6=""),"",TRIM(INDEX($A:$AP,ROW(),$C$6)&amp;""))</f>
        <v/>
      </c>
      <c r="AX196" s="2">
        <f>IF($AS196="","",IF($AZ196&lt;&gt;"",SUBSTITUTE(SUBSTITUTE($AZ196,"-","")," ",""),$AY196))</f>
        <v/>
      </c>
      <c r="AY196" s="2">
        <f>IF(OR($AS196="",$E$6=""),"",TRIM(INDEX($A:$AP,ROW(),$E$6)&amp;""))</f>
        <v/>
      </c>
      <c r="AZ196" s="2">
        <f>IF(OR($AS196="",$D$6=""),"",TRIM(INDEX($A:$AP,ROW(),$D$6)&amp;""))</f>
        <v/>
      </c>
      <c r="BA196" s="2">
        <f>IF($AS196="","",IF(AND($AS196&gt;=설정!$B$10,$AS196&lt;=설정!$B$11),"포함","기간 밖"))</f>
        <v/>
      </c>
      <c r="BB196" s="2">
        <f>IF($AS196="","",IF(OR($AT196&lt;0,AND($I$6&lt;&gt;"",ISNUMBER(FIND("수정",INDEX($A:$AP,ROW(),IF($I$6="",1,$I$6))&amp;"")))),"수정","일반"))</f>
        <v/>
      </c>
      <c r="BC196" s="2">
        <f>IF($AS196="","",MID(IF($BA196="기간 밖"," / 기간 밖(신고기간 아님)","")&amp;IF(AND($AW196&lt;&gt;"",COUNTIF($AW$8:$AW$1007,$AW196)&gt;1)," / 승인번호 중복(두 번 붙여넣기?)","")&amp;IF(ABS($AU196-ROUND($AT196*0.1,0))&gt;설정!$B$8,IF($AU196=0," / 세액 0원(영세율·면세 여부 확인)"," / 세액이 공급가액 10%와 다름"),"")&amp;IF($BB196="수정"," / 수정세금계산서(합계에서 자동 가감)",""),4,200))</f>
        <v/>
      </c>
      <c r="BD196" s="2">
        <f>IF($BA196&lt;&gt;"포함","",IF(COUNTIFS($AX$8:$AX196,$AX196,$BA$8:$BA196,"포함")=1,MAX($BD$7:BD195)+1,""))</f>
        <v/>
      </c>
      <c r="BE196" s="2">
        <f>IF($BC196="","",MAX($BE$7:BE195)+1)</f>
        <v/>
      </c>
    </row>
    <row r="197">
      <c r="AR197" s="2">
        <f>IF(OR($A$5="",$B$6="",ROW()&lt;$A$5),"",IF(INDEX($A:$AP,ROW(),$B$6)="","",INDEX($A:$AP,ROW(),$B$6)))</f>
        <v/>
      </c>
      <c r="AS197" s="22">
        <f>IF($AR197="","",IF(ISNUMBER($AR197),IF($AR197&gt;=10000000,IFERROR(DATE(INT($AR197/10000),MOD(INT($AR197/100),100),MOD($AR197,100)),""),INT($AR197)),IFERROR(DATE(--LEFT(LEFT(SUBSTITUTE(SUBSTITUTE(SUBSTITUTE(SUBSTITUTE(TRIM($AR197),"-",""),".",""),"/","")," ",""),8),4),--MID(LEFT(SUBSTITUTE(SUBSTITUTE(SUBSTITUTE(SUBSTITUTE(TRIM($AR197),"-",""),".",""),"/","")," ",""),8),5,2),--MID(LEFT(SUBSTITUTE(SUBSTITUTE(SUBSTITUTE(SUBSTITUTE(TRIM($AR197),"-",""),".",""),"/","")," ",""),8),7,2)),"")))</f>
        <v/>
      </c>
      <c r="AT197" s="23">
        <f>IF($AS197="","",IF($F$6="",0,IF(ISNUMBER(INDEX($A:$AP,ROW(),$F$6)),INDEX($A:$AP,ROW(),$F$6),IFERROR(--SUBSTITUTE(SUBSTITUTE(TRIM(INDEX($A:$AP,ROW(),$F$6)),",",""),"원",""),0))))</f>
        <v/>
      </c>
      <c r="AU197" s="23">
        <f>IF($AS197="","",IF($G$6="",0,IF(ISNUMBER(INDEX($A:$AP,ROW(),$G$6)),INDEX($A:$AP,ROW(),$G$6),IFERROR(--SUBSTITUTE(SUBSTITUTE(TRIM(INDEX($A:$AP,ROW(),$G$6)),",",""),"원",""),0))))</f>
        <v/>
      </c>
      <c r="AV197" s="23">
        <f>IF($AS197="","",IF($H$6="",$AT197+$AU197,IF($H$6="",0,IF(ISNUMBER(INDEX($A:$AP,ROW(),$H$6)),INDEX($A:$AP,ROW(),$H$6),IFERROR(--SUBSTITUTE(SUBSTITUTE(TRIM(INDEX($A:$AP,ROW(),$H$6)),",",""),"원",""),0)))))</f>
        <v/>
      </c>
      <c r="AW197" s="2">
        <f>IF(OR($AS197="",$C$6=""),"",TRIM(INDEX($A:$AP,ROW(),$C$6)&amp;""))</f>
        <v/>
      </c>
      <c r="AX197" s="2">
        <f>IF($AS197="","",IF($AZ197&lt;&gt;"",SUBSTITUTE(SUBSTITUTE($AZ197,"-","")," ",""),$AY197))</f>
        <v/>
      </c>
      <c r="AY197" s="2">
        <f>IF(OR($AS197="",$E$6=""),"",TRIM(INDEX($A:$AP,ROW(),$E$6)&amp;""))</f>
        <v/>
      </c>
      <c r="AZ197" s="2">
        <f>IF(OR($AS197="",$D$6=""),"",TRIM(INDEX($A:$AP,ROW(),$D$6)&amp;""))</f>
        <v/>
      </c>
      <c r="BA197" s="2">
        <f>IF($AS197="","",IF(AND($AS197&gt;=설정!$B$10,$AS197&lt;=설정!$B$11),"포함","기간 밖"))</f>
        <v/>
      </c>
      <c r="BB197" s="2">
        <f>IF($AS197="","",IF(OR($AT197&lt;0,AND($I$6&lt;&gt;"",ISNUMBER(FIND("수정",INDEX($A:$AP,ROW(),IF($I$6="",1,$I$6))&amp;"")))),"수정","일반"))</f>
        <v/>
      </c>
      <c r="BC197" s="2">
        <f>IF($AS197="","",MID(IF($BA197="기간 밖"," / 기간 밖(신고기간 아님)","")&amp;IF(AND($AW197&lt;&gt;"",COUNTIF($AW$8:$AW$1007,$AW197)&gt;1)," / 승인번호 중복(두 번 붙여넣기?)","")&amp;IF(ABS($AU197-ROUND($AT197*0.1,0))&gt;설정!$B$8,IF($AU197=0," / 세액 0원(영세율·면세 여부 확인)"," / 세액이 공급가액 10%와 다름"),"")&amp;IF($BB197="수정"," / 수정세금계산서(합계에서 자동 가감)",""),4,200))</f>
        <v/>
      </c>
      <c r="BD197" s="2">
        <f>IF($BA197&lt;&gt;"포함","",IF(COUNTIFS($AX$8:$AX197,$AX197,$BA$8:$BA197,"포함")=1,MAX($BD$7:BD196)+1,""))</f>
        <v/>
      </c>
      <c r="BE197" s="2">
        <f>IF($BC197="","",MAX($BE$7:BE196)+1)</f>
        <v/>
      </c>
    </row>
    <row r="198">
      <c r="AR198" s="2">
        <f>IF(OR($A$5="",$B$6="",ROW()&lt;$A$5),"",IF(INDEX($A:$AP,ROW(),$B$6)="","",INDEX($A:$AP,ROW(),$B$6)))</f>
        <v/>
      </c>
      <c r="AS198" s="22">
        <f>IF($AR198="","",IF(ISNUMBER($AR198),IF($AR198&gt;=10000000,IFERROR(DATE(INT($AR198/10000),MOD(INT($AR198/100),100),MOD($AR198,100)),""),INT($AR198)),IFERROR(DATE(--LEFT(LEFT(SUBSTITUTE(SUBSTITUTE(SUBSTITUTE(SUBSTITUTE(TRIM($AR198),"-",""),".",""),"/","")," ",""),8),4),--MID(LEFT(SUBSTITUTE(SUBSTITUTE(SUBSTITUTE(SUBSTITUTE(TRIM($AR198),"-",""),".",""),"/","")," ",""),8),5,2),--MID(LEFT(SUBSTITUTE(SUBSTITUTE(SUBSTITUTE(SUBSTITUTE(TRIM($AR198),"-",""),".",""),"/","")," ",""),8),7,2)),"")))</f>
        <v/>
      </c>
      <c r="AT198" s="23">
        <f>IF($AS198="","",IF($F$6="",0,IF(ISNUMBER(INDEX($A:$AP,ROW(),$F$6)),INDEX($A:$AP,ROW(),$F$6),IFERROR(--SUBSTITUTE(SUBSTITUTE(TRIM(INDEX($A:$AP,ROW(),$F$6)),",",""),"원",""),0))))</f>
        <v/>
      </c>
      <c r="AU198" s="23">
        <f>IF($AS198="","",IF($G$6="",0,IF(ISNUMBER(INDEX($A:$AP,ROW(),$G$6)),INDEX($A:$AP,ROW(),$G$6),IFERROR(--SUBSTITUTE(SUBSTITUTE(TRIM(INDEX($A:$AP,ROW(),$G$6)),",",""),"원",""),0))))</f>
        <v/>
      </c>
      <c r="AV198" s="23">
        <f>IF($AS198="","",IF($H$6="",$AT198+$AU198,IF($H$6="",0,IF(ISNUMBER(INDEX($A:$AP,ROW(),$H$6)),INDEX($A:$AP,ROW(),$H$6),IFERROR(--SUBSTITUTE(SUBSTITUTE(TRIM(INDEX($A:$AP,ROW(),$H$6)),",",""),"원",""),0)))))</f>
        <v/>
      </c>
      <c r="AW198" s="2">
        <f>IF(OR($AS198="",$C$6=""),"",TRIM(INDEX($A:$AP,ROW(),$C$6)&amp;""))</f>
        <v/>
      </c>
      <c r="AX198" s="2">
        <f>IF($AS198="","",IF($AZ198&lt;&gt;"",SUBSTITUTE(SUBSTITUTE($AZ198,"-","")," ",""),$AY198))</f>
        <v/>
      </c>
      <c r="AY198" s="2">
        <f>IF(OR($AS198="",$E$6=""),"",TRIM(INDEX($A:$AP,ROW(),$E$6)&amp;""))</f>
        <v/>
      </c>
      <c r="AZ198" s="2">
        <f>IF(OR($AS198="",$D$6=""),"",TRIM(INDEX($A:$AP,ROW(),$D$6)&amp;""))</f>
        <v/>
      </c>
      <c r="BA198" s="2">
        <f>IF($AS198="","",IF(AND($AS198&gt;=설정!$B$10,$AS198&lt;=설정!$B$11),"포함","기간 밖"))</f>
        <v/>
      </c>
      <c r="BB198" s="2">
        <f>IF($AS198="","",IF(OR($AT198&lt;0,AND($I$6&lt;&gt;"",ISNUMBER(FIND("수정",INDEX($A:$AP,ROW(),IF($I$6="",1,$I$6))&amp;"")))),"수정","일반"))</f>
        <v/>
      </c>
      <c r="BC198" s="2">
        <f>IF($AS198="","",MID(IF($BA198="기간 밖"," / 기간 밖(신고기간 아님)","")&amp;IF(AND($AW198&lt;&gt;"",COUNTIF($AW$8:$AW$1007,$AW198)&gt;1)," / 승인번호 중복(두 번 붙여넣기?)","")&amp;IF(ABS($AU198-ROUND($AT198*0.1,0))&gt;설정!$B$8,IF($AU198=0," / 세액 0원(영세율·면세 여부 확인)"," / 세액이 공급가액 10%와 다름"),"")&amp;IF($BB198="수정"," / 수정세금계산서(합계에서 자동 가감)",""),4,200))</f>
        <v/>
      </c>
      <c r="BD198" s="2">
        <f>IF($BA198&lt;&gt;"포함","",IF(COUNTIFS($AX$8:$AX198,$AX198,$BA$8:$BA198,"포함")=1,MAX($BD$7:BD197)+1,""))</f>
        <v/>
      </c>
      <c r="BE198" s="2">
        <f>IF($BC198="","",MAX($BE$7:BE197)+1)</f>
        <v/>
      </c>
    </row>
    <row r="199">
      <c r="AR199" s="2">
        <f>IF(OR($A$5="",$B$6="",ROW()&lt;$A$5),"",IF(INDEX($A:$AP,ROW(),$B$6)="","",INDEX($A:$AP,ROW(),$B$6)))</f>
        <v/>
      </c>
      <c r="AS199" s="22">
        <f>IF($AR199="","",IF(ISNUMBER($AR199),IF($AR199&gt;=10000000,IFERROR(DATE(INT($AR199/10000),MOD(INT($AR199/100),100),MOD($AR199,100)),""),INT($AR199)),IFERROR(DATE(--LEFT(LEFT(SUBSTITUTE(SUBSTITUTE(SUBSTITUTE(SUBSTITUTE(TRIM($AR199),"-",""),".",""),"/","")," ",""),8),4),--MID(LEFT(SUBSTITUTE(SUBSTITUTE(SUBSTITUTE(SUBSTITUTE(TRIM($AR199),"-",""),".",""),"/","")," ",""),8),5,2),--MID(LEFT(SUBSTITUTE(SUBSTITUTE(SUBSTITUTE(SUBSTITUTE(TRIM($AR199),"-",""),".",""),"/","")," ",""),8),7,2)),"")))</f>
        <v/>
      </c>
      <c r="AT199" s="23">
        <f>IF($AS199="","",IF($F$6="",0,IF(ISNUMBER(INDEX($A:$AP,ROW(),$F$6)),INDEX($A:$AP,ROW(),$F$6),IFERROR(--SUBSTITUTE(SUBSTITUTE(TRIM(INDEX($A:$AP,ROW(),$F$6)),",",""),"원",""),0))))</f>
        <v/>
      </c>
      <c r="AU199" s="23">
        <f>IF($AS199="","",IF($G$6="",0,IF(ISNUMBER(INDEX($A:$AP,ROW(),$G$6)),INDEX($A:$AP,ROW(),$G$6),IFERROR(--SUBSTITUTE(SUBSTITUTE(TRIM(INDEX($A:$AP,ROW(),$G$6)),",",""),"원",""),0))))</f>
        <v/>
      </c>
      <c r="AV199" s="23">
        <f>IF($AS199="","",IF($H$6="",$AT199+$AU199,IF($H$6="",0,IF(ISNUMBER(INDEX($A:$AP,ROW(),$H$6)),INDEX($A:$AP,ROW(),$H$6),IFERROR(--SUBSTITUTE(SUBSTITUTE(TRIM(INDEX($A:$AP,ROW(),$H$6)),",",""),"원",""),0)))))</f>
        <v/>
      </c>
      <c r="AW199" s="2">
        <f>IF(OR($AS199="",$C$6=""),"",TRIM(INDEX($A:$AP,ROW(),$C$6)&amp;""))</f>
        <v/>
      </c>
      <c r="AX199" s="2">
        <f>IF($AS199="","",IF($AZ199&lt;&gt;"",SUBSTITUTE(SUBSTITUTE($AZ199,"-","")," ",""),$AY199))</f>
        <v/>
      </c>
      <c r="AY199" s="2">
        <f>IF(OR($AS199="",$E$6=""),"",TRIM(INDEX($A:$AP,ROW(),$E$6)&amp;""))</f>
        <v/>
      </c>
      <c r="AZ199" s="2">
        <f>IF(OR($AS199="",$D$6=""),"",TRIM(INDEX($A:$AP,ROW(),$D$6)&amp;""))</f>
        <v/>
      </c>
      <c r="BA199" s="2">
        <f>IF($AS199="","",IF(AND($AS199&gt;=설정!$B$10,$AS199&lt;=설정!$B$11),"포함","기간 밖"))</f>
        <v/>
      </c>
      <c r="BB199" s="2">
        <f>IF($AS199="","",IF(OR($AT199&lt;0,AND($I$6&lt;&gt;"",ISNUMBER(FIND("수정",INDEX($A:$AP,ROW(),IF($I$6="",1,$I$6))&amp;"")))),"수정","일반"))</f>
        <v/>
      </c>
      <c r="BC199" s="2">
        <f>IF($AS199="","",MID(IF($BA199="기간 밖"," / 기간 밖(신고기간 아님)","")&amp;IF(AND($AW199&lt;&gt;"",COUNTIF($AW$8:$AW$1007,$AW199)&gt;1)," / 승인번호 중복(두 번 붙여넣기?)","")&amp;IF(ABS($AU199-ROUND($AT199*0.1,0))&gt;설정!$B$8,IF($AU199=0," / 세액 0원(영세율·면세 여부 확인)"," / 세액이 공급가액 10%와 다름"),"")&amp;IF($BB199="수정"," / 수정세금계산서(합계에서 자동 가감)",""),4,200))</f>
        <v/>
      </c>
      <c r="BD199" s="2">
        <f>IF($BA199&lt;&gt;"포함","",IF(COUNTIFS($AX$8:$AX199,$AX199,$BA$8:$BA199,"포함")=1,MAX($BD$7:BD198)+1,""))</f>
        <v/>
      </c>
      <c r="BE199" s="2">
        <f>IF($BC199="","",MAX($BE$7:BE198)+1)</f>
        <v/>
      </c>
    </row>
    <row r="200">
      <c r="AR200" s="2">
        <f>IF(OR($A$5="",$B$6="",ROW()&lt;$A$5),"",IF(INDEX($A:$AP,ROW(),$B$6)="","",INDEX($A:$AP,ROW(),$B$6)))</f>
        <v/>
      </c>
      <c r="AS200" s="22">
        <f>IF($AR200="","",IF(ISNUMBER($AR200),IF($AR200&gt;=10000000,IFERROR(DATE(INT($AR200/10000),MOD(INT($AR200/100),100),MOD($AR200,100)),""),INT($AR200)),IFERROR(DATE(--LEFT(LEFT(SUBSTITUTE(SUBSTITUTE(SUBSTITUTE(SUBSTITUTE(TRIM($AR200),"-",""),".",""),"/","")," ",""),8),4),--MID(LEFT(SUBSTITUTE(SUBSTITUTE(SUBSTITUTE(SUBSTITUTE(TRIM($AR200),"-",""),".",""),"/","")," ",""),8),5,2),--MID(LEFT(SUBSTITUTE(SUBSTITUTE(SUBSTITUTE(SUBSTITUTE(TRIM($AR200),"-",""),".",""),"/","")," ",""),8),7,2)),"")))</f>
        <v/>
      </c>
      <c r="AT200" s="23">
        <f>IF($AS200="","",IF($F$6="",0,IF(ISNUMBER(INDEX($A:$AP,ROW(),$F$6)),INDEX($A:$AP,ROW(),$F$6),IFERROR(--SUBSTITUTE(SUBSTITUTE(TRIM(INDEX($A:$AP,ROW(),$F$6)),",",""),"원",""),0))))</f>
        <v/>
      </c>
      <c r="AU200" s="23">
        <f>IF($AS200="","",IF($G$6="",0,IF(ISNUMBER(INDEX($A:$AP,ROW(),$G$6)),INDEX($A:$AP,ROW(),$G$6),IFERROR(--SUBSTITUTE(SUBSTITUTE(TRIM(INDEX($A:$AP,ROW(),$G$6)),",",""),"원",""),0))))</f>
        <v/>
      </c>
      <c r="AV200" s="23">
        <f>IF($AS200="","",IF($H$6="",$AT200+$AU200,IF($H$6="",0,IF(ISNUMBER(INDEX($A:$AP,ROW(),$H$6)),INDEX($A:$AP,ROW(),$H$6),IFERROR(--SUBSTITUTE(SUBSTITUTE(TRIM(INDEX($A:$AP,ROW(),$H$6)),",",""),"원",""),0)))))</f>
        <v/>
      </c>
      <c r="AW200" s="2">
        <f>IF(OR($AS200="",$C$6=""),"",TRIM(INDEX($A:$AP,ROW(),$C$6)&amp;""))</f>
        <v/>
      </c>
      <c r="AX200" s="2">
        <f>IF($AS200="","",IF($AZ200&lt;&gt;"",SUBSTITUTE(SUBSTITUTE($AZ200,"-","")," ",""),$AY200))</f>
        <v/>
      </c>
      <c r="AY200" s="2">
        <f>IF(OR($AS200="",$E$6=""),"",TRIM(INDEX($A:$AP,ROW(),$E$6)&amp;""))</f>
        <v/>
      </c>
      <c r="AZ200" s="2">
        <f>IF(OR($AS200="",$D$6=""),"",TRIM(INDEX($A:$AP,ROW(),$D$6)&amp;""))</f>
        <v/>
      </c>
      <c r="BA200" s="2">
        <f>IF($AS200="","",IF(AND($AS200&gt;=설정!$B$10,$AS200&lt;=설정!$B$11),"포함","기간 밖"))</f>
        <v/>
      </c>
      <c r="BB200" s="2">
        <f>IF($AS200="","",IF(OR($AT200&lt;0,AND($I$6&lt;&gt;"",ISNUMBER(FIND("수정",INDEX($A:$AP,ROW(),IF($I$6="",1,$I$6))&amp;"")))),"수정","일반"))</f>
        <v/>
      </c>
      <c r="BC200" s="2">
        <f>IF($AS200="","",MID(IF($BA200="기간 밖"," / 기간 밖(신고기간 아님)","")&amp;IF(AND($AW200&lt;&gt;"",COUNTIF($AW$8:$AW$1007,$AW200)&gt;1)," / 승인번호 중복(두 번 붙여넣기?)","")&amp;IF(ABS($AU200-ROUND($AT200*0.1,0))&gt;설정!$B$8,IF($AU200=0," / 세액 0원(영세율·면세 여부 확인)"," / 세액이 공급가액 10%와 다름"),"")&amp;IF($BB200="수정"," / 수정세금계산서(합계에서 자동 가감)",""),4,200))</f>
        <v/>
      </c>
      <c r="BD200" s="2">
        <f>IF($BA200&lt;&gt;"포함","",IF(COUNTIFS($AX$8:$AX200,$AX200,$BA$8:$BA200,"포함")=1,MAX($BD$7:BD199)+1,""))</f>
        <v/>
      </c>
      <c r="BE200" s="2">
        <f>IF($BC200="","",MAX($BE$7:BE199)+1)</f>
        <v/>
      </c>
    </row>
    <row r="201">
      <c r="AR201" s="2">
        <f>IF(OR($A$5="",$B$6="",ROW()&lt;$A$5),"",IF(INDEX($A:$AP,ROW(),$B$6)="","",INDEX($A:$AP,ROW(),$B$6)))</f>
        <v/>
      </c>
      <c r="AS201" s="22">
        <f>IF($AR201="","",IF(ISNUMBER($AR201),IF($AR201&gt;=10000000,IFERROR(DATE(INT($AR201/10000),MOD(INT($AR201/100),100),MOD($AR201,100)),""),INT($AR201)),IFERROR(DATE(--LEFT(LEFT(SUBSTITUTE(SUBSTITUTE(SUBSTITUTE(SUBSTITUTE(TRIM($AR201),"-",""),".",""),"/","")," ",""),8),4),--MID(LEFT(SUBSTITUTE(SUBSTITUTE(SUBSTITUTE(SUBSTITUTE(TRIM($AR201),"-",""),".",""),"/","")," ",""),8),5,2),--MID(LEFT(SUBSTITUTE(SUBSTITUTE(SUBSTITUTE(SUBSTITUTE(TRIM($AR201),"-",""),".",""),"/","")," ",""),8),7,2)),"")))</f>
        <v/>
      </c>
      <c r="AT201" s="23">
        <f>IF($AS201="","",IF($F$6="",0,IF(ISNUMBER(INDEX($A:$AP,ROW(),$F$6)),INDEX($A:$AP,ROW(),$F$6),IFERROR(--SUBSTITUTE(SUBSTITUTE(TRIM(INDEX($A:$AP,ROW(),$F$6)),",",""),"원",""),0))))</f>
        <v/>
      </c>
      <c r="AU201" s="23">
        <f>IF($AS201="","",IF($G$6="",0,IF(ISNUMBER(INDEX($A:$AP,ROW(),$G$6)),INDEX($A:$AP,ROW(),$G$6),IFERROR(--SUBSTITUTE(SUBSTITUTE(TRIM(INDEX($A:$AP,ROW(),$G$6)),",",""),"원",""),0))))</f>
        <v/>
      </c>
      <c r="AV201" s="23">
        <f>IF($AS201="","",IF($H$6="",$AT201+$AU201,IF($H$6="",0,IF(ISNUMBER(INDEX($A:$AP,ROW(),$H$6)),INDEX($A:$AP,ROW(),$H$6),IFERROR(--SUBSTITUTE(SUBSTITUTE(TRIM(INDEX($A:$AP,ROW(),$H$6)),",",""),"원",""),0)))))</f>
        <v/>
      </c>
      <c r="AW201" s="2">
        <f>IF(OR($AS201="",$C$6=""),"",TRIM(INDEX($A:$AP,ROW(),$C$6)&amp;""))</f>
        <v/>
      </c>
      <c r="AX201" s="2">
        <f>IF($AS201="","",IF($AZ201&lt;&gt;"",SUBSTITUTE(SUBSTITUTE($AZ201,"-","")," ",""),$AY201))</f>
        <v/>
      </c>
      <c r="AY201" s="2">
        <f>IF(OR($AS201="",$E$6=""),"",TRIM(INDEX($A:$AP,ROW(),$E$6)&amp;""))</f>
        <v/>
      </c>
      <c r="AZ201" s="2">
        <f>IF(OR($AS201="",$D$6=""),"",TRIM(INDEX($A:$AP,ROW(),$D$6)&amp;""))</f>
        <v/>
      </c>
      <c r="BA201" s="2">
        <f>IF($AS201="","",IF(AND($AS201&gt;=설정!$B$10,$AS201&lt;=설정!$B$11),"포함","기간 밖"))</f>
        <v/>
      </c>
      <c r="BB201" s="2">
        <f>IF($AS201="","",IF(OR($AT201&lt;0,AND($I$6&lt;&gt;"",ISNUMBER(FIND("수정",INDEX($A:$AP,ROW(),IF($I$6="",1,$I$6))&amp;"")))),"수정","일반"))</f>
        <v/>
      </c>
      <c r="BC201" s="2">
        <f>IF($AS201="","",MID(IF($BA201="기간 밖"," / 기간 밖(신고기간 아님)","")&amp;IF(AND($AW201&lt;&gt;"",COUNTIF($AW$8:$AW$1007,$AW201)&gt;1)," / 승인번호 중복(두 번 붙여넣기?)","")&amp;IF(ABS($AU201-ROUND($AT201*0.1,0))&gt;설정!$B$8,IF($AU201=0," / 세액 0원(영세율·면세 여부 확인)"," / 세액이 공급가액 10%와 다름"),"")&amp;IF($BB201="수정"," / 수정세금계산서(합계에서 자동 가감)",""),4,200))</f>
        <v/>
      </c>
      <c r="BD201" s="2">
        <f>IF($BA201&lt;&gt;"포함","",IF(COUNTIFS($AX$8:$AX201,$AX201,$BA$8:$BA201,"포함")=1,MAX($BD$7:BD200)+1,""))</f>
        <v/>
      </c>
      <c r="BE201" s="2">
        <f>IF($BC201="","",MAX($BE$7:BE200)+1)</f>
        <v/>
      </c>
    </row>
    <row r="202">
      <c r="AR202" s="2">
        <f>IF(OR($A$5="",$B$6="",ROW()&lt;$A$5),"",IF(INDEX($A:$AP,ROW(),$B$6)="","",INDEX($A:$AP,ROW(),$B$6)))</f>
        <v/>
      </c>
      <c r="AS202" s="22">
        <f>IF($AR202="","",IF(ISNUMBER($AR202),IF($AR202&gt;=10000000,IFERROR(DATE(INT($AR202/10000),MOD(INT($AR202/100),100),MOD($AR202,100)),""),INT($AR202)),IFERROR(DATE(--LEFT(LEFT(SUBSTITUTE(SUBSTITUTE(SUBSTITUTE(SUBSTITUTE(TRIM($AR202),"-",""),".",""),"/","")," ",""),8),4),--MID(LEFT(SUBSTITUTE(SUBSTITUTE(SUBSTITUTE(SUBSTITUTE(TRIM($AR202),"-",""),".",""),"/","")," ",""),8),5,2),--MID(LEFT(SUBSTITUTE(SUBSTITUTE(SUBSTITUTE(SUBSTITUTE(TRIM($AR202),"-",""),".",""),"/","")," ",""),8),7,2)),"")))</f>
        <v/>
      </c>
      <c r="AT202" s="23">
        <f>IF($AS202="","",IF($F$6="",0,IF(ISNUMBER(INDEX($A:$AP,ROW(),$F$6)),INDEX($A:$AP,ROW(),$F$6),IFERROR(--SUBSTITUTE(SUBSTITUTE(TRIM(INDEX($A:$AP,ROW(),$F$6)),",",""),"원",""),0))))</f>
        <v/>
      </c>
      <c r="AU202" s="23">
        <f>IF($AS202="","",IF($G$6="",0,IF(ISNUMBER(INDEX($A:$AP,ROW(),$G$6)),INDEX($A:$AP,ROW(),$G$6),IFERROR(--SUBSTITUTE(SUBSTITUTE(TRIM(INDEX($A:$AP,ROW(),$G$6)),",",""),"원",""),0))))</f>
        <v/>
      </c>
      <c r="AV202" s="23">
        <f>IF($AS202="","",IF($H$6="",$AT202+$AU202,IF($H$6="",0,IF(ISNUMBER(INDEX($A:$AP,ROW(),$H$6)),INDEX($A:$AP,ROW(),$H$6),IFERROR(--SUBSTITUTE(SUBSTITUTE(TRIM(INDEX($A:$AP,ROW(),$H$6)),",",""),"원",""),0)))))</f>
        <v/>
      </c>
      <c r="AW202" s="2">
        <f>IF(OR($AS202="",$C$6=""),"",TRIM(INDEX($A:$AP,ROW(),$C$6)&amp;""))</f>
        <v/>
      </c>
      <c r="AX202" s="2">
        <f>IF($AS202="","",IF($AZ202&lt;&gt;"",SUBSTITUTE(SUBSTITUTE($AZ202,"-","")," ",""),$AY202))</f>
        <v/>
      </c>
      <c r="AY202" s="2">
        <f>IF(OR($AS202="",$E$6=""),"",TRIM(INDEX($A:$AP,ROW(),$E$6)&amp;""))</f>
        <v/>
      </c>
      <c r="AZ202" s="2">
        <f>IF(OR($AS202="",$D$6=""),"",TRIM(INDEX($A:$AP,ROW(),$D$6)&amp;""))</f>
        <v/>
      </c>
      <c r="BA202" s="2">
        <f>IF($AS202="","",IF(AND($AS202&gt;=설정!$B$10,$AS202&lt;=설정!$B$11),"포함","기간 밖"))</f>
        <v/>
      </c>
      <c r="BB202" s="2">
        <f>IF($AS202="","",IF(OR($AT202&lt;0,AND($I$6&lt;&gt;"",ISNUMBER(FIND("수정",INDEX($A:$AP,ROW(),IF($I$6="",1,$I$6))&amp;"")))),"수정","일반"))</f>
        <v/>
      </c>
      <c r="BC202" s="2">
        <f>IF($AS202="","",MID(IF($BA202="기간 밖"," / 기간 밖(신고기간 아님)","")&amp;IF(AND($AW202&lt;&gt;"",COUNTIF($AW$8:$AW$1007,$AW202)&gt;1)," / 승인번호 중복(두 번 붙여넣기?)","")&amp;IF(ABS($AU202-ROUND($AT202*0.1,0))&gt;설정!$B$8,IF($AU202=0," / 세액 0원(영세율·면세 여부 확인)"," / 세액이 공급가액 10%와 다름"),"")&amp;IF($BB202="수정"," / 수정세금계산서(합계에서 자동 가감)",""),4,200))</f>
        <v/>
      </c>
      <c r="BD202" s="2">
        <f>IF($BA202&lt;&gt;"포함","",IF(COUNTIFS($AX$8:$AX202,$AX202,$BA$8:$BA202,"포함")=1,MAX($BD$7:BD201)+1,""))</f>
        <v/>
      </c>
      <c r="BE202" s="2">
        <f>IF($BC202="","",MAX($BE$7:BE201)+1)</f>
        <v/>
      </c>
    </row>
    <row r="203">
      <c r="AR203" s="2">
        <f>IF(OR($A$5="",$B$6="",ROW()&lt;$A$5),"",IF(INDEX($A:$AP,ROW(),$B$6)="","",INDEX($A:$AP,ROW(),$B$6)))</f>
        <v/>
      </c>
      <c r="AS203" s="22">
        <f>IF($AR203="","",IF(ISNUMBER($AR203),IF($AR203&gt;=10000000,IFERROR(DATE(INT($AR203/10000),MOD(INT($AR203/100),100),MOD($AR203,100)),""),INT($AR203)),IFERROR(DATE(--LEFT(LEFT(SUBSTITUTE(SUBSTITUTE(SUBSTITUTE(SUBSTITUTE(TRIM($AR203),"-",""),".",""),"/","")," ",""),8),4),--MID(LEFT(SUBSTITUTE(SUBSTITUTE(SUBSTITUTE(SUBSTITUTE(TRIM($AR203),"-",""),".",""),"/","")," ",""),8),5,2),--MID(LEFT(SUBSTITUTE(SUBSTITUTE(SUBSTITUTE(SUBSTITUTE(TRIM($AR203),"-",""),".",""),"/","")," ",""),8),7,2)),"")))</f>
        <v/>
      </c>
      <c r="AT203" s="23">
        <f>IF($AS203="","",IF($F$6="",0,IF(ISNUMBER(INDEX($A:$AP,ROW(),$F$6)),INDEX($A:$AP,ROW(),$F$6),IFERROR(--SUBSTITUTE(SUBSTITUTE(TRIM(INDEX($A:$AP,ROW(),$F$6)),",",""),"원",""),0))))</f>
        <v/>
      </c>
      <c r="AU203" s="23">
        <f>IF($AS203="","",IF($G$6="",0,IF(ISNUMBER(INDEX($A:$AP,ROW(),$G$6)),INDEX($A:$AP,ROW(),$G$6),IFERROR(--SUBSTITUTE(SUBSTITUTE(TRIM(INDEX($A:$AP,ROW(),$G$6)),",",""),"원",""),0))))</f>
        <v/>
      </c>
      <c r="AV203" s="23">
        <f>IF($AS203="","",IF($H$6="",$AT203+$AU203,IF($H$6="",0,IF(ISNUMBER(INDEX($A:$AP,ROW(),$H$6)),INDEX($A:$AP,ROW(),$H$6),IFERROR(--SUBSTITUTE(SUBSTITUTE(TRIM(INDEX($A:$AP,ROW(),$H$6)),",",""),"원",""),0)))))</f>
        <v/>
      </c>
      <c r="AW203" s="2">
        <f>IF(OR($AS203="",$C$6=""),"",TRIM(INDEX($A:$AP,ROW(),$C$6)&amp;""))</f>
        <v/>
      </c>
      <c r="AX203" s="2">
        <f>IF($AS203="","",IF($AZ203&lt;&gt;"",SUBSTITUTE(SUBSTITUTE($AZ203,"-","")," ",""),$AY203))</f>
        <v/>
      </c>
      <c r="AY203" s="2">
        <f>IF(OR($AS203="",$E$6=""),"",TRIM(INDEX($A:$AP,ROW(),$E$6)&amp;""))</f>
        <v/>
      </c>
      <c r="AZ203" s="2">
        <f>IF(OR($AS203="",$D$6=""),"",TRIM(INDEX($A:$AP,ROW(),$D$6)&amp;""))</f>
        <v/>
      </c>
      <c r="BA203" s="2">
        <f>IF($AS203="","",IF(AND($AS203&gt;=설정!$B$10,$AS203&lt;=설정!$B$11),"포함","기간 밖"))</f>
        <v/>
      </c>
      <c r="BB203" s="2">
        <f>IF($AS203="","",IF(OR($AT203&lt;0,AND($I$6&lt;&gt;"",ISNUMBER(FIND("수정",INDEX($A:$AP,ROW(),IF($I$6="",1,$I$6))&amp;"")))),"수정","일반"))</f>
        <v/>
      </c>
      <c r="BC203" s="2">
        <f>IF($AS203="","",MID(IF($BA203="기간 밖"," / 기간 밖(신고기간 아님)","")&amp;IF(AND($AW203&lt;&gt;"",COUNTIF($AW$8:$AW$1007,$AW203)&gt;1)," / 승인번호 중복(두 번 붙여넣기?)","")&amp;IF(ABS($AU203-ROUND($AT203*0.1,0))&gt;설정!$B$8,IF($AU203=0," / 세액 0원(영세율·면세 여부 확인)"," / 세액이 공급가액 10%와 다름"),"")&amp;IF($BB203="수정"," / 수정세금계산서(합계에서 자동 가감)",""),4,200))</f>
        <v/>
      </c>
      <c r="BD203" s="2">
        <f>IF($BA203&lt;&gt;"포함","",IF(COUNTIFS($AX$8:$AX203,$AX203,$BA$8:$BA203,"포함")=1,MAX($BD$7:BD202)+1,""))</f>
        <v/>
      </c>
      <c r="BE203" s="2">
        <f>IF($BC203="","",MAX($BE$7:BE202)+1)</f>
        <v/>
      </c>
    </row>
    <row r="204">
      <c r="AR204" s="2">
        <f>IF(OR($A$5="",$B$6="",ROW()&lt;$A$5),"",IF(INDEX($A:$AP,ROW(),$B$6)="","",INDEX($A:$AP,ROW(),$B$6)))</f>
        <v/>
      </c>
      <c r="AS204" s="22">
        <f>IF($AR204="","",IF(ISNUMBER($AR204),IF($AR204&gt;=10000000,IFERROR(DATE(INT($AR204/10000),MOD(INT($AR204/100),100),MOD($AR204,100)),""),INT($AR204)),IFERROR(DATE(--LEFT(LEFT(SUBSTITUTE(SUBSTITUTE(SUBSTITUTE(SUBSTITUTE(TRIM($AR204),"-",""),".",""),"/","")," ",""),8),4),--MID(LEFT(SUBSTITUTE(SUBSTITUTE(SUBSTITUTE(SUBSTITUTE(TRIM($AR204),"-",""),".",""),"/","")," ",""),8),5,2),--MID(LEFT(SUBSTITUTE(SUBSTITUTE(SUBSTITUTE(SUBSTITUTE(TRIM($AR204),"-",""),".",""),"/","")," ",""),8),7,2)),"")))</f>
        <v/>
      </c>
      <c r="AT204" s="23">
        <f>IF($AS204="","",IF($F$6="",0,IF(ISNUMBER(INDEX($A:$AP,ROW(),$F$6)),INDEX($A:$AP,ROW(),$F$6),IFERROR(--SUBSTITUTE(SUBSTITUTE(TRIM(INDEX($A:$AP,ROW(),$F$6)),",",""),"원",""),0))))</f>
        <v/>
      </c>
      <c r="AU204" s="23">
        <f>IF($AS204="","",IF($G$6="",0,IF(ISNUMBER(INDEX($A:$AP,ROW(),$G$6)),INDEX($A:$AP,ROW(),$G$6),IFERROR(--SUBSTITUTE(SUBSTITUTE(TRIM(INDEX($A:$AP,ROW(),$G$6)),",",""),"원",""),0))))</f>
        <v/>
      </c>
      <c r="AV204" s="23">
        <f>IF($AS204="","",IF($H$6="",$AT204+$AU204,IF($H$6="",0,IF(ISNUMBER(INDEX($A:$AP,ROW(),$H$6)),INDEX($A:$AP,ROW(),$H$6),IFERROR(--SUBSTITUTE(SUBSTITUTE(TRIM(INDEX($A:$AP,ROW(),$H$6)),",",""),"원",""),0)))))</f>
        <v/>
      </c>
      <c r="AW204" s="2">
        <f>IF(OR($AS204="",$C$6=""),"",TRIM(INDEX($A:$AP,ROW(),$C$6)&amp;""))</f>
        <v/>
      </c>
      <c r="AX204" s="2">
        <f>IF($AS204="","",IF($AZ204&lt;&gt;"",SUBSTITUTE(SUBSTITUTE($AZ204,"-","")," ",""),$AY204))</f>
        <v/>
      </c>
      <c r="AY204" s="2">
        <f>IF(OR($AS204="",$E$6=""),"",TRIM(INDEX($A:$AP,ROW(),$E$6)&amp;""))</f>
        <v/>
      </c>
      <c r="AZ204" s="2">
        <f>IF(OR($AS204="",$D$6=""),"",TRIM(INDEX($A:$AP,ROW(),$D$6)&amp;""))</f>
        <v/>
      </c>
      <c r="BA204" s="2">
        <f>IF($AS204="","",IF(AND($AS204&gt;=설정!$B$10,$AS204&lt;=설정!$B$11),"포함","기간 밖"))</f>
        <v/>
      </c>
      <c r="BB204" s="2">
        <f>IF($AS204="","",IF(OR($AT204&lt;0,AND($I$6&lt;&gt;"",ISNUMBER(FIND("수정",INDEX($A:$AP,ROW(),IF($I$6="",1,$I$6))&amp;"")))),"수정","일반"))</f>
        <v/>
      </c>
      <c r="BC204" s="2">
        <f>IF($AS204="","",MID(IF($BA204="기간 밖"," / 기간 밖(신고기간 아님)","")&amp;IF(AND($AW204&lt;&gt;"",COUNTIF($AW$8:$AW$1007,$AW204)&gt;1)," / 승인번호 중복(두 번 붙여넣기?)","")&amp;IF(ABS($AU204-ROUND($AT204*0.1,0))&gt;설정!$B$8,IF($AU204=0," / 세액 0원(영세율·면세 여부 확인)"," / 세액이 공급가액 10%와 다름"),"")&amp;IF($BB204="수정"," / 수정세금계산서(합계에서 자동 가감)",""),4,200))</f>
        <v/>
      </c>
      <c r="BD204" s="2">
        <f>IF($BA204&lt;&gt;"포함","",IF(COUNTIFS($AX$8:$AX204,$AX204,$BA$8:$BA204,"포함")=1,MAX($BD$7:BD203)+1,""))</f>
        <v/>
      </c>
      <c r="BE204" s="2">
        <f>IF($BC204="","",MAX($BE$7:BE203)+1)</f>
        <v/>
      </c>
    </row>
    <row r="205">
      <c r="AR205" s="2">
        <f>IF(OR($A$5="",$B$6="",ROW()&lt;$A$5),"",IF(INDEX($A:$AP,ROW(),$B$6)="","",INDEX($A:$AP,ROW(),$B$6)))</f>
        <v/>
      </c>
      <c r="AS205" s="22">
        <f>IF($AR205="","",IF(ISNUMBER($AR205),IF($AR205&gt;=10000000,IFERROR(DATE(INT($AR205/10000),MOD(INT($AR205/100),100),MOD($AR205,100)),""),INT($AR205)),IFERROR(DATE(--LEFT(LEFT(SUBSTITUTE(SUBSTITUTE(SUBSTITUTE(SUBSTITUTE(TRIM($AR205),"-",""),".",""),"/","")," ",""),8),4),--MID(LEFT(SUBSTITUTE(SUBSTITUTE(SUBSTITUTE(SUBSTITUTE(TRIM($AR205),"-",""),".",""),"/","")," ",""),8),5,2),--MID(LEFT(SUBSTITUTE(SUBSTITUTE(SUBSTITUTE(SUBSTITUTE(TRIM($AR205),"-",""),".",""),"/","")," ",""),8),7,2)),"")))</f>
        <v/>
      </c>
      <c r="AT205" s="23">
        <f>IF($AS205="","",IF($F$6="",0,IF(ISNUMBER(INDEX($A:$AP,ROW(),$F$6)),INDEX($A:$AP,ROW(),$F$6),IFERROR(--SUBSTITUTE(SUBSTITUTE(TRIM(INDEX($A:$AP,ROW(),$F$6)),",",""),"원",""),0))))</f>
        <v/>
      </c>
      <c r="AU205" s="23">
        <f>IF($AS205="","",IF($G$6="",0,IF(ISNUMBER(INDEX($A:$AP,ROW(),$G$6)),INDEX($A:$AP,ROW(),$G$6),IFERROR(--SUBSTITUTE(SUBSTITUTE(TRIM(INDEX($A:$AP,ROW(),$G$6)),",",""),"원",""),0))))</f>
        <v/>
      </c>
      <c r="AV205" s="23">
        <f>IF($AS205="","",IF($H$6="",$AT205+$AU205,IF($H$6="",0,IF(ISNUMBER(INDEX($A:$AP,ROW(),$H$6)),INDEX($A:$AP,ROW(),$H$6),IFERROR(--SUBSTITUTE(SUBSTITUTE(TRIM(INDEX($A:$AP,ROW(),$H$6)),",",""),"원",""),0)))))</f>
        <v/>
      </c>
      <c r="AW205" s="2">
        <f>IF(OR($AS205="",$C$6=""),"",TRIM(INDEX($A:$AP,ROW(),$C$6)&amp;""))</f>
        <v/>
      </c>
      <c r="AX205" s="2">
        <f>IF($AS205="","",IF($AZ205&lt;&gt;"",SUBSTITUTE(SUBSTITUTE($AZ205,"-","")," ",""),$AY205))</f>
        <v/>
      </c>
      <c r="AY205" s="2">
        <f>IF(OR($AS205="",$E$6=""),"",TRIM(INDEX($A:$AP,ROW(),$E$6)&amp;""))</f>
        <v/>
      </c>
      <c r="AZ205" s="2">
        <f>IF(OR($AS205="",$D$6=""),"",TRIM(INDEX($A:$AP,ROW(),$D$6)&amp;""))</f>
        <v/>
      </c>
      <c r="BA205" s="2">
        <f>IF($AS205="","",IF(AND($AS205&gt;=설정!$B$10,$AS205&lt;=설정!$B$11),"포함","기간 밖"))</f>
        <v/>
      </c>
      <c r="BB205" s="2">
        <f>IF($AS205="","",IF(OR($AT205&lt;0,AND($I$6&lt;&gt;"",ISNUMBER(FIND("수정",INDEX($A:$AP,ROW(),IF($I$6="",1,$I$6))&amp;"")))),"수정","일반"))</f>
        <v/>
      </c>
      <c r="BC205" s="2">
        <f>IF($AS205="","",MID(IF($BA205="기간 밖"," / 기간 밖(신고기간 아님)","")&amp;IF(AND($AW205&lt;&gt;"",COUNTIF($AW$8:$AW$1007,$AW205)&gt;1)," / 승인번호 중복(두 번 붙여넣기?)","")&amp;IF(ABS($AU205-ROUND($AT205*0.1,0))&gt;설정!$B$8,IF($AU205=0," / 세액 0원(영세율·면세 여부 확인)"," / 세액이 공급가액 10%와 다름"),"")&amp;IF($BB205="수정"," / 수정세금계산서(합계에서 자동 가감)",""),4,200))</f>
        <v/>
      </c>
      <c r="BD205" s="2">
        <f>IF($BA205&lt;&gt;"포함","",IF(COUNTIFS($AX$8:$AX205,$AX205,$BA$8:$BA205,"포함")=1,MAX($BD$7:BD204)+1,""))</f>
        <v/>
      </c>
      <c r="BE205" s="2">
        <f>IF($BC205="","",MAX($BE$7:BE204)+1)</f>
        <v/>
      </c>
    </row>
    <row r="206">
      <c r="AR206" s="2">
        <f>IF(OR($A$5="",$B$6="",ROW()&lt;$A$5),"",IF(INDEX($A:$AP,ROW(),$B$6)="","",INDEX($A:$AP,ROW(),$B$6)))</f>
        <v/>
      </c>
      <c r="AS206" s="22">
        <f>IF($AR206="","",IF(ISNUMBER($AR206),IF($AR206&gt;=10000000,IFERROR(DATE(INT($AR206/10000),MOD(INT($AR206/100),100),MOD($AR206,100)),""),INT($AR206)),IFERROR(DATE(--LEFT(LEFT(SUBSTITUTE(SUBSTITUTE(SUBSTITUTE(SUBSTITUTE(TRIM($AR206),"-",""),".",""),"/","")," ",""),8),4),--MID(LEFT(SUBSTITUTE(SUBSTITUTE(SUBSTITUTE(SUBSTITUTE(TRIM($AR206),"-",""),".",""),"/","")," ",""),8),5,2),--MID(LEFT(SUBSTITUTE(SUBSTITUTE(SUBSTITUTE(SUBSTITUTE(TRIM($AR206),"-",""),".",""),"/","")," ",""),8),7,2)),"")))</f>
        <v/>
      </c>
      <c r="AT206" s="23">
        <f>IF($AS206="","",IF($F$6="",0,IF(ISNUMBER(INDEX($A:$AP,ROW(),$F$6)),INDEX($A:$AP,ROW(),$F$6),IFERROR(--SUBSTITUTE(SUBSTITUTE(TRIM(INDEX($A:$AP,ROW(),$F$6)),",",""),"원",""),0))))</f>
        <v/>
      </c>
      <c r="AU206" s="23">
        <f>IF($AS206="","",IF($G$6="",0,IF(ISNUMBER(INDEX($A:$AP,ROW(),$G$6)),INDEX($A:$AP,ROW(),$G$6),IFERROR(--SUBSTITUTE(SUBSTITUTE(TRIM(INDEX($A:$AP,ROW(),$G$6)),",",""),"원",""),0))))</f>
        <v/>
      </c>
      <c r="AV206" s="23">
        <f>IF($AS206="","",IF($H$6="",$AT206+$AU206,IF($H$6="",0,IF(ISNUMBER(INDEX($A:$AP,ROW(),$H$6)),INDEX($A:$AP,ROW(),$H$6),IFERROR(--SUBSTITUTE(SUBSTITUTE(TRIM(INDEX($A:$AP,ROW(),$H$6)),",",""),"원",""),0)))))</f>
        <v/>
      </c>
      <c r="AW206" s="2">
        <f>IF(OR($AS206="",$C$6=""),"",TRIM(INDEX($A:$AP,ROW(),$C$6)&amp;""))</f>
        <v/>
      </c>
      <c r="AX206" s="2">
        <f>IF($AS206="","",IF($AZ206&lt;&gt;"",SUBSTITUTE(SUBSTITUTE($AZ206,"-","")," ",""),$AY206))</f>
        <v/>
      </c>
      <c r="AY206" s="2">
        <f>IF(OR($AS206="",$E$6=""),"",TRIM(INDEX($A:$AP,ROW(),$E$6)&amp;""))</f>
        <v/>
      </c>
      <c r="AZ206" s="2">
        <f>IF(OR($AS206="",$D$6=""),"",TRIM(INDEX($A:$AP,ROW(),$D$6)&amp;""))</f>
        <v/>
      </c>
      <c r="BA206" s="2">
        <f>IF($AS206="","",IF(AND($AS206&gt;=설정!$B$10,$AS206&lt;=설정!$B$11),"포함","기간 밖"))</f>
        <v/>
      </c>
      <c r="BB206" s="2">
        <f>IF($AS206="","",IF(OR($AT206&lt;0,AND($I$6&lt;&gt;"",ISNUMBER(FIND("수정",INDEX($A:$AP,ROW(),IF($I$6="",1,$I$6))&amp;"")))),"수정","일반"))</f>
        <v/>
      </c>
      <c r="BC206" s="2">
        <f>IF($AS206="","",MID(IF($BA206="기간 밖"," / 기간 밖(신고기간 아님)","")&amp;IF(AND($AW206&lt;&gt;"",COUNTIF($AW$8:$AW$1007,$AW206)&gt;1)," / 승인번호 중복(두 번 붙여넣기?)","")&amp;IF(ABS($AU206-ROUND($AT206*0.1,0))&gt;설정!$B$8,IF($AU206=0," / 세액 0원(영세율·면세 여부 확인)"," / 세액이 공급가액 10%와 다름"),"")&amp;IF($BB206="수정"," / 수정세금계산서(합계에서 자동 가감)",""),4,200))</f>
        <v/>
      </c>
      <c r="BD206" s="2">
        <f>IF($BA206&lt;&gt;"포함","",IF(COUNTIFS($AX$8:$AX206,$AX206,$BA$8:$BA206,"포함")=1,MAX($BD$7:BD205)+1,""))</f>
        <v/>
      </c>
      <c r="BE206" s="2">
        <f>IF($BC206="","",MAX($BE$7:BE205)+1)</f>
        <v/>
      </c>
    </row>
    <row r="207">
      <c r="AR207" s="2">
        <f>IF(OR($A$5="",$B$6="",ROW()&lt;$A$5),"",IF(INDEX($A:$AP,ROW(),$B$6)="","",INDEX($A:$AP,ROW(),$B$6)))</f>
        <v/>
      </c>
      <c r="AS207" s="22">
        <f>IF($AR207="","",IF(ISNUMBER($AR207),IF($AR207&gt;=10000000,IFERROR(DATE(INT($AR207/10000),MOD(INT($AR207/100),100),MOD($AR207,100)),""),INT($AR207)),IFERROR(DATE(--LEFT(LEFT(SUBSTITUTE(SUBSTITUTE(SUBSTITUTE(SUBSTITUTE(TRIM($AR207),"-",""),".",""),"/","")," ",""),8),4),--MID(LEFT(SUBSTITUTE(SUBSTITUTE(SUBSTITUTE(SUBSTITUTE(TRIM($AR207),"-",""),".",""),"/","")," ",""),8),5,2),--MID(LEFT(SUBSTITUTE(SUBSTITUTE(SUBSTITUTE(SUBSTITUTE(TRIM($AR207),"-",""),".",""),"/","")," ",""),8),7,2)),"")))</f>
        <v/>
      </c>
      <c r="AT207" s="23">
        <f>IF($AS207="","",IF($F$6="",0,IF(ISNUMBER(INDEX($A:$AP,ROW(),$F$6)),INDEX($A:$AP,ROW(),$F$6),IFERROR(--SUBSTITUTE(SUBSTITUTE(TRIM(INDEX($A:$AP,ROW(),$F$6)),",",""),"원",""),0))))</f>
        <v/>
      </c>
      <c r="AU207" s="23">
        <f>IF($AS207="","",IF($G$6="",0,IF(ISNUMBER(INDEX($A:$AP,ROW(),$G$6)),INDEX($A:$AP,ROW(),$G$6),IFERROR(--SUBSTITUTE(SUBSTITUTE(TRIM(INDEX($A:$AP,ROW(),$G$6)),",",""),"원",""),0))))</f>
        <v/>
      </c>
      <c r="AV207" s="23">
        <f>IF($AS207="","",IF($H$6="",$AT207+$AU207,IF($H$6="",0,IF(ISNUMBER(INDEX($A:$AP,ROW(),$H$6)),INDEX($A:$AP,ROW(),$H$6),IFERROR(--SUBSTITUTE(SUBSTITUTE(TRIM(INDEX($A:$AP,ROW(),$H$6)),",",""),"원",""),0)))))</f>
        <v/>
      </c>
      <c r="AW207" s="2">
        <f>IF(OR($AS207="",$C$6=""),"",TRIM(INDEX($A:$AP,ROW(),$C$6)&amp;""))</f>
        <v/>
      </c>
      <c r="AX207" s="2">
        <f>IF($AS207="","",IF($AZ207&lt;&gt;"",SUBSTITUTE(SUBSTITUTE($AZ207,"-","")," ",""),$AY207))</f>
        <v/>
      </c>
      <c r="AY207" s="2">
        <f>IF(OR($AS207="",$E$6=""),"",TRIM(INDEX($A:$AP,ROW(),$E$6)&amp;""))</f>
        <v/>
      </c>
      <c r="AZ207" s="2">
        <f>IF(OR($AS207="",$D$6=""),"",TRIM(INDEX($A:$AP,ROW(),$D$6)&amp;""))</f>
        <v/>
      </c>
      <c r="BA207" s="2">
        <f>IF($AS207="","",IF(AND($AS207&gt;=설정!$B$10,$AS207&lt;=설정!$B$11),"포함","기간 밖"))</f>
        <v/>
      </c>
      <c r="BB207" s="2">
        <f>IF($AS207="","",IF(OR($AT207&lt;0,AND($I$6&lt;&gt;"",ISNUMBER(FIND("수정",INDEX($A:$AP,ROW(),IF($I$6="",1,$I$6))&amp;"")))),"수정","일반"))</f>
        <v/>
      </c>
      <c r="BC207" s="2">
        <f>IF($AS207="","",MID(IF($BA207="기간 밖"," / 기간 밖(신고기간 아님)","")&amp;IF(AND($AW207&lt;&gt;"",COUNTIF($AW$8:$AW$1007,$AW207)&gt;1)," / 승인번호 중복(두 번 붙여넣기?)","")&amp;IF(ABS($AU207-ROUND($AT207*0.1,0))&gt;설정!$B$8,IF($AU207=0," / 세액 0원(영세율·면세 여부 확인)"," / 세액이 공급가액 10%와 다름"),"")&amp;IF($BB207="수정"," / 수정세금계산서(합계에서 자동 가감)",""),4,200))</f>
        <v/>
      </c>
      <c r="BD207" s="2">
        <f>IF($BA207&lt;&gt;"포함","",IF(COUNTIFS($AX$8:$AX207,$AX207,$BA$8:$BA207,"포함")=1,MAX($BD$7:BD206)+1,""))</f>
        <v/>
      </c>
      <c r="BE207" s="2">
        <f>IF($BC207="","",MAX($BE$7:BE206)+1)</f>
        <v/>
      </c>
    </row>
    <row r="208">
      <c r="AR208" s="2">
        <f>IF(OR($A$5="",$B$6="",ROW()&lt;$A$5),"",IF(INDEX($A:$AP,ROW(),$B$6)="","",INDEX($A:$AP,ROW(),$B$6)))</f>
        <v/>
      </c>
      <c r="AS208" s="22">
        <f>IF($AR208="","",IF(ISNUMBER($AR208),IF($AR208&gt;=10000000,IFERROR(DATE(INT($AR208/10000),MOD(INT($AR208/100),100),MOD($AR208,100)),""),INT($AR208)),IFERROR(DATE(--LEFT(LEFT(SUBSTITUTE(SUBSTITUTE(SUBSTITUTE(SUBSTITUTE(TRIM($AR208),"-",""),".",""),"/","")," ",""),8),4),--MID(LEFT(SUBSTITUTE(SUBSTITUTE(SUBSTITUTE(SUBSTITUTE(TRIM($AR208),"-",""),".",""),"/","")," ",""),8),5,2),--MID(LEFT(SUBSTITUTE(SUBSTITUTE(SUBSTITUTE(SUBSTITUTE(TRIM($AR208),"-",""),".",""),"/","")," ",""),8),7,2)),"")))</f>
        <v/>
      </c>
      <c r="AT208" s="23">
        <f>IF($AS208="","",IF($F$6="",0,IF(ISNUMBER(INDEX($A:$AP,ROW(),$F$6)),INDEX($A:$AP,ROW(),$F$6),IFERROR(--SUBSTITUTE(SUBSTITUTE(TRIM(INDEX($A:$AP,ROW(),$F$6)),",",""),"원",""),0))))</f>
        <v/>
      </c>
      <c r="AU208" s="23">
        <f>IF($AS208="","",IF($G$6="",0,IF(ISNUMBER(INDEX($A:$AP,ROW(),$G$6)),INDEX($A:$AP,ROW(),$G$6),IFERROR(--SUBSTITUTE(SUBSTITUTE(TRIM(INDEX($A:$AP,ROW(),$G$6)),",",""),"원",""),0))))</f>
        <v/>
      </c>
      <c r="AV208" s="23">
        <f>IF($AS208="","",IF($H$6="",$AT208+$AU208,IF($H$6="",0,IF(ISNUMBER(INDEX($A:$AP,ROW(),$H$6)),INDEX($A:$AP,ROW(),$H$6),IFERROR(--SUBSTITUTE(SUBSTITUTE(TRIM(INDEX($A:$AP,ROW(),$H$6)),",",""),"원",""),0)))))</f>
        <v/>
      </c>
      <c r="AW208" s="2">
        <f>IF(OR($AS208="",$C$6=""),"",TRIM(INDEX($A:$AP,ROW(),$C$6)&amp;""))</f>
        <v/>
      </c>
      <c r="AX208" s="2">
        <f>IF($AS208="","",IF($AZ208&lt;&gt;"",SUBSTITUTE(SUBSTITUTE($AZ208,"-","")," ",""),$AY208))</f>
        <v/>
      </c>
      <c r="AY208" s="2">
        <f>IF(OR($AS208="",$E$6=""),"",TRIM(INDEX($A:$AP,ROW(),$E$6)&amp;""))</f>
        <v/>
      </c>
      <c r="AZ208" s="2">
        <f>IF(OR($AS208="",$D$6=""),"",TRIM(INDEX($A:$AP,ROW(),$D$6)&amp;""))</f>
        <v/>
      </c>
      <c r="BA208" s="2">
        <f>IF($AS208="","",IF(AND($AS208&gt;=설정!$B$10,$AS208&lt;=설정!$B$11),"포함","기간 밖"))</f>
        <v/>
      </c>
      <c r="BB208" s="2">
        <f>IF($AS208="","",IF(OR($AT208&lt;0,AND($I$6&lt;&gt;"",ISNUMBER(FIND("수정",INDEX($A:$AP,ROW(),IF($I$6="",1,$I$6))&amp;"")))),"수정","일반"))</f>
        <v/>
      </c>
      <c r="BC208" s="2">
        <f>IF($AS208="","",MID(IF($BA208="기간 밖"," / 기간 밖(신고기간 아님)","")&amp;IF(AND($AW208&lt;&gt;"",COUNTIF($AW$8:$AW$1007,$AW208)&gt;1)," / 승인번호 중복(두 번 붙여넣기?)","")&amp;IF(ABS($AU208-ROUND($AT208*0.1,0))&gt;설정!$B$8,IF($AU208=0," / 세액 0원(영세율·면세 여부 확인)"," / 세액이 공급가액 10%와 다름"),"")&amp;IF($BB208="수정"," / 수정세금계산서(합계에서 자동 가감)",""),4,200))</f>
        <v/>
      </c>
      <c r="BD208" s="2">
        <f>IF($BA208&lt;&gt;"포함","",IF(COUNTIFS($AX$8:$AX208,$AX208,$BA$8:$BA208,"포함")=1,MAX($BD$7:BD207)+1,""))</f>
        <v/>
      </c>
      <c r="BE208" s="2">
        <f>IF($BC208="","",MAX($BE$7:BE207)+1)</f>
        <v/>
      </c>
    </row>
    <row r="209">
      <c r="AR209" s="2">
        <f>IF(OR($A$5="",$B$6="",ROW()&lt;$A$5),"",IF(INDEX($A:$AP,ROW(),$B$6)="","",INDEX($A:$AP,ROW(),$B$6)))</f>
        <v/>
      </c>
      <c r="AS209" s="22">
        <f>IF($AR209="","",IF(ISNUMBER($AR209),IF($AR209&gt;=10000000,IFERROR(DATE(INT($AR209/10000),MOD(INT($AR209/100),100),MOD($AR209,100)),""),INT($AR209)),IFERROR(DATE(--LEFT(LEFT(SUBSTITUTE(SUBSTITUTE(SUBSTITUTE(SUBSTITUTE(TRIM($AR209),"-",""),".",""),"/","")," ",""),8),4),--MID(LEFT(SUBSTITUTE(SUBSTITUTE(SUBSTITUTE(SUBSTITUTE(TRIM($AR209),"-",""),".",""),"/","")," ",""),8),5,2),--MID(LEFT(SUBSTITUTE(SUBSTITUTE(SUBSTITUTE(SUBSTITUTE(TRIM($AR209),"-",""),".",""),"/","")," ",""),8),7,2)),"")))</f>
        <v/>
      </c>
      <c r="AT209" s="23">
        <f>IF($AS209="","",IF($F$6="",0,IF(ISNUMBER(INDEX($A:$AP,ROW(),$F$6)),INDEX($A:$AP,ROW(),$F$6),IFERROR(--SUBSTITUTE(SUBSTITUTE(TRIM(INDEX($A:$AP,ROW(),$F$6)),",",""),"원",""),0))))</f>
        <v/>
      </c>
      <c r="AU209" s="23">
        <f>IF($AS209="","",IF($G$6="",0,IF(ISNUMBER(INDEX($A:$AP,ROW(),$G$6)),INDEX($A:$AP,ROW(),$G$6),IFERROR(--SUBSTITUTE(SUBSTITUTE(TRIM(INDEX($A:$AP,ROW(),$G$6)),",",""),"원",""),0))))</f>
        <v/>
      </c>
      <c r="AV209" s="23">
        <f>IF($AS209="","",IF($H$6="",$AT209+$AU209,IF($H$6="",0,IF(ISNUMBER(INDEX($A:$AP,ROW(),$H$6)),INDEX($A:$AP,ROW(),$H$6),IFERROR(--SUBSTITUTE(SUBSTITUTE(TRIM(INDEX($A:$AP,ROW(),$H$6)),",",""),"원",""),0)))))</f>
        <v/>
      </c>
      <c r="AW209" s="2">
        <f>IF(OR($AS209="",$C$6=""),"",TRIM(INDEX($A:$AP,ROW(),$C$6)&amp;""))</f>
        <v/>
      </c>
      <c r="AX209" s="2">
        <f>IF($AS209="","",IF($AZ209&lt;&gt;"",SUBSTITUTE(SUBSTITUTE($AZ209,"-","")," ",""),$AY209))</f>
        <v/>
      </c>
      <c r="AY209" s="2">
        <f>IF(OR($AS209="",$E$6=""),"",TRIM(INDEX($A:$AP,ROW(),$E$6)&amp;""))</f>
        <v/>
      </c>
      <c r="AZ209" s="2">
        <f>IF(OR($AS209="",$D$6=""),"",TRIM(INDEX($A:$AP,ROW(),$D$6)&amp;""))</f>
        <v/>
      </c>
      <c r="BA209" s="2">
        <f>IF($AS209="","",IF(AND($AS209&gt;=설정!$B$10,$AS209&lt;=설정!$B$11),"포함","기간 밖"))</f>
        <v/>
      </c>
      <c r="BB209" s="2">
        <f>IF($AS209="","",IF(OR($AT209&lt;0,AND($I$6&lt;&gt;"",ISNUMBER(FIND("수정",INDEX($A:$AP,ROW(),IF($I$6="",1,$I$6))&amp;"")))),"수정","일반"))</f>
        <v/>
      </c>
      <c r="BC209" s="2">
        <f>IF($AS209="","",MID(IF($BA209="기간 밖"," / 기간 밖(신고기간 아님)","")&amp;IF(AND($AW209&lt;&gt;"",COUNTIF($AW$8:$AW$1007,$AW209)&gt;1)," / 승인번호 중복(두 번 붙여넣기?)","")&amp;IF(ABS($AU209-ROUND($AT209*0.1,0))&gt;설정!$B$8,IF($AU209=0," / 세액 0원(영세율·면세 여부 확인)"," / 세액이 공급가액 10%와 다름"),"")&amp;IF($BB209="수정"," / 수정세금계산서(합계에서 자동 가감)",""),4,200))</f>
        <v/>
      </c>
      <c r="BD209" s="2">
        <f>IF($BA209&lt;&gt;"포함","",IF(COUNTIFS($AX$8:$AX209,$AX209,$BA$8:$BA209,"포함")=1,MAX($BD$7:BD208)+1,""))</f>
        <v/>
      </c>
      <c r="BE209" s="2">
        <f>IF($BC209="","",MAX($BE$7:BE208)+1)</f>
        <v/>
      </c>
    </row>
    <row r="210">
      <c r="AR210" s="2">
        <f>IF(OR($A$5="",$B$6="",ROW()&lt;$A$5),"",IF(INDEX($A:$AP,ROW(),$B$6)="","",INDEX($A:$AP,ROW(),$B$6)))</f>
        <v/>
      </c>
      <c r="AS210" s="22">
        <f>IF($AR210="","",IF(ISNUMBER($AR210),IF($AR210&gt;=10000000,IFERROR(DATE(INT($AR210/10000),MOD(INT($AR210/100),100),MOD($AR210,100)),""),INT($AR210)),IFERROR(DATE(--LEFT(LEFT(SUBSTITUTE(SUBSTITUTE(SUBSTITUTE(SUBSTITUTE(TRIM($AR210),"-",""),".",""),"/","")," ",""),8),4),--MID(LEFT(SUBSTITUTE(SUBSTITUTE(SUBSTITUTE(SUBSTITUTE(TRIM($AR210),"-",""),".",""),"/","")," ",""),8),5,2),--MID(LEFT(SUBSTITUTE(SUBSTITUTE(SUBSTITUTE(SUBSTITUTE(TRIM($AR210),"-",""),".",""),"/","")," ",""),8),7,2)),"")))</f>
        <v/>
      </c>
      <c r="AT210" s="23">
        <f>IF($AS210="","",IF($F$6="",0,IF(ISNUMBER(INDEX($A:$AP,ROW(),$F$6)),INDEX($A:$AP,ROW(),$F$6),IFERROR(--SUBSTITUTE(SUBSTITUTE(TRIM(INDEX($A:$AP,ROW(),$F$6)),",",""),"원",""),0))))</f>
        <v/>
      </c>
      <c r="AU210" s="23">
        <f>IF($AS210="","",IF($G$6="",0,IF(ISNUMBER(INDEX($A:$AP,ROW(),$G$6)),INDEX($A:$AP,ROW(),$G$6),IFERROR(--SUBSTITUTE(SUBSTITUTE(TRIM(INDEX($A:$AP,ROW(),$G$6)),",",""),"원",""),0))))</f>
        <v/>
      </c>
      <c r="AV210" s="23">
        <f>IF($AS210="","",IF($H$6="",$AT210+$AU210,IF($H$6="",0,IF(ISNUMBER(INDEX($A:$AP,ROW(),$H$6)),INDEX($A:$AP,ROW(),$H$6),IFERROR(--SUBSTITUTE(SUBSTITUTE(TRIM(INDEX($A:$AP,ROW(),$H$6)),",",""),"원",""),0)))))</f>
        <v/>
      </c>
      <c r="AW210" s="2">
        <f>IF(OR($AS210="",$C$6=""),"",TRIM(INDEX($A:$AP,ROW(),$C$6)&amp;""))</f>
        <v/>
      </c>
      <c r="AX210" s="2">
        <f>IF($AS210="","",IF($AZ210&lt;&gt;"",SUBSTITUTE(SUBSTITUTE($AZ210,"-","")," ",""),$AY210))</f>
        <v/>
      </c>
      <c r="AY210" s="2">
        <f>IF(OR($AS210="",$E$6=""),"",TRIM(INDEX($A:$AP,ROW(),$E$6)&amp;""))</f>
        <v/>
      </c>
      <c r="AZ210" s="2">
        <f>IF(OR($AS210="",$D$6=""),"",TRIM(INDEX($A:$AP,ROW(),$D$6)&amp;""))</f>
        <v/>
      </c>
      <c r="BA210" s="2">
        <f>IF($AS210="","",IF(AND($AS210&gt;=설정!$B$10,$AS210&lt;=설정!$B$11),"포함","기간 밖"))</f>
        <v/>
      </c>
      <c r="BB210" s="2">
        <f>IF($AS210="","",IF(OR($AT210&lt;0,AND($I$6&lt;&gt;"",ISNUMBER(FIND("수정",INDEX($A:$AP,ROW(),IF($I$6="",1,$I$6))&amp;"")))),"수정","일반"))</f>
        <v/>
      </c>
      <c r="BC210" s="2">
        <f>IF($AS210="","",MID(IF($BA210="기간 밖"," / 기간 밖(신고기간 아님)","")&amp;IF(AND($AW210&lt;&gt;"",COUNTIF($AW$8:$AW$1007,$AW210)&gt;1)," / 승인번호 중복(두 번 붙여넣기?)","")&amp;IF(ABS($AU210-ROUND($AT210*0.1,0))&gt;설정!$B$8,IF($AU210=0," / 세액 0원(영세율·면세 여부 확인)"," / 세액이 공급가액 10%와 다름"),"")&amp;IF($BB210="수정"," / 수정세금계산서(합계에서 자동 가감)",""),4,200))</f>
        <v/>
      </c>
      <c r="BD210" s="2">
        <f>IF($BA210&lt;&gt;"포함","",IF(COUNTIFS($AX$8:$AX210,$AX210,$BA$8:$BA210,"포함")=1,MAX($BD$7:BD209)+1,""))</f>
        <v/>
      </c>
      <c r="BE210" s="2">
        <f>IF($BC210="","",MAX($BE$7:BE209)+1)</f>
        <v/>
      </c>
    </row>
    <row r="211">
      <c r="AR211" s="2">
        <f>IF(OR($A$5="",$B$6="",ROW()&lt;$A$5),"",IF(INDEX($A:$AP,ROW(),$B$6)="","",INDEX($A:$AP,ROW(),$B$6)))</f>
        <v/>
      </c>
      <c r="AS211" s="22">
        <f>IF($AR211="","",IF(ISNUMBER($AR211),IF($AR211&gt;=10000000,IFERROR(DATE(INT($AR211/10000),MOD(INT($AR211/100),100),MOD($AR211,100)),""),INT($AR211)),IFERROR(DATE(--LEFT(LEFT(SUBSTITUTE(SUBSTITUTE(SUBSTITUTE(SUBSTITUTE(TRIM($AR211),"-",""),".",""),"/","")," ",""),8),4),--MID(LEFT(SUBSTITUTE(SUBSTITUTE(SUBSTITUTE(SUBSTITUTE(TRIM($AR211),"-",""),".",""),"/","")," ",""),8),5,2),--MID(LEFT(SUBSTITUTE(SUBSTITUTE(SUBSTITUTE(SUBSTITUTE(TRIM($AR211),"-",""),".",""),"/","")," ",""),8),7,2)),"")))</f>
        <v/>
      </c>
      <c r="AT211" s="23">
        <f>IF($AS211="","",IF($F$6="",0,IF(ISNUMBER(INDEX($A:$AP,ROW(),$F$6)),INDEX($A:$AP,ROW(),$F$6),IFERROR(--SUBSTITUTE(SUBSTITUTE(TRIM(INDEX($A:$AP,ROW(),$F$6)),",",""),"원",""),0))))</f>
        <v/>
      </c>
      <c r="AU211" s="23">
        <f>IF($AS211="","",IF($G$6="",0,IF(ISNUMBER(INDEX($A:$AP,ROW(),$G$6)),INDEX($A:$AP,ROW(),$G$6),IFERROR(--SUBSTITUTE(SUBSTITUTE(TRIM(INDEX($A:$AP,ROW(),$G$6)),",",""),"원",""),0))))</f>
        <v/>
      </c>
      <c r="AV211" s="23">
        <f>IF($AS211="","",IF($H$6="",$AT211+$AU211,IF($H$6="",0,IF(ISNUMBER(INDEX($A:$AP,ROW(),$H$6)),INDEX($A:$AP,ROW(),$H$6),IFERROR(--SUBSTITUTE(SUBSTITUTE(TRIM(INDEX($A:$AP,ROW(),$H$6)),",",""),"원",""),0)))))</f>
        <v/>
      </c>
      <c r="AW211" s="2">
        <f>IF(OR($AS211="",$C$6=""),"",TRIM(INDEX($A:$AP,ROW(),$C$6)&amp;""))</f>
        <v/>
      </c>
      <c r="AX211" s="2">
        <f>IF($AS211="","",IF($AZ211&lt;&gt;"",SUBSTITUTE(SUBSTITUTE($AZ211,"-","")," ",""),$AY211))</f>
        <v/>
      </c>
      <c r="AY211" s="2">
        <f>IF(OR($AS211="",$E$6=""),"",TRIM(INDEX($A:$AP,ROW(),$E$6)&amp;""))</f>
        <v/>
      </c>
      <c r="AZ211" s="2">
        <f>IF(OR($AS211="",$D$6=""),"",TRIM(INDEX($A:$AP,ROW(),$D$6)&amp;""))</f>
        <v/>
      </c>
      <c r="BA211" s="2">
        <f>IF($AS211="","",IF(AND($AS211&gt;=설정!$B$10,$AS211&lt;=설정!$B$11),"포함","기간 밖"))</f>
        <v/>
      </c>
      <c r="BB211" s="2">
        <f>IF($AS211="","",IF(OR($AT211&lt;0,AND($I$6&lt;&gt;"",ISNUMBER(FIND("수정",INDEX($A:$AP,ROW(),IF($I$6="",1,$I$6))&amp;"")))),"수정","일반"))</f>
        <v/>
      </c>
      <c r="BC211" s="2">
        <f>IF($AS211="","",MID(IF($BA211="기간 밖"," / 기간 밖(신고기간 아님)","")&amp;IF(AND($AW211&lt;&gt;"",COUNTIF($AW$8:$AW$1007,$AW211)&gt;1)," / 승인번호 중복(두 번 붙여넣기?)","")&amp;IF(ABS($AU211-ROUND($AT211*0.1,0))&gt;설정!$B$8,IF($AU211=0," / 세액 0원(영세율·면세 여부 확인)"," / 세액이 공급가액 10%와 다름"),"")&amp;IF($BB211="수정"," / 수정세금계산서(합계에서 자동 가감)",""),4,200))</f>
        <v/>
      </c>
      <c r="BD211" s="2">
        <f>IF($BA211&lt;&gt;"포함","",IF(COUNTIFS($AX$8:$AX211,$AX211,$BA$8:$BA211,"포함")=1,MAX($BD$7:BD210)+1,""))</f>
        <v/>
      </c>
      <c r="BE211" s="2">
        <f>IF($BC211="","",MAX($BE$7:BE210)+1)</f>
        <v/>
      </c>
    </row>
    <row r="212">
      <c r="AR212" s="2">
        <f>IF(OR($A$5="",$B$6="",ROW()&lt;$A$5),"",IF(INDEX($A:$AP,ROW(),$B$6)="","",INDEX($A:$AP,ROW(),$B$6)))</f>
        <v/>
      </c>
      <c r="AS212" s="22">
        <f>IF($AR212="","",IF(ISNUMBER($AR212),IF($AR212&gt;=10000000,IFERROR(DATE(INT($AR212/10000),MOD(INT($AR212/100),100),MOD($AR212,100)),""),INT($AR212)),IFERROR(DATE(--LEFT(LEFT(SUBSTITUTE(SUBSTITUTE(SUBSTITUTE(SUBSTITUTE(TRIM($AR212),"-",""),".",""),"/","")," ",""),8),4),--MID(LEFT(SUBSTITUTE(SUBSTITUTE(SUBSTITUTE(SUBSTITUTE(TRIM($AR212),"-",""),".",""),"/","")," ",""),8),5,2),--MID(LEFT(SUBSTITUTE(SUBSTITUTE(SUBSTITUTE(SUBSTITUTE(TRIM($AR212),"-",""),".",""),"/","")," ",""),8),7,2)),"")))</f>
        <v/>
      </c>
      <c r="AT212" s="23">
        <f>IF($AS212="","",IF($F$6="",0,IF(ISNUMBER(INDEX($A:$AP,ROW(),$F$6)),INDEX($A:$AP,ROW(),$F$6),IFERROR(--SUBSTITUTE(SUBSTITUTE(TRIM(INDEX($A:$AP,ROW(),$F$6)),",",""),"원",""),0))))</f>
        <v/>
      </c>
      <c r="AU212" s="23">
        <f>IF($AS212="","",IF($G$6="",0,IF(ISNUMBER(INDEX($A:$AP,ROW(),$G$6)),INDEX($A:$AP,ROW(),$G$6),IFERROR(--SUBSTITUTE(SUBSTITUTE(TRIM(INDEX($A:$AP,ROW(),$G$6)),",",""),"원",""),0))))</f>
        <v/>
      </c>
      <c r="AV212" s="23">
        <f>IF($AS212="","",IF($H$6="",$AT212+$AU212,IF($H$6="",0,IF(ISNUMBER(INDEX($A:$AP,ROW(),$H$6)),INDEX($A:$AP,ROW(),$H$6),IFERROR(--SUBSTITUTE(SUBSTITUTE(TRIM(INDEX($A:$AP,ROW(),$H$6)),",",""),"원",""),0)))))</f>
        <v/>
      </c>
      <c r="AW212" s="2">
        <f>IF(OR($AS212="",$C$6=""),"",TRIM(INDEX($A:$AP,ROW(),$C$6)&amp;""))</f>
        <v/>
      </c>
      <c r="AX212" s="2">
        <f>IF($AS212="","",IF($AZ212&lt;&gt;"",SUBSTITUTE(SUBSTITUTE($AZ212,"-","")," ",""),$AY212))</f>
        <v/>
      </c>
      <c r="AY212" s="2">
        <f>IF(OR($AS212="",$E$6=""),"",TRIM(INDEX($A:$AP,ROW(),$E$6)&amp;""))</f>
        <v/>
      </c>
      <c r="AZ212" s="2">
        <f>IF(OR($AS212="",$D$6=""),"",TRIM(INDEX($A:$AP,ROW(),$D$6)&amp;""))</f>
        <v/>
      </c>
      <c r="BA212" s="2">
        <f>IF($AS212="","",IF(AND($AS212&gt;=설정!$B$10,$AS212&lt;=설정!$B$11),"포함","기간 밖"))</f>
        <v/>
      </c>
      <c r="BB212" s="2">
        <f>IF($AS212="","",IF(OR($AT212&lt;0,AND($I$6&lt;&gt;"",ISNUMBER(FIND("수정",INDEX($A:$AP,ROW(),IF($I$6="",1,$I$6))&amp;"")))),"수정","일반"))</f>
        <v/>
      </c>
      <c r="BC212" s="2">
        <f>IF($AS212="","",MID(IF($BA212="기간 밖"," / 기간 밖(신고기간 아님)","")&amp;IF(AND($AW212&lt;&gt;"",COUNTIF($AW$8:$AW$1007,$AW212)&gt;1)," / 승인번호 중복(두 번 붙여넣기?)","")&amp;IF(ABS($AU212-ROUND($AT212*0.1,0))&gt;설정!$B$8,IF($AU212=0," / 세액 0원(영세율·면세 여부 확인)"," / 세액이 공급가액 10%와 다름"),"")&amp;IF($BB212="수정"," / 수정세금계산서(합계에서 자동 가감)",""),4,200))</f>
        <v/>
      </c>
      <c r="BD212" s="2">
        <f>IF($BA212&lt;&gt;"포함","",IF(COUNTIFS($AX$8:$AX212,$AX212,$BA$8:$BA212,"포함")=1,MAX($BD$7:BD211)+1,""))</f>
        <v/>
      </c>
      <c r="BE212" s="2">
        <f>IF($BC212="","",MAX($BE$7:BE211)+1)</f>
        <v/>
      </c>
    </row>
    <row r="213">
      <c r="AR213" s="2">
        <f>IF(OR($A$5="",$B$6="",ROW()&lt;$A$5),"",IF(INDEX($A:$AP,ROW(),$B$6)="","",INDEX($A:$AP,ROW(),$B$6)))</f>
        <v/>
      </c>
      <c r="AS213" s="22">
        <f>IF($AR213="","",IF(ISNUMBER($AR213),IF($AR213&gt;=10000000,IFERROR(DATE(INT($AR213/10000),MOD(INT($AR213/100),100),MOD($AR213,100)),""),INT($AR213)),IFERROR(DATE(--LEFT(LEFT(SUBSTITUTE(SUBSTITUTE(SUBSTITUTE(SUBSTITUTE(TRIM($AR213),"-",""),".",""),"/","")," ",""),8),4),--MID(LEFT(SUBSTITUTE(SUBSTITUTE(SUBSTITUTE(SUBSTITUTE(TRIM($AR213),"-",""),".",""),"/","")," ",""),8),5,2),--MID(LEFT(SUBSTITUTE(SUBSTITUTE(SUBSTITUTE(SUBSTITUTE(TRIM($AR213),"-",""),".",""),"/","")," ",""),8),7,2)),"")))</f>
        <v/>
      </c>
      <c r="AT213" s="23">
        <f>IF($AS213="","",IF($F$6="",0,IF(ISNUMBER(INDEX($A:$AP,ROW(),$F$6)),INDEX($A:$AP,ROW(),$F$6),IFERROR(--SUBSTITUTE(SUBSTITUTE(TRIM(INDEX($A:$AP,ROW(),$F$6)),",",""),"원",""),0))))</f>
        <v/>
      </c>
      <c r="AU213" s="23">
        <f>IF($AS213="","",IF($G$6="",0,IF(ISNUMBER(INDEX($A:$AP,ROW(),$G$6)),INDEX($A:$AP,ROW(),$G$6),IFERROR(--SUBSTITUTE(SUBSTITUTE(TRIM(INDEX($A:$AP,ROW(),$G$6)),",",""),"원",""),0))))</f>
        <v/>
      </c>
      <c r="AV213" s="23">
        <f>IF($AS213="","",IF($H$6="",$AT213+$AU213,IF($H$6="",0,IF(ISNUMBER(INDEX($A:$AP,ROW(),$H$6)),INDEX($A:$AP,ROW(),$H$6),IFERROR(--SUBSTITUTE(SUBSTITUTE(TRIM(INDEX($A:$AP,ROW(),$H$6)),",",""),"원",""),0)))))</f>
        <v/>
      </c>
      <c r="AW213" s="2">
        <f>IF(OR($AS213="",$C$6=""),"",TRIM(INDEX($A:$AP,ROW(),$C$6)&amp;""))</f>
        <v/>
      </c>
      <c r="AX213" s="2">
        <f>IF($AS213="","",IF($AZ213&lt;&gt;"",SUBSTITUTE(SUBSTITUTE($AZ213,"-","")," ",""),$AY213))</f>
        <v/>
      </c>
      <c r="AY213" s="2">
        <f>IF(OR($AS213="",$E$6=""),"",TRIM(INDEX($A:$AP,ROW(),$E$6)&amp;""))</f>
        <v/>
      </c>
      <c r="AZ213" s="2">
        <f>IF(OR($AS213="",$D$6=""),"",TRIM(INDEX($A:$AP,ROW(),$D$6)&amp;""))</f>
        <v/>
      </c>
      <c r="BA213" s="2">
        <f>IF($AS213="","",IF(AND($AS213&gt;=설정!$B$10,$AS213&lt;=설정!$B$11),"포함","기간 밖"))</f>
        <v/>
      </c>
      <c r="BB213" s="2">
        <f>IF($AS213="","",IF(OR($AT213&lt;0,AND($I$6&lt;&gt;"",ISNUMBER(FIND("수정",INDEX($A:$AP,ROW(),IF($I$6="",1,$I$6))&amp;"")))),"수정","일반"))</f>
        <v/>
      </c>
      <c r="BC213" s="2">
        <f>IF($AS213="","",MID(IF($BA213="기간 밖"," / 기간 밖(신고기간 아님)","")&amp;IF(AND($AW213&lt;&gt;"",COUNTIF($AW$8:$AW$1007,$AW213)&gt;1)," / 승인번호 중복(두 번 붙여넣기?)","")&amp;IF(ABS($AU213-ROUND($AT213*0.1,0))&gt;설정!$B$8,IF($AU213=0," / 세액 0원(영세율·면세 여부 확인)"," / 세액이 공급가액 10%와 다름"),"")&amp;IF($BB213="수정"," / 수정세금계산서(합계에서 자동 가감)",""),4,200))</f>
        <v/>
      </c>
      <c r="BD213" s="2">
        <f>IF($BA213&lt;&gt;"포함","",IF(COUNTIFS($AX$8:$AX213,$AX213,$BA$8:$BA213,"포함")=1,MAX($BD$7:BD212)+1,""))</f>
        <v/>
      </c>
      <c r="BE213" s="2">
        <f>IF($BC213="","",MAX($BE$7:BE212)+1)</f>
        <v/>
      </c>
    </row>
    <row r="214">
      <c r="AR214" s="2">
        <f>IF(OR($A$5="",$B$6="",ROW()&lt;$A$5),"",IF(INDEX($A:$AP,ROW(),$B$6)="","",INDEX($A:$AP,ROW(),$B$6)))</f>
        <v/>
      </c>
      <c r="AS214" s="22">
        <f>IF($AR214="","",IF(ISNUMBER($AR214),IF($AR214&gt;=10000000,IFERROR(DATE(INT($AR214/10000),MOD(INT($AR214/100),100),MOD($AR214,100)),""),INT($AR214)),IFERROR(DATE(--LEFT(LEFT(SUBSTITUTE(SUBSTITUTE(SUBSTITUTE(SUBSTITUTE(TRIM($AR214),"-",""),".",""),"/","")," ",""),8),4),--MID(LEFT(SUBSTITUTE(SUBSTITUTE(SUBSTITUTE(SUBSTITUTE(TRIM($AR214),"-",""),".",""),"/","")," ",""),8),5,2),--MID(LEFT(SUBSTITUTE(SUBSTITUTE(SUBSTITUTE(SUBSTITUTE(TRIM($AR214),"-",""),".",""),"/","")," ",""),8),7,2)),"")))</f>
        <v/>
      </c>
      <c r="AT214" s="23">
        <f>IF($AS214="","",IF($F$6="",0,IF(ISNUMBER(INDEX($A:$AP,ROW(),$F$6)),INDEX($A:$AP,ROW(),$F$6),IFERROR(--SUBSTITUTE(SUBSTITUTE(TRIM(INDEX($A:$AP,ROW(),$F$6)),",",""),"원",""),0))))</f>
        <v/>
      </c>
      <c r="AU214" s="23">
        <f>IF($AS214="","",IF($G$6="",0,IF(ISNUMBER(INDEX($A:$AP,ROW(),$G$6)),INDEX($A:$AP,ROW(),$G$6),IFERROR(--SUBSTITUTE(SUBSTITUTE(TRIM(INDEX($A:$AP,ROW(),$G$6)),",",""),"원",""),0))))</f>
        <v/>
      </c>
      <c r="AV214" s="23">
        <f>IF($AS214="","",IF($H$6="",$AT214+$AU214,IF($H$6="",0,IF(ISNUMBER(INDEX($A:$AP,ROW(),$H$6)),INDEX($A:$AP,ROW(),$H$6),IFERROR(--SUBSTITUTE(SUBSTITUTE(TRIM(INDEX($A:$AP,ROW(),$H$6)),",",""),"원",""),0)))))</f>
        <v/>
      </c>
      <c r="AW214" s="2">
        <f>IF(OR($AS214="",$C$6=""),"",TRIM(INDEX($A:$AP,ROW(),$C$6)&amp;""))</f>
        <v/>
      </c>
      <c r="AX214" s="2">
        <f>IF($AS214="","",IF($AZ214&lt;&gt;"",SUBSTITUTE(SUBSTITUTE($AZ214,"-","")," ",""),$AY214))</f>
        <v/>
      </c>
      <c r="AY214" s="2">
        <f>IF(OR($AS214="",$E$6=""),"",TRIM(INDEX($A:$AP,ROW(),$E$6)&amp;""))</f>
        <v/>
      </c>
      <c r="AZ214" s="2">
        <f>IF(OR($AS214="",$D$6=""),"",TRIM(INDEX($A:$AP,ROW(),$D$6)&amp;""))</f>
        <v/>
      </c>
      <c r="BA214" s="2">
        <f>IF($AS214="","",IF(AND($AS214&gt;=설정!$B$10,$AS214&lt;=설정!$B$11),"포함","기간 밖"))</f>
        <v/>
      </c>
      <c r="BB214" s="2">
        <f>IF($AS214="","",IF(OR($AT214&lt;0,AND($I$6&lt;&gt;"",ISNUMBER(FIND("수정",INDEX($A:$AP,ROW(),IF($I$6="",1,$I$6))&amp;"")))),"수정","일반"))</f>
        <v/>
      </c>
      <c r="BC214" s="2">
        <f>IF($AS214="","",MID(IF($BA214="기간 밖"," / 기간 밖(신고기간 아님)","")&amp;IF(AND($AW214&lt;&gt;"",COUNTIF($AW$8:$AW$1007,$AW214)&gt;1)," / 승인번호 중복(두 번 붙여넣기?)","")&amp;IF(ABS($AU214-ROUND($AT214*0.1,0))&gt;설정!$B$8,IF($AU214=0," / 세액 0원(영세율·면세 여부 확인)"," / 세액이 공급가액 10%와 다름"),"")&amp;IF($BB214="수정"," / 수정세금계산서(합계에서 자동 가감)",""),4,200))</f>
        <v/>
      </c>
      <c r="BD214" s="2">
        <f>IF($BA214&lt;&gt;"포함","",IF(COUNTIFS($AX$8:$AX214,$AX214,$BA$8:$BA214,"포함")=1,MAX($BD$7:BD213)+1,""))</f>
        <v/>
      </c>
      <c r="BE214" s="2">
        <f>IF($BC214="","",MAX($BE$7:BE213)+1)</f>
        <v/>
      </c>
    </row>
    <row r="215">
      <c r="AR215" s="2">
        <f>IF(OR($A$5="",$B$6="",ROW()&lt;$A$5),"",IF(INDEX($A:$AP,ROW(),$B$6)="","",INDEX($A:$AP,ROW(),$B$6)))</f>
        <v/>
      </c>
      <c r="AS215" s="22">
        <f>IF($AR215="","",IF(ISNUMBER($AR215),IF($AR215&gt;=10000000,IFERROR(DATE(INT($AR215/10000),MOD(INT($AR215/100),100),MOD($AR215,100)),""),INT($AR215)),IFERROR(DATE(--LEFT(LEFT(SUBSTITUTE(SUBSTITUTE(SUBSTITUTE(SUBSTITUTE(TRIM($AR215),"-",""),".",""),"/","")," ",""),8),4),--MID(LEFT(SUBSTITUTE(SUBSTITUTE(SUBSTITUTE(SUBSTITUTE(TRIM($AR215),"-",""),".",""),"/","")," ",""),8),5,2),--MID(LEFT(SUBSTITUTE(SUBSTITUTE(SUBSTITUTE(SUBSTITUTE(TRIM($AR215),"-",""),".",""),"/","")," ",""),8),7,2)),"")))</f>
        <v/>
      </c>
      <c r="AT215" s="23">
        <f>IF($AS215="","",IF($F$6="",0,IF(ISNUMBER(INDEX($A:$AP,ROW(),$F$6)),INDEX($A:$AP,ROW(),$F$6),IFERROR(--SUBSTITUTE(SUBSTITUTE(TRIM(INDEX($A:$AP,ROW(),$F$6)),",",""),"원",""),0))))</f>
        <v/>
      </c>
      <c r="AU215" s="23">
        <f>IF($AS215="","",IF($G$6="",0,IF(ISNUMBER(INDEX($A:$AP,ROW(),$G$6)),INDEX($A:$AP,ROW(),$G$6),IFERROR(--SUBSTITUTE(SUBSTITUTE(TRIM(INDEX($A:$AP,ROW(),$G$6)),",",""),"원",""),0))))</f>
        <v/>
      </c>
      <c r="AV215" s="23">
        <f>IF($AS215="","",IF($H$6="",$AT215+$AU215,IF($H$6="",0,IF(ISNUMBER(INDEX($A:$AP,ROW(),$H$6)),INDEX($A:$AP,ROW(),$H$6),IFERROR(--SUBSTITUTE(SUBSTITUTE(TRIM(INDEX($A:$AP,ROW(),$H$6)),",",""),"원",""),0)))))</f>
        <v/>
      </c>
      <c r="AW215" s="2">
        <f>IF(OR($AS215="",$C$6=""),"",TRIM(INDEX($A:$AP,ROW(),$C$6)&amp;""))</f>
        <v/>
      </c>
      <c r="AX215" s="2">
        <f>IF($AS215="","",IF($AZ215&lt;&gt;"",SUBSTITUTE(SUBSTITUTE($AZ215,"-","")," ",""),$AY215))</f>
        <v/>
      </c>
      <c r="AY215" s="2">
        <f>IF(OR($AS215="",$E$6=""),"",TRIM(INDEX($A:$AP,ROW(),$E$6)&amp;""))</f>
        <v/>
      </c>
      <c r="AZ215" s="2">
        <f>IF(OR($AS215="",$D$6=""),"",TRIM(INDEX($A:$AP,ROW(),$D$6)&amp;""))</f>
        <v/>
      </c>
      <c r="BA215" s="2">
        <f>IF($AS215="","",IF(AND($AS215&gt;=설정!$B$10,$AS215&lt;=설정!$B$11),"포함","기간 밖"))</f>
        <v/>
      </c>
      <c r="BB215" s="2">
        <f>IF($AS215="","",IF(OR($AT215&lt;0,AND($I$6&lt;&gt;"",ISNUMBER(FIND("수정",INDEX($A:$AP,ROW(),IF($I$6="",1,$I$6))&amp;"")))),"수정","일반"))</f>
        <v/>
      </c>
      <c r="BC215" s="2">
        <f>IF($AS215="","",MID(IF($BA215="기간 밖"," / 기간 밖(신고기간 아님)","")&amp;IF(AND($AW215&lt;&gt;"",COUNTIF($AW$8:$AW$1007,$AW215)&gt;1)," / 승인번호 중복(두 번 붙여넣기?)","")&amp;IF(ABS($AU215-ROUND($AT215*0.1,0))&gt;설정!$B$8,IF($AU215=0," / 세액 0원(영세율·면세 여부 확인)"," / 세액이 공급가액 10%와 다름"),"")&amp;IF($BB215="수정"," / 수정세금계산서(합계에서 자동 가감)",""),4,200))</f>
        <v/>
      </c>
      <c r="BD215" s="2">
        <f>IF($BA215&lt;&gt;"포함","",IF(COUNTIFS($AX$8:$AX215,$AX215,$BA$8:$BA215,"포함")=1,MAX($BD$7:BD214)+1,""))</f>
        <v/>
      </c>
      <c r="BE215" s="2">
        <f>IF($BC215="","",MAX($BE$7:BE214)+1)</f>
        <v/>
      </c>
    </row>
    <row r="216">
      <c r="AR216" s="2">
        <f>IF(OR($A$5="",$B$6="",ROW()&lt;$A$5),"",IF(INDEX($A:$AP,ROW(),$B$6)="","",INDEX($A:$AP,ROW(),$B$6)))</f>
        <v/>
      </c>
      <c r="AS216" s="22">
        <f>IF($AR216="","",IF(ISNUMBER($AR216),IF($AR216&gt;=10000000,IFERROR(DATE(INT($AR216/10000),MOD(INT($AR216/100),100),MOD($AR216,100)),""),INT($AR216)),IFERROR(DATE(--LEFT(LEFT(SUBSTITUTE(SUBSTITUTE(SUBSTITUTE(SUBSTITUTE(TRIM($AR216),"-",""),".",""),"/","")," ",""),8),4),--MID(LEFT(SUBSTITUTE(SUBSTITUTE(SUBSTITUTE(SUBSTITUTE(TRIM($AR216),"-",""),".",""),"/","")," ",""),8),5,2),--MID(LEFT(SUBSTITUTE(SUBSTITUTE(SUBSTITUTE(SUBSTITUTE(TRIM($AR216),"-",""),".",""),"/","")," ",""),8),7,2)),"")))</f>
        <v/>
      </c>
      <c r="AT216" s="23">
        <f>IF($AS216="","",IF($F$6="",0,IF(ISNUMBER(INDEX($A:$AP,ROW(),$F$6)),INDEX($A:$AP,ROW(),$F$6),IFERROR(--SUBSTITUTE(SUBSTITUTE(TRIM(INDEX($A:$AP,ROW(),$F$6)),",",""),"원",""),0))))</f>
        <v/>
      </c>
      <c r="AU216" s="23">
        <f>IF($AS216="","",IF($G$6="",0,IF(ISNUMBER(INDEX($A:$AP,ROW(),$G$6)),INDEX($A:$AP,ROW(),$G$6),IFERROR(--SUBSTITUTE(SUBSTITUTE(TRIM(INDEX($A:$AP,ROW(),$G$6)),",",""),"원",""),0))))</f>
        <v/>
      </c>
      <c r="AV216" s="23">
        <f>IF($AS216="","",IF($H$6="",$AT216+$AU216,IF($H$6="",0,IF(ISNUMBER(INDEX($A:$AP,ROW(),$H$6)),INDEX($A:$AP,ROW(),$H$6),IFERROR(--SUBSTITUTE(SUBSTITUTE(TRIM(INDEX($A:$AP,ROW(),$H$6)),",",""),"원",""),0)))))</f>
        <v/>
      </c>
      <c r="AW216" s="2">
        <f>IF(OR($AS216="",$C$6=""),"",TRIM(INDEX($A:$AP,ROW(),$C$6)&amp;""))</f>
        <v/>
      </c>
      <c r="AX216" s="2">
        <f>IF($AS216="","",IF($AZ216&lt;&gt;"",SUBSTITUTE(SUBSTITUTE($AZ216,"-","")," ",""),$AY216))</f>
        <v/>
      </c>
      <c r="AY216" s="2">
        <f>IF(OR($AS216="",$E$6=""),"",TRIM(INDEX($A:$AP,ROW(),$E$6)&amp;""))</f>
        <v/>
      </c>
      <c r="AZ216" s="2">
        <f>IF(OR($AS216="",$D$6=""),"",TRIM(INDEX($A:$AP,ROW(),$D$6)&amp;""))</f>
        <v/>
      </c>
      <c r="BA216" s="2">
        <f>IF($AS216="","",IF(AND($AS216&gt;=설정!$B$10,$AS216&lt;=설정!$B$11),"포함","기간 밖"))</f>
        <v/>
      </c>
      <c r="BB216" s="2">
        <f>IF($AS216="","",IF(OR($AT216&lt;0,AND($I$6&lt;&gt;"",ISNUMBER(FIND("수정",INDEX($A:$AP,ROW(),IF($I$6="",1,$I$6))&amp;"")))),"수정","일반"))</f>
        <v/>
      </c>
      <c r="BC216" s="2">
        <f>IF($AS216="","",MID(IF($BA216="기간 밖"," / 기간 밖(신고기간 아님)","")&amp;IF(AND($AW216&lt;&gt;"",COUNTIF($AW$8:$AW$1007,$AW216)&gt;1)," / 승인번호 중복(두 번 붙여넣기?)","")&amp;IF(ABS($AU216-ROUND($AT216*0.1,0))&gt;설정!$B$8,IF($AU216=0," / 세액 0원(영세율·면세 여부 확인)"," / 세액이 공급가액 10%와 다름"),"")&amp;IF($BB216="수정"," / 수정세금계산서(합계에서 자동 가감)",""),4,200))</f>
        <v/>
      </c>
      <c r="BD216" s="2">
        <f>IF($BA216&lt;&gt;"포함","",IF(COUNTIFS($AX$8:$AX216,$AX216,$BA$8:$BA216,"포함")=1,MAX($BD$7:BD215)+1,""))</f>
        <v/>
      </c>
      <c r="BE216" s="2">
        <f>IF($BC216="","",MAX($BE$7:BE215)+1)</f>
        <v/>
      </c>
    </row>
    <row r="217">
      <c r="AR217" s="2">
        <f>IF(OR($A$5="",$B$6="",ROW()&lt;$A$5),"",IF(INDEX($A:$AP,ROW(),$B$6)="","",INDEX($A:$AP,ROW(),$B$6)))</f>
        <v/>
      </c>
      <c r="AS217" s="22">
        <f>IF($AR217="","",IF(ISNUMBER($AR217),IF($AR217&gt;=10000000,IFERROR(DATE(INT($AR217/10000),MOD(INT($AR217/100),100),MOD($AR217,100)),""),INT($AR217)),IFERROR(DATE(--LEFT(LEFT(SUBSTITUTE(SUBSTITUTE(SUBSTITUTE(SUBSTITUTE(TRIM($AR217),"-",""),".",""),"/","")," ",""),8),4),--MID(LEFT(SUBSTITUTE(SUBSTITUTE(SUBSTITUTE(SUBSTITUTE(TRIM($AR217),"-",""),".",""),"/","")," ",""),8),5,2),--MID(LEFT(SUBSTITUTE(SUBSTITUTE(SUBSTITUTE(SUBSTITUTE(TRIM($AR217),"-",""),".",""),"/","")," ",""),8),7,2)),"")))</f>
        <v/>
      </c>
      <c r="AT217" s="23">
        <f>IF($AS217="","",IF($F$6="",0,IF(ISNUMBER(INDEX($A:$AP,ROW(),$F$6)),INDEX($A:$AP,ROW(),$F$6),IFERROR(--SUBSTITUTE(SUBSTITUTE(TRIM(INDEX($A:$AP,ROW(),$F$6)),",",""),"원",""),0))))</f>
        <v/>
      </c>
      <c r="AU217" s="23">
        <f>IF($AS217="","",IF($G$6="",0,IF(ISNUMBER(INDEX($A:$AP,ROW(),$G$6)),INDEX($A:$AP,ROW(),$G$6),IFERROR(--SUBSTITUTE(SUBSTITUTE(TRIM(INDEX($A:$AP,ROW(),$G$6)),",",""),"원",""),0))))</f>
        <v/>
      </c>
      <c r="AV217" s="23">
        <f>IF($AS217="","",IF($H$6="",$AT217+$AU217,IF($H$6="",0,IF(ISNUMBER(INDEX($A:$AP,ROW(),$H$6)),INDEX($A:$AP,ROW(),$H$6),IFERROR(--SUBSTITUTE(SUBSTITUTE(TRIM(INDEX($A:$AP,ROW(),$H$6)),",",""),"원",""),0)))))</f>
        <v/>
      </c>
      <c r="AW217" s="2">
        <f>IF(OR($AS217="",$C$6=""),"",TRIM(INDEX($A:$AP,ROW(),$C$6)&amp;""))</f>
        <v/>
      </c>
      <c r="AX217" s="2">
        <f>IF($AS217="","",IF($AZ217&lt;&gt;"",SUBSTITUTE(SUBSTITUTE($AZ217,"-","")," ",""),$AY217))</f>
        <v/>
      </c>
      <c r="AY217" s="2">
        <f>IF(OR($AS217="",$E$6=""),"",TRIM(INDEX($A:$AP,ROW(),$E$6)&amp;""))</f>
        <v/>
      </c>
      <c r="AZ217" s="2">
        <f>IF(OR($AS217="",$D$6=""),"",TRIM(INDEX($A:$AP,ROW(),$D$6)&amp;""))</f>
        <v/>
      </c>
      <c r="BA217" s="2">
        <f>IF($AS217="","",IF(AND($AS217&gt;=설정!$B$10,$AS217&lt;=설정!$B$11),"포함","기간 밖"))</f>
        <v/>
      </c>
      <c r="BB217" s="2">
        <f>IF($AS217="","",IF(OR($AT217&lt;0,AND($I$6&lt;&gt;"",ISNUMBER(FIND("수정",INDEX($A:$AP,ROW(),IF($I$6="",1,$I$6))&amp;"")))),"수정","일반"))</f>
        <v/>
      </c>
      <c r="BC217" s="2">
        <f>IF($AS217="","",MID(IF($BA217="기간 밖"," / 기간 밖(신고기간 아님)","")&amp;IF(AND($AW217&lt;&gt;"",COUNTIF($AW$8:$AW$1007,$AW217)&gt;1)," / 승인번호 중복(두 번 붙여넣기?)","")&amp;IF(ABS($AU217-ROUND($AT217*0.1,0))&gt;설정!$B$8,IF($AU217=0," / 세액 0원(영세율·면세 여부 확인)"," / 세액이 공급가액 10%와 다름"),"")&amp;IF($BB217="수정"," / 수정세금계산서(합계에서 자동 가감)",""),4,200))</f>
        <v/>
      </c>
      <c r="BD217" s="2">
        <f>IF($BA217&lt;&gt;"포함","",IF(COUNTIFS($AX$8:$AX217,$AX217,$BA$8:$BA217,"포함")=1,MAX($BD$7:BD216)+1,""))</f>
        <v/>
      </c>
      <c r="BE217" s="2">
        <f>IF($BC217="","",MAX($BE$7:BE216)+1)</f>
        <v/>
      </c>
    </row>
    <row r="218">
      <c r="AR218" s="2">
        <f>IF(OR($A$5="",$B$6="",ROW()&lt;$A$5),"",IF(INDEX($A:$AP,ROW(),$B$6)="","",INDEX($A:$AP,ROW(),$B$6)))</f>
        <v/>
      </c>
      <c r="AS218" s="22">
        <f>IF($AR218="","",IF(ISNUMBER($AR218),IF($AR218&gt;=10000000,IFERROR(DATE(INT($AR218/10000),MOD(INT($AR218/100),100),MOD($AR218,100)),""),INT($AR218)),IFERROR(DATE(--LEFT(LEFT(SUBSTITUTE(SUBSTITUTE(SUBSTITUTE(SUBSTITUTE(TRIM($AR218),"-",""),".",""),"/","")," ",""),8),4),--MID(LEFT(SUBSTITUTE(SUBSTITUTE(SUBSTITUTE(SUBSTITUTE(TRIM($AR218),"-",""),".",""),"/","")," ",""),8),5,2),--MID(LEFT(SUBSTITUTE(SUBSTITUTE(SUBSTITUTE(SUBSTITUTE(TRIM($AR218),"-",""),".",""),"/","")," ",""),8),7,2)),"")))</f>
        <v/>
      </c>
      <c r="AT218" s="23">
        <f>IF($AS218="","",IF($F$6="",0,IF(ISNUMBER(INDEX($A:$AP,ROW(),$F$6)),INDEX($A:$AP,ROW(),$F$6),IFERROR(--SUBSTITUTE(SUBSTITUTE(TRIM(INDEX($A:$AP,ROW(),$F$6)),",",""),"원",""),0))))</f>
        <v/>
      </c>
      <c r="AU218" s="23">
        <f>IF($AS218="","",IF($G$6="",0,IF(ISNUMBER(INDEX($A:$AP,ROW(),$G$6)),INDEX($A:$AP,ROW(),$G$6),IFERROR(--SUBSTITUTE(SUBSTITUTE(TRIM(INDEX($A:$AP,ROW(),$G$6)),",",""),"원",""),0))))</f>
        <v/>
      </c>
      <c r="AV218" s="23">
        <f>IF($AS218="","",IF($H$6="",$AT218+$AU218,IF($H$6="",0,IF(ISNUMBER(INDEX($A:$AP,ROW(),$H$6)),INDEX($A:$AP,ROW(),$H$6),IFERROR(--SUBSTITUTE(SUBSTITUTE(TRIM(INDEX($A:$AP,ROW(),$H$6)),",",""),"원",""),0)))))</f>
        <v/>
      </c>
      <c r="AW218" s="2">
        <f>IF(OR($AS218="",$C$6=""),"",TRIM(INDEX($A:$AP,ROW(),$C$6)&amp;""))</f>
        <v/>
      </c>
      <c r="AX218" s="2">
        <f>IF($AS218="","",IF($AZ218&lt;&gt;"",SUBSTITUTE(SUBSTITUTE($AZ218,"-","")," ",""),$AY218))</f>
        <v/>
      </c>
      <c r="AY218" s="2">
        <f>IF(OR($AS218="",$E$6=""),"",TRIM(INDEX($A:$AP,ROW(),$E$6)&amp;""))</f>
        <v/>
      </c>
      <c r="AZ218" s="2">
        <f>IF(OR($AS218="",$D$6=""),"",TRIM(INDEX($A:$AP,ROW(),$D$6)&amp;""))</f>
        <v/>
      </c>
      <c r="BA218" s="2">
        <f>IF($AS218="","",IF(AND($AS218&gt;=설정!$B$10,$AS218&lt;=설정!$B$11),"포함","기간 밖"))</f>
        <v/>
      </c>
      <c r="BB218" s="2">
        <f>IF($AS218="","",IF(OR($AT218&lt;0,AND($I$6&lt;&gt;"",ISNUMBER(FIND("수정",INDEX($A:$AP,ROW(),IF($I$6="",1,$I$6))&amp;"")))),"수정","일반"))</f>
        <v/>
      </c>
      <c r="BC218" s="2">
        <f>IF($AS218="","",MID(IF($BA218="기간 밖"," / 기간 밖(신고기간 아님)","")&amp;IF(AND($AW218&lt;&gt;"",COUNTIF($AW$8:$AW$1007,$AW218)&gt;1)," / 승인번호 중복(두 번 붙여넣기?)","")&amp;IF(ABS($AU218-ROUND($AT218*0.1,0))&gt;설정!$B$8,IF($AU218=0," / 세액 0원(영세율·면세 여부 확인)"," / 세액이 공급가액 10%와 다름"),"")&amp;IF($BB218="수정"," / 수정세금계산서(합계에서 자동 가감)",""),4,200))</f>
        <v/>
      </c>
      <c r="BD218" s="2">
        <f>IF($BA218&lt;&gt;"포함","",IF(COUNTIFS($AX$8:$AX218,$AX218,$BA$8:$BA218,"포함")=1,MAX($BD$7:BD217)+1,""))</f>
        <v/>
      </c>
      <c r="BE218" s="2">
        <f>IF($BC218="","",MAX($BE$7:BE217)+1)</f>
        <v/>
      </c>
    </row>
    <row r="219">
      <c r="AR219" s="2">
        <f>IF(OR($A$5="",$B$6="",ROW()&lt;$A$5),"",IF(INDEX($A:$AP,ROW(),$B$6)="","",INDEX($A:$AP,ROW(),$B$6)))</f>
        <v/>
      </c>
      <c r="AS219" s="22">
        <f>IF($AR219="","",IF(ISNUMBER($AR219),IF($AR219&gt;=10000000,IFERROR(DATE(INT($AR219/10000),MOD(INT($AR219/100),100),MOD($AR219,100)),""),INT($AR219)),IFERROR(DATE(--LEFT(LEFT(SUBSTITUTE(SUBSTITUTE(SUBSTITUTE(SUBSTITUTE(TRIM($AR219),"-",""),".",""),"/","")," ",""),8),4),--MID(LEFT(SUBSTITUTE(SUBSTITUTE(SUBSTITUTE(SUBSTITUTE(TRIM($AR219),"-",""),".",""),"/","")," ",""),8),5,2),--MID(LEFT(SUBSTITUTE(SUBSTITUTE(SUBSTITUTE(SUBSTITUTE(TRIM($AR219),"-",""),".",""),"/","")," ",""),8),7,2)),"")))</f>
        <v/>
      </c>
      <c r="AT219" s="23">
        <f>IF($AS219="","",IF($F$6="",0,IF(ISNUMBER(INDEX($A:$AP,ROW(),$F$6)),INDEX($A:$AP,ROW(),$F$6),IFERROR(--SUBSTITUTE(SUBSTITUTE(TRIM(INDEX($A:$AP,ROW(),$F$6)),",",""),"원",""),0))))</f>
        <v/>
      </c>
      <c r="AU219" s="23">
        <f>IF($AS219="","",IF($G$6="",0,IF(ISNUMBER(INDEX($A:$AP,ROW(),$G$6)),INDEX($A:$AP,ROW(),$G$6),IFERROR(--SUBSTITUTE(SUBSTITUTE(TRIM(INDEX($A:$AP,ROW(),$G$6)),",",""),"원",""),0))))</f>
        <v/>
      </c>
      <c r="AV219" s="23">
        <f>IF($AS219="","",IF($H$6="",$AT219+$AU219,IF($H$6="",0,IF(ISNUMBER(INDEX($A:$AP,ROW(),$H$6)),INDEX($A:$AP,ROW(),$H$6),IFERROR(--SUBSTITUTE(SUBSTITUTE(TRIM(INDEX($A:$AP,ROW(),$H$6)),",",""),"원",""),0)))))</f>
        <v/>
      </c>
      <c r="AW219" s="2">
        <f>IF(OR($AS219="",$C$6=""),"",TRIM(INDEX($A:$AP,ROW(),$C$6)&amp;""))</f>
        <v/>
      </c>
      <c r="AX219" s="2">
        <f>IF($AS219="","",IF($AZ219&lt;&gt;"",SUBSTITUTE(SUBSTITUTE($AZ219,"-","")," ",""),$AY219))</f>
        <v/>
      </c>
      <c r="AY219" s="2">
        <f>IF(OR($AS219="",$E$6=""),"",TRIM(INDEX($A:$AP,ROW(),$E$6)&amp;""))</f>
        <v/>
      </c>
      <c r="AZ219" s="2">
        <f>IF(OR($AS219="",$D$6=""),"",TRIM(INDEX($A:$AP,ROW(),$D$6)&amp;""))</f>
        <v/>
      </c>
      <c r="BA219" s="2">
        <f>IF($AS219="","",IF(AND($AS219&gt;=설정!$B$10,$AS219&lt;=설정!$B$11),"포함","기간 밖"))</f>
        <v/>
      </c>
      <c r="BB219" s="2">
        <f>IF($AS219="","",IF(OR($AT219&lt;0,AND($I$6&lt;&gt;"",ISNUMBER(FIND("수정",INDEX($A:$AP,ROW(),IF($I$6="",1,$I$6))&amp;"")))),"수정","일반"))</f>
        <v/>
      </c>
      <c r="BC219" s="2">
        <f>IF($AS219="","",MID(IF($BA219="기간 밖"," / 기간 밖(신고기간 아님)","")&amp;IF(AND($AW219&lt;&gt;"",COUNTIF($AW$8:$AW$1007,$AW219)&gt;1)," / 승인번호 중복(두 번 붙여넣기?)","")&amp;IF(ABS($AU219-ROUND($AT219*0.1,0))&gt;설정!$B$8,IF($AU219=0," / 세액 0원(영세율·면세 여부 확인)"," / 세액이 공급가액 10%와 다름"),"")&amp;IF($BB219="수정"," / 수정세금계산서(합계에서 자동 가감)",""),4,200))</f>
        <v/>
      </c>
      <c r="BD219" s="2">
        <f>IF($BA219&lt;&gt;"포함","",IF(COUNTIFS($AX$8:$AX219,$AX219,$BA$8:$BA219,"포함")=1,MAX($BD$7:BD218)+1,""))</f>
        <v/>
      </c>
      <c r="BE219" s="2">
        <f>IF($BC219="","",MAX($BE$7:BE218)+1)</f>
        <v/>
      </c>
    </row>
    <row r="220">
      <c r="AR220" s="2">
        <f>IF(OR($A$5="",$B$6="",ROW()&lt;$A$5),"",IF(INDEX($A:$AP,ROW(),$B$6)="","",INDEX($A:$AP,ROW(),$B$6)))</f>
        <v/>
      </c>
      <c r="AS220" s="22">
        <f>IF($AR220="","",IF(ISNUMBER($AR220),IF($AR220&gt;=10000000,IFERROR(DATE(INT($AR220/10000),MOD(INT($AR220/100),100),MOD($AR220,100)),""),INT($AR220)),IFERROR(DATE(--LEFT(LEFT(SUBSTITUTE(SUBSTITUTE(SUBSTITUTE(SUBSTITUTE(TRIM($AR220),"-",""),".",""),"/","")," ",""),8),4),--MID(LEFT(SUBSTITUTE(SUBSTITUTE(SUBSTITUTE(SUBSTITUTE(TRIM($AR220),"-",""),".",""),"/","")," ",""),8),5,2),--MID(LEFT(SUBSTITUTE(SUBSTITUTE(SUBSTITUTE(SUBSTITUTE(TRIM($AR220),"-",""),".",""),"/","")," ",""),8),7,2)),"")))</f>
        <v/>
      </c>
      <c r="AT220" s="23">
        <f>IF($AS220="","",IF($F$6="",0,IF(ISNUMBER(INDEX($A:$AP,ROW(),$F$6)),INDEX($A:$AP,ROW(),$F$6),IFERROR(--SUBSTITUTE(SUBSTITUTE(TRIM(INDEX($A:$AP,ROW(),$F$6)),",",""),"원",""),0))))</f>
        <v/>
      </c>
      <c r="AU220" s="23">
        <f>IF($AS220="","",IF($G$6="",0,IF(ISNUMBER(INDEX($A:$AP,ROW(),$G$6)),INDEX($A:$AP,ROW(),$G$6),IFERROR(--SUBSTITUTE(SUBSTITUTE(TRIM(INDEX($A:$AP,ROW(),$G$6)),",",""),"원",""),0))))</f>
        <v/>
      </c>
      <c r="AV220" s="23">
        <f>IF($AS220="","",IF($H$6="",$AT220+$AU220,IF($H$6="",0,IF(ISNUMBER(INDEX($A:$AP,ROW(),$H$6)),INDEX($A:$AP,ROW(),$H$6),IFERROR(--SUBSTITUTE(SUBSTITUTE(TRIM(INDEX($A:$AP,ROW(),$H$6)),",",""),"원",""),0)))))</f>
        <v/>
      </c>
      <c r="AW220" s="2">
        <f>IF(OR($AS220="",$C$6=""),"",TRIM(INDEX($A:$AP,ROW(),$C$6)&amp;""))</f>
        <v/>
      </c>
      <c r="AX220" s="2">
        <f>IF($AS220="","",IF($AZ220&lt;&gt;"",SUBSTITUTE(SUBSTITUTE($AZ220,"-","")," ",""),$AY220))</f>
        <v/>
      </c>
      <c r="AY220" s="2">
        <f>IF(OR($AS220="",$E$6=""),"",TRIM(INDEX($A:$AP,ROW(),$E$6)&amp;""))</f>
        <v/>
      </c>
      <c r="AZ220" s="2">
        <f>IF(OR($AS220="",$D$6=""),"",TRIM(INDEX($A:$AP,ROW(),$D$6)&amp;""))</f>
        <v/>
      </c>
      <c r="BA220" s="2">
        <f>IF($AS220="","",IF(AND($AS220&gt;=설정!$B$10,$AS220&lt;=설정!$B$11),"포함","기간 밖"))</f>
        <v/>
      </c>
      <c r="BB220" s="2">
        <f>IF($AS220="","",IF(OR($AT220&lt;0,AND($I$6&lt;&gt;"",ISNUMBER(FIND("수정",INDEX($A:$AP,ROW(),IF($I$6="",1,$I$6))&amp;"")))),"수정","일반"))</f>
        <v/>
      </c>
      <c r="BC220" s="2">
        <f>IF($AS220="","",MID(IF($BA220="기간 밖"," / 기간 밖(신고기간 아님)","")&amp;IF(AND($AW220&lt;&gt;"",COUNTIF($AW$8:$AW$1007,$AW220)&gt;1)," / 승인번호 중복(두 번 붙여넣기?)","")&amp;IF(ABS($AU220-ROUND($AT220*0.1,0))&gt;설정!$B$8,IF($AU220=0," / 세액 0원(영세율·면세 여부 확인)"," / 세액이 공급가액 10%와 다름"),"")&amp;IF($BB220="수정"," / 수정세금계산서(합계에서 자동 가감)",""),4,200))</f>
        <v/>
      </c>
      <c r="BD220" s="2">
        <f>IF($BA220&lt;&gt;"포함","",IF(COUNTIFS($AX$8:$AX220,$AX220,$BA$8:$BA220,"포함")=1,MAX($BD$7:BD219)+1,""))</f>
        <v/>
      </c>
      <c r="BE220" s="2">
        <f>IF($BC220="","",MAX($BE$7:BE219)+1)</f>
        <v/>
      </c>
    </row>
    <row r="221">
      <c r="AR221" s="2">
        <f>IF(OR($A$5="",$B$6="",ROW()&lt;$A$5),"",IF(INDEX($A:$AP,ROW(),$B$6)="","",INDEX($A:$AP,ROW(),$B$6)))</f>
        <v/>
      </c>
      <c r="AS221" s="22">
        <f>IF($AR221="","",IF(ISNUMBER($AR221),IF($AR221&gt;=10000000,IFERROR(DATE(INT($AR221/10000),MOD(INT($AR221/100),100),MOD($AR221,100)),""),INT($AR221)),IFERROR(DATE(--LEFT(LEFT(SUBSTITUTE(SUBSTITUTE(SUBSTITUTE(SUBSTITUTE(TRIM($AR221),"-",""),".",""),"/","")," ",""),8),4),--MID(LEFT(SUBSTITUTE(SUBSTITUTE(SUBSTITUTE(SUBSTITUTE(TRIM($AR221),"-",""),".",""),"/","")," ",""),8),5,2),--MID(LEFT(SUBSTITUTE(SUBSTITUTE(SUBSTITUTE(SUBSTITUTE(TRIM($AR221),"-",""),".",""),"/","")," ",""),8),7,2)),"")))</f>
        <v/>
      </c>
      <c r="AT221" s="23">
        <f>IF($AS221="","",IF($F$6="",0,IF(ISNUMBER(INDEX($A:$AP,ROW(),$F$6)),INDEX($A:$AP,ROW(),$F$6),IFERROR(--SUBSTITUTE(SUBSTITUTE(TRIM(INDEX($A:$AP,ROW(),$F$6)),",",""),"원",""),0))))</f>
        <v/>
      </c>
      <c r="AU221" s="23">
        <f>IF($AS221="","",IF($G$6="",0,IF(ISNUMBER(INDEX($A:$AP,ROW(),$G$6)),INDEX($A:$AP,ROW(),$G$6),IFERROR(--SUBSTITUTE(SUBSTITUTE(TRIM(INDEX($A:$AP,ROW(),$G$6)),",",""),"원",""),0))))</f>
        <v/>
      </c>
      <c r="AV221" s="23">
        <f>IF($AS221="","",IF($H$6="",$AT221+$AU221,IF($H$6="",0,IF(ISNUMBER(INDEX($A:$AP,ROW(),$H$6)),INDEX($A:$AP,ROW(),$H$6),IFERROR(--SUBSTITUTE(SUBSTITUTE(TRIM(INDEX($A:$AP,ROW(),$H$6)),",",""),"원",""),0)))))</f>
        <v/>
      </c>
      <c r="AW221" s="2">
        <f>IF(OR($AS221="",$C$6=""),"",TRIM(INDEX($A:$AP,ROW(),$C$6)&amp;""))</f>
        <v/>
      </c>
      <c r="AX221" s="2">
        <f>IF($AS221="","",IF($AZ221&lt;&gt;"",SUBSTITUTE(SUBSTITUTE($AZ221,"-","")," ",""),$AY221))</f>
        <v/>
      </c>
      <c r="AY221" s="2">
        <f>IF(OR($AS221="",$E$6=""),"",TRIM(INDEX($A:$AP,ROW(),$E$6)&amp;""))</f>
        <v/>
      </c>
      <c r="AZ221" s="2">
        <f>IF(OR($AS221="",$D$6=""),"",TRIM(INDEX($A:$AP,ROW(),$D$6)&amp;""))</f>
        <v/>
      </c>
      <c r="BA221" s="2">
        <f>IF($AS221="","",IF(AND($AS221&gt;=설정!$B$10,$AS221&lt;=설정!$B$11),"포함","기간 밖"))</f>
        <v/>
      </c>
      <c r="BB221" s="2">
        <f>IF($AS221="","",IF(OR($AT221&lt;0,AND($I$6&lt;&gt;"",ISNUMBER(FIND("수정",INDEX($A:$AP,ROW(),IF($I$6="",1,$I$6))&amp;"")))),"수정","일반"))</f>
        <v/>
      </c>
      <c r="BC221" s="2">
        <f>IF($AS221="","",MID(IF($BA221="기간 밖"," / 기간 밖(신고기간 아님)","")&amp;IF(AND($AW221&lt;&gt;"",COUNTIF($AW$8:$AW$1007,$AW221)&gt;1)," / 승인번호 중복(두 번 붙여넣기?)","")&amp;IF(ABS($AU221-ROUND($AT221*0.1,0))&gt;설정!$B$8,IF($AU221=0," / 세액 0원(영세율·면세 여부 확인)"," / 세액이 공급가액 10%와 다름"),"")&amp;IF($BB221="수정"," / 수정세금계산서(합계에서 자동 가감)",""),4,200))</f>
        <v/>
      </c>
      <c r="BD221" s="2">
        <f>IF($BA221&lt;&gt;"포함","",IF(COUNTIFS($AX$8:$AX221,$AX221,$BA$8:$BA221,"포함")=1,MAX($BD$7:BD220)+1,""))</f>
        <v/>
      </c>
      <c r="BE221" s="2">
        <f>IF($BC221="","",MAX($BE$7:BE220)+1)</f>
        <v/>
      </c>
    </row>
    <row r="222">
      <c r="AR222" s="2">
        <f>IF(OR($A$5="",$B$6="",ROW()&lt;$A$5),"",IF(INDEX($A:$AP,ROW(),$B$6)="","",INDEX($A:$AP,ROW(),$B$6)))</f>
        <v/>
      </c>
      <c r="AS222" s="22">
        <f>IF($AR222="","",IF(ISNUMBER($AR222),IF($AR222&gt;=10000000,IFERROR(DATE(INT($AR222/10000),MOD(INT($AR222/100),100),MOD($AR222,100)),""),INT($AR222)),IFERROR(DATE(--LEFT(LEFT(SUBSTITUTE(SUBSTITUTE(SUBSTITUTE(SUBSTITUTE(TRIM($AR222),"-",""),".",""),"/","")," ",""),8),4),--MID(LEFT(SUBSTITUTE(SUBSTITUTE(SUBSTITUTE(SUBSTITUTE(TRIM($AR222),"-",""),".",""),"/","")," ",""),8),5,2),--MID(LEFT(SUBSTITUTE(SUBSTITUTE(SUBSTITUTE(SUBSTITUTE(TRIM($AR222),"-",""),".",""),"/","")," ",""),8),7,2)),"")))</f>
        <v/>
      </c>
      <c r="AT222" s="23">
        <f>IF($AS222="","",IF($F$6="",0,IF(ISNUMBER(INDEX($A:$AP,ROW(),$F$6)),INDEX($A:$AP,ROW(),$F$6),IFERROR(--SUBSTITUTE(SUBSTITUTE(TRIM(INDEX($A:$AP,ROW(),$F$6)),",",""),"원",""),0))))</f>
        <v/>
      </c>
      <c r="AU222" s="23">
        <f>IF($AS222="","",IF($G$6="",0,IF(ISNUMBER(INDEX($A:$AP,ROW(),$G$6)),INDEX($A:$AP,ROW(),$G$6),IFERROR(--SUBSTITUTE(SUBSTITUTE(TRIM(INDEX($A:$AP,ROW(),$G$6)),",",""),"원",""),0))))</f>
        <v/>
      </c>
      <c r="AV222" s="23">
        <f>IF($AS222="","",IF($H$6="",$AT222+$AU222,IF($H$6="",0,IF(ISNUMBER(INDEX($A:$AP,ROW(),$H$6)),INDEX($A:$AP,ROW(),$H$6),IFERROR(--SUBSTITUTE(SUBSTITUTE(TRIM(INDEX($A:$AP,ROW(),$H$6)),",",""),"원",""),0)))))</f>
        <v/>
      </c>
      <c r="AW222" s="2">
        <f>IF(OR($AS222="",$C$6=""),"",TRIM(INDEX($A:$AP,ROW(),$C$6)&amp;""))</f>
        <v/>
      </c>
      <c r="AX222" s="2">
        <f>IF($AS222="","",IF($AZ222&lt;&gt;"",SUBSTITUTE(SUBSTITUTE($AZ222,"-","")," ",""),$AY222))</f>
        <v/>
      </c>
      <c r="AY222" s="2">
        <f>IF(OR($AS222="",$E$6=""),"",TRIM(INDEX($A:$AP,ROW(),$E$6)&amp;""))</f>
        <v/>
      </c>
      <c r="AZ222" s="2">
        <f>IF(OR($AS222="",$D$6=""),"",TRIM(INDEX($A:$AP,ROW(),$D$6)&amp;""))</f>
        <v/>
      </c>
      <c r="BA222" s="2">
        <f>IF($AS222="","",IF(AND($AS222&gt;=설정!$B$10,$AS222&lt;=설정!$B$11),"포함","기간 밖"))</f>
        <v/>
      </c>
      <c r="BB222" s="2">
        <f>IF($AS222="","",IF(OR($AT222&lt;0,AND($I$6&lt;&gt;"",ISNUMBER(FIND("수정",INDEX($A:$AP,ROW(),IF($I$6="",1,$I$6))&amp;"")))),"수정","일반"))</f>
        <v/>
      </c>
      <c r="BC222" s="2">
        <f>IF($AS222="","",MID(IF($BA222="기간 밖"," / 기간 밖(신고기간 아님)","")&amp;IF(AND($AW222&lt;&gt;"",COUNTIF($AW$8:$AW$1007,$AW222)&gt;1)," / 승인번호 중복(두 번 붙여넣기?)","")&amp;IF(ABS($AU222-ROUND($AT222*0.1,0))&gt;설정!$B$8,IF($AU222=0," / 세액 0원(영세율·면세 여부 확인)"," / 세액이 공급가액 10%와 다름"),"")&amp;IF($BB222="수정"," / 수정세금계산서(합계에서 자동 가감)",""),4,200))</f>
        <v/>
      </c>
      <c r="BD222" s="2">
        <f>IF($BA222&lt;&gt;"포함","",IF(COUNTIFS($AX$8:$AX222,$AX222,$BA$8:$BA222,"포함")=1,MAX($BD$7:BD221)+1,""))</f>
        <v/>
      </c>
      <c r="BE222" s="2">
        <f>IF($BC222="","",MAX($BE$7:BE221)+1)</f>
        <v/>
      </c>
    </row>
    <row r="223">
      <c r="AR223" s="2">
        <f>IF(OR($A$5="",$B$6="",ROW()&lt;$A$5),"",IF(INDEX($A:$AP,ROW(),$B$6)="","",INDEX($A:$AP,ROW(),$B$6)))</f>
        <v/>
      </c>
      <c r="AS223" s="22">
        <f>IF($AR223="","",IF(ISNUMBER($AR223),IF($AR223&gt;=10000000,IFERROR(DATE(INT($AR223/10000),MOD(INT($AR223/100),100),MOD($AR223,100)),""),INT($AR223)),IFERROR(DATE(--LEFT(LEFT(SUBSTITUTE(SUBSTITUTE(SUBSTITUTE(SUBSTITUTE(TRIM($AR223),"-",""),".",""),"/","")," ",""),8),4),--MID(LEFT(SUBSTITUTE(SUBSTITUTE(SUBSTITUTE(SUBSTITUTE(TRIM($AR223),"-",""),".",""),"/","")," ",""),8),5,2),--MID(LEFT(SUBSTITUTE(SUBSTITUTE(SUBSTITUTE(SUBSTITUTE(TRIM($AR223),"-",""),".",""),"/","")," ",""),8),7,2)),"")))</f>
        <v/>
      </c>
      <c r="AT223" s="23">
        <f>IF($AS223="","",IF($F$6="",0,IF(ISNUMBER(INDEX($A:$AP,ROW(),$F$6)),INDEX($A:$AP,ROW(),$F$6),IFERROR(--SUBSTITUTE(SUBSTITUTE(TRIM(INDEX($A:$AP,ROW(),$F$6)),",",""),"원",""),0))))</f>
        <v/>
      </c>
      <c r="AU223" s="23">
        <f>IF($AS223="","",IF($G$6="",0,IF(ISNUMBER(INDEX($A:$AP,ROW(),$G$6)),INDEX($A:$AP,ROW(),$G$6),IFERROR(--SUBSTITUTE(SUBSTITUTE(TRIM(INDEX($A:$AP,ROW(),$G$6)),",",""),"원",""),0))))</f>
        <v/>
      </c>
      <c r="AV223" s="23">
        <f>IF($AS223="","",IF($H$6="",$AT223+$AU223,IF($H$6="",0,IF(ISNUMBER(INDEX($A:$AP,ROW(),$H$6)),INDEX($A:$AP,ROW(),$H$6),IFERROR(--SUBSTITUTE(SUBSTITUTE(TRIM(INDEX($A:$AP,ROW(),$H$6)),",",""),"원",""),0)))))</f>
        <v/>
      </c>
      <c r="AW223" s="2">
        <f>IF(OR($AS223="",$C$6=""),"",TRIM(INDEX($A:$AP,ROW(),$C$6)&amp;""))</f>
        <v/>
      </c>
      <c r="AX223" s="2">
        <f>IF($AS223="","",IF($AZ223&lt;&gt;"",SUBSTITUTE(SUBSTITUTE($AZ223,"-","")," ",""),$AY223))</f>
        <v/>
      </c>
      <c r="AY223" s="2">
        <f>IF(OR($AS223="",$E$6=""),"",TRIM(INDEX($A:$AP,ROW(),$E$6)&amp;""))</f>
        <v/>
      </c>
      <c r="AZ223" s="2">
        <f>IF(OR($AS223="",$D$6=""),"",TRIM(INDEX($A:$AP,ROW(),$D$6)&amp;""))</f>
        <v/>
      </c>
      <c r="BA223" s="2">
        <f>IF($AS223="","",IF(AND($AS223&gt;=설정!$B$10,$AS223&lt;=설정!$B$11),"포함","기간 밖"))</f>
        <v/>
      </c>
      <c r="BB223" s="2">
        <f>IF($AS223="","",IF(OR($AT223&lt;0,AND($I$6&lt;&gt;"",ISNUMBER(FIND("수정",INDEX($A:$AP,ROW(),IF($I$6="",1,$I$6))&amp;"")))),"수정","일반"))</f>
        <v/>
      </c>
      <c r="BC223" s="2">
        <f>IF($AS223="","",MID(IF($BA223="기간 밖"," / 기간 밖(신고기간 아님)","")&amp;IF(AND($AW223&lt;&gt;"",COUNTIF($AW$8:$AW$1007,$AW223)&gt;1)," / 승인번호 중복(두 번 붙여넣기?)","")&amp;IF(ABS($AU223-ROUND($AT223*0.1,0))&gt;설정!$B$8,IF($AU223=0," / 세액 0원(영세율·면세 여부 확인)"," / 세액이 공급가액 10%와 다름"),"")&amp;IF($BB223="수정"," / 수정세금계산서(합계에서 자동 가감)",""),4,200))</f>
        <v/>
      </c>
      <c r="BD223" s="2">
        <f>IF($BA223&lt;&gt;"포함","",IF(COUNTIFS($AX$8:$AX223,$AX223,$BA$8:$BA223,"포함")=1,MAX($BD$7:BD222)+1,""))</f>
        <v/>
      </c>
      <c r="BE223" s="2">
        <f>IF($BC223="","",MAX($BE$7:BE222)+1)</f>
        <v/>
      </c>
    </row>
    <row r="224">
      <c r="AR224" s="2">
        <f>IF(OR($A$5="",$B$6="",ROW()&lt;$A$5),"",IF(INDEX($A:$AP,ROW(),$B$6)="","",INDEX($A:$AP,ROW(),$B$6)))</f>
        <v/>
      </c>
      <c r="AS224" s="22">
        <f>IF($AR224="","",IF(ISNUMBER($AR224),IF($AR224&gt;=10000000,IFERROR(DATE(INT($AR224/10000),MOD(INT($AR224/100),100),MOD($AR224,100)),""),INT($AR224)),IFERROR(DATE(--LEFT(LEFT(SUBSTITUTE(SUBSTITUTE(SUBSTITUTE(SUBSTITUTE(TRIM($AR224),"-",""),".",""),"/","")," ",""),8),4),--MID(LEFT(SUBSTITUTE(SUBSTITUTE(SUBSTITUTE(SUBSTITUTE(TRIM($AR224),"-",""),".",""),"/","")," ",""),8),5,2),--MID(LEFT(SUBSTITUTE(SUBSTITUTE(SUBSTITUTE(SUBSTITUTE(TRIM($AR224),"-",""),".",""),"/","")," ",""),8),7,2)),"")))</f>
        <v/>
      </c>
      <c r="AT224" s="23">
        <f>IF($AS224="","",IF($F$6="",0,IF(ISNUMBER(INDEX($A:$AP,ROW(),$F$6)),INDEX($A:$AP,ROW(),$F$6),IFERROR(--SUBSTITUTE(SUBSTITUTE(TRIM(INDEX($A:$AP,ROW(),$F$6)),",",""),"원",""),0))))</f>
        <v/>
      </c>
      <c r="AU224" s="23">
        <f>IF($AS224="","",IF($G$6="",0,IF(ISNUMBER(INDEX($A:$AP,ROW(),$G$6)),INDEX($A:$AP,ROW(),$G$6),IFERROR(--SUBSTITUTE(SUBSTITUTE(TRIM(INDEX($A:$AP,ROW(),$G$6)),",",""),"원",""),0))))</f>
        <v/>
      </c>
      <c r="AV224" s="23">
        <f>IF($AS224="","",IF($H$6="",$AT224+$AU224,IF($H$6="",0,IF(ISNUMBER(INDEX($A:$AP,ROW(),$H$6)),INDEX($A:$AP,ROW(),$H$6),IFERROR(--SUBSTITUTE(SUBSTITUTE(TRIM(INDEX($A:$AP,ROW(),$H$6)),",",""),"원",""),0)))))</f>
        <v/>
      </c>
      <c r="AW224" s="2">
        <f>IF(OR($AS224="",$C$6=""),"",TRIM(INDEX($A:$AP,ROW(),$C$6)&amp;""))</f>
        <v/>
      </c>
      <c r="AX224" s="2">
        <f>IF($AS224="","",IF($AZ224&lt;&gt;"",SUBSTITUTE(SUBSTITUTE($AZ224,"-","")," ",""),$AY224))</f>
        <v/>
      </c>
      <c r="AY224" s="2">
        <f>IF(OR($AS224="",$E$6=""),"",TRIM(INDEX($A:$AP,ROW(),$E$6)&amp;""))</f>
        <v/>
      </c>
      <c r="AZ224" s="2">
        <f>IF(OR($AS224="",$D$6=""),"",TRIM(INDEX($A:$AP,ROW(),$D$6)&amp;""))</f>
        <v/>
      </c>
      <c r="BA224" s="2">
        <f>IF($AS224="","",IF(AND($AS224&gt;=설정!$B$10,$AS224&lt;=설정!$B$11),"포함","기간 밖"))</f>
        <v/>
      </c>
      <c r="BB224" s="2">
        <f>IF($AS224="","",IF(OR($AT224&lt;0,AND($I$6&lt;&gt;"",ISNUMBER(FIND("수정",INDEX($A:$AP,ROW(),IF($I$6="",1,$I$6))&amp;"")))),"수정","일반"))</f>
        <v/>
      </c>
      <c r="BC224" s="2">
        <f>IF($AS224="","",MID(IF($BA224="기간 밖"," / 기간 밖(신고기간 아님)","")&amp;IF(AND($AW224&lt;&gt;"",COUNTIF($AW$8:$AW$1007,$AW224)&gt;1)," / 승인번호 중복(두 번 붙여넣기?)","")&amp;IF(ABS($AU224-ROUND($AT224*0.1,0))&gt;설정!$B$8,IF($AU224=0," / 세액 0원(영세율·면세 여부 확인)"," / 세액이 공급가액 10%와 다름"),"")&amp;IF($BB224="수정"," / 수정세금계산서(합계에서 자동 가감)",""),4,200))</f>
        <v/>
      </c>
      <c r="BD224" s="2">
        <f>IF($BA224&lt;&gt;"포함","",IF(COUNTIFS($AX$8:$AX224,$AX224,$BA$8:$BA224,"포함")=1,MAX($BD$7:BD223)+1,""))</f>
        <v/>
      </c>
      <c r="BE224" s="2">
        <f>IF($BC224="","",MAX($BE$7:BE223)+1)</f>
        <v/>
      </c>
    </row>
    <row r="225">
      <c r="AR225" s="2">
        <f>IF(OR($A$5="",$B$6="",ROW()&lt;$A$5),"",IF(INDEX($A:$AP,ROW(),$B$6)="","",INDEX($A:$AP,ROW(),$B$6)))</f>
        <v/>
      </c>
      <c r="AS225" s="22">
        <f>IF($AR225="","",IF(ISNUMBER($AR225),IF($AR225&gt;=10000000,IFERROR(DATE(INT($AR225/10000),MOD(INT($AR225/100),100),MOD($AR225,100)),""),INT($AR225)),IFERROR(DATE(--LEFT(LEFT(SUBSTITUTE(SUBSTITUTE(SUBSTITUTE(SUBSTITUTE(TRIM($AR225),"-",""),".",""),"/","")," ",""),8),4),--MID(LEFT(SUBSTITUTE(SUBSTITUTE(SUBSTITUTE(SUBSTITUTE(TRIM($AR225),"-",""),".",""),"/","")," ",""),8),5,2),--MID(LEFT(SUBSTITUTE(SUBSTITUTE(SUBSTITUTE(SUBSTITUTE(TRIM($AR225),"-",""),".",""),"/","")," ",""),8),7,2)),"")))</f>
        <v/>
      </c>
      <c r="AT225" s="23">
        <f>IF($AS225="","",IF($F$6="",0,IF(ISNUMBER(INDEX($A:$AP,ROW(),$F$6)),INDEX($A:$AP,ROW(),$F$6),IFERROR(--SUBSTITUTE(SUBSTITUTE(TRIM(INDEX($A:$AP,ROW(),$F$6)),",",""),"원",""),0))))</f>
        <v/>
      </c>
      <c r="AU225" s="23">
        <f>IF($AS225="","",IF($G$6="",0,IF(ISNUMBER(INDEX($A:$AP,ROW(),$G$6)),INDEX($A:$AP,ROW(),$G$6),IFERROR(--SUBSTITUTE(SUBSTITUTE(TRIM(INDEX($A:$AP,ROW(),$G$6)),",",""),"원",""),0))))</f>
        <v/>
      </c>
      <c r="AV225" s="23">
        <f>IF($AS225="","",IF($H$6="",$AT225+$AU225,IF($H$6="",0,IF(ISNUMBER(INDEX($A:$AP,ROW(),$H$6)),INDEX($A:$AP,ROW(),$H$6),IFERROR(--SUBSTITUTE(SUBSTITUTE(TRIM(INDEX($A:$AP,ROW(),$H$6)),",",""),"원",""),0)))))</f>
        <v/>
      </c>
      <c r="AW225" s="2">
        <f>IF(OR($AS225="",$C$6=""),"",TRIM(INDEX($A:$AP,ROW(),$C$6)&amp;""))</f>
        <v/>
      </c>
      <c r="AX225" s="2">
        <f>IF($AS225="","",IF($AZ225&lt;&gt;"",SUBSTITUTE(SUBSTITUTE($AZ225,"-","")," ",""),$AY225))</f>
        <v/>
      </c>
      <c r="AY225" s="2">
        <f>IF(OR($AS225="",$E$6=""),"",TRIM(INDEX($A:$AP,ROW(),$E$6)&amp;""))</f>
        <v/>
      </c>
      <c r="AZ225" s="2">
        <f>IF(OR($AS225="",$D$6=""),"",TRIM(INDEX($A:$AP,ROW(),$D$6)&amp;""))</f>
        <v/>
      </c>
      <c r="BA225" s="2">
        <f>IF($AS225="","",IF(AND($AS225&gt;=설정!$B$10,$AS225&lt;=설정!$B$11),"포함","기간 밖"))</f>
        <v/>
      </c>
      <c r="BB225" s="2">
        <f>IF($AS225="","",IF(OR($AT225&lt;0,AND($I$6&lt;&gt;"",ISNUMBER(FIND("수정",INDEX($A:$AP,ROW(),IF($I$6="",1,$I$6))&amp;"")))),"수정","일반"))</f>
        <v/>
      </c>
      <c r="BC225" s="2">
        <f>IF($AS225="","",MID(IF($BA225="기간 밖"," / 기간 밖(신고기간 아님)","")&amp;IF(AND($AW225&lt;&gt;"",COUNTIF($AW$8:$AW$1007,$AW225)&gt;1)," / 승인번호 중복(두 번 붙여넣기?)","")&amp;IF(ABS($AU225-ROUND($AT225*0.1,0))&gt;설정!$B$8,IF($AU225=0," / 세액 0원(영세율·면세 여부 확인)"," / 세액이 공급가액 10%와 다름"),"")&amp;IF($BB225="수정"," / 수정세금계산서(합계에서 자동 가감)",""),4,200))</f>
        <v/>
      </c>
      <c r="BD225" s="2">
        <f>IF($BA225&lt;&gt;"포함","",IF(COUNTIFS($AX$8:$AX225,$AX225,$BA$8:$BA225,"포함")=1,MAX($BD$7:BD224)+1,""))</f>
        <v/>
      </c>
      <c r="BE225" s="2">
        <f>IF($BC225="","",MAX($BE$7:BE224)+1)</f>
        <v/>
      </c>
    </row>
    <row r="226">
      <c r="AR226" s="2">
        <f>IF(OR($A$5="",$B$6="",ROW()&lt;$A$5),"",IF(INDEX($A:$AP,ROW(),$B$6)="","",INDEX($A:$AP,ROW(),$B$6)))</f>
        <v/>
      </c>
      <c r="AS226" s="22">
        <f>IF($AR226="","",IF(ISNUMBER($AR226),IF($AR226&gt;=10000000,IFERROR(DATE(INT($AR226/10000),MOD(INT($AR226/100),100),MOD($AR226,100)),""),INT($AR226)),IFERROR(DATE(--LEFT(LEFT(SUBSTITUTE(SUBSTITUTE(SUBSTITUTE(SUBSTITUTE(TRIM($AR226),"-",""),".",""),"/","")," ",""),8),4),--MID(LEFT(SUBSTITUTE(SUBSTITUTE(SUBSTITUTE(SUBSTITUTE(TRIM($AR226),"-",""),".",""),"/","")," ",""),8),5,2),--MID(LEFT(SUBSTITUTE(SUBSTITUTE(SUBSTITUTE(SUBSTITUTE(TRIM($AR226),"-",""),".",""),"/","")," ",""),8),7,2)),"")))</f>
        <v/>
      </c>
      <c r="AT226" s="23">
        <f>IF($AS226="","",IF($F$6="",0,IF(ISNUMBER(INDEX($A:$AP,ROW(),$F$6)),INDEX($A:$AP,ROW(),$F$6),IFERROR(--SUBSTITUTE(SUBSTITUTE(TRIM(INDEX($A:$AP,ROW(),$F$6)),",",""),"원",""),0))))</f>
        <v/>
      </c>
      <c r="AU226" s="23">
        <f>IF($AS226="","",IF($G$6="",0,IF(ISNUMBER(INDEX($A:$AP,ROW(),$G$6)),INDEX($A:$AP,ROW(),$G$6),IFERROR(--SUBSTITUTE(SUBSTITUTE(TRIM(INDEX($A:$AP,ROW(),$G$6)),",",""),"원",""),0))))</f>
        <v/>
      </c>
      <c r="AV226" s="23">
        <f>IF($AS226="","",IF($H$6="",$AT226+$AU226,IF($H$6="",0,IF(ISNUMBER(INDEX($A:$AP,ROW(),$H$6)),INDEX($A:$AP,ROW(),$H$6),IFERROR(--SUBSTITUTE(SUBSTITUTE(TRIM(INDEX($A:$AP,ROW(),$H$6)),",",""),"원",""),0)))))</f>
        <v/>
      </c>
      <c r="AW226" s="2">
        <f>IF(OR($AS226="",$C$6=""),"",TRIM(INDEX($A:$AP,ROW(),$C$6)&amp;""))</f>
        <v/>
      </c>
      <c r="AX226" s="2">
        <f>IF($AS226="","",IF($AZ226&lt;&gt;"",SUBSTITUTE(SUBSTITUTE($AZ226,"-","")," ",""),$AY226))</f>
        <v/>
      </c>
      <c r="AY226" s="2">
        <f>IF(OR($AS226="",$E$6=""),"",TRIM(INDEX($A:$AP,ROW(),$E$6)&amp;""))</f>
        <v/>
      </c>
      <c r="AZ226" s="2">
        <f>IF(OR($AS226="",$D$6=""),"",TRIM(INDEX($A:$AP,ROW(),$D$6)&amp;""))</f>
        <v/>
      </c>
      <c r="BA226" s="2">
        <f>IF($AS226="","",IF(AND($AS226&gt;=설정!$B$10,$AS226&lt;=설정!$B$11),"포함","기간 밖"))</f>
        <v/>
      </c>
      <c r="BB226" s="2">
        <f>IF($AS226="","",IF(OR($AT226&lt;0,AND($I$6&lt;&gt;"",ISNUMBER(FIND("수정",INDEX($A:$AP,ROW(),IF($I$6="",1,$I$6))&amp;"")))),"수정","일반"))</f>
        <v/>
      </c>
      <c r="BC226" s="2">
        <f>IF($AS226="","",MID(IF($BA226="기간 밖"," / 기간 밖(신고기간 아님)","")&amp;IF(AND($AW226&lt;&gt;"",COUNTIF($AW$8:$AW$1007,$AW226)&gt;1)," / 승인번호 중복(두 번 붙여넣기?)","")&amp;IF(ABS($AU226-ROUND($AT226*0.1,0))&gt;설정!$B$8,IF($AU226=0," / 세액 0원(영세율·면세 여부 확인)"," / 세액이 공급가액 10%와 다름"),"")&amp;IF($BB226="수정"," / 수정세금계산서(합계에서 자동 가감)",""),4,200))</f>
        <v/>
      </c>
      <c r="BD226" s="2">
        <f>IF($BA226&lt;&gt;"포함","",IF(COUNTIFS($AX$8:$AX226,$AX226,$BA$8:$BA226,"포함")=1,MAX($BD$7:BD225)+1,""))</f>
        <v/>
      </c>
      <c r="BE226" s="2">
        <f>IF($BC226="","",MAX($BE$7:BE225)+1)</f>
        <v/>
      </c>
    </row>
    <row r="227">
      <c r="AR227" s="2">
        <f>IF(OR($A$5="",$B$6="",ROW()&lt;$A$5),"",IF(INDEX($A:$AP,ROW(),$B$6)="","",INDEX($A:$AP,ROW(),$B$6)))</f>
        <v/>
      </c>
      <c r="AS227" s="22">
        <f>IF($AR227="","",IF(ISNUMBER($AR227),IF($AR227&gt;=10000000,IFERROR(DATE(INT($AR227/10000),MOD(INT($AR227/100),100),MOD($AR227,100)),""),INT($AR227)),IFERROR(DATE(--LEFT(LEFT(SUBSTITUTE(SUBSTITUTE(SUBSTITUTE(SUBSTITUTE(TRIM($AR227),"-",""),".",""),"/","")," ",""),8),4),--MID(LEFT(SUBSTITUTE(SUBSTITUTE(SUBSTITUTE(SUBSTITUTE(TRIM($AR227),"-",""),".",""),"/","")," ",""),8),5,2),--MID(LEFT(SUBSTITUTE(SUBSTITUTE(SUBSTITUTE(SUBSTITUTE(TRIM($AR227),"-",""),".",""),"/","")," ",""),8),7,2)),"")))</f>
        <v/>
      </c>
      <c r="AT227" s="23">
        <f>IF($AS227="","",IF($F$6="",0,IF(ISNUMBER(INDEX($A:$AP,ROW(),$F$6)),INDEX($A:$AP,ROW(),$F$6),IFERROR(--SUBSTITUTE(SUBSTITUTE(TRIM(INDEX($A:$AP,ROW(),$F$6)),",",""),"원",""),0))))</f>
        <v/>
      </c>
      <c r="AU227" s="23">
        <f>IF($AS227="","",IF($G$6="",0,IF(ISNUMBER(INDEX($A:$AP,ROW(),$G$6)),INDEX($A:$AP,ROW(),$G$6),IFERROR(--SUBSTITUTE(SUBSTITUTE(TRIM(INDEX($A:$AP,ROW(),$G$6)),",",""),"원",""),0))))</f>
        <v/>
      </c>
      <c r="AV227" s="23">
        <f>IF($AS227="","",IF($H$6="",$AT227+$AU227,IF($H$6="",0,IF(ISNUMBER(INDEX($A:$AP,ROW(),$H$6)),INDEX($A:$AP,ROW(),$H$6),IFERROR(--SUBSTITUTE(SUBSTITUTE(TRIM(INDEX($A:$AP,ROW(),$H$6)),",",""),"원",""),0)))))</f>
        <v/>
      </c>
      <c r="AW227" s="2">
        <f>IF(OR($AS227="",$C$6=""),"",TRIM(INDEX($A:$AP,ROW(),$C$6)&amp;""))</f>
        <v/>
      </c>
      <c r="AX227" s="2">
        <f>IF($AS227="","",IF($AZ227&lt;&gt;"",SUBSTITUTE(SUBSTITUTE($AZ227,"-","")," ",""),$AY227))</f>
        <v/>
      </c>
      <c r="AY227" s="2">
        <f>IF(OR($AS227="",$E$6=""),"",TRIM(INDEX($A:$AP,ROW(),$E$6)&amp;""))</f>
        <v/>
      </c>
      <c r="AZ227" s="2">
        <f>IF(OR($AS227="",$D$6=""),"",TRIM(INDEX($A:$AP,ROW(),$D$6)&amp;""))</f>
        <v/>
      </c>
      <c r="BA227" s="2">
        <f>IF($AS227="","",IF(AND($AS227&gt;=설정!$B$10,$AS227&lt;=설정!$B$11),"포함","기간 밖"))</f>
        <v/>
      </c>
      <c r="BB227" s="2">
        <f>IF($AS227="","",IF(OR($AT227&lt;0,AND($I$6&lt;&gt;"",ISNUMBER(FIND("수정",INDEX($A:$AP,ROW(),IF($I$6="",1,$I$6))&amp;"")))),"수정","일반"))</f>
        <v/>
      </c>
      <c r="BC227" s="2">
        <f>IF($AS227="","",MID(IF($BA227="기간 밖"," / 기간 밖(신고기간 아님)","")&amp;IF(AND($AW227&lt;&gt;"",COUNTIF($AW$8:$AW$1007,$AW227)&gt;1)," / 승인번호 중복(두 번 붙여넣기?)","")&amp;IF(ABS($AU227-ROUND($AT227*0.1,0))&gt;설정!$B$8,IF($AU227=0," / 세액 0원(영세율·면세 여부 확인)"," / 세액이 공급가액 10%와 다름"),"")&amp;IF($BB227="수정"," / 수정세금계산서(합계에서 자동 가감)",""),4,200))</f>
        <v/>
      </c>
      <c r="BD227" s="2">
        <f>IF($BA227&lt;&gt;"포함","",IF(COUNTIFS($AX$8:$AX227,$AX227,$BA$8:$BA227,"포함")=1,MAX($BD$7:BD226)+1,""))</f>
        <v/>
      </c>
      <c r="BE227" s="2">
        <f>IF($BC227="","",MAX($BE$7:BE226)+1)</f>
        <v/>
      </c>
    </row>
    <row r="228">
      <c r="AR228" s="2">
        <f>IF(OR($A$5="",$B$6="",ROW()&lt;$A$5),"",IF(INDEX($A:$AP,ROW(),$B$6)="","",INDEX($A:$AP,ROW(),$B$6)))</f>
        <v/>
      </c>
      <c r="AS228" s="22">
        <f>IF($AR228="","",IF(ISNUMBER($AR228),IF($AR228&gt;=10000000,IFERROR(DATE(INT($AR228/10000),MOD(INT($AR228/100),100),MOD($AR228,100)),""),INT($AR228)),IFERROR(DATE(--LEFT(LEFT(SUBSTITUTE(SUBSTITUTE(SUBSTITUTE(SUBSTITUTE(TRIM($AR228),"-",""),".",""),"/","")," ",""),8),4),--MID(LEFT(SUBSTITUTE(SUBSTITUTE(SUBSTITUTE(SUBSTITUTE(TRIM($AR228),"-",""),".",""),"/","")," ",""),8),5,2),--MID(LEFT(SUBSTITUTE(SUBSTITUTE(SUBSTITUTE(SUBSTITUTE(TRIM($AR228),"-",""),".",""),"/","")," ",""),8),7,2)),"")))</f>
        <v/>
      </c>
      <c r="AT228" s="23">
        <f>IF($AS228="","",IF($F$6="",0,IF(ISNUMBER(INDEX($A:$AP,ROW(),$F$6)),INDEX($A:$AP,ROW(),$F$6),IFERROR(--SUBSTITUTE(SUBSTITUTE(TRIM(INDEX($A:$AP,ROW(),$F$6)),",",""),"원",""),0))))</f>
        <v/>
      </c>
      <c r="AU228" s="23">
        <f>IF($AS228="","",IF($G$6="",0,IF(ISNUMBER(INDEX($A:$AP,ROW(),$G$6)),INDEX($A:$AP,ROW(),$G$6),IFERROR(--SUBSTITUTE(SUBSTITUTE(TRIM(INDEX($A:$AP,ROW(),$G$6)),",",""),"원",""),0))))</f>
        <v/>
      </c>
      <c r="AV228" s="23">
        <f>IF($AS228="","",IF($H$6="",$AT228+$AU228,IF($H$6="",0,IF(ISNUMBER(INDEX($A:$AP,ROW(),$H$6)),INDEX($A:$AP,ROW(),$H$6),IFERROR(--SUBSTITUTE(SUBSTITUTE(TRIM(INDEX($A:$AP,ROW(),$H$6)),",",""),"원",""),0)))))</f>
        <v/>
      </c>
      <c r="AW228" s="2">
        <f>IF(OR($AS228="",$C$6=""),"",TRIM(INDEX($A:$AP,ROW(),$C$6)&amp;""))</f>
        <v/>
      </c>
      <c r="AX228" s="2">
        <f>IF($AS228="","",IF($AZ228&lt;&gt;"",SUBSTITUTE(SUBSTITUTE($AZ228,"-","")," ",""),$AY228))</f>
        <v/>
      </c>
      <c r="AY228" s="2">
        <f>IF(OR($AS228="",$E$6=""),"",TRIM(INDEX($A:$AP,ROW(),$E$6)&amp;""))</f>
        <v/>
      </c>
      <c r="AZ228" s="2">
        <f>IF(OR($AS228="",$D$6=""),"",TRIM(INDEX($A:$AP,ROW(),$D$6)&amp;""))</f>
        <v/>
      </c>
      <c r="BA228" s="2">
        <f>IF($AS228="","",IF(AND($AS228&gt;=설정!$B$10,$AS228&lt;=설정!$B$11),"포함","기간 밖"))</f>
        <v/>
      </c>
      <c r="BB228" s="2">
        <f>IF($AS228="","",IF(OR($AT228&lt;0,AND($I$6&lt;&gt;"",ISNUMBER(FIND("수정",INDEX($A:$AP,ROW(),IF($I$6="",1,$I$6))&amp;"")))),"수정","일반"))</f>
        <v/>
      </c>
      <c r="BC228" s="2">
        <f>IF($AS228="","",MID(IF($BA228="기간 밖"," / 기간 밖(신고기간 아님)","")&amp;IF(AND($AW228&lt;&gt;"",COUNTIF($AW$8:$AW$1007,$AW228)&gt;1)," / 승인번호 중복(두 번 붙여넣기?)","")&amp;IF(ABS($AU228-ROUND($AT228*0.1,0))&gt;설정!$B$8,IF($AU228=0," / 세액 0원(영세율·면세 여부 확인)"," / 세액이 공급가액 10%와 다름"),"")&amp;IF($BB228="수정"," / 수정세금계산서(합계에서 자동 가감)",""),4,200))</f>
        <v/>
      </c>
      <c r="BD228" s="2">
        <f>IF($BA228&lt;&gt;"포함","",IF(COUNTIFS($AX$8:$AX228,$AX228,$BA$8:$BA228,"포함")=1,MAX($BD$7:BD227)+1,""))</f>
        <v/>
      </c>
      <c r="BE228" s="2">
        <f>IF($BC228="","",MAX($BE$7:BE227)+1)</f>
        <v/>
      </c>
    </row>
    <row r="229">
      <c r="AR229" s="2">
        <f>IF(OR($A$5="",$B$6="",ROW()&lt;$A$5),"",IF(INDEX($A:$AP,ROW(),$B$6)="","",INDEX($A:$AP,ROW(),$B$6)))</f>
        <v/>
      </c>
      <c r="AS229" s="22">
        <f>IF($AR229="","",IF(ISNUMBER($AR229),IF($AR229&gt;=10000000,IFERROR(DATE(INT($AR229/10000),MOD(INT($AR229/100),100),MOD($AR229,100)),""),INT($AR229)),IFERROR(DATE(--LEFT(LEFT(SUBSTITUTE(SUBSTITUTE(SUBSTITUTE(SUBSTITUTE(TRIM($AR229),"-",""),".",""),"/","")," ",""),8),4),--MID(LEFT(SUBSTITUTE(SUBSTITUTE(SUBSTITUTE(SUBSTITUTE(TRIM($AR229),"-",""),".",""),"/","")," ",""),8),5,2),--MID(LEFT(SUBSTITUTE(SUBSTITUTE(SUBSTITUTE(SUBSTITUTE(TRIM($AR229),"-",""),".",""),"/","")," ",""),8),7,2)),"")))</f>
        <v/>
      </c>
      <c r="AT229" s="23">
        <f>IF($AS229="","",IF($F$6="",0,IF(ISNUMBER(INDEX($A:$AP,ROW(),$F$6)),INDEX($A:$AP,ROW(),$F$6),IFERROR(--SUBSTITUTE(SUBSTITUTE(TRIM(INDEX($A:$AP,ROW(),$F$6)),",",""),"원",""),0))))</f>
        <v/>
      </c>
      <c r="AU229" s="23">
        <f>IF($AS229="","",IF($G$6="",0,IF(ISNUMBER(INDEX($A:$AP,ROW(),$G$6)),INDEX($A:$AP,ROW(),$G$6),IFERROR(--SUBSTITUTE(SUBSTITUTE(TRIM(INDEX($A:$AP,ROW(),$G$6)),",",""),"원",""),0))))</f>
        <v/>
      </c>
      <c r="AV229" s="23">
        <f>IF($AS229="","",IF($H$6="",$AT229+$AU229,IF($H$6="",0,IF(ISNUMBER(INDEX($A:$AP,ROW(),$H$6)),INDEX($A:$AP,ROW(),$H$6),IFERROR(--SUBSTITUTE(SUBSTITUTE(TRIM(INDEX($A:$AP,ROW(),$H$6)),",",""),"원",""),0)))))</f>
        <v/>
      </c>
      <c r="AW229" s="2">
        <f>IF(OR($AS229="",$C$6=""),"",TRIM(INDEX($A:$AP,ROW(),$C$6)&amp;""))</f>
        <v/>
      </c>
      <c r="AX229" s="2">
        <f>IF($AS229="","",IF($AZ229&lt;&gt;"",SUBSTITUTE(SUBSTITUTE($AZ229,"-","")," ",""),$AY229))</f>
        <v/>
      </c>
      <c r="AY229" s="2">
        <f>IF(OR($AS229="",$E$6=""),"",TRIM(INDEX($A:$AP,ROW(),$E$6)&amp;""))</f>
        <v/>
      </c>
      <c r="AZ229" s="2">
        <f>IF(OR($AS229="",$D$6=""),"",TRIM(INDEX($A:$AP,ROW(),$D$6)&amp;""))</f>
        <v/>
      </c>
      <c r="BA229" s="2">
        <f>IF($AS229="","",IF(AND($AS229&gt;=설정!$B$10,$AS229&lt;=설정!$B$11),"포함","기간 밖"))</f>
        <v/>
      </c>
      <c r="BB229" s="2">
        <f>IF($AS229="","",IF(OR($AT229&lt;0,AND($I$6&lt;&gt;"",ISNUMBER(FIND("수정",INDEX($A:$AP,ROW(),IF($I$6="",1,$I$6))&amp;"")))),"수정","일반"))</f>
        <v/>
      </c>
      <c r="BC229" s="2">
        <f>IF($AS229="","",MID(IF($BA229="기간 밖"," / 기간 밖(신고기간 아님)","")&amp;IF(AND($AW229&lt;&gt;"",COUNTIF($AW$8:$AW$1007,$AW229)&gt;1)," / 승인번호 중복(두 번 붙여넣기?)","")&amp;IF(ABS($AU229-ROUND($AT229*0.1,0))&gt;설정!$B$8,IF($AU229=0," / 세액 0원(영세율·면세 여부 확인)"," / 세액이 공급가액 10%와 다름"),"")&amp;IF($BB229="수정"," / 수정세금계산서(합계에서 자동 가감)",""),4,200))</f>
        <v/>
      </c>
      <c r="BD229" s="2">
        <f>IF($BA229&lt;&gt;"포함","",IF(COUNTIFS($AX$8:$AX229,$AX229,$BA$8:$BA229,"포함")=1,MAX($BD$7:BD228)+1,""))</f>
        <v/>
      </c>
      <c r="BE229" s="2">
        <f>IF($BC229="","",MAX($BE$7:BE228)+1)</f>
        <v/>
      </c>
    </row>
    <row r="230">
      <c r="AR230" s="2">
        <f>IF(OR($A$5="",$B$6="",ROW()&lt;$A$5),"",IF(INDEX($A:$AP,ROW(),$B$6)="","",INDEX($A:$AP,ROW(),$B$6)))</f>
        <v/>
      </c>
      <c r="AS230" s="22">
        <f>IF($AR230="","",IF(ISNUMBER($AR230),IF($AR230&gt;=10000000,IFERROR(DATE(INT($AR230/10000),MOD(INT($AR230/100),100),MOD($AR230,100)),""),INT($AR230)),IFERROR(DATE(--LEFT(LEFT(SUBSTITUTE(SUBSTITUTE(SUBSTITUTE(SUBSTITUTE(TRIM($AR230),"-",""),".",""),"/","")," ",""),8),4),--MID(LEFT(SUBSTITUTE(SUBSTITUTE(SUBSTITUTE(SUBSTITUTE(TRIM($AR230),"-",""),".",""),"/","")," ",""),8),5,2),--MID(LEFT(SUBSTITUTE(SUBSTITUTE(SUBSTITUTE(SUBSTITUTE(TRIM($AR230),"-",""),".",""),"/","")," ",""),8),7,2)),"")))</f>
        <v/>
      </c>
      <c r="AT230" s="23">
        <f>IF($AS230="","",IF($F$6="",0,IF(ISNUMBER(INDEX($A:$AP,ROW(),$F$6)),INDEX($A:$AP,ROW(),$F$6),IFERROR(--SUBSTITUTE(SUBSTITUTE(TRIM(INDEX($A:$AP,ROW(),$F$6)),",",""),"원",""),0))))</f>
        <v/>
      </c>
      <c r="AU230" s="23">
        <f>IF($AS230="","",IF($G$6="",0,IF(ISNUMBER(INDEX($A:$AP,ROW(),$G$6)),INDEX($A:$AP,ROW(),$G$6),IFERROR(--SUBSTITUTE(SUBSTITUTE(TRIM(INDEX($A:$AP,ROW(),$G$6)),",",""),"원",""),0))))</f>
        <v/>
      </c>
      <c r="AV230" s="23">
        <f>IF($AS230="","",IF($H$6="",$AT230+$AU230,IF($H$6="",0,IF(ISNUMBER(INDEX($A:$AP,ROW(),$H$6)),INDEX($A:$AP,ROW(),$H$6),IFERROR(--SUBSTITUTE(SUBSTITUTE(TRIM(INDEX($A:$AP,ROW(),$H$6)),",",""),"원",""),0)))))</f>
        <v/>
      </c>
      <c r="AW230" s="2">
        <f>IF(OR($AS230="",$C$6=""),"",TRIM(INDEX($A:$AP,ROW(),$C$6)&amp;""))</f>
        <v/>
      </c>
      <c r="AX230" s="2">
        <f>IF($AS230="","",IF($AZ230&lt;&gt;"",SUBSTITUTE(SUBSTITUTE($AZ230,"-","")," ",""),$AY230))</f>
        <v/>
      </c>
      <c r="AY230" s="2">
        <f>IF(OR($AS230="",$E$6=""),"",TRIM(INDEX($A:$AP,ROW(),$E$6)&amp;""))</f>
        <v/>
      </c>
      <c r="AZ230" s="2">
        <f>IF(OR($AS230="",$D$6=""),"",TRIM(INDEX($A:$AP,ROW(),$D$6)&amp;""))</f>
        <v/>
      </c>
      <c r="BA230" s="2">
        <f>IF($AS230="","",IF(AND($AS230&gt;=설정!$B$10,$AS230&lt;=설정!$B$11),"포함","기간 밖"))</f>
        <v/>
      </c>
      <c r="BB230" s="2">
        <f>IF($AS230="","",IF(OR($AT230&lt;0,AND($I$6&lt;&gt;"",ISNUMBER(FIND("수정",INDEX($A:$AP,ROW(),IF($I$6="",1,$I$6))&amp;"")))),"수정","일반"))</f>
        <v/>
      </c>
      <c r="BC230" s="2">
        <f>IF($AS230="","",MID(IF($BA230="기간 밖"," / 기간 밖(신고기간 아님)","")&amp;IF(AND($AW230&lt;&gt;"",COUNTIF($AW$8:$AW$1007,$AW230)&gt;1)," / 승인번호 중복(두 번 붙여넣기?)","")&amp;IF(ABS($AU230-ROUND($AT230*0.1,0))&gt;설정!$B$8,IF($AU230=0," / 세액 0원(영세율·면세 여부 확인)"," / 세액이 공급가액 10%와 다름"),"")&amp;IF($BB230="수정"," / 수정세금계산서(합계에서 자동 가감)",""),4,200))</f>
        <v/>
      </c>
      <c r="BD230" s="2">
        <f>IF($BA230&lt;&gt;"포함","",IF(COUNTIFS($AX$8:$AX230,$AX230,$BA$8:$BA230,"포함")=1,MAX($BD$7:BD229)+1,""))</f>
        <v/>
      </c>
      <c r="BE230" s="2">
        <f>IF($BC230="","",MAX($BE$7:BE229)+1)</f>
        <v/>
      </c>
    </row>
    <row r="231">
      <c r="AR231" s="2">
        <f>IF(OR($A$5="",$B$6="",ROW()&lt;$A$5),"",IF(INDEX($A:$AP,ROW(),$B$6)="","",INDEX($A:$AP,ROW(),$B$6)))</f>
        <v/>
      </c>
      <c r="AS231" s="22">
        <f>IF($AR231="","",IF(ISNUMBER($AR231),IF($AR231&gt;=10000000,IFERROR(DATE(INT($AR231/10000),MOD(INT($AR231/100),100),MOD($AR231,100)),""),INT($AR231)),IFERROR(DATE(--LEFT(LEFT(SUBSTITUTE(SUBSTITUTE(SUBSTITUTE(SUBSTITUTE(TRIM($AR231),"-",""),".",""),"/","")," ",""),8),4),--MID(LEFT(SUBSTITUTE(SUBSTITUTE(SUBSTITUTE(SUBSTITUTE(TRIM($AR231),"-",""),".",""),"/","")," ",""),8),5,2),--MID(LEFT(SUBSTITUTE(SUBSTITUTE(SUBSTITUTE(SUBSTITUTE(TRIM($AR231),"-",""),".",""),"/","")," ",""),8),7,2)),"")))</f>
        <v/>
      </c>
      <c r="AT231" s="23">
        <f>IF($AS231="","",IF($F$6="",0,IF(ISNUMBER(INDEX($A:$AP,ROW(),$F$6)),INDEX($A:$AP,ROW(),$F$6),IFERROR(--SUBSTITUTE(SUBSTITUTE(TRIM(INDEX($A:$AP,ROW(),$F$6)),",",""),"원",""),0))))</f>
        <v/>
      </c>
      <c r="AU231" s="23">
        <f>IF($AS231="","",IF($G$6="",0,IF(ISNUMBER(INDEX($A:$AP,ROW(),$G$6)),INDEX($A:$AP,ROW(),$G$6),IFERROR(--SUBSTITUTE(SUBSTITUTE(TRIM(INDEX($A:$AP,ROW(),$G$6)),",",""),"원",""),0))))</f>
        <v/>
      </c>
      <c r="AV231" s="23">
        <f>IF($AS231="","",IF($H$6="",$AT231+$AU231,IF($H$6="",0,IF(ISNUMBER(INDEX($A:$AP,ROW(),$H$6)),INDEX($A:$AP,ROW(),$H$6),IFERROR(--SUBSTITUTE(SUBSTITUTE(TRIM(INDEX($A:$AP,ROW(),$H$6)),",",""),"원",""),0)))))</f>
        <v/>
      </c>
      <c r="AW231" s="2">
        <f>IF(OR($AS231="",$C$6=""),"",TRIM(INDEX($A:$AP,ROW(),$C$6)&amp;""))</f>
        <v/>
      </c>
      <c r="AX231" s="2">
        <f>IF($AS231="","",IF($AZ231&lt;&gt;"",SUBSTITUTE(SUBSTITUTE($AZ231,"-","")," ",""),$AY231))</f>
        <v/>
      </c>
      <c r="AY231" s="2">
        <f>IF(OR($AS231="",$E$6=""),"",TRIM(INDEX($A:$AP,ROW(),$E$6)&amp;""))</f>
        <v/>
      </c>
      <c r="AZ231" s="2">
        <f>IF(OR($AS231="",$D$6=""),"",TRIM(INDEX($A:$AP,ROW(),$D$6)&amp;""))</f>
        <v/>
      </c>
      <c r="BA231" s="2">
        <f>IF($AS231="","",IF(AND($AS231&gt;=설정!$B$10,$AS231&lt;=설정!$B$11),"포함","기간 밖"))</f>
        <v/>
      </c>
      <c r="BB231" s="2">
        <f>IF($AS231="","",IF(OR($AT231&lt;0,AND($I$6&lt;&gt;"",ISNUMBER(FIND("수정",INDEX($A:$AP,ROW(),IF($I$6="",1,$I$6))&amp;"")))),"수정","일반"))</f>
        <v/>
      </c>
      <c r="BC231" s="2">
        <f>IF($AS231="","",MID(IF($BA231="기간 밖"," / 기간 밖(신고기간 아님)","")&amp;IF(AND($AW231&lt;&gt;"",COUNTIF($AW$8:$AW$1007,$AW231)&gt;1)," / 승인번호 중복(두 번 붙여넣기?)","")&amp;IF(ABS($AU231-ROUND($AT231*0.1,0))&gt;설정!$B$8,IF($AU231=0," / 세액 0원(영세율·면세 여부 확인)"," / 세액이 공급가액 10%와 다름"),"")&amp;IF($BB231="수정"," / 수정세금계산서(합계에서 자동 가감)",""),4,200))</f>
        <v/>
      </c>
      <c r="BD231" s="2">
        <f>IF($BA231&lt;&gt;"포함","",IF(COUNTIFS($AX$8:$AX231,$AX231,$BA$8:$BA231,"포함")=1,MAX($BD$7:BD230)+1,""))</f>
        <v/>
      </c>
      <c r="BE231" s="2">
        <f>IF($BC231="","",MAX($BE$7:BE230)+1)</f>
        <v/>
      </c>
    </row>
    <row r="232">
      <c r="AR232" s="2">
        <f>IF(OR($A$5="",$B$6="",ROW()&lt;$A$5),"",IF(INDEX($A:$AP,ROW(),$B$6)="","",INDEX($A:$AP,ROW(),$B$6)))</f>
        <v/>
      </c>
      <c r="AS232" s="22">
        <f>IF($AR232="","",IF(ISNUMBER($AR232),IF($AR232&gt;=10000000,IFERROR(DATE(INT($AR232/10000),MOD(INT($AR232/100),100),MOD($AR232,100)),""),INT($AR232)),IFERROR(DATE(--LEFT(LEFT(SUBSTITUTE(SUBSTITUTE(SUBSTITUTE(SUBSTITUTE(TRIM($AR232),"-",""),".",""),"/","")," ",""),8),4),--MID(LEFT(SUBSTITUTE(SUBSTITUTE(SUBSTITUTE(SUBSTITUTE(TRIM($AR232),"-",""),".",""),"/","")," ",""),8),5,2),--MID(LEFT(SUBSTITUTE(SUBSTITUTE(SUBSTITUTE(SUBSTITUTE(TRIM($AR232),"-",""),".",""),"/","")," ",""),8),7,2)),"")))</f>
        <v/>
      </c>
      <c r="AT232" s="23">
        <f>IF($AS232="","",IF($F$6="",0,IF(ISNUMBER(INDEX($A:$AP,ROW(),$F$6)),INDEX($A:$AP,ROW(),$F$6),IFERROR(--SUBSTITUTE(SUBSTITUTE(TRIM(INDEX($A:$AP,ROW(),$F$6)),",",""),"원",""),0))))</f>
        <v/>
      </c>
      <c r="AU232" s="23">
        <f>IF($AS232="","",IF($G$6="",0,IF(ISNUMBER(INDEX($A:$AP,ROW(),$G$6)),INDEX($A:$AP,ROW(),$G$6),IFERROR(--SUBSTITUTE(SUBSTITUTE(TRIM(INDEX($A:$AP,ROW(),$G$6)),",",""),"원",""),0))))</f>
        <v/>
      </c>
      <c r="AV232" s="23">
        <f>IF($AS232="","",IF($H$6="",$AT232+$AU232,IF($H$6="",0,IF(ISNUMBER(INDEX($A:$AP,ROW(),$H$6)),INDEX($A:$AP,ROW(),$H$6),IFERROR(--SUBSTITUTE(SUBSTITUTE(TRIM(INDEX($A:$AP,ROW(),$H$6)),",",""),"원",""),0)))))</f>
        <v/>
      </c>
      <c r="AW232" s="2">
        <f>IF(OR($AS232="",$C$6=""),"",TRIM(INDEX($A:$AP,ROW(),$C$6)&amp;""))</f>
        <v/>
      </c>
      <c r="AX232" s="2">
        <f>IF($AS232="","",IF($AZ232&lt;&gt;"",SUBSTITUTE(SUBSTITUTE($AZ232,"-","")," ",""),$AY232))</f>
        <v/>
      </c>
      <c r="AY232" s="2">
        <f>IF(OR($AS232="",$E$6=""),"",TRIM(INDEX($A:$AP,ROW(),$E$6)&amp;""))</f>
        <v/>
      </c>
      <c r="AZ232" s="2">
        <f>IF(OR($AS232="",$D$6=""),"",TRIM(INDEX($A:$AP,ROW(),$D$6)&amp;""))</f>
        <v/>
      </c>
      <c r="BA232" s="2">
        <f>IF($AS232="","",IF(AND($AS232&gt;=설정!$B$10,$AS232&lt;=설정!$B$11),"포함","기간 밖"))</f>
        <v/>
      </c>
      <c r="BB232" s="2">
        <f>IF($AS232="","",IF(OR($AT232&lt;0,AND($I$6&lt;&gt;"",ISNUMBER(FIND("수정",INDEX($A:$AP,ROW(),IF($I$6="",1,$I$6))&amp;"")))),"수정","일반"))</f>
        <v/>
      </c>
      <c r="BC232" s="2">
        <f>IF($AS232="","",MID(IF($BA232="기간 밖"," / 기간 밖(신고기간 아님)","")&amp;IF(AND($AW232&lt;&gt;"",COUNTIF($AW$8:$AW$1007,$AW232)&gt;1)," / 승인번호 중복(두 번 붙여넣기?)","")&amp;IF(ABS($AU232-ROUND($AT232*0.1,0))&gt;설정!$B$8,IF($AU232=0," / 세액 0원(영세율·면세 여부 확인)"," / 세액이 공급가액 10%와 다름"),"")&amp;IF($BB232="수정"," / 수정세금계산서(합계에서 자동 가감)",""),4,200))</f>
        <v/>
      </c>
      <c r="BD232" s="2">
        <f>IF($BA232&lt;&gt;"포함","",IF(COUNTIFS($AX$8:$AX232,$AX232,$BA$8:$BA232,"포함")=1,MAX($BD$7:BD231)+1,""))</f>
        <v/>
      </c>
      <c r="BE232" s="2">
        <f>IF($BC232="","",MAX($BE$7:BE231)+1)</f>
        <v/>
      </c>
    </row>
    <row r="233">
      <c r="AR233" s="2">
        <f>IF(OR($A$5="",$B$6="",ROW()&lt;$A$5),"",IF(INDEX($A:$AP,ROW(),$B$6)="","",INDEX($A:$AP,ROW(),$B$6)))</f>
        <v/>
      </c>
      <c r="AS233" s="22">
        <f>IF($AR233="","",IF(ISNUMBER($AR233),IF($AR233&gt;=10000000,IFERROR(DATE(INT($AR233/10000),MOD(INT($AR233/100),100),MOD($AR233,100)),""),INT($AR233)),IFERROR(DATE(--LEFT(LEFT(SUBSTITUTE(SUBSTITUTE(SUBSTITUTE(SUBSTITUTE(TRIM($AR233),"-",""),".",""),"/","")," ",""),8),4),--MID(LEFT(SUBSTITUTE(SUBSTITUTE(SUBSTITUTE(SUBSTITUTE(TRIM($AR233),"-",""),".",""),"/","")," ",""),8),5,2),--MID(LEFT(SUBSTITUTE(SUBSTITUTE(SUBSTITUTE(SUBSTITUTE(TRIM($AR233),"-",""),".",""),"/","")," ",""),8),7,2)),"")))</f>
        <v/>
      </c>
      <c r="AT233" s="23">
        <f>IF($AS233="","",IF($F$6="",0,IF(ISNUMBER(INDEX($A:$AP,ROW(),$F$6)),INDEX($A:$AP,ROW(),$F$6),IFERROR(--SUBSTITUTE(SUBSTITUTE(TRIM(INDEX($A:$AP,ROW(),$F$6)),",",""),"원",""),0))))</f>
        <v/>
      </c>
      <c r="AU233" s="23">
        <f>IF($AS233="","",IF($G$6="",0,IF(ISNUMBER(INDEX($A:$AP,ROW(),$G$6)),INDEX($A:$AP,ROW(),$G$6),IFERROR(--SUBSTITUTE(SUBSTITUTE(TRIM(INDEX($A:$AP,ROW(),$G$6)),",",""),"원",""),0))))</f>
        <v/>
      </c>
      <c r="AV233" s="23">
        <f>IF($AS233="","",IF($H$6="",$AT233+$AU233,IF($H$6="",0,IF(ISNUMBER(INDEX($A:$AP,ROW(),$H$6)),INDEX($A:$AP,ROW(),$H$6),IFERROR(--SUBSTITUTE(SUBSTITUTE(TRIM(INDEX($A:$AP,ROW(),$H$6)),",",""),"원",""),0)))))</f>
        <v/>
      </c>
      <c r="AW233" s="2">
        <f>IF(OR($AS233="",$C$6=""),"",TRIM(INDEX($A:$AP,ROW(),$C$6)&amp;""))</f>
        <v/>
      </c>
      <c r="AX233" s="2">
        <f>IF($AS233="","",IF($AZ233&lt;&gt;"",SUBSTITUTE(SUBSTITUTE($AZ233,"-","")," ",""),$AY233))</f>
        <v/>
      </c>
      <c r="AY233" s="2">
        <f>IF(OR($AS233="",$E$6=""),"",TRIM(INDEX($A:$AP,ROW(),$E$6)&amp;""))</f>
        <v/>
      </c>
      <c r="AZ233" s="2">
        <f>IF(OR($AS233="",$D$6=""),"",TRIM(INDEX($A:$AP,ROW(),$D$6)&amp;""))</f>
        <v/>
      </c>
      <c r="BA233" s="2">
        <f>IF($AS233="","",IF(AND($AS233&gt;=설정!$B$10,$AS233&lt;=설정!$B$11),"포함","기간 밖"))</f>
        <v/>
      </c>
      <c r="BB233" s="2">
        <f>IF($AS233="","",IF(OR($AT233&lt;0,AND($I$6&lt;&gt;"",ISNUMBER(FIND("수정",INDEX($A:$AP,ROW(),IF($I$6="",1,$I$6))&amp;"")))),"수정","일반"))</f>
        <v/>
      </c>
      <c r="BC233" s="2">
        <f>IF($AS233="","",MID(IF($BA233="기간 밖"," / 기간 밖(신고기간 아님)","")&amp;IF(AND($AW233&lt;&gt;"",COUNTIF($AW$8:$AW$1007,$AW233)&gt;1)," / 승인번호 중복(두 번 붙여넣기?)","")&amp;IF(ABS($AU233-ROUND($AT233*0.1,0))&gt;설정!$B$8,IF($AU233=0," / 세액 0원(영세율·면세 여부 확인)"," / 세액이 공급가액 10%와 다름"),"")&amp;IF($BB233="수정"," / 수정세금계산서(합계에서 자동 가감)",""),4,200))</f>
        <v/>
      </c>
      <c r="BD233" s="2">
        <f>IF($BA233&lt;&gt;"포함","",IF(COUNTIFS($AX$8:$AX233,$AX233,$BA$8:$BA233,"포함")=1,MAX($BD$7:BD232)+1,""))</f>
        <v/>
      </c>
      <c r="BE233" s="2">
        <f>IF($BC233="","",MAX($BE$7:BE232)+1)</f>
        <v/>
      </c>
    </row>
    <row r="234">
      <c r="AR234" s="2">
        <f>IF(OR($A$5="",$B$6="",ROW()&lt;$A$5),"",IF(INDEX($A:$AP,ROW(),$B$6)="","",INDEX($A:$AP,ROW(),$B$6)))</f>
        <v/>
      </c>
      <c r="AS234" s="22">
        <f>IF($AR234="","",IF(ISNUMBER($AR234),IF($AR234&gt;=10000000,IFERROR(DATE(INT($AR234/10000),MOD(INT($AR234/100),100),MOD($AR234,100)),""),INT($AR234)),IFERROR(DATE(--LEFT(LEFT(SUBSTITUTE(SUBSTITUTE(SUBSTITUTE(SUBSTITUTE(TRIM($AR234),"-",""),".",""),"/","")," ",""),8),4),--MID(LEFT(SUBSTITUTE(SUBSTITUTE(SUBSTITUTE(SUBSTITUTE(TRIM($AR234),"-",""),".",""),"/","")," ",""),8),5,2),--MID(LEFT(SUBSTITUTE(SUBSTITUTE(SUBSTITUTE(SUBSTITUTE(TRIM($AR234),"-",""),".",""),"/","")," ",""),8),7,2)),"")))</f>
        <v/>
      </c>
      <c r="AT234" s="23">
        <f>IF($AS234="","",IF($F$6="",0,IF(ISNUMBER(INDEX($A:$AP,ROW(),$F$6)),INDEX($A:$AP,ROW(),$F$6),IFERROR(--SUBSTITUTE(SUBSTITUTE(TRIM(INDEX($A:$AP,ROW(),$F$6)),",",""),"원",""),0))))</f>
        <v/>
      </c>
      <c r="AU234" s="23">
        <f>IF($AS234="","",IF($G$6="",0,IF(ISNUMBER(INDEX($A:$AP,ROW(),$G$6)),INDEX($A:$AP,ROW(),$G$6),IFERROR(--SUBSTITUTE(SUBSTITUTE(TRIM(INDEX($A:$AP,ROW(),$G$6)),",",""),"원",""),0))))</f>
        <v/>
      </c>
      <c r="AV234" s="23">
        <f>IF($AS234="","",IF($H$6="",$AT234+$AU234,IF($H$6="",0,IF(ISNUMBER(INDEX($A:$AP,ROW(),$H$6)),INDEX($A:$AP,ROW(),$H$6),IFERROR(--SUBSTITUTE(SUBSTITUTE(TRIM(INDEX($A:$AP,ROW(),$H$6)),",",""),"원",""),0)))))</f>
        <v/>
      </c>
      <c r="AW234" s="2">
        <f>IF(OR($AS234="",$C$6=""),"",TRIM(INDEX($A:$AP,ROW(),$C$6)&amp;""))</f>
        <v/>
      </c>
      <c r="AX234" s="2">
        <f>IF($AS234="","",IF($AZ234&lt;&gt;"",SUBSTITUTE(SUBSTITUTE($AZ234,"-","")," ",""),$AY234))</f>
        <v/>
      </c>
      <c r="AY234" s="2">
        <f>IF(OR($AS234="",$E$6=""),"",TRIM(INDEX($A:$AP,ROW(),$E$6)&amp;""))</f>
        <v/>
      </c>
      <c r="AZ234" s="2">
        <f>IF(OR($AS234="",$D$6=""),"",TRIM(INDEX($A:$AP,ROW(),$D$6)&amp;""))</f>
        <v/>
      </c>
      <c r="BA234" s="2">
        <f>IF($AS234="","",IF(AND($AS234&gt;=설정!$B$10,$AS234&lt;=설정!$B$11),"포함","기간 밖"))</f>
        <v/>
      </c>
      <c r="BB234" s="2">
        <f>IF($AS234="","",IF(OR($AT234&lt;0,AND($I$6&lt;&gt;"",ISNUMBER(FIND("수정",INDEX($A:$AP,ROW(),IF($I$6="",1,$I$6))&amp;"")))),"수정","일반"))</f>
        <v/>
      </c>
      <c r="BC234" s="2">
        <f>IF($AS234="","",MID(IF($BA234="기간 밖"," / 기간 밖(신고기간 아님)","")&amp;IF(AND($AW234&lt;&gt;"",COUNTIF($AW$8:$AW$1007,$AW234)&gt;1)," / 승인번호 중복(두 번 붙여넣기?)","")&amp;IF(ABS($AU234-ROUND($AT234*0.1,0))&gt;설정!$B$8,IF($AU234=0," / 세액 0원(영세율·면세 여부 확인)"," / 세액이 공급가액 10%와 다름"),"")&amp;IF($BB234="수정"," / 수정세금계산서(합계에서 자동 가감)",""),4,200))</f>
        <v/>
      </c>
      <c r="BD234" s="2">
        <f>IF($BA234&lt;&gt;"포함","",IF(COUNTIFS($AX$8:$AX234,$AX234,$BA$8:$BA234,"포함")=1,MAX($BD$7:BD233)+1,""))</f>
        <v/>
      </c>
      <c r="BE234" s="2">
        <f>IF($BC234="","",MAX($BE$7:BE233)+1)</f>
        <v/>
      </c>
    </row>
    <row r="235">
      <c r="AR235" s="2">
        <f>IF(OR($A$5="",$B$6="",ROW()&lt;$A$5),"",IF(INDEX($A:$AP,ROW(),$B$6)="","",INDEX($A:$AP,ROW(),$B$6)))</f>
        <v/>
      </c>
      <c r="AS235" s="22">
        <f>IF($AR235="","",IF(ISNUMBER($AR235),IF($AR235&gt;=10000000,IFERROR(DATE(INT($AR235/10000),MOD(INT($AR235/100),100),MOD($AR235,100)),""),INT($AR235)),IFERROR(DATE(--LEFT(LEFT(SUBSTITUTE(SUBSTITUTE(SUBSTITUTE(SUBSTITUTE(TRIM($AR235),"-",""),".",""),"/","")," ",""),8),4),--MID(LEFT(SUBSTITUTE(SUBSTITUTE(SUBSTITUTE(SUBSTITUTE(TRIM($AR235),"-",""),".",""),"/","")," ",""),8),5,2),--MID(LEFT(SUBSTITUTE(SUBSTITUTE(SUBSTITUTE(SUBSTITUTE(TRIM($AR235),"-",""),".",""),"/","")," ",""),8),7,2)),"")))</f>
        <v/>
      </c>
      <c r="AT235" s="23">
        <f>IF($AS235="","",IF($F$6="",0,IF(ISNUMBER(INDEX($A:$AP,ROW(),$F$6)),INDEX($A:$AP,ROW(),$F$6),IFERROR(--SUBSTITUTE(SUBSTITUTE(TRIM(INDEX($A:$AP,ROW(),$F$6)),",",""),"원",""),0))))</f>
        <v/>
      </c>
      <c r="AU235" s="23">
        <f>IF($AS235="","",IF($G$6="",0,IF(ISNUMBER(INDEX($A:$AP,ROW(),$G$6)),INDEX($A:$AP,ROW(),$G$6),IFERROR(--SUBSTITUTE(SUBSTITUTE(TRIM(INDEX($A:$AP,ROW(),$G$6)),",",""),"원",""),0))))</f>
        <v/>
      </c>
      <c r="AV235" s="23">
        <f>IF($AS235="","",IF($H$6="",$AT235+$AU235,IF($H$6="",0,IF(ISNUMBER(INDEX($A:$AP,ROW(),$H$6)),INDEX($A:$AP,ROW(),$H$6),IFERROR(--SUBSTITUTE(SUBSTITUTE(TRIM(INDEX($A:$AP,ROW(),$H$6)),",",""),"원",""),0)))))</f>
        <v/>
      </c>
      <c r="AW235" s="2">
        <f>IF(OR($AS235="",$C$6=""),"",TRIM(INDEX($A:$AP,ROW(),$C$6)&amp;""))</f>
        <v/>
      </c>
      <c r="AX235" s="2">
        <f>IF($AS235="","",IF($AZ235&lt;&gt;"",SUBSTITUTE(SUBSTITUTE($AZ235,"-","")," ",""),$AY235))</f>
        <v/>
      </c>
      <c r="AY235" s="2">
        <f>IF(OR($AS235="",$E$6=""),"",TRIM(INDEX($A:$AP,ROW(),$E$6)&amp;""))</f>
        <v/>
      </c>
      <c r="AZ235" s="2">
        <f>IF(OR($AS235="",$D$6=""),"",TRIM(INDEX($A:$AP,ROW(),$D$6)&amp;""))</f>
        <v/>
      </c>
      <c r="BA235" s="2">
        <f>IF($AS235="","",IF(AND($AS235&gt;=설정!$B$10,$AS235&lt;=설정!$B$11),"포함","기간 밖"))</f>
        <v/>
      </c>
      <c r="BB235" s="2">
        <f>IF($AS235="","",IF(OR($AT235&lt;0,AND($I$6&lt;&gt;"",ISNUMBER(FIND("수정",INDEX($A:$AP,ROW(),IF($I$6="",1,$I$6))&amp;"")))),"수정","일반"))</f>
        <v/>
      </c>
      <c r="BC235" s="2">
        <f>IF($AS235="","",MID(IF($BA235="기간 밖"," / 기간 밖(신고기간 아님)","")&amp;IF(AND($AW235&lt;&gt;"",COUNTIF($AW$8:$AW$1007,$AW235)&gt;1)," / 승인번호 중복(두 번 붙여넣기?)","")&amp;IF(ABS($AU235-ROUND($AT235*0.1,0))&gt;설정!$B$8,IF($AU235=0," / 세액 0원(영세율·면세 여부 확인)"," / 세액이 공급가액 10%와 다름"),"")&amp;IF($BB235="수정"," / 수정세금계산서(합계에서 자동 가감)",""),4,200))</f>
        <v/>
      </c>
      <c r="BD235" s="2">
        <f>IF($BA235&lt;&gt;"포함","",IF(COUNTIFS($AX$8:$AX235,$AX235,$BA$8:$BA235,"포함")=1,MAX($BD$7:BD234)+1,""))</f>
        <v/>
      </c>
      <c r="BE235" s="2">
        <f>IF($BC235="","",MAX($BE$7:BE234)+1)</f>
        <v/>
      </c>
    </row>
    <row r="236">
      <c r="AR236" s="2">
        <f>IF(OR($A$5="",$B$6="",ROW()&lt;$A$5),"",IF(INDEX($A:$AP,ROW(),$B$6)="","",INDEX($A:$AP,ROW(),$B$6)))</f>
        <v/>
      </c>
      <c r="AS236" s="22">
        <f>IF($AR236="","",IF(ISNUMBER($AR236),IF($AR236&gt;=10000000,IFERROR(DATE(INT($AR236/10000),MOD(INT($AR236/100),100),MOD($AR236,100)),""),INT($AR236)),IFERROR(DATE(--LEFT(LEFT(SUBSTITUTE(SUBSTITUTE(SUBSTITUTE(SUBSTITUTE(TRIM($AR236),"-",""),".",""),"/","")," ",""),8),4),--MID(LEFT(SUBSTITUTE(SUBSTITUTE(SUBSTITUTE(SUBSTITUTE(TRIM($AR236),"-",""),".",""),"/","")," ",""),8),5,2),--MID(LEFT(SUBSTITUTE(SUBSTITUTE(SUBSTITUTE(SUBSTITUTE(TRIM($AR236),"-",""),".",""),"/","")," ",""),8),7,2)),"")))</f>
        <v/>
      </c>
      <c r="AT236" s="23">
        <f>IF($AS236="","",IF($F$6="",0,IF(ISNUMBER(INDEX($A:$AP,ROW(),$F$6)),INDEX($A:$AP,ROW(),$F$6),IFERROR(--SUBSTITUTE(SUBSTITUTE(TRIM(INDEX($A:$AP,ROW(),$F$6)),",",""),"원",""),0))))</f>
        <v/>
      </c>
      <c r="AU236" s="23">
        <f>IF($AS236="","",IF($G$6="",0,IF(ISNUMBER(INDEX($A:$AP,ROW(),$G$6)),INDEX($A:$AP,ROW(),$G$6),IFERROR(--SUBSTITUTE(SUBSTITUTE(TRIM(INDEX($A:$AP,ROW(),$G$6)),",",""),"원",""),0))))</f>
        <v/>
      </c>
      <c r="AV236" s="23">
        <f>IF($AS236="","",IF($H$6="",$AT236+$AU236,IF($H$6="",0,IF(ISNUMBER(INDEX($A:$AP,ROW(),$H$6)),INDEX($A:$AP,ROW(),$H$6),IFERROR(--SUBSTITUTE(SUBSTITUTE(TRIM(INDEX($A:$AP,ROW(),$H$6)),",",""),"원",""),0)))))</f>
        <v/>
      </c>
      <c r="AW236" s="2">
        <f>IF(OR($AS236="",$C$6=""),"",TRIM(INDEX($A:$AP,ROW(),$C$6)&amp;""))</f>
        <v/>
      </c>
      <c r="AX236" s="2">
        <f>IF($AS236="","",IF($AZ236&lt;&gt;"",SUBSTITUTE(SUBSTITUTE($AZ236,"-","")," ",""),$AY236))</f>
        <v/>
      </c>
      <c r="AY236" s="2">
        <f>IF(OR($AS236="",$E$6=""),"",TRIM(INDEX($A:$AP,ROW(),$E$6)&amp;""))</f>
        <v/>
      </c>
      <c r="AZ236" s="2">
        <f>IF(OR($AS236="",$D$6=""),"",TRIM(INDEX($A:$AP,ROW(),$D$6)&amp;""))</f>
        <v/>
      </c>
      <c r="BA236" s="2">
        <f>IF($AS236="","",IF(AND($AS236&gt;=설정!$B$10,$AS236&lt;=설정!$B$11),"포함","기간 밖"))</f>
        <v/>
      </c>
      <c r="BB236" s="2">
        <f>IF($AS236="","",IF(OR($AT236&lt;0,AND($I$6&lt;&gt;"",ISNUMBER(FIND("수정",INDEX($A:$AP,ROW(),IF($I$6="",1,$I$6))&amp;"")))),"수정","일반"))</f>
        <v/>
      </c>
      <c r="BC236" s="2">
        <f>IF($AS236="","",MID(IF($BA236="기간 밖"," / 기간 밖(신고기간 아님)","")&amp;IF(AND($AW236&lt;&gt;"",COUNTIF($AW$8:$AW$1007,$AW236)&gt;1)," / 승인번호 중복(두 번 붙여넣기?)","")&amp;IF(ABS($AU236-ROUND($AT236*0.1,0))&gt;설정!$B$8,IF($AU236=0," / 세액 0원(영세율·면세 여부 확인)"," / 세액이 공급가액 10%와 다름"),"")&amp;IF($BB236="수정"," / 수정세금계산서(합계에서 자동 가감)",""),4,200))</f>
        <v/>
      </c>
      <c r="BD236" s="2">
        <f>IF($BA236&lt;&gt;"포함","",IF(COUNTIFS($AX$8:$AX236,$AX236,$BA$8:$BA236,"포함")=1,MAX($BD$7:BD235)+1,""))</f>
        <v/>
      </c>
      <c r="BE236" s="2">
        <f>IF($BC236="","",MAX($BE$7:BE235)+1)</f>
        <v/>
      </c>
    </row>
    <row r="237">
      <c r="AR237" s="2">
        <f>IF(OR($A$5="",$B$6="",ROW()&lt;$A$5),"",IF(INDEX($A:$AP,ROW(),$B$6)="","",INDEX($A:$AP,ROW(),$B$6)))</f>
        <v/>
      </c>
      <c r="AS237" s="22">
        <f>IF($AR237="","",IF(ISNUMBER($AR237),IF($AR237&gt;=10000000,IFERROR(DATE(INT($AR237/10000),MOD(INT($AR237/100),100),MOD($AR237,100)),""),INT($AR237)),IFERROR(DATE(--LEFT(LEFT(SUBSTITUTE(SUBSTITUTE(SUBSTITUTE(SUBSTITUTE(TRIM($AR237),"-",""),".",""),"/","")," ",""),8),4),--MID(LEFT(SUBSTITUTE(SUBSTITUTE(SUBSTITUTE(SUBSTITUTE(TRIM($AR237),"-",""),".",""),"/","")," ",""),8),5,2),--MID(LEFT(SUBSTITUTE(SUBSTITUTE(SUBSTITUTE(SUBSTITUTE(TRIM($AR237),"-",""),".",""),"/","")," ",""),8),7,2)),"")))</f>
        <v/>
      </c>
      <c r="AT237" s="23">
        <f>IF($AS237="","",IF($F$6="",0,IF(ISNUMBER(INDEX($A:$AP,ROW(),$F$6)),INDEX($A:$AP,ROW(),$F$6),IFERROR(--SUBSTITUTE(SUBSTITUTE(TRIM(INDEX($A:$AP,ROW(),$F$6)),",",""),"원",""),0))))</f>
        <v/>
      </c>
      <c r="AU237" s="23">
        <f>IF($AS237="","",IF($G$6="",0,IF(ISNUMBER(INDEX($A:$AP,ROW(),$G$6)),INDEX($A:$AP,ROW(),$G$6),IFERROR(--SUBSTITUTE(SUBSTITUTE(TRIM(INDEX($A:$AP,ROW(),$G$6)),",",""),"원",""),0))))</f>
        <v/>
      </c>
      <c r="AV237" s="23">
        <f>IF($AS237="","",IF($H$6="",$AT237+$AU237,IF($H$6="",0,IF(ISNUMBER(INDEX($A:$AP,ROW(),$H$6)),INDEX($A:$AP,ROW(),$H$6),IFERROR(--SUBSTITUTE(SUBSTITUTE(TRIM(INDEX($A:$AP,ROW(),$H$6)),",",""),"원",""),0)))))</f>
        <v/>
      </c>
      <c r="AW237" s="2">
        <f>IF(OR($AS237="",$C$6=""),"",TRIM(INDEX($A:$AP,ROW(),$C$6)&amp;""))</f>
        <v/>
      </c>
      <c r="AX237" s="2">
        <f>IF($AS237="","",IF($AZ237&lt;&gt;"",SUBSTITUTE(SUBSTITUTE($AZ237,"-","")," ",""),$AY237))</f>
        <v/>
      </c>
      <c r="AY237" s="2">
        <f>IF(OR($AS237="",$E$6=""),"",TRIM(INDEX($A:$AP,ROW(),$E$6)&amp;""))</f>
        <v/>
      </c>
      <c r="AZ237" s="2">
        <f>IF(OR($AS237="",$D$6=""),"",TRIM(INDEX($A:$AP,ROW(),$D$6)&amp;""))</f>
        <v/>
      </c>
      <c r="BA237" s="2">
        <f>IF($AS237="","",IF(AND($AS237&gt;=설정!$B$10,$AS237&lt;=설정!$B$11),"포함","기간 밖"))</f>
        <v/>
      </c>
      <c r="BB237" s="2">
        <f>IF($AS237="","",IF(OR($AT237&lt;0,AND($I$6&lt;&gt;"",ISNUMBER(FIND("수정",INDEX($A:$AP,ROW(),IF($I$6="",1,$I$6))&amp;"")))),"수정","일반"))</f>
        <v/>
      </c>
      <c r="BC237" s="2">
        <f>IF($AS237="","",MID(IF($BA237="기간 밖"," / 기간 밖(신고기간 아님)","")&amp;IF(AND($AW237&lt;&gt;"",COUNTIF($AW$8:$AW$1007,$AW237)&gt;1)," / 승인번호 중복(두 번 붙여넣기?)","")&amp;IF(ABS($AU237-ROUND($AT237*0.1,0))&gt;설정!$B$8,IF($AU237=0," / 세액 0원(영세율·면세 여부 확인)"," / 세액이 공급가액 10%와 다름"),"")&amp;IF($BB237="수정"," / 수정세금계산서(합계에서 자동 가감)",""),4,200))</f>
        <v/>
      </c>
      <c r="BD237" s="2">
        <f>IF($BA237&lt;&gt;"포함","",IF(COUNTIFS($AX$8:$AX237,$AX237,$BA$8:$BA237,"포함")=1,MAX($BD$7:BD236)+1,""))</f>
        <v/>
      </c>
      <c r="BE237" s="2">
        <f>IF($BC237="","",MAX($BE$7:BE236)+1)</f>
        <v/>
      </c>
    </row>
    <row r="238">
      <c r="AR238" s="2">
        <f>IF(OR($A$5="",$B$6="",ROW()&lt;$A$5),"",IF(INDEX($A:$AP,ROW(),$B$6)="","",INDEX($A:$AP,ROW(),$B$6)))</f>
        <v/>
      </c>
      <c r="AS238" s="22">
        <f>IF($AR238="","",IF(ISNUMBER($AR238),IF($AR238&gt;=10000000,IFERROR(DATE(INT($AR238/10000),MOD(INT($AR238/100),100),MOD($AR238,100)),""),INT($AR238)),IFERROR(DATE(--LEFT(LEFT(SUBSTITUTE(SUBSTITUTE(SUBSTITUTE(SUBSTITUTE(TRIM($AR238),"-",""),".",""),"/","")," ",""),8),4),--MID(LEFT(SUBSTITUTE(SUBSTITUTE(SUBSTITUTE(SUBSTITUTE(TRIM($AR238),"-",""),".",""),"/","")," ",""),8),5,2),--MID(LEFT(SUBSTITUTE(SUBSTITUTE(SUBSTITUTE(SUBSTITUTE(TRIM($AR238),"-",""),".",""),"/","")," ",""),8),7,2)),"")))</f>
        <v/>
      </c>
      <c r="AT238" s="23">
        <f>IF($AS238="","",IF($F$6="",0,IF(ISNUMBER(INDEX($A:$AP,ROW(),$F$6)),INDEX($A:$AP,ROW(),$F$6),IFERROR(--SUBSTITUTE(SUBSTITUTE(TRIM(INDEX($A:$AP,ROW(),$F$6)),",",""),"원",""),0))))</f>
        <v/>
      </c>
      <c r="AU238" s="23">
        <f>IF($AS238="","",IF($G$6="",0,IF(ISNUMBER(INDEX($A:$AP,ROW(),$G$6)),INDEX($A:$AP,ROW(),$G$6),IFERROR(--SUBSTITUTE(SUBSTITUTE(TRIM(INDEX($A:$AP,ROW(),$G$6)),",",""),"원",""),0))))</f>
        <v/>
      </c>
      <c r="AV238" s="23">
        <f>IF($AS238="","",IF($H$6="",$AT238+$AU238,IF($H$6="",0,IF(ISNUMBER(INDEX($A:$AP,ROW(),$H$6)),INDEX($A:$AP,ROW(),$H$6),IFERROR(--SUBSTITUTE(SUBSTITUTE(TRIM(INDEX($A:$AP,ROW(),$H$6)),",",""),"원",""),0)))))</f>
        <v/>
      </c>
      <c r="AW238" s="2">
        <f>IF(OR($AS238="",$C$6=""),"",TRIM(INDEX($A:$AP,ROW(),$C$6)&amp;""))</f>
        <v/>
      </c>
      <c r="AX238" s="2">
        <f>IF($AS238="","",IF($AZ238&lt;&gt;"",SUBSTITUTE(SUBSTITUTE($AZ238,"-","")," ",""),$AY238))</f>
        <v/>
      </c>
      <c r="AY238" s="2">
        <f>IF(OR($AS238="",$E$6=""),"",TRIM(INDEX($A:$AP,ROW(),$E$6)&amp;""))</f>
        <v/>
      </c>
      <c r="AZ238" s="2">
        <f>IF(OR($AS238="",$D$6=""),"",TRIM(INDEX($A:$AP,ROW(),$D$6)&amp;""))</f>
        <v/>
      </c>
      <c r="BA238" s="2">
        <f>IF($AS238="","",IF(AND($AS238&gt;=설정!$B$10,$AS238&lt;=설정!$B$11),"포함","기간 밖"))</f>
        <v/>
      </c>
      <c r="BB238" s="2">
        <f>IF($AS238="","",IF(OR($AT238&lt;0,AND($I$6&lt;&gt;"",ISNUMBER(FIND("수정",INDEX($A:$AP,ROW(),IF($I$6="",1,$I$6))&amp;"")))),"수정","일반"))</f>
        <v/>
      </c>
      <c r="BC238" s="2">
        <f>IF($AS238="","",MID(IF($BA238="기간 밖"," / 기간 밖(신고기간 아님)","")&amp;IF(AND($AW238&lt;&gt;"",COUNTIF($AW$8:$AW$1007,$AW238)&gt;1)," / 승인번호 중복(두 번 붙여넣기?)","")&amp;IF(ABS($AU238-ROUND($AT238*0.1,0))&gt;설정!$B$8,IF($AU238=0," / 세액 0원(영세율·면세 여부 확인)"," / 세액이 공급가액 10%와 다름"),"")&amp;IF($BB238="수정"," / 수정세금계산서(합계에서 자동 가감)",""),4,200))</f>
        <v/>
      </c>
      <c r="BD238" s="2">
        <f>IF($BA238&lt;&gt;"포함","",IF(COUNTIFS($AX$8:$AX238,$AX238,$BA$8:$BA238,"포함")=1,MAX($BD$7:BD237)+1,""))</f>
        <v/>
      </c>
      <c r="BE238" s="2">
        <f>IF($BC238="","",MAX($BE$7:BE237)+1)</f>
        <v/>
      </c>
    </row>
    <row r="239">
      <c r="AR239" s="2">
        <f>IF(OR($A$5="",$B$6="",ROW()&lt;$A$5),"",IF(INDEX($A:$AP,ROW(),$B$6)="","",INDEX($A:$AP,ROW(),$B$6)))</f>
        <v/>
      </c>
      <c r="AS239" s="22">
        <f>IF($AR239="","",IF(ISNUMBER($AR239),IF($AR239&gt;=10000000,IFERROR(DATE(INT($AR239/10000),MOD(INT($AR239/100),100),MOD($AR239,100)),""),INT($AR239)),IFERROR(DATE(--LEFT(LEFT(SUBSTITUTE(SUBSTITUTE(SUBSTITUTE(SUBSTITUTE(TRIM($AR239),"-",""),".",""),"/","")," ",""),8),4),--MID(LEFT(SUBSTITUTE(SUBSTITUTE(SUBSTITUTE(SUBSTITUTE(TRIM($AR239),"-",""),".",""),"/","")," ",""),8),5,2),--MID(LEFT(SUBSTITUTE(SUBSTITUTE(SUBSTITUTE(SUBSTITUTE(TRIM($AR239),"-",""),".",""),"/","")," ",""),8),7,2)),"")))</f>
        <v/>
      </c>
      <c r="AT239" s="23">
        <f>IF($AS239="","",IF($F$6="",0,IF(ISNUMBER(INDEX($A:$AP,ROW(),$F$6)),INDEX($A:$AP,ROW(),$F$6),IFERROR(--SUBSTITUTE(SUBSTITUTE(TRIM(INDEX($A:$AP,ROW(),$F$6)),",",""),"원",""),0))))</f>
        <v/>
      </c>
      <c r="AU239" s="23">
        <f>IF($AS239="","",IF($G$6="",0,IF(ISNUMBER(INDEX($A:$AP,ROW(),$G$6)),INDEX($A:$AP,ROW(),$G$6),IFERROR(--SUBSTITUTE(SUBSTITUTE(TRIM(INDEX($A:$AP,ROW(),$G$6)),",",""),"원",""),0))))</f>
        <v/>
      </c>
      <c r="AV239" s="23">
        <f>IF($AS239="","",IF($H$6="",$AT239+$AU239,IF($H$6="",0,IF(ISNUMBER(INDEX($A:$AP,ROW(),$H$6)),INDEX($A:$AP,ROW(),$H$6),IFERROR(--SUBSTITUTE(SUBSTITUTE(TRIM(INDEX($A:$AP,ROW(),$H$6)),",",""),"원",""),0)))))</f>
        <v/>
      </c>
      <c r="AW239" s="2">
        <f>IF(OR($AS239="",$C$6=""),"",TRIM(INDEX($A:$AP,ROW(),$C$6)&amp;""))</f>
        <v/>
      </c>
      <c r="AX239" s="2">
        <f>IF($AS239="","",IF($AZ239&lt;&gt;"",SUBSTITUTE(SUBSTITUTE($AZ239,"-","")," ",""),$AY239))</f>
        <v/>
      </c>
      <c r="AY239" s="2">
        <f>IF(OR($AS239="",$E$6=""),"",TRIM(INDEX($A:$AP,ROW(),$E$6)&amp;""))</f>
        <v/>
      </c>
      <c r="AZ239" s="2">
        <f>IF(OR($AS239="",$D$6=""),"",TRIM(INDEX($A:$AP,ROW(),$D$6)&amp;""))</f>
        <v/>
      </c>
      <c r="BA239" s="2">
        <f>IF($AS239="","",IF(AND($AS239&gt;=설정!$B$10,$AS239&lt;=설정!$B$11),"포함","기간 밖"))</f>
        <v/>
      </c>
      <c r="BB239" s="2">
        <f>IF($AS239="","",IF(OR($AT239&lt;0,AND($I$6&lt;&gt;"",ISNUMBER(FIND("수정",INDEX($A:$AP,ROW(),IF($I$6="",1,$I$6))&amp;"")))),"수정","일반"))</f>
        <v/>
      </c>
      <c r="BC239" s="2">
        <f>IF($AS239="","",MID(IF($BA239="기간 밖"," / 기간 밖(신고기간 아님)","")&amp;IF(AND($AW239&lt;&gt;"",COUNTIF($AW$8:$AW$1007,$AW239)&gt;1)," / 승인번호 중복(두 번 붙여넣기?)","")&amp;IF(ABS($AU239-ROUND($AT239*0.1,0))&gt;설정!$B$8,IF($AU239=0," / 세액 0원(영세율·면세 여부 확인)"," / 세액이 공급가액 10%와 다름"),"")&amp;IF($BB239="수정"," / 수정세금계산서(합계에서 자동 가감)",""),4,200))</f>
        <v/>
      </c>
      <c r="BD239" s="2">
        <f>IF($BA239&lt;&gt;"포함","",IF(COUNTIFS($AX$8:$AX239,$AX239,$BA$8:$BA239,"포함")=1,MAX($BD$7:BD238)+1,""))</f>
        <v/>
      </c>
      <c r="BE239" s="2">
        <f>IF($BC239="","",MAX($BE$7:BE238)+1)</f>
        <v/>
      </c>
    </row>
    <row r="240">
      <c r="AR240" s="2">
        <f>IF(OR($A$5="",$B$6="",ROW()&lt;$A$5),"",IF(INDEX($A:$AP,ROW(),$B$6)="","",INDEX($A:$AP,ROW(),$B$6)))</f>
        <v/>
      </c>
      <c r="AS240" s="22">
        <f>IF($AR240="","",IF(ISNUMBER($AR240),IF($AR240&gt;=10000000,IFERROR(DATE(INT($AR240/10000),MOD(INT($AR240/100),100),MOD($AR240,100)),""),INT($AR240)),IFERROR(DATE(--LEFT(LEFT(SUBSTITUTE(SUBSTITUTE(SUBSTITUTE(SUBSTITUTE(TRIM($AR240),"-",""),".",""),"/","")," ",""),8),4),--MID(LEFT(SUBSTITUTE(SUBSTITUTE(SUBSTITUTE(SUBSTITUTE(TRIM($AR240),"-",""),".",""),"/","")," ",""),8),5,2),--MID(LEFT(SUBSTITUTE(SUBSTITUTE(SUBSTITUTE(SUBSTITUTE(TRIM($AR240),"-",""),".",""),"/","")," ",""),8),7,2)),"")))</f>
        <v/>
      </c>
      <c r="AT240" s="23">
        <f>IF($AS240="","",IF($F$6="",0,IF(ISNUMBER(INDEX($A:$AP,ROW(),$F$6)),INDEX($A:$AP,ROW(),$F$6),IFERROR(--SUBSTITUTE(SUBSTITUTE(TRIM(INDEX($A:$AP,ROW(),$F$6)),",",""),"원",""),0))))</f>
        <v/>
      </c>
      <c r="AU240" s="23">
        <f>IF($AS240="","",IF($G$6="",0,IF(ISNUMBER(INDEX($A:$AP,ROW(),$G$6)),INDEX($A:$AP,ROW(),$G$6),IFERROR(--SUBSTITUTE(SUBSTITUTE(TRIM(INDEX($A:$AP,ROW(),$G$6)),",",""),"원",""),0))))</f>
        <v/>
      </c>
      <c r="AV240" s="23">
        <f>IF($AS240="","",IF($H$6="",$AT240+$AU240,IF($H$6="",0,IF(ISNUMBER(INDEX($A:$AP,ROW(),$H$6)),INDEX($A:$AP,ROW(),$H$6),IFERROR(--SUBSTITUTE(SUBSTITUTE(TRIM(INDEX($A:$AP,ROW(),$H$6)),",",""),"원",""),0)))))</f>
        <v/>
      </c>
      <c r="AW240" s="2">
        <f>IF(OR($AS240="",$C$6=""),"",TRIM(INDEX($A:$AP,ROW(),$C$6)&amp;""))</f>
        <v/>
      </c>
      <c r="AX240" s="2">
        <f>IF($AS240="","",IF($AZ240&lt;&gt;"",SUBSTITUTE(SUBSTITUTE($AZ240,"-","")," ",""),$AY240))</f>
        <v/>
      </c>
      <c r="AY240" s="2">
        <f>IF(OR($AS240="",$E$6=""),"",TRIM(INDEX($A:$AP,ROW(),$E$6)&amp;""))</f>
        <v/>
      </c>
      <c r="AZ240" s="2">
        <f>IF(OR($AS240="",$D$6=""),"",TRIM(INDEX($A:$AP,ROW(),$D$6)&amp;""))</f>
        <v/>
      </c>
      <c r="BA240" s="2">
        <f>IF($AS240="","",IF(AND($AS240&gt;=설정!$B$10,$AS240&lt;=설정!$B$11),"포함","기간 밖"))</f>
        <v/>
      </c>
      <c r="BB240" s="2">
        <f>IF($AS240="","",IF(OR($AT240&lt;0,AND($I$6&lt;&gt;"",ISNUMBER(FIND("수정",INDEX($A:$AP,ROW(),IF($I$6="",1,$I$6))&amp;"")))),"수정","일반"))</f>
        <v/>
      </c>
      <c r="BC240" s="2">
        <f>IF($AS240="","",MID(IF($BA240="기간 밖"," / 기간 밖(신고기간 아님)","")&amp;IF(AND($AW240&lt;&gt;"",COUNTIF($AW$8:$AW$1007,$AW240)&gt;1)," / 승인번호 중복(두 번 붙여넣기?)","")&amp;IF(ABS($AU240-ROUND($AT240*0.1,0))&gt;설정!$B$8,IF($AU240=0," / 세액 0원(영세율·면세 여부 확인)"," / 세액이 공급가액 10%와 다름"),"")&amp;IF($BB240="수정"," / 수정세금계산서(합계에서 자동 가감)",""),4,200))</f>
        <v/>
      </c>
      <c r="BD240" s="2">
        <f>IF($BA240&lt;&gt;"포함","",IF(COUNTIFS($AX$8:$AX240,$AX240,$BA$8:$BA240,"포함")=1,MAX($BD$7:BD239)+1,""))</f>
        <v/>
      </c>
      <c r="BE240" s="2">
        <f>IF($BC240="","",MAX($BE$7:BE239)+1)</f>
        <v/>
      </c>
    </row>
    <row r="241">
      <c r="AR241" s="2">
        <f>IF(OR($A$5="",$B$6="",ROW()&lt;$A$5),"",IF(INDEX($A:$AP,ROW(),$B$6)="","",INDEX($A:$AP,ROW(),$B$6)))</f>
        <v/>
      </c>
      <c r="AS241" s="22">
        <f>IF($AR241="","",IF(ISNUMBER($AR241),IF($AR241&gt;=10000000,IFERROR(DATE(INT($AR241/10000),MOD(INT($AR241/100),100),MOD($AR241,100)),""),INT($AR241)),IFERROR(DATE(--LEFT(LEFT(SUBSTITUTE(SUBSTITUTE(SUBSTITUTE(SUBSTITUTE(TRIM($AR241),"-",""),".",""),"/","")," ",""),8),4),--MID(LEFT(SUBSTITUTE(SUBSTITUTE(SUBSTITUTE(SUBSTITUTE(TRIM($AR241),"-",""),".",""),"/","")," ",""),8),5,2),--MID(LEFT(SUBSTITUTE(SUBSTITUTE(SUBSTITUTE(SUBSTITUTE(TRIM($AR241),"-",""),".",""),"/","")," ",""),8),7,2)),"")))</f>
        <v/>
      </c>
      <c r="AT241" s="23">
        <f>IF($AS241="","",IF($F$6="",0,IF(ISNUMBER(INDEX($A:$AP,ROW(),$F$6)),INDEX($A:$AP,ROW(),$F$6),IFERROR(--SUBSTITUTE(SUBSTITUTE(TRIM(INDEX($A:$AP,ROW(),$F$6)),",",""),"원",""),0))))</f>
        <v/>
      </c>
      <c r="AU241" s="23">
        <f>IF($AS241="","",IF($G$6="",0,IF(ISNUMBER(INDEX($A:$AP,ROW(),$G$6)),INDEX($A:$AP,ROW(),$G$6),IFERROR(--SUBSTITUTE(SUBSTITUTE(TRIM(INDEX($A:$AP,ROW(),$G$6)),",",""),"원",""),0))))</f>
        <v/>
      </c>
      <c r="AV241" s="23">
        <f>IF($AS241="","",IF($H$6="",$AT241+$AU241,IF($H$6="",0,IF(ISNUMBER(INDEX($A:$AP,ROW(),$H$6)),INDEX($A:$AP,ROW(),$H$6),IFERROR(--SUBSTITUTE(SUBSTITUTE(TRIM(INDEX($A:$AP,ROW(),$H$6)),",",""),"원",""),0)))))</f>
        <v/>
      </c>
      <c r="AW241" s="2">
        <f>IF(OR($AS241="",$C$6=""),"",TRIM(INDEX($A:$AP,ROW(),$C$6)&amp;""))</f>
        <v/>
      </c>
      <c r="AX241" s="2">
        <f>IF($AS241="","",IF($AZ241&lt;&gt;"",SUBSTITUTE(SUBSTITUTE($AZ241,"-","")," ",""),$AY241))</f>
        <v/>
      </c>
      <c r="AY241" s="2">
        <f>IF(OR($AS241="",$E$6=""),"",TRIM(INDEX($A:$AP,ROW(),$E$6)&amp;""))</f>
        <v/>
      </c>
      <c r="AZ241" s="2">
        <f>IF(OR($AS241="",$D$6=""),"",TRIM(INDEX($A:$AP,ROW(),$D$6)&amp;""))</f>
        <v/>
      </c>
      <c r="BA241" s="2">
        <f>IF($AS241="","",IF(AND($AS241&gt;=설정!$B$10,$AS241&lt;=설정!$B$11),"포함","기간 밖"))</f>
        <v/>
      </c>
      <c r="BB241" s="2">
        <f>IF($AS241="","",IF(OR($AT241&lt;0,AND($I$6&lt;&gt;"",ISNUMBER(FIND("수정",INDEX($A:$AP,ROW(),IF($I$6="",1,$I$6))&amp;"")))),"수정","일반"))</f>
        <v/>
      </c>
      <c r="BC241" s="2">
        <f>IF($AS241="","",MID(IF($BA241="기간 밖"," / 기간 밖(신고기간 아님)","")&amp;IF(AND($AW241&lt;&gt;"",COUNTIF($AW$8:$AW$1007,$AW241)&gt;1)," / 승인번호 중복(두 번 붙여넣기?)","")&amp;IF(ABS($AU241-ROUND($AT241*0.1,0))&gt;설정!$B$8,IF($AU241=0," / 세액 0원(영세율·면세 여부 확인)"," / 세액이 공급가액 10%와 다름"),"")&amp;IF($BB241="수정"," / 수정세금계산서(합계에서 자동 가감)",""),4,200))</f>
        <v/>
      </c>
      <c r="BD241" s="2">
        <f>IF($BA241&lt;&gt;"포함","",IF(COUNTIFS($AX$8:$AX241,$AX241,$BA$8:$BA241,"포함")=1,MAX($BD$7:BD240)+1,""))</f>
        <v/>
      </c>
      <c r="BE241" s="2">
        <f>IF($BC241="","",MAX($BE$7:BE240)+1)</f>
        <v/>
      </c>
    </row>
    <row r="242">
      <c r="AR242" s="2">
        <f>IF(OR($A$5="",$B$6="",ROW()&lt;$A$5),"",IF(INDEX($A:$AP,ROW(),$B$6)="","",INDEX($A:$AP,ROW(),$B$6)))</f>
        <v/>
      </c>
      <c r="AS242" s="22">
        <f>IF($AR242="","",IF(ISNUMBER($AR242),IF($AR242&gt;=10000000,IFERROR(DATE(INT($AR242/10000),MOD(INT($AR242/100),100),MOD($AR242,100)),""),INT($AR242)),IFERROR(DATE(--LEFT(LEFT(SUBSTITUTE(SUBSTITUTE(SUBSTITUTE(SUBSTITUTE(TRIM($AR242),"-",""),".",""),"/","")," ",""),8),4),--MID(LEFT(SUBSTITUTE(SUBSTITUTE(SUBSTITUTE(SUBSTITUTE(TRIM($AR242),"-",""),".",""),"/","")," ",""),8),5,2),--MID(LEFT(SUBSTITUTE(SUBSTITUTE(SUBSTITUTE(SUBSTITUTE(TRIM($AR242),"-",""),".",""),"/","")," ",""),8),7,2)),"")))</f>
        <v/>
      </c>
      <c r="AT242" s="23">
        <f>IF($AS242="","",IF($F$6="",0,IF(ISNUMBER(INDEX($A:$AP,ROW(),$F$6)),INDEX($A:$AP,ROW(),$F$6),IFERROR(--SUBSTITUTE(SUBSTITUTE(TRIM(INDEX($A:$AP,ROW(),$F$6)),",",""),"원",""),0))))</f>
        <v/>
      </c>
      <c r="AU242" s="23">
        <f>IF($AS242="","",IF($G$6="",0,IF(ISNUMBER(INDEX($A:$AP,ROW(),$G$6)),INDEX($A:$AP,ROW(),$G$6),IFERROR(--SUBSTITUTE(SUBSTITUTE(TRIM(INDEX($A:$AP,ROW(),$G$6)),",",""),"원",""),0))))</f>
        <v/>
      </c>
      <c r="AV242" s="23">
        <f>IF($AS242="","",IF($H$6="",$AT242+$AU242,IF($H$6="",0,IF(ISNUMBER(INDEX($A:$AP,ROW(),$H$6)),INDEX($A:$AP,ROW(),$H$6),IFERROR(--SUBSTITUTE(SUBSTITUTE(TRIM(INDEX($A:$AP,ROW(),$H$6)),",",""),"원",""),0)))))</f>
        <v/>
      </c>
      <c r="AW242" s="2">
        <f>IF(OR($AS242="",$C$6=""),"",TRIM(INDEX($A:$AP,ROW(),$C$6)&amp;""))</f>
        <v/>
      </c>
      <c r="AX242" s="2">
        <f>IF($AS242="","",IF($AZ242&lt;&gt;"",SUBSTITUTE(SUBSTITUTE($AZ242,"-","")," ",""),$AY242))</f>
        <v/>
      </c>
      <c r="AY242" s="2">
        <f>IF(OR($AS242="",$E$6=""),"",TRIM(INDEX($A:$AP,ROW(),$E$6)&amp;""))</f>
        <v/>
      </c>
      <c r="AZ242" s="2">
        <f>IF(OR($AS242="",$D$6=""),"",TRIM(INDEX($A:$AP,ROW(),$D$6)&amp;""))</f>
        <v/>
      </c>
      <c r="BA242" s="2">
        <f>IF($AS242="","",IF(AND($AS242&gt;=설정!$B$10,$AS242&lt;=설정!$B$11),"포함","기간 밖"))</f>
        <v/>
      </c>
      <c r="BB242" s="2">
        <f>IF($AS242="","",IF(OR($AT242&lt;0,AND($I$6&lt;&gt;"",ISNUMBER(FIND("수정",INDEX($A:$AP,ROW(),IF($I$6="",1,$I$6))&amp;"")))),"수정","일반"))</f>
        <v/>
      </c>
      <c r="BC242" s="2">
        <f>IF($AS242="","",MID(IF($BA242="기간 밖"," / 기간 밖(신고기간 아님)","")&amp;IF(AND($AW242&lt;&gt;"",COUNTIF($AW$8:$AW$1007,$AW242)&gt;1)," / 승인번호 중복(두 번 붙여넣기?)","")&amp;IF(ABS($AU242-ROUND($AT242*0.1,0))&gt;설정!$B$8,IF($AU242=0," / 세액 0원(영세율·면세 여부 확인)"," / 세액이 공급가액 10%와 다름"),"")&amp;IF($BB242="수정"," / 수정세금계산서(합계에서 자동 가감)",""),4,200))</f>
        <v/>
      </c>
      <c r="BD242" s="2">
        <f>IF($BA242&lt;&gt;"포함","",IF(COUNTIFS($AX$8:$AX242,$AX242,$BA$8:$BA242,"포함")=1,MAX($BD$7:BD241)+1,""))</f>
        <v/>
      </c>
      <c r="BE242" s="2">
        <f>IF($BC242="","",MAX($BE$7:BE241)+1)</f>
        <v/>
      </c>
    </row>
    <row r="243">
      <c r="AR243" s="2">
        <f>IF(OR($A$5="",$B$6="",ROW()&lt;$A$5),"",IF(INDEX($A:$AP,ROW(),$B$6)="","",INDEX($A:$AP,ROW(),$B$6)))</f>
        <v/>
      </c>
      <c r="AS243" s="22">
        <f>IF($AR243="","",IF(ISNUMBER($AR243),IF($AR243&gt;=10000000,IFERROR(DATE(INT($AR243/10000),MOD(INT($AR243/100),100),MOD($AR243,100)),""),INT($AR243)),IFERROR(DATE(--LEFT(LEFT(SUBSTITUTE(SUBSTITUTE(SUBSTITUTE(SUBSTITUTE(TRIM($AR243),"-",""),".",""),"/","")," ",""),8),4),--MID(LEFT(SUBSTITUTE(SUBSTITUTE(SUBSTITUTE(SUBSTITUTE(TRIM($AR243),"-",""),".",""),"/","")," ",""),8),5,2),--MID(LEFT(SUBSTITUTE(SUBSTITUTE(SUBSTITUTE(SUBSTITUTE(TRIM($AR243),"-",""),".",""),"/","")," ",""),8),7,2)),"")))</f>
        <v/>
      </c>
      <c r="AT243" s="23">
        <f>IF($AS243="","",IF($F$6="",0,IF(ISNUMBER(INDEX($A:$AP,ROW(),$F$6)),INDEX($A:$AP,ROW(),$F$6),IFERROR(--SUBSTITUTE(SUBSTITUTE(TRIM(INDEX($A:$AP,ROW(),$F$6)),",",""),"원",""),0))))</f>
        <v/>
      </c>
      <c r="AU243" s="23">
        <f>IF($AS243="","",IF($G$6="",0,IF(ISNUMBER(INDEX($A:$AP,ROW(),$G$6)),INDEX($A:$AP,ROW(),$G$6),IFERROR(--SUBSTITUTE(SUBSTITUTE(TRIM(INDEX($A:$AP,ROW(),$G$6)),",",""),"원",""),0))))</f>
        <v/>
      </c>
      <c r="AV243" s="23">
        <f>IF($AS243="","",IF($H$6="",$AT243+$AU243,IF($H$6="",0,IF(ISNUMBER(INDEX($A:$AP,ROW(),$H$6)),INDEX($A:$AP,ROW(),$H$6),IFERROR(--SUBSTITUTE(SUBSTITUTE(TRIM(INDEX($A:$AP,ROW(),$H$6)),",",""),"원",""),0)))))</f>
        <v/>
      </c>
      <c r="AW243" s="2">
        <f>IF(OR($AS243="",$C$6=""),"",TRIM(INDEX($A:$AP,ROW(),$C$6)&amp;""))</f>
        <v/>
      </c>
      <c r="AX243" s="2">
        <f>IF($AS243="","",IF($AZ243&lt;&gt;"",SUBSTITUTE(SUBSTITUTE($AZ243,"-","")," ",""),$AY243))</f>
        <v/>
      </c>
      <c r="AY243" s="2">
        <f>IF(OR($AS243="",$E$6=""),"",TRIM(INDEX($A:$AP,ROW(),$E$6)&amp;""))</f>
        <v/>
      </c>
      <c r="AZ243" s="2">
        <f>IF(OR($AS243="",$D$6=""),"",TRIM(INDEX($A:$AP,ROW(),$D$6)&amp;""))</f>
        <v/>
      </c>
      <c r="BA243" s="2">
        <f>IF($AS243="","",IF(AND($AS243&gt;=설정!$B$10,$AS243&lt;=설정!$B$11),"포함","기간 밖"))</f>
        <v/>
      </c>
      <c r="BB243" s="2">
        <f>IF($AS243="","",IF(OR($AT243&lt;0,AND($I$6&lt;&gt;"",ISNUMBER(FIND("수정",INDEX($A:$AP,ROW(),IF($I$6="",1,$I$6))&amp;"")))),"수정","일반"))</f>
        <v/>
      </c>
      <c r="BC243" s="2">
        <f>IF($AS243="","",MID(IF($BA243="기간 밖"," / 기간 밖(신고기간 아님)","")&amp;IF(AND($AW243&lt;&gt;"",COUNTIF($AW$8:$AW$1007,$AW243)&gt;1)," / 승인번호 중복(두 번 붙여넣기?)","")&amp;IF(ABS($AU243-ROUND($AT243*0.1,0))&gt;설정!$B$8,IF($AU243=0," / 세액 0원(영세율·면세 여부 확인)"," / 세액이 공급가액 10%와 다름"),"")&amp;IF($BB243="수정"," / 수정세금계산서(합계에서 자동 가감)",""),4,200))</f>
        <v/>
      </c>
      <c r="BD243" s="2">
        <f>IF($BA243&lt;&gt;"포함","",IF(COUNTIFS($AX$8:$AX243,$AX243,$BA$8:$BA243,"포함")=1,MAX($BD$7:BD242)+1,""))</f>
        <v/>
      </c>
      <c r="BE243" s="2">
        <f>IF($BC243="","",MAX($BE$7:BE242)+1)</f>
        <v/>
      </c>
    </row>
    <row r="244">
      <c r="AR244" s="2">
        <f>IF(OR($A$5="",$B$6="",ROW()&lt;$A$5),"",IF(INDEX($A:$AP,ROW(),$B$6)="","",INDEX($A:$AP,ROW(),$B$6)))</f>
        <v/>
      </c>
      <c r="AS244" s="22">
        <f>IF($AR244="","",IF(ISNUMBER($AR244),IF($AR244&gt;=10000000,IFERROR(DATE(INT($AR244/10000),MOD(INT($AR244/100),100),MOD($AR244,100)),""),INT($AR244)),IFERROR(DATE(--LEFT(LEFT(SUBSTITUTE(SUBSTITUTE(SUBSTITUTE(SUBSTITUTE(TRIM($AR244),"-",""),".",""),"/","")," ",""),8),4),--MID(LEFT(SUBSTITUTE(SUBSTITUTE(SUBSTITUTE(SUBSTITUTE(TRIM($AR244),"-",""),".",""),"/","")," ",""),8),5,2),--MID(LEFT(SUBSTITUTE(SUBSTITUTE(SUBSTITUTE(SUBSTITUTE(TRIM($AR244),"-",""),".",""),"/","")," ",""),8),7,2)),"")))</f>
        <v/>
      </c>
      <c r="AT244" s="23">
        <f>IF($AS244="","",IF($F$6="",0,IF(ISNUMBER(INDEX($A:$AP,ROW(),$F$6)),INDEX($A:$AP,ROW(),$F$6),IFERROR(--SUBSTITUTE(SUBSTITUTE(TRIM(INDEX($A:$AP,ROW(),$F$6)),",",""),"원",""),0))))</f>
        <v/>
      </c>
      <c r="AU244" s="23">
        <f>IF($AS244="","",IF($G$6="",0,IF(ISNUMBER(INDEX($A:$AP,ROW(),$G$6)),INDEX($A:$AP,ROW(),$G$6),IFERROR(--SUBSTITUTE(SUBSTITUTE(TRIM(INDEX($A:$AP,ROW(),$G$6)),",",""),"원",""),0))))</f>
        <v/>
      </c>
      <c r="AV244" s="23">
        <f>IF($AS244="","",IF($H$6="",$AT244+$AU244,IF($H$6="",0,IF(ISNUMBER(INDEX($A:$AP,ROW(),$H$6)),INDEX($A:$AP,ROW(),$H$6),IFERROR(--SUBSTITUTE(SUBSTITUTE(TRIM(INDEX($A:$AP,ROW(),$H$6)),",",""),"원",""),0)))))</f>
        <v/>
      </c>
      <c r="AW244" s="2">
        <f>IF(OR($AS244="",$C$6=""),"",TRIM(INDEX($A:$AP,ROW(),$C$6)&amp;""))</f>
        <v/>
      </c>
      <c r="AX244" s="2">
        <f>IF($AS244="","",IF($AZ244&lt;&gt;"",SUBSTITUTE(SUBSTITUTE($AZ244,"-","")," ",""),$AY244))</f>
        <v/>
      </c>
      <c r="AY244" s="2">
        <f>IF(OR($AS244="",$E$6=""),"",TRIM(INDEX($A:$AP,ROW(),$E$6)&amp;""))</f>
        <v/>
      </c>
      <c r="AZ244" s="2">
        <f>IF(OR($AS244="",$D$6=""),"",TRIM(INDEX($A:$AP,ROW(),$D$6)&amp;""))</f>
        <v/>
      </c>
      <c r="BA244" s="2">
        <f>IF($AS244="","",IF(AND($AS244&gt;=설정!$B$10,$AS244&lt;=설정!$B$11),"포함","기간 밖"))</f>
        <v/>
      </c>
      <c r="BB244" s="2">
        <f>IF($AS244="","",IF(OR($AT244&lt;0,AND($I$6&lt;&gt;"",ISNUMBER(FIND("수정",INDEX($A:$AP,ROW(),IF($I$6="",1,$I$6))&amp;"")))),"수정","일반"))</f>
        <v/>
      </c>
      <c r="BC244" s="2">
        <f>IF($AS244="","",MID(IF($BA244="기간 밖"," / 기간 밖(신고기간 아님)","")&amp;IF(AND($AW244&lt;&gt;"",COUNTIF($AW$8:$AW$1007,$AW244)&gt;1)," / 승인번호 중복(두 번 붙여넣기?)","")&amp;IF(ABS($AU244-ROUND($AT244*0.1,0))&gt;설정!$B$8,IF($AU244=0," / 세액 0원(영세율·면세 여부 확인)"," / 세액이 공급가액 10%와 다름"),"")&amp;IF($BB244="수정"," / 수정세금계산서(합계에서 자동 가감)",""),4,200))</f>
        <v/>
      </c>
      <c r="BD244" s="2">
        <f>IF($BA244&lt;&gt;"포함","",IF(COUNTIFS($AX$8:$AX244,$AX244,$BA$8:$BA244,"포함")=1,MAX($BD$7:BD243)+1,""))</f>
        <v/>
      </c>
      <c r="BE244" s="2">
        <f>IF($BC244="","",MAX($BE$7:BE243)+1)</f>
        <v/>
      </c>
    </row>
    <row r="245">
      <c r="AR245" s="2">
        <f>IF(OR($A$5="",$B$6="",ROW()&lt;$A$5),"",IF(INDEX($A:$AP,ROW(),$B$6)="","",INDEX($A:$AP,ROW(),$B$6)))</f>
        <v/>
      </c>
      <c r="AS245" s="22">
        <f>IF($AR245="","",IF(ISNUMBER($AR245),IF($AR245&gt;=10000000,IFERROR(DATE(INT($AR245/10000),MOD(INT($AR245/100),100),MOD($AR245,100)),""),INT($AR245)),IFERROR(DATE(--LEFT(LEFT(SUBSTITUTE(SUBSTITUTE(SUBSTITUTE(SUBSTITUTE(TRIM($AR245),"-",""),".",""),"/","")," ",""),8),4),--MID(LEFT(SUBSTITUTE(SUBSTITUTE(SUBSTITUTE(SUBSTITUTE(TRIM($AR245),"-",""),".",""),"/","")," ",""),8),5,2),--MID(LEFT(SUBSTITUTE(SUBSTITUTE(SUBSTITUTE(SUBSTITUTE(TRIM($AR245),"-",""),".",""),"/","")," ",""),8),7,2)),"")))</f>
        <v/>
      </c>
      <c r="AT245" s="23">
        <f>IF($AS245="","",IF($F$6="",0,IF(ISNUMBER(INDEX($A:$AP,ROW(),$F$6)),INDEX($A:$AP,ROW(),$F$6),IFERROR(--SUBSTITUTE(SUBSTITUTE(TRIM(INDEX($A:$AP,ROW(),$F$6)),",",""),"원",""),0))))</f>
        <v/>
      </c>
      <c r="AU245" s="23">
        <f>IF($AS245="","",IF($G$6="",0,IF(ISNUMBER(INDEX($A:$AP,ROW(),$G$6)),INDEX($A:$AP,ROW(),$G$6),IFERROR(--SUBSTITUTE(SUBSTITUTE(TRIM(INDEX($A:$AP,ROW(),$G$6)),",",""),"원",""),0))))</f>
        <v/>
      </c>
      <c r="AV245" s="23">
        <f>IF($AS245="","",IF($H$6="",$AT245+$AU245,IF($H$6="",0,IF(ISNUMBER(INDEX($A:$AP,ROW(),$H$6)),INDEX($A:$AP,ROW(),$H$6),IFERROR(--SUBSTITUTE(SUBSTITUTE(TRIM(INDEX($A:$AP,ROW(),$H$6)),",",""),"원",""),0)))))</f>
        <v/>
      </c>
      <c r="AW245" s="2">
        <f>IF(OR($AS245="",$C$6=""),"",TRIM(INDEX($A:$AP,ROW(),$C$6)&amp;""))</f>
        <v/>
      </c>
      <c r="AX245" s="2">
        <f>IF($AS245="","",IF($AZ245&lt;&gt;"",SUBSTITUTE(SUBSTITUTE($AZ245,"-","")," ",""),$AY245))</f>
        <v/>
      </c>
      <c r="AY245" s="2">
        <f>IF(OR($AS245="",$E$6=""),"",TRIM(INDEX($A:$AP,ROW(),$E$6)&amp;""))</f>
        <v/>
      </c>
      <c r="AZ245" s="2">
        <f>IF(OR($AS245="",$D$6=""),"",TRIM(INDEX($A:$AP,ROW(),$D$6)&amp;""))</f>
        <v/>
      </c>
      <c r="BA245" s="2">
        <f>IF($AS245="","",IF(AND($AS245&gt;=설정!$B$10,$AS245&lt;=설정!$B$11),"포함","기간 밖"))</f>
        <v/>
      </c>
      <c r="BB245" s="2">
        <f>IF($AS245="","",IF(OR($AT245&lt;0,AND($I$6&lt;&gt;"",ISNUMBER(FIND("수정",INDEX($A:$AP,ROW(),IF($I$6="",1,$I$6))&amp;"")))),"수정","일반"))</f>
        <v/>
      </c>
      <c r="BC245" s="2">
        <f>IF($AS245="","",MID(IF($BA245="기간 밖"," / 기간 밖(신고기간 아님)","")&amp;IF(AND($AW245&lt;&gt;"",COUNTIF($AW$8:$AW$1007,$AW245)&gt;1)," / 승인번호 중복(두 번 붙여넣기?)","")&amp;IF(ABS($AU245-ROUND($AT245*0.1,0))&gt;설정!$B$8,IF($AU245=0," / 세액 0원(영세율·면세 여부 확인)"," / 세액이 공급가액 10%와 다름"),"")&amp;IF($BB245="수정"," / 수정세금계산서(합계에서 자동 가감)",""),4,200))</f>
        <v/>
      </c>
      <c r="BD245" s="2">
        <f>IF($BA245&lt;&gt;"포함","",IF(COUNTIFS($AX$8:$AX245,$AX245,$BA$8:$BA245,"포함")=1,MAX($BD$7:BD244)+1,""))</f>
        <v/>
      </c>
      <c r="BE245" s="2">
        <f>IF($BC245="","",MAX($BE$7:BE244)+1)</f>
        <v/>
      </c>
    </row>
    <row r="246">
      <c r="AR246" s="2">
        <f>IF(OR($A$5="",$B$6="",ROW()&lt;$A$5),"",IF(INDEX($A:$AP,ROW(),$B$6)="","",INDEX($A:$AP,ROW(),$B$6)))</f>
        <v/>
      </c>
      <c r="AS246" s="22">
        <f>IF($AR246="","",IF(ISNUMBER($AR246),IF($AR246&gt;=10000000,IFERROR(DATE(INT($AR246/10000),MOD(INT($AR246/100),100),MOD($AR246,100)),""),INT($AR246)),IFERROR(DATE(--LEFT(LEFT(SUBSTITUTE(SUBSTITUTE(SUBSTITUTE(SUBSTITUTE(TRIM($AR246),"-",""),".",""),"/","")," ",""),8),4),--MID(LEFT(SUBSTITUTE(SUBSTITUTE(SUBSTITUTE(SUBSTITUTE(TRIM($AR246),"-",""),".",""),"/","")," ",""),8),5,2),--MID(LEFT(SUBSTITUTE(SUBSTITUTE(SUBSTITUTE(SUBSTITUTE(TRIM($AR246),"-",""),".",""),"/","")," ",""),8),7,2)),"")))</f>
        <v/>
      </c>
      <c r="AT246" s="23">
        <f>IF($AS246="","",IF($F$6="",0,IF(ISNUMBER(INDEX($A:$AP,ROW(),$F$6)),INDEX($A:$AP,ROW(),$F$6),IFERROR(--SUBSTITUTE(SUBSTITUTE(TRIM(INDEX($A:$AP,ROW(),$F$6)),",",""),"원",""),0))))</f>
        <v/>
      </c>
      <c r="AU246" s="23">
        <f>IF($AS246="","",IF($G$6="",0,IF(ISNUMBER(INDEX($A:$AP,ROW(),$G$6)),INDEX($A:$AP,ROW(),$G$6),IFERROR(--SUBSTITUTE(SUBSTITUTE(TRIM(INDEX($A:$AP,ROW(),$G$6)),",",""),"원",""),0))))</f>
        <v/>
      </c>
      <c r="AV246" s="23">
        <f>IF($AS246="","",IF($H$6="",$AT246+$AU246,IF($H$6="",0,IF(ISNUMBER(INDEX($A:$AP,ROW(),$H$6)),INDEX($A:$AP,ROW(),$H$6),IFERROR(--SUBSTITUTE(SUBSTITUTE(TRIM(INDEX($A:$AP,ROW(),$H$6)),",",""),"원",""),0)))))</f>
        <v/>
      </c>
      <c r="AW246" s="2">
        <f>IF(OR($AS246="",$C$6=""),"",TRIM(INDEX($A:$AP,ROW(),$C$6)&amp;""))</f>
        <v/>
      </c>
      <c r="AX246" s="2">
        <f>IF($AS246="","",IF($AZ246&lt;&gt;"",SUBSTITUTE(SUBSTITUTE($AZ246,"-","")," ",""),$AY246))</f>
        <v/>
      </c>
      <c r="AY246" s="2">
        <f>IF(OR($AS246="",$E$6=""),"",TRIM(INDEX($A:$AP,ROW(),$E$6)&amp;""))</f>
        <v/>
      </c>
      <c r="AZ246" s="2">
        <f>IF(OR($AS246="",$D$6=""),"",TRIM(INDEX($A:$AP,ROW(),$D$6)&amp;""))</f>
        <v/>
      </c>
      <c r="BA246" s="2">
        <f>IF($AS246="","",IF(AND($AS246&gt;=설정!$B$10,$AS246&lt;=설정!$B$11),"포함","기간 밖"))</f>
        <v/>
      </c>
      <c r="BB246" s="2">
        <f>IF($AS246="","",IF(OR($AT246&lt;0,AND($I$6&lt;&gt;"",ISNUMBER(FIND("수정",INDEX($A:$AP,ROW(),IF($I$6="",1,$I$6))&amp;"")))),"수정","일반"))</f>
        <v/>
      </c>
      <c r="BC246" s="2">
        <f>IF($AS246="","",MID(IF($BA246="기간 밖"," / 기간 밖(신고기간 아님)","")&amp;IF(AND($AW246&lt;&gt;"",COUNTIF($AW$8:$AW$1007,$AW246)&gt;1)," / 승인번호 중복(두 번 붙여넣기?)","")&amp;IF(ABS($AU246-ROUND($AT246*0.1,0))&gt;설정!$B$8,IF($AU246=0," / 세액 0원(영세율·면세 여부 확인)"," / 세액이 공급가액 10%와 다름"),"")&amp;IF($BB246="수정"," / 수정세금계산서(합계에서 자동 가감)",""),4,200))</f>
        <v/>
      </c>
      <c r="BD246" s="2">
        <f>IF($BA246&lt;&gt;"포함","",IF(COUNTIFS($AX$8:$AX246,$AX246,$BA$8:$BA246,"포함")=1,MAX($BD$7:BD245)+1,""))</f>
        <v/>
      </c>
      <c r="BE246" s="2">
        <f>IF($BC246="","",MAX($BE$7:BE245)+1)</f>
        <v/>
      </c>
    </row>
    <row r="247">
      <c r="AR247" s="2">
        <f>IF(OR($A$5="",$B$6="",ROW()&lt;$A$5),"",IF(INDEX($A:$AP,ROW(),$B$6)="","",INDEX($A:$AP,ROW(),$B$6)))</f>
        <v/>
      </c>
      <c r="AS247" s="22">
        <f>IF($AR247="","",IF(ISNUMBER($AR247),IF($AR247&gt;=10000000,IFERROR(DATE(INT($AR247/10000),MOD(INT($AR247/100),100),MOD($AR247,100)),""),INT($AR247)),IFERROR(DATE(--LEFT(LEFT(SUBSTITUTE(SUBSTITUTE(SUBSTITUTE(SUBSTITUTE(TRIM($AR247),"-",""),".",""),"/","")," ",""),8),4),--MID(LEFT(SUBSTITUTE(SUBSTITUTE(SUBSTITUTE(SUBSTITUTE(TRIM($AR247),"-",""),".",""),"/","")," ",""),8),5,2),--MID(LEFT(SUBSTITUTE(SUBSTITUTE(SUBSTITUTE(SUBSTITUTE(TRIM($AR247),"-",""),".",""),"/","")," ",""),8),7,2)),"")))</f>
        <v/>
      </c>
      <c r="AT247" s="23">
        <f>IF($AS247="","",IF($F$6="",0,IF(ISNUMBER(INDEX($A:$AP,ROW(),$F$6)),INDEX($A:$AP,ROW(),$F$6),IFERROR(--SUBSTITUTE(SUBSTITUTE(TRIM(INDEX($A:$AP,ROW(),$F$6)),",",""),"원",""),0))))</f>
        <v/>
      </c>
      <c r="AU247" s="23">
        <f>IF($AS247="","",IF($G$6="",0,IF(ISNUMBER(INDEX($A:$AP,ROW(),$G$6)),INDEX($A:$AP,ROW(),$G$6),IFERROR(--SUBSTITUTE(SUBSTITUTE(TRIM(INDEX($A:$AP,ROW(),$G$6)),",",""),"원",""),0))))</f>
        <v/>
      </c>
      <c r="AV247" s="23">
        <f>IF($AS247="","",IF($H$6="",$AT247+$AU247,IF($H$6="",0,IF(ISNUMBER(INDEX($A:$AP,ROW(),$H$6)),INDEX($A:$AP,ROW(),$H$6),IFERROR(--SUBSTITUTE(SUBSTITUTE(TRIM(INDEX($A:$AP,ROW(),$H$6)),",",""),"원",""),0)))))</f>
        <v/>
      </c>
      <c r="AW247" s="2">
        <f>IF(OR($AS247="",$C$6=""),"",TRIM(INDEX($A:$AP,ROW(),$C$6)&amp;""))</f>
        <v/>
      </c>
      <c r="AX247" s="2">
        <f>IF($AS247="","",IF($AZ247&lt;&gt;"",SUBSTITUTE(SUBSTITUTE($AZ247,"-","")," ",""),$AY247))</f>
        <v/>
      </c>
      <c r="AY247" s="2">
        <f>IF(OR($AS247="",$E$6=""),"",TRIM(INDEX($A:$AP,ROW(),$E$6)&amp;""))</f>
        <v/>
      </c>
      <c r="AZ247" s="2">
        <f>IF(OR($AS247="",$D$6=""),"",TRIM(INDEX($A:$AP,ROW(),$D$6)&amp;""))</f>
        <v/>
      </c>
      <c r="BA247" s="2">
        <f>IF($AS247="","",IF(AND($AS247&gt;=설정!$B$10,$AS247&lt;=설정!$B$11),"포함","기간 밖"))</f>
        <v/>
      </c>
      <c r="BB247" s="2">
        <f>IF($AS247="","",IF(OR($AT247&lt;0,AND($I$6&lt;&gt;"",ISNUMBER(FIND("수정",INDEX($A:$AP,ROW(),IF($I$6="",1,$I$6))&amp;"")))),"수정","일반"))</f>
        <v/>
      </c>
      <c r="BC247" s="2">
        <f>IF($AS247="","",MID(IF($BA247="기간 밖"," / 기간 밖(신고기간 아님)","")&amp;IF(AND($AW247&lt;&gt;"",COUNTIF($AW$8:$AW$1007,$AW247)&gt;1)," / 승인번호 중복(두 번 붙여넣기?)","")&amp;IF(ABS($AU247-ROUND($AT247*0.1,0))&gt;설정!$B$8,IF($AU247=0," / 세액 0원(영세율·면세 여부 확인)"," / 세액이 공급가액 10%와 다름"),"")&amp;IF($BB247="수정"," / 수정세금계산서(합계에서 자동 가감)",""),4,200))</f>
        <v/>
      </c>
      <c r="BD247" s="2">
        <f>IF($BA247&lt;&gt;"포함","",IF(COUNTIFS($AX$8:$AX247,$AX247,$BA$8:$BA247,"포함")=1,MAX($BD$7:BD246)+1,""))</f>
        <v/>
      </c>
      <c r="BE247" s="2">
        <f>IF($BC247="","",MAX($BE$7:BE246)+1)</f>
        <v/>
      </c>
    </row>
    <row r="248">
      <c r="AR248" s="2">
        <f>IF(OR($A$5="",$B$6="",ROW()&lt;$A$5),"",IF(INDEX($A:$AP,ROW(),$B$6)="","",INDEX($A:$AP,ROW(),$B$6)))</f>
        <v/>
      </c>
      <c r="AS248" s="22">
        <f>IF($AR248="","",IF(ISNUMBER($AR248),IF($AR248&gt;=10000000,IFERROR(DATE(INT($AR248/10000),MOD(INT($AR248/100),100),MOD($AR248,100)),""),INT($AR248)),IFERROR(DATE(--LEFT(LEFT(SUBSTITUTE(SUBSTITUTE(SUBSTITUTE(SUBSTITUTE(TRIM($AR248),"-",""),".",""),"/","")," ",""),8),4),--MID(LEFT(SUBSTITUTE(SUBSTITUTE(SUBSTITUTE(SUBSTITUTE(TRIM($AR248),"-",""),".",""),"/","")," ",""),8),5,2),--MID(LEFT(SUBSTITUTE(SUBSTITUTE(SUBSTITUTE(SUBSTITUTE(TRIM($AR248),"-",""),".",""),"/","")," ",""),8),7,2)),"")))</f>
        <v/>
      </c>
      <c r="AT248" s="23">
        <f>IF($AS248="","",IF($F$6="",0,IF(ISNUMBER(INDEX($A:$AP,ROW(),$F$6)),INDEX($A:$AP,ROW(),$F$6),IFERROR(--SUBSTITUTE(SUBSTITUTE(TRIM(INDEX($A:$AP,ROW(),$F$6)),",",""),"원",""),0))))</f>
        <v/>
      </c>
      <c r="AU248" s="23">
        <f>IF($AS248="","",IF($G$6="",0,IF(ISNUMBER(INDEX($A:$AP,ROW(),$G$6)),INDEX($A:$AP,ROW(),$G$6),IFERROR(--SUBSTITUTE(SUBSTITUTE(TRIM(INDEX($A:$AP,ROW(),$G$6)),",",""),"원",""),0))))</f>
        <v/>
      </c>
      <c r="AV248" s="23">
        <f>IF($AS248="","",IF($H$6="",$AT248+$AU248,IF($H$6="",0,IF(ISNUMBER(INDEX($A:$AP,ROW(),$H$6)),INDEX($A:$AP,ROW(),$H$6),IFERROR(--SUBSTITUTE(SUBSTITUTE(TRIM(INDEX($A:$AP,ROW(),$H$6)),",",""),"원",""),0)))))</f>
        <v/>
      </c>
      <c r="AW248" s="2">
        <f>IF(OR($AS248="",$C$6=""),"",TRIM(INDEX($A:$AP,ROW(),$C$6)&amp;""))</f>
        <v/>
      </c>
      <c r="AX248" s="2">
        <f>IF($AS248="","",IF($AZ248&lt;&gt;"",SUBSTITUTE(SUBSTITUTE($AZ248,"-","")," ",""),$AY248))</f>
        <v/>
      </c>
      <c r="AY248" s="2">
        <f>IF(OR($AS248="",$E$6=""),"",TRIM(INDEX($A:$AP,ROW(),$E$6)&amp;""))</f>
        <v/>
      </c>
      <c r="AZ248" s="2">
        <f>IF(OR($AS248="",$D$6=""),"",TRIM(INDEX($A:$AP,ROW(),$D$6)&amp;""))</f>
        <v/>
      </c>
      <c r="BA248" s="2">
        <f>IF($AS248="","",IF(AND($AS248&gt;=설정!$B$10,$AS248&lt;=설정!$B$11),"포함","기간 밖"))</f>
        <v/>
      </c>
      <c r="BB248" s="2">
        <f>IF($AS248="","",IF(OR($AT248&lt;0,AND($I$6&lt;&gt;"",ISNUMBER(FIND("수정",INDEX($A:$AP,ROW(),IF($I$6="",1,$I$6))&amp;"")))),"수정","일반"))</f>
        <v/>
      </c>
      <c r="BC248" s="2">
        <f>IF($AS248="","",MID(IF($BA248="기간 밖"," / 기간 밖(신고기간 아님)","")&amp;IF(AND($AW248&lt;&gt;"",COUNTIF($AW$8:$AW$1007,$AW248)&gt;1)," / 승인번호 중복(두 번 붙여넣기?)","")&amp;IF(ABS($AU248-ROUND($AT248*0.1,0))&gt;설정!$B$8,IF($AU248=0," / 세액 0원(영세율·면세 여부 확인)"," / 세액이 공급가액 10%와 다름"),"")&amp;IF($BB248="수정"," / 수정세금계산서(합계에서 자동 가감)",""),4,200))</f>
        <v/>
      </c>
      <c r="BD248" s="2">
        <f>IF($BA248&lt;&gt;"포함","",IF(COUNTIFS($AX$8:$AX248,$AX248,$BA$8:$BA248,"포함")=1,MAX($BD$7:BD247)+1,""))</f>
        <v/>
      </c>
      <c r="BE248" s="2">
        <f>IF($BC248="","",MAX($BE$7:BE247)+1)</f>
        <v/>
      </c>
    </row>
    <row r="249">
      <c r="AR249" s="2">
        <f>IF(OR($A$5="",$B$6="",ROW()&lt;$A$5),"",IF(INDEX($A:$AP,ROW(),$B$6)="","",INDEX($A:$AP,ROW(),$B$6)))</f>
        <v/>
      </c>
      <c r="AS249" s="22">
        <f>IF($AR249="","",IF(ISNUMBER($AR249),IF($AR249&gt;=10000000,IFERROR(DATE(INT($AR249/10000),MOD(INT($AR249/100),100),MOD($AR249,100)),""),INT($AR249)),IFERROR(DATE(--LEFT(LEFT(SUBSTITUTE(SUBSTITUTE(SUBSTITUTE(SUBSTITUTE(TRIM($AR249),"-",""),".",""),"/","")," ",""),8),4),--MID(LEFT(SUBSTITUTE(SUBSTITUTE(SUBSTITUTE(SUBSTITUTE(TRIM($AR249),"-",""),".",""),"/","")," ",""),8),5,2),--MID(LEFT(SUBSTITUTE(SUBSTITUTE(SUBSTITUTE(SUBSTITUTE(TRIM($AR249),"-",""),".",""),"/","")," ",""),8),7,2)),"")))</f>
        <v/>
      </c>
      <c r="AT249" s="23">
        <f>IF($AS249="","",IF($F$6="",0,IF(ISNUMBER(INDEX($A:$AP,ROW(),$F$6)),INDEX($A:$AP,ROW(),$F$6),IFERROR(--SUBSTITUTE(SUBSTITUTE(TRIM(INDEX($A:$AP,ROW(),$F$6)),",",""),"원",""),0))))</f>
        <v/>
      </c>
      <c r="AU249" s="23">
        <f>IF($AS249="","",IF($G$6="",0,IF(ISNUMBER(INDEX($A:$AP,ROW(),$G$6)),INDEX($A:$AP,ROW(),$G$6),IFERROR(--SUBSTITUTE(SUBSTITUTE(TRIM(INDEX($A:$AP,ROW(),$G$6)),",",""),"원",""),0))))</f>
        <v/>
      </c>
      <c r="AV249" s="23">
        <f>IF($AS249="","",IF($H$6="",$AT249+$AU249,IF($H$6="",0,IF(ISNUMBER(INDEX($A:$AP,ROW(),$H$6)),INDEX($A:$AP,ROW(),$H$6),IFERROR(--SUBSTITUTE(SUBSTITUTE(TRIM(INDEX($A:$AP,ROW(),$H$6)),",",""),"원",""),0)))))</f>
        <v/>
      </c>
      <c r="AW249" s="2">
        <f>IF(OR($AS249="",$C$6=""),"",TRIM(INDEX($A:$AP,ROW(),$C$6)&amp;""))</f>
        <v/>
      </c>
      <c r="AX249" s="2">
        <f>IF($AS249="","",IF($AZ249&lt;&gt;"",SUBSTITUTE(SUBSTITUTE($AZ249,"-","")," ",""),$AY249))</f>
        <v/>
      </c>
      <c r="AY249" s="2">
        <f>IF(OR($AS249="",$E$6=""),"",TRIM(INDEX($A:$AP,ROW(),$E$6)&amp;""))</f>
        <v/>
      </c>
      <c r="AZ249" s="2">
        <f>IF(OR($AS249="",$D$6=""),"",TRIM(INDEX($A:$AP,ROW(),$D$6)&amp;""))</f>
        <v/>
      </c>
      <c r="BA249" s="2">
        <f>IF($AS249="","",IF(AND($AS249&gt;=설정!$B$10,$AS249&lt;=설정!$B$11),"포함","기간 밖"))</f>
        <v/>
      </c>
      <c r="BB249" s="2">
        <f>IF($AS249="","",IF(OR($AT249&lt;0,AND($I$6&lt;&gt;"",ISNUMBER(FIND("수정",INDEX($A:$AP,ROW(),IF($I$6="",1,$I$6))&amp;"")))),"수정","일반"))</f>
        <v/>
      </c>
      <c r="BC249" s="2">
        <f>IF($AS249="","",MID(IF($BA249="기간 밖"," / 기간 밖(신고기간 아님)","")&amp;IF(AND($AW249&lt;&gt;"",COUNTIF($AW$8:$AW$1007,$AW249)&gt;1)," / 승인번호 중복(두 번 붙여넣기?)","")&amp;IF(ABS($AU249-ROUND($AT249*0.1,0))&gt;설정!$B$8,IF($AU249=0," / 세액 0원(영세율·면세 여부 확인)"," / 세액이 공급가액 10%와 다름"),"")&amp;IF($BB249="수정"," / 수정세금계산서(합계에서 자동 가감)",""),4,200))</f>
        <v/>
      </c>
      <c r="BD249" s="2">
        <f>IF($BA249&lt;&gt;"포함","",IF(COUNTIFS($AX$8:$AX249,$AX249,$BA$8:$BA249,"포함")=1,MAX($BD$7:BD248)+1,""))</f>
        <v/>
      </c>
      <c r="BE249" s="2">
        <f>IF($BC249="","",MAX($BE$7:BE248)+1)</f>
        <v/>
      </c>
    </row>
    <row r="250">
      <c r="AR250" s="2">
        <f>IF(OR($A$5="",$B$6="",ROW()&lt;$A$5),"",IF(INDEX($A:$AP,ROW(),$B$6)="","",INDEX($A:$AP,ROW(),$B$6)))</f>
        <v/>
      </c>
      <c r="AS250" s="22">
        <f>IF($AR250="","",IF(ISNUMBER($AR250),IF($AR250&gt;=10000000,IFERROR(DATE(INT($AR250/10000),MOD(INT($AR250/100),100),MOD($AR250,100)),""),INT($AR250)),IFERROR(DATE(--LEFT(LEFT(SUBSTITUTE(SUBSTITUTE(SUBSTITUTE(SUBSTITUTE(TRIM($AR250),"-",""),".",""),"/","")," ",""),8),4),--MID(LEFT(SUBSTITUTE(SUBSTITUTE(SUBSTITUTE(SUBSTITUTE(TRIM($AR250),"-",""),".",""),"/","")," ",""),8),5,2),--MID(LEFT(SUBSTITUTE(SUBSTITUTE(SUBSTITUTE(SUBSTITUTE(TRIM($AR250),"-",""),".",""),"/","")," ",""),8),7,2)),"")))</f>
        <v/>
      </c>
      <c r="AT250" s="23">
        <f>IF($AS250="","",IF($F$6="",0,IF(ISNUMBER(INDEX($A:$AP,ROW(),$F$6)),INDEX($A:$AP,ROW(),$F$6),IFERROR(--SUBSTITUTE(SUBSTITUTE(TRIM(INDEX($A:$AP,ROW(),$F$6)),",",""),"원",""),0))))</f>
        <v/>
      </c>
      <c r="AU250" s="23">
        <f>IF($AS250="","",IF($G$6="",0,IF(ISNUMBER(INDEX($A:$AP,ROW(),$G$6)),INDEX($A:$AP,ROW(),$G$6),IFERROR(--SUBSTITUTE(SUBSTITUTE(TRIM(INDEX($A:$AP,ROW(),$G$6)),",",""),"원",""),0))))</f>
        <v/>
      </c>
      <c r="AV250" s="23">
        <f>IF($AS250="","",IF($H$6="",$AT250+$AU250,IF($H$6="",0,IF(ISNUMBER(INDEX($A:$AP,ROW(),$H$6)),INDEX($A:$AP,ROW(),$H$6),IFERROR(--SUBSTITUTE(SUBSTITUTE(TRIM(INDEX($A:$AP,ROW(),$H$6)),",",""),"원",""),0)))))</f>
        <v/>
      </c>
      <c r="AW250" s="2">
        <f>IF(OR($AS250="",$C$6=""),"",TRIM(INDEX($A:$AP,ROW(),$C$6)&amp;""))</f>
        <v/>
      </c>
      <c r="AX250" s="2">
        <f>IF($AS250="","",IF($AZ250&lt;&gt;"",SUBSTITUTE(SUBSTITUTE($AZ250,"-","")," ",""),$AY250))</f>
        <v/>
      </c>
      <c r="AY250" s="2">
        <f>IF(OR($AS250="",$E$6=""),"",TRIM(INDEX($A:$AP,ROW(),$E$6)&amp;""))</f>
        <v/>
      </c>
      <c r="AZ250" s="2">
        <f>IF(OR($AS250="",$D$6=""),"",TRIM(INDEX($A:$AP,ROW(),$D$6)&amp;""))</f>
        <v/>
      </c>
      <c r="BA250" s="2">
        <f>IF($AS250="","",IF(AND($AS250&gt;=설정!$B$10,$AS250&lt;=설정!$B$11),"포함","기간 밖"))</f>
        <v/>
      </c>
      <c r="BB250" s="2">
        <f>IF($AS250="","",IF(OR($AT250&lt;0,AND($I$6&lt;&gt;"",ISNUMBER(FIND("수정",INDEX($A:$AP,ROW(),IF($I$6="",1,$I$6))&amp;"")))),"수정","일반"))</f>
        <v/>
      </c>
      <c r="BC250" s="2">
        <f>IF($AS250="","",MID(IF($BA250="기간 밖"," / 기간 밖(신고기간 아님)","")&amp;IF(AND($AW250&lt;&gt;"",COUNTIF($AW$8:$AW$1007,$AW250)&gt;1)," / 승인번호 중복(두 번 붙여넣기?)","")&amp;IF(ABS($AU250-ROUND($AT250*0.1,0))&gt;설정!$B$8,IF($AU250=0," / 세액 0원(영세율·면세 여부 확인)"," / 세액이 공급가액 10%와 다름"),"")&amp;IF($BB250="수정"," / 수정세금계산서(합계에서 자동 가감)",""),4,200))</f>
        <v/>
      </c>
      <c r="BD250" s="2">
        <f>IF($BA250&lt;&gt;"포함","",IF(COUNTIFS($AX$8:$AX250,$AX250,$BA$8:$BA250,"포함")=1,MAX($BD$7:BD249)+1,""))</f>
        <v/>
      </c>
      <c r="BE250" s="2">
        <f>IF($BC250="","",MAX($BE$7:BE249)+1)</f>
        <v/>
      </c>
    </row>
    <row r="251">
      <c r="AR251" s="2">
        <f>IF(OR($A$5="",$B$6="",ROW()&lt;$A$5),"",IF(INDEX($A:$AP,ROW(),$B$6)="","",INDEX($A:$AP,ROW(),$B$6)))</f>
        <v/>
      </c>
      <c r="AS251" s="22">
        <f>IF($AR251="","",IF(ISNUMBER($AR251),IF($AR251&gt;=10000000,IFERROR(DATE(INT($AR251/10000),MOD(INT($AR251/100),100),MOD($AR251,100)),""),INT($AR251)),IFERROR(DATE(--LEFT(LEFT(SUBSTITUTE(SUBSTITUTE(SUBSTITUTE(SUBSTITUTE(TRIM($AR251),"-",""),".",""),"/","")," ",""),8),4),--MID(LEFT(SUBSTITUTE(SUBSTITUTE(SUBSTITUTE(SUBSTITUTE(TRIM($AR251),"-",""),".",""),"/","")," ",""),8),5,2),--MID(LEFT(SUBSTITUTE(SUBSTITUTE(SUBSTITUTE(SUBSTITUTE(TRIM($AR251),"-",""),".",""),"/","")," ",""),8),7,2)),"")))</f>
        <v/>
      </c>
      <c r="AT251" s="23">
        <f>IF($AS251="","",IF($F$6="",0,IF(ISNUMBER(INDEX($A:$AP,ROW(),$F$6)),INDEX($A:$AP,ROW(),$F$6),IFERROR(--SUBSTITUTE(SUBSTITUTE(TRIM(INDEX($A:$AP,ROW(),$F$6)),",",""),"원",""),0))))</f>
        <v/>
      </c>
      <c r="AU251" s="23">
        <f>IF($AS251="","",IF($G$6="",0,IF(ISNUMBER(INDEX($A:$AP,ROW(),$G$6)),INDEX($A:$AP,ROW(),$G$6),IFERROR(--SUBSTITUTE(SUBSTITUTE(TRIM(INDEX($A:$AP,ROW(),$G$6)),",",""),"원",""),0))))</f>
        <v/>
      </c>
      <c r="AV251" s="23">
        <f>IF($AS251="","",IF($H$6="",$AT251+$AU251,IF($H$6="",0,IF(ISNUMBER(INDEX($A:$AP,ROW(),$H$6)),INDEX($A:$AP,ROW(),$H$6),IFERROR(--SUBSTITUTE(SUBSTITUTE(TRIM(INDEX($A:$AP,ROW(),$H$6)),",",""),"원",""),0)))))</f>
        <v/>
      </c>
      <c r="AW251" s="2">
        <f>IF(OR($AS251="",$C$6=""),"",TRIM(INDEX($A:$AP,ROW(),$C$6)&amp;""))</f>
        <v/>
      </c>
      <c r="AX251" s="2">
        <f>IF($AS251="","",IF($AZ251&lt;&gt;"",SUBSTITUTE(SUBSTITUTE($AZ251,"-","")," ",""),$AY251))</f>
        <v/>
      </c>
      <c r="AY251" s="2">
        <f>IF(OR($AS251="",$E$6=""),"",TRIM(INDEX($A:$AP,ROW(),$E$6)&amp;""))</f>
        <v/>
      </c>
      <c r="AZ251" s="2">
        <f>IF(OR($AS251="",$D$6=""),"",TRIM(INDEX($A:$AP,ROW(),$D$6)&amp;""))</f>
        <v/>
      </c>
      <c r="BA251" s="2">
        <f>IF($AS251="","",IF(AND($AS251&gt;=설정!$B$10,$AS251&lt;=설정!$B$11),"포함","기간 밖"))</f>
        <v/>
      </c>
      <c r="BB251" s="2">
        <f>IF($AS251="","",IF(OR($AT251&lt;0,AND($I$6&lt;&gt;"",ISNUMBER(FIND("수정",INDEX($A:$AP,ROW(),IF($I$6="",1,$I$6))&amp;"")))),"수정","일반"))</f>
        <v/>
      </c>
      <c r="BC251" s="2">
        <f>IF($AS251="","",MID(IF($BA251="기간 밖"," / 기간 밖(신고기간 아님)","")&amp;IF(AND($AW251&lt;&gt;"",COUNTIF($AW$8:$AW$1007,$AW251)&gt;1)," / 승인번호 중복(두 번 붙여넣기?)","")&amp;IF(ABS($AU251-ROUND($AT251*0.1,0))&gt;설정!$B$8,IF($AU251=0," / 세액 0원(영세율·면세 여부 확인)"," / 세액이 공급가액 10%와 다름"),"")&amp;IF($BB251="수정"," / 수정세금계산서(합계에서 자동 가감)",""),4,200))</f>
        <v/>
      </c>
      <c r="BD251" s="2">
        <f>IF($BA251&lt;&gt;"포함","",IF(COUNTIFS($AX$8:$AX251,$AX251,$BA$8:$BA251,"포함")=1,MAX($BD$7:BD250)+1,""))</f>
        <v/>
      </c>
      <c r="BE251" s="2">
        <f>IF($BC251="","",MAX($BE$7:BE250)+1)</f>
        <v/>
      </c>
    </row>
    <row r="252">
      <c r="AR252" s="2">
        <f>IF(OR($A$5="",$B$6="",ROW()&lt;$A$5),"",IF(INDEX($A:$AP,ROW(),$B$6)="","",INDEX($A:$AP,ROW(),$B$6)))</f>
        <v/>
      </c>
      <c r="AS252" s="22">
        <f>IF($AR252="","",IF(ISNUMBER($AR252),IF($AR252&gt;=10000000,IFERROR(DATE(INT($AR252/10000),MOD(INT($AR252/100),100),MOD($AR252,100)),""),INT($AR252)),IFERROR(DATE(--LEFT(LEFT(SUBSTITUTE(SUBSTITUTE(SUBSTITUTE(SUBSTITUTE(TRIM($AR252),"-",""),".",""),"/","")," ",""),8),4),--MID(LEFT(SUBSTITUTE(SUBSTITUTE(SUBSTITUTE(SUBSTITUTE(TRIM($AR252),"-",""),".",""),"/","")," ",""),8),5,2),--MID(LEFT(SUBSTITUTE(SUBSTITUTE(SUBSTITUTE(SUBSTITUTE(TRIM($AR252),"-",""),".",""),"/","")," ",""),8),7,2)),"")))</f>
        <v/>
      </c>
      <c r="AT252" s="23">
        <f>IF($AS252="","",IF($F$6="",0,IF(ISNUMBER(INDEX($A:$AP,ROW(),$F$6)),INDEX($A:$AP,ROW(),$F$6),IFERROR(--SUBSTITUTE(SUBSTITUTE(TRIM(INDEX($A:$AP,ROW(),$F$6)),",",""),"원",""),0))))</f>
        <v/>
      </c>
      <c r="AU252" s="23">
        <f>IF($AS252="","",IF($G$6="",0,IF(ISNUMBER(INDEX($A:$AP,ROW(),$G$6)),INDEX($A:$AP,ROW(),$G$6),IFERROR(--SUBSTITUTE(SUBSTITUTE(TRIM(INDEX($A:$AP,ROW(),$G$6)),",",""),"원",""),0))))</f>
        <v/>
      </c>
      <c r="AV252" s="23">
        <f>IF($AS252="","",IF($H$6="",$AT252+$AU252,IF($H$6="",0,IF(ISNUMBER(INDEX($A:$AP,ROW(),$H$6)),INDEX($A:$AP,ROW(),$H$6),IFERROR(--SUBSTITUTE(SUBSTITUTE(TRIM(INDEX($A:$AP,ROW(),$H$6)),",",""),"원",""),0)))))</f>
        <v/>
      </c>
      <c r="AW252" s="2">
        <f>IF(OR($AS252="",$C$6=""),"",TRIM(INDEX($A:$AP,ROW(),$C$6)&amp;""))</f>
        <v/>
      </c>
      <c r="AX252" s="2">
        <f>IF($AS252="","",IF($AZ252&lt;&gt;"",SUBSTITUTE(SUBSTITUTE($AZ252,"-","")," ",""),$AY252))</f>
        <v/>
      </c>
      <c r="AY252" s="2">
        <f>IF(OR($AS252="",$E$6=""),"",TRIM(INDEX($A:$AP,ROW(),$E$6)&amp;""))</f>
        <v/>
      </c>
      <c r="AZ252" s="2">
        <f>IF(OR($AS252="",$D$6=""),"",TRIM(INDEX($A:$AP,ROW(),$D$6)&amp;""))</f>
        <v/>
      </c>
      <c r="BA252" s="2">
        <f>IF($AS252="","",IF(AND($AS252&gt;=설정!$B$10,$AS252&lt;=설정!$B$11),"포함","기간 밖"))</f>
        <v/>
      </c>
      <c r="BB252" s="2">
        <f>IF($AS252="","",IF(OR($AT252&lt;0,AND($I$6&lt;&gt;"",ISNUMBER(FIND("수정",INDEX($A:$AP,ROW(),IF($I$6="",1,$I$6))&amp;"")))),"수정","일반"))</f>
        <v/>
      </c>
      <c r="BC252" s="2">
        <f>IF($AS252="","",MID(IF($BA252="기간 밖"," / 기간 밖(신고기간 아님)","")&amp;IF(AND($AW252&lt;&gt;"",COUNTIF($AW$8:$AW$1007,$AW252)&gt;1)," / 승인번호 중복(두 번 붙여넣기?)","")&amp;IF(ABS($AU252-ROUND($AT252*0.1,0))&gt;설정!$B$8,IF($AU252=0," / 세액 0원(영세율·면세 여부 확인)"," / 세액이 공급가액 10%와 다름"),"")&amp;IF($BB252="수정"," / 수정세금계산서(합계에서 자동 가감)",""),4,200))</f>
        <v/>
      </c>
      <c r="BD252" s="2">
        <f>IF($BA252&lt;&gt;"포함","",IF(COUNTIFS($AX$8:$AX252,$AX252,$BA$8:$BA252,"포함")=1,MAX($BD$7:BD251)+1,""))</f>
        <v/>
      </c>
      <c r="BE252" s="2">
        <f>IF($BC252="","",MAX($BE$7:BE251)+1)</f>
        <v/>
      </c>
    </row>
    <row r="253">
      <c r="AR253" s="2">
        <f>IF(OR($A$5="",$B$6="",ROW()&lt;$A$5),"",IF(INDEX($A:$AP,ROW(),$B$6)="","",INDEX($A:$AP,ROW(),$B$6)))</f>
        <v/>
      </c>
      <c r="AS253" s="22">
        <f>IF($AR253="","",IF(ISNUMBER($AR253),IF($AR253&gt;=10000000,IFERROR(DATE(INT($AR253/10000),MOD(INT($AR253/100),100),MOD($AR253,100)),""),INT($AR253)),IFERROR(DATE(--LEFT(LEFT(SUBSTITUTE(SUBSTITUTE(SUBSTITUTE(SUBSTITUTE(TRIM($AR253),"-",""),".",""),"/","")," ",""),8),4),--MID(LEFT(SUBSTITUTE(SUBSTITUTE(SUBSTITUTE(SUBSTITUTE(TRIM($AR253),"-",""),".",""),"/","")," ",""),8),5,2),--MID(LEFT(SUBSTITUTE(SUBSTITUTE(SUBSTITUTE(SUBSTITUTE(TRIM($AR253),"-",""),".",""),"/","")," ",""),8),7,2)),"")))</f>
        <v/>
      </c>
      <c r="AT253" s="23">
        <f>IF($AS253="","",IF($F$6="",0,IF(ISNUMBER(INDEX($A:$AP,ROW(),$F$6)),INDEX($A:$AP,ROW(),$F$6),IFERROR(--SUBSTITUTE(SUBSTITUTE(TRIM(INDEX($A:$AP,ROW(),$F$6)),",",""),"원",""),0))))</f>
        <v/>
      </c>
      <c r="AU253" s="23">
        <f>IF($AS253="","",IF($G$6="",0,IF(ISNUMBER(INDEX($A:$AP,ROW(),$G$6)),INDEX($A:$AP,ROW(),$G$6),IFERROR(--SUBSTITUTE(SUBSTITUTE(TRIM(INDEX($A:$AP,ROW(),$G$6)),",",""),"원",""),0))))</f>
        <v/>
      </c>
      <c r="AV253" s="23">
        <f>IF($AS253="","",IF($H$6="",$AT253+$AU253,IF($H$6="",0,IF(ISNUMBER(INDEX($A:$AP,ROW(),$H$6)),INDEX($A:$AP,ROW(),$H$6),IFERROR(--SUBSTITUTE(SUBSTITUTE(TRIM(INDEX($A:$AP,ROW(),$H$6)),",",""),"원",""),0)))))</f>
        <v/>
      </c>
      <c r="AW253" s="2">
        <f>IF(OR($AS253="",$C$6=""),"",TRIM(INDEX($A:$AP,ROW(),$C$6)&amp;""))</f>
        <v/>
      </c>
      <c r="AX253" s="2">
        <f>IF($AS253="","",IF($AZ253&lt;&gt;"",SUBSTITUTE(SUBSTITUTE($AZ253,"-","")," ",""),$AY253))</f>
        <v/>
      </c>
      <c r="AY253" s="2">
        <f>IF(OR($AS253="",$E$6=""),"",TRIM(INDEX($A:$AP,ROW(),$E$6)&amp;""))</f>
        <v/>
      </c>
      <c r="AZ253" s="2">
        <f>IF(OR($AS253="",$D$6=""),"",TRIM(INDEX($A:$AP,ROW(),$D$6)&amp;""))</f>
        <v/>
      </c>
      <c r="BA253" s="2">
        <f>IF($AS253="","",IF(AND($AS253&gt;=설정!$B$10,$AS253&lt;=설정!$B$11),"포함","기간 밖"))</f>
        <v/>
      </c>
      <c r="BB253" s="2">
        <f>IF($AS253="","",IF(OR($AT253&lt;0,AND($I$6&lt;&gt;"",ISNUMBER(FIND("수정",INDEX($A:$AP,ROW(),IF($I$6="",1,$I$6))&amp;"")))),"수정","일반"))</f>
        <v/>
      </c>
      <c r="BC253" s="2">
        <f>IF($AS253="","",MID(IF($BA253="기간 밖"," / 기간 밖(신고기간 아님)","")&amp;IF(AND($AW253&lt;&gt;"",COUNTIF($AW$8:$AW$1007,$AW253)&gt;1)," / 승인번호 중복(두 번 붙여넣기?)","")&amp;IF(ABS($AU253-ROUND($AT253*0.1,0))&gt;설정!$B$8,IF($AU253=0," / 세액 0원(영세율·면세 여부 확인)"," / 세액이 공급가액 10%와 다름"),"")&amp;IF($BB253="수정"," / 수정세금계산서(합계에서 자동 가감)",""),4,200))</f>
        <v/>
      </c>
      <c r="BD253" s="2">
        <f>IF($BA253&lt;&gt;"포함","",IF(COUNTIFS($AX$8:$AX253,$AX253,$BA$8:$BA253,"포함")=1,MAX($BD$7:BD252)+1,""))</f>
        <v/>
      </c>
      <c r="BE253" s="2">
        <f>IF($BC253="","",MAX($BE$7:BE252)+1)</f>
        <v/>
      </c>
    </row>
    <row r="254">
      <c r="AR254" s="2">
        <f>IF(OR($A$5="",$B$6="",ROW()&lt;$A$5),"",IF(INDEX($A:$AP,ROW(),$B$6)="","",INDEX($A:$AP,ROW(),$B$6)))</f>
        <v/>
      </c>
      <c r="AS254" s="22">
        <f>IF($AR254="","",IF(ISNUMBER($AR254),IF($AR254&gt;=10000000,IFERROR(DATE(INT($AR254/10000),MOD(INT($AR254/100),100),MOD($AR254,100)),""),INT($AR254)),IFERROR(DATE(--LEFT(LEFT(SUBSTITUTE(SUBSTITUTE(SUBSTITUTE(SUBSTITUTE(TRIM($AR254),"-",""),".",""),"/","")," ",""),8),4),--MID(LEFT(SUBSTITUTE(SUBSTITUTE(SUBSTITUTE(SUBSTITUTE(TRIM($AR254),"-",""),".",""),"/","")," ",""),8),5,2),--MID(LEFT(SUBSTITUTE(SUBSTITUTE(SUBSTITUTE(SUBSTITUTE(TRIM($AR254),"-",""),".",""),"/","")," ",""),8),7,2)),"")))</f>
        <v/>
      </c>
      <c r="AT254" s="23">
        <f>IF($AS254="","",IF($F$6="",0,IF(ISNUMBER(INDEX($A:$AP,ROW(),$F$6)),INDEX($A:$AP,ROW(),$F$6),IFERROR(--SUBSTITUTE(SUBSTITUTE(TRIM(INDEX($A:$AP,ROW(),$F$6)),",",""),"원",""),0))))</f>
        <v/>
      </c>
      <c r="AU254" s="23">
        <f>IF($AS254="","",IF($G$6="",0,IF(ISNUMBER(INDEX($A:$AP,ROW(),$G$6)),INDEX($A:$AP,ROW(),$G$6),IFERROR(--SUBSTITUTE(SUBSTITUTE(TRIM(INDEX($A:$AP,ROW(),$G$6)),",",""),"원",""),0))))</f>
        <v/>
      </c>
      <c r="AV254" s="23">
        <f>IF($AS254="","",IF($H$6="",$AT254+$AU254,IF($H$6="",0,IF(ISNUMBER(INDEX($A:$AP,ROW(),$H$6)),INDEX($A:$AP,ROW(),$H$6),IFERROR(--SUBSTITUTE(SUBSTITUTE(TRIM(INDEX($A:$AP,ROW(),$H$6)),",",""),"원",""),0)))))</f>
        <v/>
      </c>
      <c r="AW254" s="2">
        <f>IF(OR($AS254="",$C$6=""),"",TRIM(INDEX($A:$AP,ROW(),$C$6)&amp;""))</f>
        <v/>
      </c>
      <c r="AX254" s="2">
        <f>IF($AS254="","",IF($AZ254&lt;&gt;"",SUBSTITUTE(SUBSTITUTE($AZ254,"-","")," ",""),$AY254))</f>
        <v/>
      </c>
      <c r="AY254" s="2">
        <f>IF(OR($AS254="",$E$6=""),"",TRIM(INDEX($A:$AP,ROW(),$E$6)&amp;""))</f>
        <v/>
      </c>
      <c r="AZ254" s="2">
        <f>IF(OR($AS254="",$D$6=""),"",TRIM(INDEX($A:$AP,ROW(),$D$6)&amp;""))</f>
        <v/>
      </c>
      <c r="BA254" s="2">
        <f>IF($AS254="","",IF(AND($AS254&gt;=설정!$B$10,$AS254&lt;=설정!$B$11),"포함","기간 밖"))</f>
        <v/>
      </c>
      <c r="BB254" s="2">
        <f>IF($AS254="","",IF(OR($AT254&lt;0,AND($I$6&lt;&gt;"",ISNUMBER(FIND("수정",INDEX($A:$AP,ROW(),IF($I$6="",1,$I$6))&amp;"")))),"수정","일반"))</f>
        <v/>
      </c>
      <c r="BC254" s="2">
        <f>IF($AS254="","",MID(IF($BA254="기간 밖"," / 기간 밖(신고기간 아님)","")&amp;IF(AND($AW254&lt;&gt;"",COUNTIF($AW$8:$AW$1007,$AW254)&gt;1)," / 승인번호 중복(두 번 붙여넣기?)","")&amp;IF(ABS($AU254-ROUND($AT254*0.1,0))&gt;설정!$B$8,IF($AU254=0," / 세액 0원(영세율·면세 여부 확인)"," / 세액이 공급가액 10%와 다름"),"")&amp;IF($BB254="수정"," / 수정세금계산서(합계에서 자동 가감)",""),4,200))</f>
        <v/>
      </c>
      <c r="BD254" s="2">
        <f>IF($BA254&lt;&gt;"포함","",IF(COUNTIFS($AX$8:$AX254,$AX254,$BA$8:$BA254,"포함")=1,MAX($BD$7:BD253)+1,""))</f>
        <v/>
      </c>
      <c r="BE254" s="2">
        <f>IF($BC254="","",MAX($BE$7:BE253)+1)</f>
        <v/>
      </c>
    </row>
    <row r="255">
      <c r="AR255" s="2">
        <f>IF(OR($A$5="",$B$6="",ROW()&lt;$A$5),"",IF(INDEX($A:$AP,ROW(),$B$6)="","",INDEX($A:$AP,ROW(),$B$6)))</f>
        <v/>
      </c>
      <c r="AS255" s="22">
        <f>IF($AR255="","",IF(ISNUMBER($AR255),IF($AR255&gt;=10000000,IFERROR(DATE(INT($AR255/10000),MOD(INT($AR255/100),100),MOD($AR255,100)),""),INT($AR255)),IFERROR(DATE(--LEFT(LEFT(SUBSTITUTE(SUBSTITUTE(SUBSTITUTE(SUBSTITUTE(TRIM($AR255),"-",""),".",""),"/","")," ",""),8),4),--MID(LEFT(SUBSTITUTE(SUBSTITUTE(SUBSTITUTE(SUBSTITUTE(TRIM($AR255),"-",""),".",""),"/","")," ",""),8),5,2),--MID(LEFT(SUBSTITUTE(SUBSTITUTE(SUBSTITUTE(SUBSTITUTE(TRIM($AR255),"-",""),".",""),"/","")," ",""),8),7,2)),"")))</f>
        <v/>
      </c>
      <c r="AT255" s="23">
        <f>IF($AS255="","",IF($F$6="",0,IF(ISNUMBER(INDEX($A:$AP,ROW(),$F$6)),INDEX($A:$AP,ROW(),$F$6),IFERROR(--SUBSTITUTE(SUBSTITUTE(TRIM(INDEX($A:$AP,ROW(),$F$6)),",",""),"원",""),0))))</f>
        <v/>
      </c>
      <c r="AU255" s="23">
        <f>IF($AS255="","",IF($G$6="",0,IF(ISNUMBER(INDEX($A:$AP,ROW(),$G$6)),INDEX($A:$AP,ROW(),$G$6),IFERROR(--SUBSTITUTE(SUBSTITUTE(TRIM(INDEX($A:$AP,ROW(),$G$6)),",",""),"원",""),0))))</f>
        <v/>
      </c>
      <c r="AV255" s="23">
        <f>IF($AS255="","",IF($H$6="",$AT255+$AU255,IF($H$6="",0,IF(ISNUMBER(INDEX($A:$AP,ROW(),$H$6)),INDEX($A:$AP,ROW(),$H$6),IFERROR(--SUBSTITUTE(SUBSTITUTE(TRIM(INDEX($A:$AP,ROW(),$H$6)),",",""),"원",""),0)))))</f>
        <v/>
      </c>
      <c r="AW255" s="2">
        <f>IF(OR($AS255="",$C$6=""),"",TRIM(INDEX($A:$AP,ROW(),$C$6)&amp;""))</f>
        <v/>
      </c>
      <c r="AX255" s="2">
        <f>IF($AS255="","",IF($AZ255&lt;&gt;"",SUBSTITUTE(SUBSTITUTE($AZ255,"-","")," ",""),$AY255))</f>
        <v/>
      </c>
      <c r="AY255" s="2">
        <f>IF(OR($AS255="",$E$6=""),"",TRIM(INDEX($A:$AP,ROW(),$E$6)&amp;""))</f>
        <v/>
      </c>
      <c r="AZ255" s="2">
        <f>IF(OR($AS255="",$D$6=""),"",TRIM(INDEX($A:$AP,ROW(),$D$6)&amp;""))</f>
        <v/>
      </c>
      <c r="BA255" s="2">
        <f>IF($AS255="","",IF(AND($AS255&gt;=설정!$B$10,$AS255&lt;=설정!$B$11),"포함","기간 밖"))</f>
        <v/>
      </c>
      <c r="BB255" s="2">
        <f>IF($AS255="","",IF(OR($AT255&lt;0,AND($I$6&lt;&gt;"",ISNUMBER(FIND("수정",INDEX($A:$AP,ROW(),IF($I$6="",1,$I$6))&amp;"")))),"수정","일반"))</f>
        <v/>
      </c>
      <c r="BC255" s="2">
        <f>IF($AS255="","",MID(IF($BA255="기간 밖"," / 기간 밖(신고기간 아님)","")&amp;IF(AND($AW255&lt;&gt;"",COUNTIF($AW$8:$AW$1007,$AW255)&gt;1)," / 승인번호 중복(두 번 붙여넣기?)","")&amp;IF(ABS($AU255-ROUND($AT255*0.1,0))&gt;설정!$B$8,IF($AU255=0," / 세액 0원(영세율·면세 여부 확인)"," / 세액이 공급가액 10%와 다름"),"")&amp;IF($BB255="수정"," / 수정세금계산서(합계에서 자동 가감)",""),4,200))</f>
        <v/>
      </c>
      <c r="BD255" s="2">
        <f>IF($BA255&lt;&gt;"포함","",IF(COUNTIFS($AX$8:$AX255,$AX255,$BA$8:$BA255,"포함")=1,MAX($BD$7:BD254)+1,""))</f>
        <v/>
      </c>
      <c r="BE255" s="2">
        <f>IF($BC255="","",MAX($BE$7:BE254)+1)</f>
        <v/>
      </c>
    </row>
    <row r="256">
      <c r="AR256" s="2">
        <f>IF(OR($A$5="",$B$6="",ROW()&lt;$A$5),"",IF(INDEX($A:$AP,ROW(),$B$6)="","",INDEX($A:$AP,ROW(),$B$6)))</f>
        <v/>
      </c>
      <c r="AS256" s="22">
        <f>IF($AR256="","",IF(ISNUMBER($AR256),IF($AR256&gt;=10000000,IFERROR(DATE(INT($AR256/10000),MOD(INT($AR256/100),100),MOD($AR256,100)),""),INT($AR256)),IFERROR(DATE(--LEFT(LEFT(SUBSTITUTE(SUBSTITUTE(SUBSTITUTE(SUBSTITUTE(TRIM($AR256),"-",""),".",""),"/","")," ",""),8),4),--MID(LEFT(SUBSTITUTE(SUBSTITUTE(SUBSTITUTE(SUBSTITUTE(TRIM($AR256),"-",""),".",""),"/","")," ",""),8),5,2),--MID(LEFT(SUBSTITUTE(SUBSTITUTE(SUBSTITUTE(SUBSTITUTE(TRIM($AR256),"-",""),".",""),"/","")," ",""),8),7,2)),"")))</f>
        <v/>
      </c>
      <c r="AT256" s="23">
        <f>IF($AS256="","",IF($F$6="",0,IF(ISNUMBER(INDEX($A:$AP,ROW(),$F$6)),INDEX($A:$AP,ROW(),$F$6),IFERROR(--SUBSTITUTE(SUBSTITUTE(TRIM(INDEX($A:$AP,ROW(),$F$6)),",",""),"원",""),0))))</f>
        <v/>
      </c>
      <c r="AU256" s="23">
        <f>IF($AS256="","",IF($G$6="",0,IF(ISNUMBER(INDEX($A:$AP,ROW(),$G$6)),INDEX($A:$AP,ROW(),$G$6),IFERROR(--SUBSTITUTE(SUBSTITUTE(TRIM(INDEX($A:$AP,ROW(),$G$6)),",",""),"원",""),0))))</f>
        <v/>
      </c>
      <c r="AV256" s="23">
        <f>IF($AS256="","",IF($H$6="",$AT256+$AU256,IF($H$6="",0,IF(ISNUMBER(INDEX($A:$AP,ROW(),$H$6)),INDEX($A:$AP,ROW(),$H$6),IFERROR(--SUBSTITUTE(SUBSTITUTE(TRIM(INDEX($A:$AP,ROW(),$H$6)),",",""),"원",""),0)))))</f>
        <v/>
      </c>
      <c r="AW256" s="2">
        <f>IF(OR($AS256="",$C$6=""),"",TRIM(INDEX($A:$AP,ROW(),$C$6)&amp;""))</f>
        <v/>
      </c>
      <c r="AX256" s="2">
        <f>IF($AS256="","",IF($AZ256&lt;&gt;"",SUBSTITUTE(SUBSTITUTE($AZ256,"-","")," ",""),$AY256))</f>
        <v/>
      </c>
      <c r="AY256" s="2">
        <f>IF(OR($AS256="",$E$6=""),"",TRIM(INDEX($A:$AP,ROW(),$E$6)&amp;""))</f>
        <v/>
      </c>
      <c r="AZ256" s="2">
        <f>IF(OR($AS256="",$D$6=""),"",TRIM(INDEX($A:$AP,ROW(),$D$6)&amp;""))</f>
        <v/>
      </c>
      <c r="BA256" s="2">
        <f>IF($AS256="","",IF(AND($AS256&gt;=설정!$B$10,$AS256&lt;=설정!$B$11),"포함","기간 밖"))</f>
        <v/>
      </c>
      <c r="BB256" s="2">
        <f>IF($AS256="","",IF(OR($AT256&lt;0,AND($I$6&lt;&gt;"",ISNUMBER(FIND("수정",INDEX($A:$AP,ROW(),IF($I$6="",1,$I$6))&amp;"")))),"수정","일반"))</f>
        <v/>
      </c>
      <c r="BC256" s="2">
        <f>IF($AS256="","",MID(IF($BA256="기간 밖"," / 기간 밖(신고기간 아님)","")&amp;IF(AND($AW256&lt;&gt;"",COUNTIF($AW$8:$AW$1007,$AW256)&gt;1)," / 승인번호 중복(두 번 붙여넣기?)","")&amp;IF(ABS($AU256-ROUND($AT256*0.1,0))&gt;설정!$B$8,IF($AU256=0," / 세액 0원(영세율·면세 여부 확인)"," / 세액이 공급가액 10%와 다름"),"")&amp;IF($BB256="수정"," / 수정세금계산서(합계에서 자동 가감)",""),4,200))</f>
        <v/>
      </c>
      <c r="BD256" s="2">
        <f>IF($BA256&lt;&gt;"포함","",IF(COUNTIFS($AX$8:$AX256,$AX256,$BA$8:$BA256,"포함")=1,MAX($BD$7:BD255)+1,""))</f>
        <v/>
      </c>
      <c r="BE256" s="2">
        <f>IF($BC256="","",MAX($BE$7:BE255)+1)</f>
        <v/>
      </c>
    </row>
    <row r="257">
      <c r="AR257" s="2">
        <f>IF(OR($A$5="",$B$6="",ROW()&lt;$A$5),"",IF(INDEX($A:$AP,ROW(),$B$6)="","",INDEX($A:$AP,ROW(),$B$6)))</f>
        <v/>
      </c>
      <c r="AS257" s="22">
        <f>IF($AR257="","",IF(ISNUMBER($AR257),IF($AR257&gt;=10000000,IFERROR(DATE(INT($AR257/10000),MOD(INT($AR257/100),100),MOD($AR257,100)),""),INT($AR257)),IFERROR(DATE(--LEFT(LEFT(SUBSTITUTE(SUBSTITUTE(SUBSTITUTE(SUBSTITUTE(TRIM($AR257),"-",""),".",""),"/","")," ",""),8),4),--MID(LEFT(SUBSTITUTE(SUBSTITUTE(SUBSTITUTE(SUBSTITUTE(TRIM($AR257),"-",""),".",""),"/","")," ",""),8),5,2),--MID(LEFT(SUBSTITUTE(SUBSTITUTE(SUBSTITUTE(SUBSTITUTE(TRIM($AR257),"-",""),".",""),"/","")," ",""),8),7,2)),"")))</f>
        <v/>
      </c>
      <c r="AT257" s="23">
        <f>IF($AS257="","",IF($F$6="",0,IF(ISNUMBER(INDEX($A:$AP,ROW(),$F$6)),INDEX($A:$AP,ROW(),$F$6),IFERROR(--SUBSTITUTE(SUBSTITUTE(TRIM(INDEX($A:$AP,ROW(),$F$6)),",",""),"원",""),0))))</f>
        <v/>
      </c>
      <c r="AU257" s="23">
        <f>IF($AS257="","",IF($G$6="",0,IF(ISNUMBER(INDEX($A:$AP,ROW(),$G$6)),INDEX($A:$AP,ROW(),$G$6),IFERROR(--SUBSTITUTE(SUBSTITUTE(TRIM(INDEX($A:$AP,ROW(),$G$6)),",",""),"원",""),0))))</f>
        <v/>
      </c>
      <c r="AV257" s="23">
        <f>IF($AS257="","",IF($H$6="",$AT257+$AU257,IF($H$6="",0,IF(ISNUMBER(INDEX($A:$AP,ROW(),$H$6)),INDEX($A:$AP,ROW(),$H$6),IFERROR(--SUBSTITUTE(SUBSTITUTE(TRIM(INDEX($A:$AP,ROW(),$H$6)),",",""),"원",""),0)))))</f>
        <v/>
      </c>
      <c r="AW257" s="2">
        <f>IF(OR($AS257="",$C$6=""),"",TRIM(INDEX($A:$AP,ROW(),$C$6)&amp;""))</f>
        <v/>
      </c>
      <c r="AX257" s="2">
        <f>IF($AS257="","",IF($AZ257&lt;&gt;"",SUBSTITUTE(SUBSTITUTE($AZ257,"-","")," ",""),$AY257))</f>
        <v/>
      </c>
      <c r="AY257" s="2">
        <f>IF(OR($AS257="",$E$6=""),"",TRIM(INDEX($A:$AP,ROW(),$E$6)&amp;""))</f>
        <v/>
      </c>
      <c r="AZ257" s="2">
        <f>IF(OR($AS257="",$D$6=""),"",TRIM(INDEX($A:$AP,ROW(),$D$6)&amp;""))</f>
        <v/>
      </c>
      <c r="BA257" s="2">
        <f>IF($AS257="","",IF(AND($AS257&gt;=설정!$B$10,$AS257&lt;=설정!$B$11),"포함","기간 밖"))</f>
        <v/>
      </c>
      <c r="BB257" s="2">
        <f>IF($AS257="","",IF(OR($AT257&lt;0,AND($I$6&lt;&gt;"",ISNUMBER(FIND("수정",INDEX($A:$AP,ROW(),IF($I$6="",1,$I$6))&amp;"")))),"수정","일반"))</f>
        <v/>
      </c>
      <c r="BC257" s="2">
        <f>IF($AS257="","",MID(IF($BA257="기간 밖"," / 기간 밖(신고기간 아님)","")&amp;IF(AND($AW257&lt;&gt;"",COUNTIF($AW$8:$AW$1007,$AW257)&gt;1)," / 승인번호 중복(두 번 붙여넣기?)","")&amp;IF(ABS($AU257-ROUND($AT257*0.1,0))&gt;설정!$B$8,IF($AU257=0," / 세액 0원(영세율·면세 여부 확인)"," / 세액이 공급가액 10%와 다름"),"")&amp;IF($BB257="수정"," / 수정세금계산서(합계에서 자동 가감)",""),4,200))</f>
        <v/>
      </c>
      <c r="BD257" s="2">
        <f>IF($BA257&lt;&gt;"포함","",IF(COUNTIFS($AX$8:$AX257,$AX257,$BA$8:$BA257,"포함")=1,MAX($BD$7:BD256)+1,""))</f>
        <v/>
      </c>
      <c r="BE257" s="2">
        <f>IF($BC257="","",MAX($BE$7:BE256)+1)</f>
        <v/>
      </c>
    </row>
    <row r="258">
      <c r="AR258" s="2">
        <f>IF(OR($A$5="",$B$6="",ROW()&lt;$A$5),"",IF(INDEX($A:$AP,ROW(),$B$6)="","",INDEX($A:$AP,ROW(),$B$6)))</f>
        <v/>
      </c>
      <c r="AS258" s="22">
        <f>IF($AR258="","",IF(ISNUMBER($AR258),IF($AR258&gt;=10000000,IFERROR(DATE(INT($AR258/10000),MOD(INT($AR258/100),100),MOD($AR258,100)),""),INT($AR258)),IFERROR(DATE(--LEFT(LEFT(SUBSTITUTE(SUBSTITUTE(SUBSTITUTE(SUBSTITUTE(TRIM($AR258),"-",""),".",""),"/","")," ",""),8),4),--MID(LEFT(SUBSTITUTE(SUBSTITUTE(SUBSTITUTE(SUBSTITUTE(TRIM($AR258),"-",""),".",""),"/","")," ",""),8),5,2),--MID(LEFT(SUBSTITUTE(SUBSTITUTE(SUBSTITUTE(SUBSTITUTE(TRIM($AR258),"-",""),".",""),"/","")," ",""),8),7,2)),"")))</f>
        <v/>
      </c>
      <c r="AT258" s="23">
        <f>IF($AS258="","",IF($F$6="",0,IF(ISNUMBER(INDEX($A:$AP,ROW(),$F$6)),INDEX($A:$AP,ROW(),$F$6),IFERROR(--SUBSTITUTE(SUBSTITUTE(TRIM(INDEX($A:$AP,ROW(),$F$6)),",",""),"원",""),0))))</f>
        <v/>
      </c>
      <c r="AU258" s="23">
        <f>IF($AS258="","",IF($G$6="",0,IF(ISNUMBER(INDEX($A:$AP,ROW(),$G$6)),INDEX($A:$AP,ROW(),$G$6),IFERROR(--SUBSTITUTE(SUBSTITUTE(TRIM(INDEX($A:$AP,ROW(),$G$6)),",",""),"원",""),0))))</f>
        <v/>
      </c>
      <c r="AV258" s="23">
        <f>IF($AS258="","",IF($H$6="",$AT258+$AU258,IF($H$6="",0,IF(ISNUMBER(INDEX($A:$AP,ROW(),$H$6)),INDEX($A:$AP,ROW(),$H$6),IFERROR(--SUBSTITUTE(SUBSTITUTE(TRIM(INDEX($A:$AP,ROW(),$H$6)),",",""),"원",""),0)))))</f>
        <v/>
      </c>
      <c r="AW258" s="2">
        <f>IF(OR($AS258="",$C$6=""),"",TRIM(INDEX($A:$AP,ROW(),$C$6)&amp;""))</f>
        <v/>
      </c>
      <c r="AX258" s="2">
        <f>IF($AS258="","",IF($AZ258&lt;&gt;"",SUBSTITUTE(SUBSTITUTE($AZ258,"-","")," ",""),$AY258))</f>
        <v/>
      </c>
      <c r="AY258" s="2">
        <f>IF(OR($AS258="",$E$6=""),"",TRIM(INDEX($A:$AP,ROW(),$E$6)&amp;""))</f>
        <v/>
      </c>
      <c r="AZ258" s="2">
        <f>IF(OR($AS258="",$D$6=""),"",TRIM(INDEX($A:$AP,ROW(),$D$6)&amp;""))</f>
        <v/>
      </c>
      <c r="BA258" s="2">
        <f>IF($AS258="","",IF(AND($AS258&gt;=설정!$B$10,$AS258&lt;=설정!$B$11),"포함","기간 밖"))</f>
        <v/>
      </c>
      <c r="BB258" s="2">
        <f>IF($AS258="","",IF(OR($AT258&lt;0,AND($I$6&lt;&gt;"",ISNUMBER(FIND("수정",INDEX($A:$AP,ROW(),IF($I$6="",1,$I$6))&amp;"")))),"수정","일반"))</f>
        <v/>
      </c>
      <c r="BC258" s="2">
        <f>IF($AS258="","",MID(IF($BA258="기간 밖"," / 기간 밖(신고기간 아님)","")&amp;IF(AND($AW258&lt;&gt;"",COUNTIF($AW$8:$AW$1007,$AW258)&gt;1)," / 승인번호 중복(두 번 붙여넣기?)","")&amp;IF(ABS($AU258-ROUND($AT258*0.1,0))&gt;설정!$B$8,IF($AU258=0," / 세액 0원(영세율·면세 여부 확인)"," / 세액이 공급가액 10%와 다름"),"")&amp;IF($BB258="수정"," / 수정세금계산서(합계에서 자동 가감)",""),4,200))</f>
        <v/>
      </c>
      <c r="BD258" s="2">
        <f>IF($BA258&lt;&gt;"포함","",IF(COUNTIFS($AX$8:$AX258,$AX258,$BA$8:$BA258,"포함")=1,MAX($BD$7:BD257)+1,""))</f>
        <v/>
      </c>
      <c r="BE258" s="2">
        <f>IF($BC258="","",MAX($BE$7:BE257)+1)</f>
        <v/>
      </c>
    </row>
    <row r="259">
      <c r="AR259" s="2">
        <f>IF(OR($A$5="",$B$6="",ROW()&lt;$A$5),"",IF(INDEX($A:$AP,ROW(),$B$6)="","",INDEX($A:$AP,ROW(),$B$6)))</f>
        <v/>
      </c>
      <c r="AS259" s="22">
        <f>IF($AR259="","",IF(ISNUMBER($AR259),IF($AR259&gt;=10000000,IFERROR(DATE(INT($AR259/10000),MOD(INT($AR259/100),100),MOD($AR259,100)),""),INT($AR259)),IFERROR(DATE(--LEFT(LEFT(SUBSTITUTE(SUBSTITUTE(SUBSTITUTE(SUBSTITUTE(TRIM($AR259),"-",""),".",""),"/","")," ",""),8),4),--MID(LEFT(SUBSTITUTE(SUBSTITUTE(SUBSTITUTE(SUBSTITUTE(TRIM($AR259),"-",""),".",""),"/","")," ",""),8),5,2),--MID(LEFT(SUBSTITUTE(SUBSTITUTE(SUBSTITUTE(SUBSTITUTE(TRIM($AR259),"-",""),".",""),"/","")," ",""),8),7,2)),"")))</f>
        <v/>
      </c>
      <c r="AT259" s="23">
        <f>IF($AS259="","",IF($F$6="",0,IF(ISNUMBER(INDEX($A:$AP,ROW(),$F$6)),INDEX($A:$AP,ROW(),$F$6),IFERROR(--SUBSTITUTE(SUBSTITUTE(TRIM(INDEX($A:$AP,ROW(),$F$6)),",",""),"원",""),0))))</f>
        <v/>
      </c>
      <c r="AU259" s="23">
        <f>IF($AS259="","",IF($G$6="",0,IF(ISNUMBER(INDEX($A:$AP,ROW(),$G$6)),INDEX($A:$AP,ROW(),$G$6),IFERROR(--SUBSTITUTE(SUBSTITUTE(TRIM(INDEX($A:$AP,ROW(),$G$6)),",",""),"원",""),0))))</f>
        <v/>
      </c>
      <c r="AV259" s="23">
        <f>IF($AS259="","",IF($H$6="",$AT259+$AU259,IF($H$6="",0,IF(ISNUMBER(INDEX($A:$AP,ROW(),$H$6)),INDEX($A:$AP,ROW(),$H$6),IFERROR(--SUBSTITUTE(SUBSTITUTE(TRIM(INDEX($A:$AP,ROW(),$H$6)),",",""),"원",""),0)))))</f>
        <v/>
      </c>
      <c r="AW259" s="2">
        <f>IF(OR($AS259="",$C$6=""),"",TRIM(INDEX($A:$AP,ROW(),$C$6)&amp;""))</f>
        <v/>
      </c>
      <c r="AX259" s="2">
        <f>IF($AS259="","",IF($AZ259&lt;&gt;"",SUBSTITUTE(SUBSTITUTE($AZ259,"-","")," ",""),$AY259))</f>
        <v/>
      </c>
      <c r="AY259" s="2">
        <f>IF(OR($AS259="",$E$6=""),"",TRIM(INDEX($A:$AP,ROW(),$E$6)&amp;""))</f>
        <v/>
      </c>
      <c r="AZ259" s="2">
        <f>IF(OR($AS259="",$D$6=""),"",TRIM(INDEX($A:$AP,ROW(),$D$6)&amp;""))</f>
        <v/>
      </c>
      <c r="BA259" s="2">
        <f>IF($AS259="","",IF(AND($AS259&gt;=설정!$B$10,$AS259&lt;=설정!$B$11),"포함","기간 밖"))</f>
        <v/>
      </c>
      <c r="BB259" s="2">
        <f>IF($AS259="","",IF(OR($AT259&lt;0,AND($I$6&lt;&gt;"",ISNUMBER(FIND("수정",INDEX($A:$AP,ROW(),IF($I$6="",1,$I$6))&amp;"")))),"수정","일반"))</f>
        <v/>
      </c>
      <c r="BC259" s="2">
        <f>IF($AS259="","",MID(IF($BA259="기간 밖"," / 기간 밖(신고기간 아님)","")&amp;IF(AND($AW259&lt;&gt;"",COUNTIF($AW$8:$AW$1007,$AW259)&gt;1)," / 승인번호 중복(두 번 붙여넣기?)","")&amp;IF(ABS($AU259-ROUND($AT259*0.1,0))&gt;설정!$B$8,IF($AU259=0," / 세액 0원(영세율·면세 여부 확인)"," / 세액이 공급가액 10%와 다름"),"")&amp;IF($BB259="수정"," / 수정세금계산서(합계에서 자동 가감)",""),4,200))</f>
        <v/>
      </c>
      <c r="BD259" s="2">
        <f>IF($BA259&lt;&gt;"포함","",IF(COUNTIFS($AX$8:$AX259,$AX259,$BA$8:$BA259,"포함")=1,MAX($BD$7:BD258)+1,""))</f>
        <v/>
      </c>
      <c r="BE259" s="2">
        <f>IF($BC259="","",MAX($BE$7:BE258)+1)</f>
        <v/>
      </c>
    </row>
    <row r="260">
      <c r="AR260" s="2">
        <f>IF(OR($A$5="",$B$6="",ROW()&lt;$A$5),"",IF(INDEX($A:$AP,ROW(),$B$6)="","",INDEX($A:$AP,ROW(),$B$6)))</f>
        <v/>
      </c>
      <c r="AS260" s="22">
        <f>IF($AR260="","",IF(ISNUMBER($AR260),IF($AR260&gt;=10000000,IFERROR(DATE(INT($AR260/10000),MOD(INT($AR260/100),100),MOD($AR260,100)),""),INT($AR260)),IFERROR(DATE(--LEFT(LEFT(SUBSTITUTE(SUBSTITUTE(SUBSTITUTE(SUBSTITUTE(TRIM($AR260),"-",""),".",""),"/","")," ",""),8),4),--MID(LEFT(SUBSTITUTE(SUBSTITUTE(SUBSTITUTE(SUBSTITUTE(TRIM($AR260),"-",""),".",""),"/","")," ",""),8),5,2),--MID(LEFT(SUBSTITUTE(SUBSTITUTE(SUBSTITUTE(SUBSTITUTE(TRIM($AR260),"-",""),".",""),"/","")," ",""),8),7,2)),"")))</f>
        <v/>
      </c>
      <c r="AT260" s="23">
        <f>IF($AS260="","",IF($F$6="",0,IF(ISNUMBER(INDEX($A:$AP,ROW(),$F$6)),INDEX($A:$AP,ROW(),$F$6),IFERROR(--SUBSTITUTE(SUBSTITUTE(TRIM(INDEX($A:$AP,ROW(),$F$6)),",",""),"원",""),0))))</f>
        <v/>
      </c>
      <c r="AU260" s="23">
        <f>IF($AS260="","",IF($G$6="",0,IF(ISNUMBER(INDEX($A:$AP,ROW(),$G$6)),INDEX($A:$AP,ROW(),$G$6),IFERROR(--SUBSTITUTE(SUBSTITUTE(TRIM(INDEX($A:$AP,ROW(),$G$6)),",",""),"원",""),0))))</f>
        <v/>
      </c>
      <c r="AV260" s="23">
        <f>IF($AS260="","",IF($H$6="",$AT260+$AU260,IF($H$6="",0,IF(ISNUMBER(INDEX($A:$AP,ROW(),$H$6)),INDEX($A:$AP,ROW(),$H$6),IFERROR(--SUBSTITUTE(SUBSTITUTE(TRIM(INDEX($A:$AP,ROW(),$H$6)),",",""),"원",""),0)))))</f>
        <v/>
      </c>
      <c r="AW260" s="2">
        <f>IF(OR($AS260="",$C$6=""),"",TRIM(INDEX($A:$AP,ROW(),$C$6)&amp;""))</f>
        <v/>
      </c>
      <c r="AX260" s="2">
        <f>IF($AS260="","",IF($AZ260&lt;&gt;"",SUBSTITUTE(SUBSTITUTE($AZ260,"-","")," ",""),$AY260))</f>
        <v/>
      </c>
      <c r="AY260" s="2">
        <f>IF(OR($AS260="",$E$6=""),"",TRIM(INDEX($A:$AP,ROW(),$E$6)&amp;""))</f>
        <v/>
      </c>
      <c r="AZ260" s="2">
        <f>IF(OR($AS260="",$D$6=""),"",TRIM(INDEX($A:$AP,ROW(),$D$6)&amp;""))</f>
        <v/>
      </c>
      <c r="BA260" s="2">
        <f>IF($AS260="","",IF(AND($AS260&gt;=설정!$B$10,$AS260&lt;=설정!$B$11),"포함","기간 밖"))</f>
        <v/>
      </c>
      <c r="BB260" s="2">
        <f>IF($AS260="","",IF(OR($AT260&lt;0,AND($I$6&lt;&gt;"",ISNUMBER(FIND("수정",INDEX($A:$AP,ROW(),IF($I$6="",1,$I$6))&amp;"")))),"수정","일반"))</f>
        <v/>
      </c>
      <c r="BC260" s="2">
        <f>IF($AS260="","",MID(IF($BA260="기간 밖"," / 기간 밖(신고기간 아님)","")&amp;IF(AND($AW260&lt;&gt;"",COUNTIF($AW$8:$AW$1007,$AW260)&gt;1)," / 승인번호 중복(두 번 붙여넣기?)","")&amp;IF(ABS($AU260-ROUND($AT260*0.1,0))&gt;설정!$B$8,IF($AU260=0," / 세액 0원(영세율·면세 여부 확인)"," / 세액이 공급가액 10%와 다름"),"")&amp;IF($BB260="수정"," / 수정세금계산서(합계에서 자동 가감)",""),4,200))</f>
        <v/>
      </c>
      <c r="BD260" s="2">
        <f>IF($BA260&lt;&gt;"포함","",IF(COUNTIFS($AX$8:$AX260,$AX260,$BA$8:$BA260,"포함")=1,MAX($BD$7:BD259)+1,""))</f>
        <v/>
      </c>
      <c r="BE260" s="2">
        <f>IF($BC260="","",MAX($BE$7:BE259)+1)</f>
        <v/>
      </c>
    </row>
    <row r="261">
      <c r="AR261" s="2">
        <f>IF(OR($A$5="",$B$6="",ROW()&lt;$A$5),"",IF(INDEX($A:$AP,ROW(),$B$6)="","",INDEX($A:$AP,ROW(),$B$6)))</f>
        <v/>
      </c>
      <c r="AS261" s="22">
        <f>IF($AR261="","",IF(ISNUMBER($AR261),IF($AR261&gt;=10000000,IFERROR(DATE(INT($AR261/10000),MOD(INT($AR261/100),100),MOD($AR261,100)),""),INT($AR261)),IFERROR(DATE(--LEFT(LEFT(SUBSTITUTE(SUBSTITUTE(SUBSTITUTE(SUBSTITUTE(TRIM($AR261),"-",""),".",""),"/","")," ",""),8),4),--MID(LEFT(SUBSTITUTE(SUBSTITUTE(SUBSTITUTE(SUBSTITUTE(TRIM($AR261),"-",""),".",""),"/","")," ",""),8),5,2),--MID(LEFT(SUBSTITUTE(SUBSTITUTE(SUBSTITUTE(SUBSTITUTE(TRIM($AR261),"-",""),".",""),"/","")," ",""),8),7,2)),"")))</f>
        <v/>
      </c>
      <c r="AT261" s="23">
        <f>IF($AS261="","",IF($F$6="",0,IF(ISNUMBER(INDEX($A:$AP,ROW(),$F$6)),INDEX($A:$AP,ROW(),$F$6),IFERROR(--SUBSTITUTE(SUBSTITUTE(TRIM(INDEX($A:$AP,ROW(),$F$6)),",",""),"원",""),0))))</f>
        <v/>
      </c>
      <c r="AU261" s="23">
        <f>IF($AS261="","",IF($G$6="",0,IF(ISNUMBER(INDEX($A:$AP,ROW(),$G$6)),INDEX($A:$AP,ROW(),$G$6),IFERROR(--SUBSTITUTE(SUBSTITUTE(TRIM(INDEX($A:$AP,ROW(),$G$6)),",",""),"원",""),0))))</f>
        <v/>
      </c>
      <c r="AV261" s="23">
        <f>IF($AS261="","",IF($H$6="",$AT261+$AU261,IF($H$6="",0,IF(ISNUMBER(INDEX($A:$AP,ROW(),$H$6)),INDEX($A:$AP,ROW(),$H$6),IFERROR(--SUBSTITUTE(SUBSTITUTE(TRIM(INDEX($A:$AP,ROW(),$H$6)),",",""),"원",""),0)))))</f>
        <v/>
      </c>
      <c r="AW261" s="2">
        <f>IF(OR($AS261="",$C$6=""),"",TRIM(INDEX($A:$AP,ROW(),$C$6)&amp;""))</f>
        <v/>
      </c>
      <c r="AX261" s="2">
        <f>IF($AS261="","",IF($AZ261&lt;&gt;"",SUBSTITUTE(SUBSTITUTE($AZ261,"-","")," ",""),$AY261))</f>
        <v/>
      </c>
      <c r="AY261" s="2">
        <f>IF(OR($AS261="",$E$6=""),"",TRIM(INDEX($A:$AP,ROW(),$E$6)&amp;""))</f>
        <v/>
      </c>
      <c r="AZ261" s="2">
        <f>IF(OR($AS261="",$D$6=""),"",TRIM(INDEX($A:$AP,ROW(),$D$6)&amp;""))</f>
        <v/>
      </c>
      <c r="BA261" s="2">
        <f>IF($AS261="","",IF(AND($AS261&gt;=설정!$B$10,$AS261&lt;=설정!$B$11),"포함","기간 밖"))</f>
        <v/>
      </c>
      <c r="BB261" s="2">
        <f>IF($AS261="","",IF(OR($AT261&lt;0,AND($I$6&lt;&gt;"",ISNUMBER(FIND("수정",INDEX($A:$AP,ROW(),IF($I$6="",1,$I$6))&amp;"")))),"수정","일반"))</f>
        <v/>
      </c>
      <c r="BC261" s="2">
        <f>IF($AS261="","",MID(IF($BA261="기간 밖"," / 기간 밖(신고기간 아님)","")&amp;IF(AND($AW261&lt;&gt;"",COUNTIF($AW$8:$AW$1007,$AW261)&gt;1)," / 승인번호 중복(두 번 붙여넣기?)","")&amp;IF(ABS($AU261-ROUND($AT261*0.1,0))&gt;설정!$B$8,IF($AU261=0," / 세액 0원(영세율·면세 여부 확인)"," / 세액이 공급가액 10%와 다름"),"")&amp;IF($BB261="수정"," / 수정세금계산서(합계에서 자동 가감)",""),4,200))</f>
        <v/>
      </c>
      <c r="BD261" s="2">
        <f>IF($BA261&lt;&gt;"포함","",IF(COUNTIFS($AX$8:$AX261,$AX261,$BA$8:$BA261,"포함")=1,MAX($BD$7:BD260)+1,""))</f>
        <v/>
      </c>
      <c r="BE261" s="2">
        <f>IF($BC261="","",MAX($BE$7:BE260)+1)</f>
        <v/>
      </c>
    </row>
    <row r="262">
      <c r="AR262" s="2">
        <f>IF(OR($A$5="",$B$6="",ROW()&lt;$A$5),"",IF(INDEX($A:$AP,ROW(),$B$6)="","",INDEX($A:$AP,ROW(),$B$6)))</f>
        <v/>
      </c>
      <c r="AS262" s="22">
        <f>IF($AR262="","",IF(ISNUMBER($AR262),IF($AR262&gt;=10000000,IFERROR(DATE(INT($AR262/10000),MOD(INT($AR262/100),100),MOD($AR262,100)),""),INT($AR262)),IFERROR(DATE(--LEFT(LEFT(SUBSTITUTE(SUBSTITUTE(SUBSTITUTE(SUBSTITUTE(TRIM($AR262),"-",""),".",""),"/","")," ",""),8),4),--MID(LEFT(SUBSTITUTE(SUBSTITUTE(SUBSTITUTE(SUBSTITUTE(TRIM($AR262),"-",""),".",""),"/","")," ",""),8),5,2),--MID(LEFT(SUBSTITUTE(SUBSTITUTE(SUBSTITUTE(SUBSTITUTE(TRIM($AR262),"-",""),".",""),"/","")," ",""),8),7,2)),"")))</f>
        <v/>
      </c>
      <c r="AT262" s="23">
        <f>IF($AS262="","",IF($F$6="",0,IF(ISNUMBER(INDEX($A:$AP,ROW(),$F$6)),INDEX($A:$AP,ROW(),$F$6),IFERROR(--SUBSTITUTE(SUBSTITUTE(TRIM(INDEX($A:$AP,ROW(),$F$6)),",",""),"원",""),0))))</f>
        <v/>
      </c>
      <c r="AU262" s="23">
        <f>IF($AS262="","",IF($G$6="",0,IF(ISNUMBER(INDEX($A:$AP,ROW(),$G$6)),INDEX($A:$AP,ROW(),$G$6),IFERROR(--SUBSTITUTE(SUBSTITUTE(TRIM(INDEX($A:$AP,ROW(),$G$6)),",",""),"원",""),0))))</f>
        <v/>
      </c>
      <c r="AV262" s="23">
        <f>IF($AS262="","",IF($H$6="",$AT262+$AU262,IF($H$6="",0,IF(ISNUMBER(INDEX($A:$AP,ROW(),$H$6)),INDEX($A:$AP,ROW(),$H$6),IFERROR(--SUBSTITUTE(SUBSTITUTE(TRIM(INDEX($A:$AP,ROW(),$H$6)),",",""),"원",""),0)))))</f>
        <v/>
      </c>
      <c r="AW262" s="2">
        <f>IF(OR($AS262="",$C$6=""),"",TRIM(INDEX($A:$AP,ROW(),$C$6)&amp;""))</f>
        <v/>
      </c>
      <c r="AX262" s="2">
        <f>IF($AS262="","",IF($AZ262&lt;&gt;"",SUBSTITUTE(SUBSTITUTE($AZ262,"-","")," ",""),$AY262))</f>
        <v/>
      </c>
      <c r="AY262" s="2">
        <f>IF(OR($AS262="",$E$6=""),"",TRIM(INDEX($A:$AP,ROW(),$E$6)&amp;""))</f>
        <v/>
      </c>
      <c r="AZ262" s="2">
        <f>IF(OR($AS262="",$D$6=""),"",TRIM(INDEX($A:$AP,ROW(),$D$6)&amp;""))</f>
        <v/>
      </c>
      <c r="BA262" s="2">
        <f>IF($AS262="","",IF(AND($AS262&gt;=설정!$B$10,$AS262&lt;=설정!$B$11),"포함","기간 밖"))</f>
        <v/>
      </c>
      <c r="BB262" s="2">
        <f>IF($AS262="","",IF(OR($AT262&lt;0,AND($I$6&lt;&gt;"",ISNUMBER(FIND("수정",INDEX($A:$AP,ROW(),IF($I$6="",1,$I$6))&amp;"")))),"수정","일반"))</f>
        <v/>
      </c>
      <c r="BC262" s="2">
        <f>IF($AS262="","",MID(IF($BA262="기간 밖"," / 기간 밖(신고기간 아님)","")&amp;IF(AND($AW262&lt;&gt;"",COUNTIF($AW$8:$AW$1007,$AW262)&gt;1)," / 승인번호 중복(두 번 붙여넣기?)","")&amp;IF(ABS($AU262-ROUND($AT262*0.1,0))&gt;설정!$B$8,IF($AU262=0," / 세액 0원(영세율·면세 여부 확인)"," / 세액이 공급가액 10%와 다름"),"")&amp;IF($BB262="수정"," / 수정세금계산서(합계에서 자동 가감)",""),4,200))</f>
        <v/>
      </c>
      <c r="BD262" s="2">
        <f>IF($BA262&lt;&gt;"포함","",IF(COUNTIFS($AX$8:$AX262,$AX262,$BA$8:$BA262,"포함")=1,MAX($BD$7:BD261)+1,""))</f>
        <v/>
      </c>
      <c r="BE262" s="2">
        <f>IF($BC262="","",MAX($BE$7:BE261)+1)</f>
        <v/>
      </c>
    </row>
    <row r="263">
      <c r="AR263" s="2">
        <f>IF(OR($A$5="",$B$6="",ROW()&lt;$A$5),"",IF(INDEX($A:$AP,ROW(),$B$6)="","",INDEX($A:$AP,ROW(),$B$6)))</f>
        <v/>
      </c>
      <c r="AS263" s="22">
        <f>IF($AR263="","",IF(ISNUMBER($AR263),IF($AR263&gt;=10000000,IFERROR(DATE(INT($AR263/10000),MOD(INT($AR263/100),100),MOD($AR263,100)),""),INT($AR263)),IFERROR(DATE(--LEFT(LEFT(SUBSTITUTE(SUBSTITUTE(SUBSTITUTE(SUBSTITUTE(TRIM($AR263),"-",""),".",""),"/","")," ",""),8),4),--MID(LEFT(SUBSTITUTE(SUBSTITUTE(SUBSTITUTE(SUBSTITUTE(TRIM($AR263),"-",""),".",""),"/","")," ",""),8),5,2),--MID(LEFT(SUBSTITUTE(SUBSTITUTE(SUBSTITUTE(SUBSTITUTE(TRIM($AR263),"-",""),".",""),"/","")," ",""),8),7,2)),"")))</f>
        <v/>
      </c>
      <c r="AT263" s="23">
        <f>IF($AS263="","",IF($F$6="",0,IF(ISNUMBER(INDEX($A:$AP,ROW(),$F$6)),INDEX($A:$AP,ROW(),$F$6),IFERROR(--SUBSTITUTE(SUBSTITUTE(TRIM(INDEX($A:$AP,ROW(),$F$6)),",",""),"원",""),0))))</f>
        <v/>
      </c>
      <c r="AU263" s="23">
        <f>IF($AS263="","",IF($G$6="",0,IF(ISNUMBER(INDEX($A:$AP,ROW(),$G$6)),INDEX($A:$AP,ROW(),$G$6),IFERROR(--SUBSTITUTE(SUBSTITUTE(TRIM(INDEX($A:$AP,ROW(),$G$6)),",",""),"원",""),0))))</f>
        <v/>
      </c>
      <c r="AV263" s="23">
        <f>IF($AS263="","",IF($H$6="",$AT263+$AU263,IF($H$6="",0,IF(ISNUMBER(INDEX($A:$AP,ROW(),$H$6)),INDEX($A:$AP,ROW(),$H$6),IFERROR(--SUBSTITUTE(SUBSTITUTE(TRIM(INDEX($A:$AP,ROW(),$H$6)),",",""),"원",""),0)))))</f>
        <v/>
      </c>
      <c r="AW263" s="2">
        <f>IF(OR($AS263="",$C$6=""),"",TRIM(INDEX($A:$AP,ROW(),$C$6)&amp;""))</f>
        <v/>
      </c>
      <c r="AX263" s="2">
        <f>IF($AS263="","",IF($AZ263&lt;&gt;"",SUBSTITUTE(SUBSTITUTE($AZ263,"-","")," ",""),$AY263))</f>
        <v/>
      </c>
      <c r="AY263" s="2">
        <f>IF(OR($AS263="",$E$6=""),"",TRIM(INDEX($A:$AP,ROW(),$E$6)&amp;""))</f>
        <v/>
      </c>
      <c r="AZ263" s="2">
        <f>IF(OR($AS263="",$D$6=""),"",TRIM(INDEX($A:$AP,ROW(),$D$6)&amp;""))</f>
        <v/>
      </c>
      <c r="BA263" s="2">
        <f>IF($AS263="","",IF(AND($AS263&gt;=설정!$B$10,$AS263&lt;=설정!$B$11),"포함","기간 밖"))</f>
        <v/>
      </c>
      <c r="BB263" s="2">
        <f>IF($AS263="","",IF(OR($AT263&lt;0,AND($I$6&lt;&gt;"",ISNUMBER(FIND("수정",INDEX($A:$AP,ROW(),IF($I$6="",1,$I$6))&amp;"")))),"수정","일반"))</f>
        <v/>
      </c>
      <c r="BC263" s="2">
        <f>IF($AS263="","",MID(IF($BA263="기간 밖"," / 기간 밖(신고기간 아님)","")&amp;IF(AND($AW263&lt;&gt;"",COUNTIF($AW$8:$AW$1007,$AW263)&gt;1)," / 승인번호 중복(두 번 붙여넣기?)","")&amp;IF(ABS($AU263-ROUND($AT263*0.1,0))&gt;설정!$B$8,IF($AU263=0," / 세액 0원(영세율·면세 여부 확인)"," / 세액이 공급가액 10%와 다름"),"")&amp;IF($BB263="수정"," / 수정세금계산서(합계에서 자동 가감)",""),4,200))</f>
        <v/>
      </c>
      <c r="BD263" s="2">
        <f>IF($BA263&lt;&gt;"포함","",IF(COUNTIFS($AX$8:$AX263,$AX263,$BA$8:$BA263,"포함")=1,MAX($BD$7:BD262)+1,""))</f>
        <v/>
      </c>
      <c r="BE263" s="2">
        <f>IF($BC263="","",MAX($BE$7:BE262)+1)</f>
        <v/>
      </c>
    </row>
    <row r="264">
      <c r="AR264" s="2">
        <f>IF(OR($A$5="",$B$6="",ROW()&lt;$A$5),"",IF(INDEX($A:$AP,ROW(),$B$6)="","",INDEX($A:$AP,ROW(),$B$6)))</f>
        <v/>
      </c>
      <c r="AS264" s="22">
        <f>IF($AR264="","",IF(ISNUMBER($AR264),IF($AR264&gt;=10000000,IFERROR(DATE(INT($AR264/10000),MOD(INT($AR264/100),100),MOD($AR264,100)),""),INT($AR264)),IFERROR(DATE(--LEFT(LEFT(SUBSTITUTE(SUBSTITUTE(SUBSTITUTE(SUBSTITUTE(TRIM($AR264),"-",""),".",""),"/","")," ",""),8),4),--MID(LEFT(SUBSTITUTE(SUBSTITUTE(SUBSTITUTE(SUBSTITUTE(TRIM($AR264),"-",""),".",""),"/","")," ",""),8),5,2),--MID(LEFT(SUBSTITUTE(SUBSTITUTE(SUBSTITUTE(SUBSTITUTE(TRIM($AR264),"-",""),".",""),"/","")," ",""),8),7,2)),"")))</f>
        <v/>
      </c>
      <c r="AT264" s="23">
        <f>IF($AS264="","",IF($F$6="",0,IF(ISNUMBER(INDEX($A:$AP,ROW(),$F$6)),INDEX($A:$AP,ROW(),$F$6),IFERROR(--SUBSTITUTE(SUBSTITUTE(TRIM(INDEX($A:$AP,ROW(),$F$6)),",",""),"원",""),0))))</f>
        <v/>
      </c>
      <c r="AU264" s="23">
        <f>IF($AS264="","",IF($G$6="",0,IF(ISNUMBER(INDEX($A:$AP,ROW(),$G$6)),INDEX($A:$AP,ROW(),$G$6),IFERROR(--SUBSTITUTE(SUBSTITUTE(TRIM(INDEX($A:$AP,ROW(),$G$6)),",",""),"원",""),0))))</f>
        <v/>
      </c>
      <c r="AV264" s="23">
        <f>IF($AS264="","",IF($H$6="",$AT264+$AU264,IF($H$6="",0,IF(ISNUMBER(INDEX($A:$AP,ROW(),$H$6)),INDEX($A:$AP,ROW(),$H$6),IFERROR(--SUBSTITUTE(SUBSTITUTE(TRIM(INDEX($A:$AP,ROW(),$H$6)),",",""),"원",""),0)))))</f>
        <v/>
      </c>
      <c r="AW264" s="2">
        <f>IF(OR($AS264="",$C$6=""),"",TRIM(INDEX($A:$AP,ROW(),$C$6)&amp;""))</f>
        <v/>
      </c>
      <c r="AX264" s="2">
        <f>IF($AS264="","",IF($AZ264&lt;&gt;"",SUBSTITUTE(SUBSTITUTE($AZ264,"-","")," ",""),$AY264))</f>
        <v/>
      </c>
      <c r="AY264" s="2">
        <f>IF(OR($AS264="",$E$6=""),"",TRIM(INDEX($A:$AP,ROW(),$E$6)&amp;""))</f>
        <v/>
      </c>
      <c r="AZ264" s="2">
        <f>IF(OR($AS264="",$D$6=""),"",TRIM(INDEX($A:$AP,ROW(),$D$6)&amp;""))</f>
        <v/>
      </c>
      <c r="BA264" s="2">
        <f>IF($AS264="","",IF(AND($AS264&gt;=설정!$B$10,$AS264&lt;=설정!$B$11),"포함","기간 밖"))</f>
        <v/>
      </c>
      <c r="BB264" s="2">
        <f>IF($AS264="","",IF(OR($AT264&lt;0,AND($I$6&lt;&gt;"",ISNUMBER(FIND("수정",INDEX($A:$AP,ROW(),IF($I$6="",1,$I$6))&amp;"")))),"수정","일반"))</f>
        <v/>
      </c>
      <c r="BC264" s="2">
        <f>IF($AS264="","",MID(IF($BA264="기간 밖"," / 기간 밖(신고기간 아님)","")&amp;IF(AND($AW264&lt;&gt;"",COUNTIF($AW$8:$AW$1007,$AW264)&gt;1)," / 승인번호 중복(두 번 붙여넣기?)","")&amp;IF(ABS($AU264-ROUND($AT264*0.1,0))&gt;설정!$B$8,IF($AU264=0," / 세액 0원(영세율·면세 여부 확인)"," / 세액이 공급가액 10%와 다름"),"")&amp;IF($BB264="수정"," / 수정세금계산서(합계에서 자동 가감)",""),4,200))</f>
        <v/>
      </c>
      <c r="BD264" s="2">
        <f>IF($BA264&lt;&gt;"포함","",IF(COUNTIFS($AX$8:$AX264,$AX264,$BA$8:$BA264,"포함")=1,MAX($BD$7:BD263)+1,""))</f>
        <v/>
      </c>
      <c r="BE264" s="2">
        <f>IF($BC264="","",MAX($BE$7:BE263)+1)</f>
        <v/>
      </c>
    </row>
    <row r="265">
      <c r="AR265" s="2">
        <f>IF(OR($A$5="",$B$6="",ROW()&lt;$A$5),"",IF(INDEX($A:$AP,ROW(),$B$6)="","",INDEX($A:$AP,ROW(),$B$6)))</f>
        <v/>
      </c>
      <c r="AS265" s="22">
        <f>IF($AR265="","",IF(ISNUMBER($AR265),IF($AR265&gt;=10000000,IFERROR(DATE(INT($AR265/10000),MOD(INT($AR265/100),100),MOD($AR265,100)),""),INT($AR265)),IFERROR(DATE(--LEFT(LEFT(SUBSTITUTE(SUBSTITUTE(SUBSTITUTE(SUBSTITUTE(TRIM($AR265),"-",""),".",""),"/","")," ",""),8),4),--MID(LEFT(SUBSTITUTE(SUBSTITUTE(SUBSTITUTE(SUBSTITUTE(TRIM($AR265),"-",""),".",""),"/","")," ",""),8),5,2),--MID(LEFT(SUBSTITUTE(SUBSTITUTE(SUBSTITUTE(SUBSTITUTE(TRIM($AR265),"-",""),".",""),"/","")," ",""),8),7,2)),"")))</f>
        <v/>
      </c>
      <c r="AT265" s="23">
        <f>IF($AS265="","",IF($F$6="",0,IF(ISNUMBER(INDEX($A:$AP,ROW(),$F$6)),INDEX($A:$AP,ROW(),$F$6),IFERROR(--SUBSTITUTE(SUBSTITUTE(TRIM(INDEX($A:$AP,ROW(),$F$6)),",",""),"원",""),0))))</f>
        <v/>
      </c>
      <c r="AU265" s="23">
        <f>IF($AS265="","",IF($G$6="",0,IF(ISNUMBER(INDEX($A:$AP,ROW(),$G$6)),INDEX($A:$AP,ROW(),$G$6),IFERROR(--SUBSTITUTE(SUBSTITUTE(TRIM(INDEX($A:$AP,ROW(),$G$6)),",",""),"원",""),0))))</f>
        <v/>
      </c>
      <c r="AV265" s="23">
        <f>IF($AS265="","",IF($H$6="",$AT265+$AU265,IF($H$6="",0,IF(ISNUMBER(INDEX($A:$AP,ROW(),$H$6)),INDEX($A:$AP,ROW(),$H$6),IFERROR(--SUBSTITUTE(SUBSTITUTE(TRIM(INDEX($A:$AP,ROW(),$H$6)),",",""),"원",""),0)))))</f>
        <v/>
      </c>
      <c r="AW265" s="2">
        <f>IF(OR($AS265="",$C$6=""),"",TRIM(INDEX($A:$AP,ROW(),$C$6)&amp;""))</f>
        <v/>
      </c>
      <c r="AX265" s="2">
        <f>IF($AS265="","",IF($AZ265&lt;&gt;"",SUBSTITUTE(SUBSTITUTE($AZ265,"-","")," ",""),$AY265))</f>
        <v/>
      </c>
      <c r="AY265" s="2">
        <f>IF(OR($AS265="",$E$6=""),"",TRIM(INDEX($A:$AP,ROW(),$E$6)&amp;""))</f>
        <v/>
      </c>
      <c r="AZ265" s="2">
        <f>IF(OR($AS265="",$D$6=""),"",TRIM(INDEX($A:$AP,ROW(),$D$6)&amp;""))</f>
        <v/>
      </c>
      <c r="BA265" s="2">
        <f>IF($AS265="","",IF(AND($AS265&gt;=설정!$B$10,$AS265&lt;=설정!$B$11),"포함","기간 밖"))</f>
        <v/>
      </c>
      <c r="BB265" s="2">
        <f>IF($AS265="","",IF(OR($AT265&lt;0,AND($I$6&lt;&gt;"",ISNUMBER(FIND("수정",INDEX($A:$AP,ROW(),IF($I$6="",1,$I$6))&amp;"")))),"수정","일반"))</f>
        <v/>
      </c>
      <c r="BC265" s="2">
        <f>IF($AS265="","",MID(IF($BA265="기간 밖"," / 기간 밖(신고기간 아님)","")&amp;IF(AND($AW265&lt;&gt;"",COUNTIF($AW$8:$AW$1007,$AW265)&gt;1)," / 승인번호 중복(두 번 붙여넣기?)","")&amp;IF(ABS($AU265-ROUND($AT265*0.1,0))&gt;설정!$B$8,IF($AU265=0," / 세액 0원(영세율·면세 여부 확인)"," / 세액이 공급가액 10%와 다름"),"")&amp;IF($BB265="수정"," / 수정세금계산서(합계에서 자동 가감)",""),4,200))</f>
        <v/>
      </c>
      <c r="BD265" s="2">
        <f>IF($BA265&lt;&gt;"포함","",IF(COUNTIFS($AX$8:$AX265,$AX265,$BA$8:$BA265,"포함")=1,MAX($BD$7:BD264)+1,""))</f>
        <v/>
      </c>
      <c r="BE265" s="2">
        <f>IF($BC265="","",MAX($BE$7:BE264)+1)</f>
        <v/>
      </c>
    </row>
    <row r="266">
      <c r="AR266" s="2">
        <f>IF(OR($A$5="",$B$6="",ROW()&lt;$A$5),"",IF(INDEX($A:$AP,ROW(),$B$6)="","",INDEX($A:$AP,ROW(),$B$6)))</f>
        <v/>
      </c>
      <c r="AS266" s="22">
        <f>IF($AR266="","",IF(ISNUMBER($AR266),IF($AR266&gt;=10000000,IFERROR(DATE(INT($AR266/10000),MOD(INT($AR266/100),100),MOD($AR266,100)),""),INT($AR266)),IFERROR(DATE(--LEFT(LEFT(SUBSTITUTE(SUBSTITUTE(SUBSTITUTE(SUBSTITUTE(TRIM($AR266),"-",""),".",""),"/","")," ",""),8),4),--MID(LEFT(SUBSTITUTE(SUBSTITUTE(SUBSTITUTE(SUBSTITUTE(TRIM($AR266),"-",""),".",""),"/","")," ",""),8),5,2),--MID(LEFT(SUBSTITUTE(SUBSTITUTE(SUBSTITUTE(SUBSTITUTE(TRIM($AR266),"-",""),".",""),"/","")," ",""),8),7,2)),"")))</f>
        <v/>
      </c>
      <c r="AT266" s="23">
        <f>IF($AS266="","",IF($F$6="",0,IF(ISNUMBER(INDEX($A:$AP,ROW(),$F$6)),INDEX($A:$AP,ROW(),$F$6),IFERROR(--SUBSTITUTE(SUBSTITUTE(TRIM(INDEX($A:$AP,ROW(),$F$6)),",",""),"원",""),0))))</f>
        <v/>
      </c>
      <c r="AU266" s="23">
        <f>IF($AS266="","",IF($G$6="",0,IF(ISNUMBER(INDEX($A:$AP,ROW(),$G$6)),INDEX($A:$AP,ROW(),$G$6),IFERROR(--SUBSTITUTE(SUBSTITUTE(TRIM(INDEX($A:$AP,ROW(),$G$6)),",",""),"원",""),0))))</f>
        <v/>
      </c>
      <c r="AV266" s="23">
        <f>IF($AS266="","",IF($H$6="",$AT266+$AU266,IF($H$6="",0,IF(ISNUMBER(INDEX($A:$AP,ROW(),$H$6)),INDEX($A:$AP,ROW(),$H$6),IFERROR(--SUBSTITUTE(SUBSTITUTE(TRIM(INDEX($A:$AP,ROW(),$H$6)),",",""),"원",""),0)))))</f>
        <v/>
      </c>
      <c r="AW266" s="2">
        <f>IF(OR($AS266="",$C$6=""),"",TRIM(INDEX($A:$AP,ROW(),$C$6)&amp;""))</f>
        <v/>
      </c>
      <c r="AX266" s="2">
        <f>IF($AS266="","",IF($AZ266&lt;&gt;"",SUBSTITUTE(SUBSTITUTE($AZ266,"-","")," ",""),$AY266))</f>
        <v/>
      </c>
      <c r="AY266" s="2">
        <f>IF(OR($AS266="",$E$6=""),"",TRIM(INDEX($A:$AP,ROW(),$E$6)&amp;""))</f>
        <v/>
      </c>
      <c r="AZ266" s="2">
        <f>IF(OR($AS266="",$D$6=""),"",TRIM(INDEX($A:$AP,ROW(),$D$6)&amp;""))</f>
        <v/>
      </c>
      <c r="BA266" s="2">
        <f>IF($AS266="","",IF(AND($AS266&gt;=설정!$B$10,$AS266&lt;=설정!$B$11),"포함","기간 밖"))</f>
        <v/>
      </c>
      <c r="BB266" s="2">
        <f>IF($AS266="","",IF(OR($AT266&lt;0,AND($I$6&lt;&gt;"",ISNUMBER(FIND("수정",INDEX($A:$AP,ROW(),IF($I$6="",1,$I$6))&amp;"")))),"수정","일반"))</f>
        <v/>
      </c>
      <c r="BC266" s="2">
        <f>IF($AS266="","",MID(IF($BA266="기간 밖"," / 기간 밖(신고기간 아님)","")&amp;IF(AND($AW266&lt;&gt;"",COUNTIF($AW$8:$AW$1007,$AW266)&gt;1)," / 승인번호 중복(두 번 붙여넣기?)","")&amp;IF(ABS($AU266-ROUND($AT266*0.1,0))&gt;설정!$B$8,IF($AU266=0," / 세액 0원(영세율·면세 여부 확인)"," / 세액이 공급가액 10%와 다름"),"")&amp;IF($BB266="수정"," / 수정세금계산서(합계에서 자동 가감)",""),4,200))</f>
        <v/>
      </c>
      <c r="BD266" s="2">
        <f>IF($BA266&lt;&gt;"포함","",IF(COUNTIFS($AX$8:$AX266,$AX266,$BA$8:$BA266,"포함")=1,MAX($BD$7:BD265)+1,""))</f>
        <v/>
      </c>
      <c r="BE266" s="2">
        <f>IF($BC266="","",MAX($BE$7:BE265)+1)</f>
        <v/>
      </c>
    </row>
    <row r="267">
      <c r="AR267" s="2">
        <f>IF(OR($A$5="",$B$6="",ROW()&lt;$A$5),"",IF(INDEX($A:$AP,ROW(),$B$6)="","",INDEX($A:$AP,ROW(),$B$6)))</f>
        <v/>
      </c>
      <c r="AS267" s="22">
        <f>IF($AR267="","",IF(ISNUMBER($AR267),IF($AR267&gt;=10000000,IFERROR(DATE(INT($AR267/10000),MOD(INT($AR267/100),100),MOD($AR267,100)),""),INT($AR267)),IFERROR(DATE(--LEFT(LEFT(SUBSTITUTE(SUBSTITUTE(SUBSTITUTE(SUBSTITUTE(TRIM($AR267),"-",""),".",""),"/","")," ",""),8),4),--MID(LEFT(SUBSTITUTE(SUBSTITUTE(SUBSTITUTE(SUBSTITUTE(TRIM($AR267),"-",""),".",""),"/","")," ",""),8),5,2),--MID(LEFT(SUBSTITUTE(SUBSTITUTE(SUBSTITUTE(SUBSTITUTE(TRIM($AR267),"-",""),".",""),"/","")," ",""),8),7,2)),"")))</f>
        <v/>
      </c>
      <c r="AT267" s="23">
        <f>IF($AS267="","",IF($F$6="",0,IF(ISNUMBER(INDEX($A:$AP,ROW(),$F$6)),INDEX($A:$AP,ROW(),$F$6),IFERROR(--SUBSTITUTE(SUBSTITUTE(TRIM(INDEX($A:$AP,ROW(),$F$6)),",",""),"원",""),0))))</f>
        <v/>
      </c>
      <c r="AU267" s="23">
        <f>IF($AS267="","",IF($G$6="",0,IF(ISNUMBER(INDEX($A:$AP,ROW(),$G$6)),INDEX($A:$AP,ROW(),$G$6),IFERROR(--SUBSTITUTE(SUBSTITUTE(TRIM(INDEX($A:$AP,ROW(),$G$6)),",",""),"원",""),0))))</f>
        <v/>
      </c>
      <c r="AV267" s="23">
        <f>IF($AS267="","",IF($H$6="",$AT267+$AU267,IF($H$6="",0,IF(ISNUMBER(INDEX($A:$AP,ROW(),$H$6)),INDEX($A:$AP,ROW(),$H$6),IFERROR(--SUBSTITUTE(SUBSTITUTE(TRIM(INDEX($A:$AP,ROW(),$H$6)),",",""),"원",""),0)))))</f>
        <v/>
      </c>
      <c r="AW267" s="2">
        <f>IF(OR($AS267="",$C$6=""),"",TRIM(INDEX($A:$AP,ROW(),$C$6)&amp;""))</f>
        <v/>
      </c>
      <c r="AX267" s="2">
        <f>IF($AS267="","",IF($AZ267&lt;&gt;"",SUBSTITUTE(SUBSTITUTE($AZ267,"-","")," ",""),$AY267))</f>
        <v/>
      </c>
      <c r="AY267" s="2">
        <f>IF(OR($AS267="",$E$6=""),"",TRIM(INDEX($A:$AP,ROW(),$E$6)&amp;""))</f>
        <v/>
      </c>
      <c r="AZ267" s="2">
        <f>IF(OR($AS267="",$D$6=""),"",TRIM(INDEX($A:$AP,ROW(),$D$6)&amp;""))</f>
        <v/>
      </c>
      <c r="BA267" s="2">
        <f>IF($AS267="","",IF(AND($AS267&gt;=설정!$B$10,$AS267&lt;=설정!$B$11),"포함","기간 밖"))</f>
        <v/>
      </c>
      <c r="BB267" s="2">
        <f>IF($AS267="","",IF(OR($AT267&lt;0,AND($I$6&lt;&gt;"",ISNUMBER(FIND("수정",INDEX($A:$AP,ROW(),IF($I$6="",1,$I$6))&amp;"")))),"수정","일반"))</f>
        <v/>
      </c>
      <c r="BC267" s="2">
        <f>IF($AS267="","",MID(IF($BA267="기간 밖"," / 기간 밖(신고기간 아님)","")&amp;IF(AND($AW267&lt;&gt;"",COUNTIF($AW$8:$AW$1007,$AW267)&gt;1)," / 승인번호 중복(두 번 붙여넣기?)","")&amp;IF(ABS($AU267-ROUND($AT267*0.1,0))&gt;설정!$B$8,IF($AU267=0," / 세액 0원(영세율·면세 여부 확인)"," / 세액이 공급가액 10%와 다름"),"")&amp;IF($BB267="수정"," / 수정세금계산서(합계에서 자동 가감)",""),4,200))</f>
        <v/>
      </c>
      <c r="BD267" s="2">
        <f>IF($BA267&lt;&gt;"포함","",IF(COUNTIFS($AX$8:$AX267,$AX267,$BA$8:$BA267,"포함")=1,MAX($BD$7:BD266)+1,""))</f>
        <v/>
      </c>
      <c r="BE267" s="2">
        <f>IF($BC267="","",MAX($BE$7:BE266)+1)</f>
        <v/>
      </c>
    </row>
    <row r="268">
      <c r="AR268" s="2">
        <f>IF(OR($A$5="",$B$6="",ROW()&lt;$A$5),"",IF(INDEX($A:$AP,ROW(),$B$6)="","",INDEX($A:$AP,ROW(),$B$6)))</f>
        <v/>
      </c>
      <c r="AS268" s="22">
        <f>IF($AR268="","",IF(ISNUMBER($AR268),IF($AR268&gt;=10000000,IFERROR(DATE(INT($AR268/10000),MOD(INT($AR268/100),100),MOD($AR268,100)),""),INT($AR268)),IFERROR(DATE(--LEFT(LEFT(SUBSTITUTE(SUBSTITUTE(SUBSTITUTE(SUBSTITUTE(TRIM($AR268),"-",""),".",""),"/","")," ",""),8),4),--MID(LEFT(SUBSTITUTE(SUBSTITUTE(SUBSTITUTE(SUBSTITUTE(TRIM($AR268),"-",""),".",""),"/","")," ",""),8),5,2),--MID(LEFT(SUBSTITUTE(SUBSTITUTE(SUBSTITUTE(SUBSTITUTE(TRIM($AR268),"-",""),".",""),"/","")," ",""),8),7,2)),"")))</f>
        <v/>
      </c>
      <c r="AT268" s="23">
        <f>IF($AS268="","",IF($F$6="",0,IF(ISNUMBER(INDEX($A:$AP,ROW(),$F$6)),INDEX($A:$AP,ROW(),$F$6),IFERROR(--SUBSTITUTE(SUBSTITUTE(TRIM(INDEX($A:$AP,ROW(),$F$6)),",",""),"원",""),0))))</f>
        <v/>
      </c>
      <c r="AU268" s="23">
        <f>IF($AS268="","",IF($G$6="",0,IF(ISNUMBER(INDEX($A:$AP,ROW(),$G$6)),INDEX($A:$AP,ROW(),$G$6),IFERROR(--SUBSTITUTE(SUBSTITUTE(TRIM(INDEX($A:$AP,ROW(),$G$6)),",",""),"원",""),0))))</f>
        <v/>
      </c>
      <c r="AV268" s="23">
        <f>IF($AS268="","",IF($H$6="",$AT268+$AU268,IF($H$6="",0,IF(ISNUMBER(INDEX($A:$AP,ROW(),$H$6)),INDEX($A:$AP,ROW(),$H$6),IFERROR(--SUBSTITUTE(SUBSTITUTE(TRIM(INDEX($A:$AP,ROW(),$H$6)),",",""),"원",""),0)))))</f>
        <v/>
      </c>
      <c r="AW268" s="2">
        <f>IF(OR($AS268="",$C$6=""),"",TRIM(INDEX($A:$AP,ROW(),$C$6)&amp;""))</f>
        <v/>
      </c>
      <c r="AX268" s="2">
        <f>IF($AS268="","",IF($AZ268&lt;&gt;"",SUBSTITUTE(SUBSTITUTE($AZ268,"-","")," ",""),$AY268))</f>
        <v/>
      </c>
      <c r="AY268" s="2">
        <f>IF(OR($AS268="",$E$6=""),"",TRIM(INDEX($A:$AP,ROW(),$E$6)&amp;""))</f>
        <v/>
      </c>
      <c r="AZ268" s="2">
        <f>IF(OR($AS268="",$D$6=""),"",TRIM(INDEX($A:$AP,ROW(),$D$6)&amp;""))</f>
        <v/>
      </c>
      <c r="BA268" s="2">
        <f>IF($AS268="","",IF(AND($AS268&gt;=설정!$B$10,$AS268&lt;=설정!$B$11),"포함","기간 밖"))</f>
        <v/>
      </c>
      <c r="BB268" s="2">
        <f>IF($AS268="","",IF(OR($AT268&lt;0,AND($I$6&lt;&gt;"",ISNUMBER(FIND("수정",INDEX($A:$AP,ROW(),IF($I$6="",1,$I$6))&amp;"")))),"수정","일반"))</f>
        <v/>
      </c>
      <c r="BC268" s="2">
        <f>IF($AS268="","",MID(IF($BA268="기간 밖"," / 기간 밖(신고기간 아님)","")&amp;IF(AND($AW268&lt;&gt;"",COUNTIF($AW$8:$AW$1007,$AW268)&gt;1)," / 승인번호 중복(두 번 붙여넣기?)","")&amp;IF(ABS($AU268-ROUND($AT268*0.1,0))&gt;설정!$B$8,IF($AU268=0," / 세액 0원(영세율·면세 여부 확인)"," / 세액이 공급가액 10%와 다름"),"")&amp;IF($BB268="수정"," / 수정세금계산서(합계에서 자동 가감)",""),4,200))</f>
        <v/>
      </c>
      <c r="BD268" s="2">
        <f>IF($BA268&lt;&gt;"포함","",IF(COUNTIFS($AX$8:$AX268,$AX268,$BA$8:$BA268,"포함")=1,MAX($BD$7:BD267)+1,""))</f>
        <v/>
      </c>
      <c r="BE268" s="2">
        <f>IF($BC268="","",MAX($BE$7:BE267)+1)</f>
        <v/>
      </c>
    </row>
    <row r="269">
      <c r="AR269" s="2">
        <f>IF(OR($A$5="",$B$6="",ROW()&lt;$A$5),"",IF(INDEX($A:$AP,ROW(),$B$6)="","",INDEX($A:$AP,ROW(),$B$6)))</f>
        <v/>
      </c>
      <c r="AS269" s="22">
        <f>IF($AR269="","",IF(ISNUMBER($AR269),IF($AR269&gt;=10000000,IFERROR(DATE(INT($AR269/10000),MOD(INT($AR269/100),100),MOD($AR269,100)),""),INT($AR269)),IFERROR(DATE(--LEFT(LEFT(SUBSTITUTE(SUBSTITUTE(SUBSTITUTE(SUBSTITUTE(TRIM($AR269),"-",""),".",""),"/","")," ",""),8),4),--MID(LEFT(SUBSTITUTE(SUBSTITUTE(SUBSTITUTE(SUBSTITUTE(TRIM($AR269),"-",""),".",""),"/","")," ",""),8),5,2),--MID(LEFT(SUBSTITUTE(SUBSTITUTE(SUBSTITUTE(SUBSTITUTE(TRIM($AR269),"-",""),".",""),"/","")," ",""),8),7,2)),"")))</f>
        <v/>
      </c>
      <c r="AT269" s="23">
        <f>IF($AS269="","",IF($F$6="",0,IF(ISNUMBER(INDEX($A:$AP,ROW(),$F$6)),INDEX($A:$AP,ROW(),$F$6),IFERROR(--SUBSTITUTE(SUBSTITUTE(TRIM(INDEX($A:$AP,ROW(),$F$6)),",",""),"원",""),0))))</f>
        <v/>
      </c>
      <c r="AU269" s="23">
        <f>IF($AS269="","",IF($G$6="",0,IF(ISNUMBER(INDEX($A:$AP,ROW(),$G$6)),INDEX($A:$AP,ROW(),$G$6),IFERROR(--SUBSTITUTE(SUBSTITUTE(TRIM(INDEX($A:$AP,ROW(),$G$6)),",",""),"원",""),0))))</f>
        <v/>
      </c>
      <c r="AV269" s="23">
        <f>IF($AS269="","",IF($H$6="",$AT269+$AU269,IF($H$6="",0,IF(ISNUMBER(INDEX($A:$AP,ROW(),$H$6)),INDEX($A:$AP,ROW(),$H$6),IFERROR(--SUBSTITUTE(SUBSTITUTE(TRIM(INDEX($A:$AP,ROW(),$H$6)),",",""),"원",""),0)))))</f>
        <v/>
      </c>
      <c r="AW269" s="2">
        <f>IF(OR($AS269="",$C$6=""),"",TRIM(INDEX($A:$AP,ROW(),$C$6)&amp;""))</f>
        <v/>
      </c>
      <c r="AX269" s="2">
        <f>IF($AS269="","",IF($AZ269&lt;&gt;"",SUBSTITUTE(SUBSTITUTE($AZ269,"-","")," ",""),$AY269))</f>
        <v/>
      </c>
      <c r="AY269" s="2">
        <f>IF(OR($AS269="",$E$6=""),"",TRIM(INDEX($A:$AP,ROW(),$E$6)&amp;""))</f>
        <v/>
      </c>
      <c r="AZ269" s="2">
        <f>IF(OR($AS269="",$D$6=""),"",TRIM(INDEX($A:$AP,ROW(),$D$6)&amp;""))</f>
        <v/>
      </c>
      <c r="BA269" s="2">
        <f>IF($AS269="","",IF(AND($AS269&gt;=설정!$B$10,$AS269&lt;=설정!$B$11),"포함","기간 밖"))</f>
        <v/>
      </c>
      <c r="BB269" s="2">
        <f>IF($AS269="","",IF(OR($AT269&lt;0,AND($I$6&lt;&gt;"",ISNUMBER(FIND("수정",INDEX($A:$AP,ROW(),IF($I$6="",1,$I$6))&amp;"")))),"수정","일반"))</f>
        <v/>
      </c>
      <c r="BC269" s="2">
        <f>IF($AS269="","",MID(IF($BA269="기간 밖"," / 기간 밖(신고기간 아님)","")&amp;IF(AND($AW269&lt;&gt;"",COUNTIF($AW$8:$AW$1007,$AW269)&gt;1)," / 승인번호 중복(두 번 붙여넣기?)","")&amp;IF(ABS($AU269-ROUND($AT269*0.1,0))&gt;설정!$B$8,IF($AU269=0," / 세액 0원(영세율·면세 여부 확인)"," / 세액이 공급가액 10%와 다름"),"")&amp;IF($BB269="수정"," / 수정세금계산서(합계에서 자동 가감)",""),4,200))</f>
        <v/>
      </c>
      <c r="BD269" s="2">
        <f>IF($BA269&lt;&gt;"포함","",IF(COUNTIFS($AX$8:$AX269,$AX269,$BA$8:$BA269,"포함")=1,MAX($BD$7:BD268)+1,""))</f>
        <v/>
      </c>
      <c r="BE269" s="2">
        <f>IF($BC269="","",MAX($BE$7:BE268)+1)</f>
        <v/>
      </c>
    </row>
    <row r="270">
      <c r="AR270" s="2">
        <f>IF(OR($A$5="",$B$6="",ROW()&lt;$A$5),"",IF(INDEX($A:$AP,ROW(),$B$6)="","",INDEX($A:$AP,ROW(),$B$6)))</f>
        <v/>
      </c>
      <c r="AS270" s="22">
        <f>IF($AR270="","",IF(ISNUMBER($AR270),IF($AR270&gt;=10000000,IFERROR(DATE(INT($AR270/10000),MOD(INT($AR270/100),100),MOD($AR270,100)),""),INT($AR270)),IFERROR(DATE(--LEFT(LEFT(SUBSTITUTE(SUBSTITUTE(SUBSTITUTE(SUBSTITUTE(TRIM($AR270),"-",""),".",""),"/","")," ",""),8),4),--MID(LEFT(SUBSTITUTE(SUBSTITUTE(SUBSTITUTE(SUBSTITUTE(TRIM($AR270),"-",""),".",""),"/","")," ",""),8),5,2),--MID(LEFT(SUBSTITUTE(SUBSTITUTE(SUBSTITUTE(SUBSTITUTE(TRIM($AR270),"-",""),".",""),"/","")," ",""),8),7,2)),"")))</f>
        <v/>
      </c>
      <c r="AT270" s="23">
        <f>IF($AS270="","",IF($F$6="",0,IF(ISNUMBER(INDEX($A:$AP,ROW(),$F$6)),INDEX($A:$AP,ROW(),$F$6),IFERROR(--SUBSTITUTE(SUBSTITUTE(TRIM(INDEX($A:$AP,ROW(),$F$6)),",",""),"원",""),0))))</f>
        <v/>
      </c>
      <c r="AU270" s="23">
        <f>IF($AS270="","",IF($G$6="",0,IF(ISNUMBER(INDEX($A:$AP,ROW(),$G$6)),INDEX($A:$AP,ROW(),$G$6),IFERROR(--SUBSTITUTE(SUBSTITUTE(TRIM(INDEX($A:$AP,ROW(),$G$6)),",",""),"원",""),0))))</f>
        <v/>
      </c>
      <c r="AV270" s="23">
        <f>IF($AS270="","",IF($H$6="",$AT270+$AU270,IF($H$6="",0,IF(ISNUMBER(INDEX($A:$AP,ROW(),$H$6)),INDEX($A:$AP,ROW(),$H$6),IFERROR(--SUBSTITUTE(SUBSTITUTE(TRIM(INDEX($A:$AP,ROW(),$H$6)),",",""),"원",""),0)))))</f>
        <v/>
      </c>
      <c r="AW270" s="2">
        <f>IF(OR($AS270="",$C$6=""),"",TRIM(INDEX($A:$AP,ROW(),$C$6)&amp;""))</f>
        <v/>
      </c>
      <c r="AX270" s="2">
        <f>IF($AS270="","",IF($AZ270&lt;&gt;"",SUBSTITUTE(SUBSTITUTE($AZ270,"-","")," ",""),$AY270))</f>
        <v/>
      </c>
      <c r="AY270" s="2">
        <f>IF(OR($AS270="",$E$6=""),"",TRIM(INDEX($A:$AP,ROW(),$E$6)&amp;""))</f>
        <v/>
      </c>
      <c r="AZ270" s="2">
        <f>IF(OR($AS270="",$D$6=""),"",TRIM(INDEX($A:$AP,ROW(),$D$6)&amp;""))</f>
        <v/>
      </c>
      <c r="BA270" s="2">
        <f>IF($AS270="","",IF(AND($AS270&gt;=설정!$B$10,$AS270&lt;=설정!$B$11),"포함","기간 밖"))</f>
        <v/>
      </c>
      <c r="BB270" s="2">
        <f>IF($AS270="","",IF(OR($AT270&lt;0,AND($I$6&lt;&gt;"",ISNUMBER(FIND("수정",INDEX($A:$AP,ROW(),IF($I$6="",1,$I$6))&amp;"")))),"수정","일반"))</f>
        <v/>
      </c>
      <c r="BC270" s="2">
        <f>IF($AS270="","",MID(IF($BA270="기간 밖"," / 기간 밖(신고기간 아님)","")&amp;IF(AND($AW270&lt;&gt;"",COUNTIF($AW$8:$AW$1007,$AW270)&gt;1)," / 승인번호 중복(두 번 붙여넣기?)","")&amp;IF(ABS($AU270-ROUND($AT270*0.1,0))&gt;설정!$B$8,IF($AU270=0," / 세액 0원(영세율·면세 여부 확인)"," / 세액이 공급가액 10%와 다름"),"")&amp;IF($BB270="수정"," / 수정세금계산서(합계에서 자동 가감)",""),4,200))</f>
        <v/>
      </c>
      <c r="BD270" s="2">
        <f>IF($BA270&lt;&gt;"포함","",IF(COUNTIFS($AX$8:$AX270,$AX270,$BA$8:$BA270,"포함")=1,MAX($BD$7:BD269)+1,""))</f>
        <v/>
      </c>
      <c r="BE270" s="2">
        <f>IF($BC270="","",MAX($BE$7:BE269)+1)</f>
        <v/>
      </c>
    </row>
    <row r="271">
      <c r="AR271" s="2">
        <f>IF(OR($A$5="",$B$6="",ROW()&lt;$A$5),"",IF(INDEX($A:$AP,ROW(),$B$6)="","",INDEX($A:$AP,ROW(),$B$6)))</f>
        <v/>
      </c>
      <c r="AS271" s="22">
        <f>IF($AR271="","",IF(ISNUMBER($AR271),IF($AR271&gt;=10000000,IFERROR(DATE(INT($AR271/10000),MOD(INT($AR271/100),100),MOD($AR271,100)),""),INT($AR271)),IFERROR(DATE(--LEFT(LEFT(SUBSTITUTE(SUBSTITUTE(SUBSTITUTE(SUBSTITUTE(TRIM($AR271),"-",""),".",""),"/","")," ",""),8),4),--MID(LEFT(SUBSTITUTE(SUBSTITUTE(SUBSTITUTE(SUBSTITUTE(TRIM($AR271),"-",""),".",""),"/","")," ",""),8),5,2),--MID(LEFT(SUBSTITUTE(SUBSTITUTE(SUBSTITUTE(SUBSTITUTE(TRIM($AR271),"-",""),".",""),"/","")," ",""),8),7,2)),"")))</f>
        <v/>
      </c>
      <c r="AT271" s="23">
        <f>IF($AS271="","",IF($F$6="",0,IF(ISNUMBER(INDEX($A:$AP,ROW(),$F$6)),INDEX($A:$AP,ROW(),$F$6),IFERROR(--SUBSTITUTE(SUBSTITUTE(TRIM(INDEX($A:$AP,ROW(),$F$6)),",",""),"원",""),0))))</f>
        <v/>
      </c>
      <c r="AU271" s="23">
        <f>IF($AS271="","",IF($G$6="",0,IF(ISNUMBER(INDEX($A:$AP,ROW(),$G$6)),INDEX($A:$AP,ROW(),$G$6),IFERROR(--SUBSTITUTE(SUBSTITUTE(TRIM(INDEX($A:$AP,ROW(),$G$6)),",",""),"원",""),0))))</f>
        <v/>
      </c>
      <c r="AV271" s="23">
        <f>IF($AS271="","",IF($H$6="",$AT271+$AU271,IF($H$6="",0,IF(ISNUMBER(INDEX($A:$AP,ROW(),$H$6)),INDEX($A:$AP,ROW(),$H$6),IFERROR(--SUBSTITUTE(SUBSTITUTE(TRIM(INDEX($A:$AP,ROW(),$H$6)),",",""),"원",""),0)))))</f>
        <v/>
      </c>
      <c r="AW271" s="2">
        <f>IF(OR($AS271="",$C$6=""),"",TRIM(INDEX($A:$AP,ROW(),$C$6)&amp;""))</f>
        <v/>
      </c>
      <c r="AX271" s="2">
        <f>IF($AS271="","",IF($AZ271&lt;&gt;"",SUBSTITUTE(SUBSTITUTE($AZ271,"-","")," ",""),$AY271))</f>
        <v/>
      </c>
      <c r="AY271" s="2">
        <f>IF(OR($AS271="",$E$6=""),"",TRIM(INDEX($A:$AP,ROW(),$E$6)&amp;""))</f>
        <v/>
      </c>
      <c r="AZ271" s="2">
        <f>IF(OR($AS271="",$D$6=""),"",TRIM(INDEX($A:$AP,ROW(),$D$6)&amp;""))</f>
        <v/>
      </c>
      <c r="BA271" s="2">
        <f>IF($AS271="","",IF(AND($AS271&gt;=설정!$B$10,$AS271&lt;=설정!$B$11),"포함","기간 밖"))</f>
        <v/>
      </c>
      <c r="BB271" s="2">
        <f>IF($AS271="","",IF(OR($AT271&lt;0,AND($I$6&lt;&gt;"",ISNUMBER(FIND("수정",INDEX($A:$AP,ROW(),IF($I$6="",1,$I$6))&amp;"")))),"수정","일반"))</f>
        <v/>
      </c>
      <c r="BC271" s="2">
        <f>IF($AS271="","",MID(IF($BA271="기간 밖"," / 기간 밖(신고기간 아님)","")&amp;IF(AND($AW271&lt;&gt;"",COUNTIF($AW$8:$AW$1007,$AW271)&gt;1)," / 승인번호 중복(두 번 붙여넣기?)","")&amp;IF(ABS($AU271-ROUND($AT271*0.1,0))&gt;설정!$B$8,IF($AU271=0," / 세액 0원(영세율·면세 여부 확인)"," / 세액이 공급가액 10%와 다름"),"")&amp;IF($BB271="수정"," / 수정세금계산서(합계에서 자동 가감)",""),4,200))</f>
        <v/>
      </c>
      <c r="BD271" s="2">
        <f>IF($BA271&lt;&gt;"포함","",IF(COUNTIFS($AX$8:$AX271,$AX271,$BA$8:$BA271,"포함")=1,MAX($BD$7:BD270)+1,""))</f>
        <v/>
      </c>
      <c r="BE271" s="2">
        <f>IF($BC271="","",MAX($BE$7:BE270)+1)</f>
        <v/>
      </c>
    </row>
    <row r="272">
      <c r="AR272" s="2">
        <f>IF(OR($A$5="",$B$6="",ROW()&lt;$A$5),"",IF(INDEX($A:$AP,ROW(),$B$6)="","",INDEX($A:$AP,ROW(),$B$6)))</f>
        <v/>
      </c>
      <c r="AS272" s="22">
        <f>IF($AR272="","",IF(ISNUMBER($AR272),IF($AR272&gt;=10000000,IFERROR(DATE(INT($AR272/10000),MOD(INT($AR272/100),100),MOD($AR272,100)),""),INT($AR272)),IFERROR(DATE(--LEFT(LEFT(SUBSTITUTE(SUBSTITUTE(SUBSTITUTE(SUBSTITUTE(TRIM($AR272),"-",""),".",""),"/","")," ",""),8),4),--MID(LEFT(SUBSTITUTE(SUBSTITUTE(SUBSTITUTE(SUBSTITUTE(TRIM($AR272),"-",""),".",""),"/","")," ",""),8),5,2),--MID(LEFT(SUBSTITUTE(SUBSTITUTE(SUBSTITUTE(SUBSTITUTE(TRIM($AR272),"-",""),".",""),"/","")," ",""),8),7,2)),"")))</f>
        <v/>
      </c>
      <c r="AT272" s="23">
        <f>IF($AS272="","",IF($F$6="",0,IF(ISNUMBER(INDEX($A:$AP,ROW(),$F$6)),INDEX($A:$AP,ROW(),$F$6),IFERROR(--SUBSTITUTE(SUBSTITUTE(TRIM(INDEX($A:$AP,ROW(),$F$6)),",",""),"원",""),0))))</f>
        <v/>
      </c>
      <c r="AU272" s="23">
        <f>IF($AS272="","",IF($G$6="",0,IF(ISNUMBER(INDEX($A:$AP,ROW(),$G$6)),INDEX($A:$AP,ROW(),$G$6),IFERROR(--SUBSTITUTE(SUBSTITUTE(TRIM(INDEX($A:$AP,ROW(),$G$6)),",",""),"원",""),0))))</f>
        <v/>
      </c>
      <c r="AV272" s="23">
        <f>IF($AS272="","",IF($H$6="",$AT272+$AU272,IF($H$6="",0,IF(ISNUMBER(INDEX($A:$AP,ROW(),$H$6)),INDEX($A:$AP,ROW(),$H$6),IFERROR(--SUBSTITUTE(SUBSTITUTE(TRIM(INDEX($A:$AP,ROW(),$H$6)),",",""),"원",""),0)))))</f>
        <v/>
      </c>
      <c r="AW272" s="2">
        <f>IF(OR($AS272="",$C$6=""),"",TRIM(INDEX($A:$AP,ROW(),$C$6)&amp;""))</f>
        <v/>
      </c>
      <c r="AX272" s="2">
        <f>IF($AS272="","",IF($AZ272&lt;&gt;"",SUBSTITUTE(SUBSTITUTE($AZ272,"-","")," ",""),$AY272))</f>
        <v/>
      </c>
      <c r="AY272" s="2">
        <f>IF(OR($AS272="",$E$6=""),"",TRIM(INDEX($A:$AP,ROW(),$E$6)&amp;""))</f>
        <v/>
      </c>
      <c r="AZ272" s="2">
        <f>IF(OR($AS272="",$D$6=""),"",TRIM(INDEX($A:$AP,ROW(),$D$6)&amp;""))</f>
        <v/>
      </c>
      <c r="BA272" s="2">
        <f>IF($AS272="","",IF(AND($AS272&gt;=설정!$B$10,$AS272&lt;=설정!$B$11),"포함","기간 밖"))</f>
        <v/>
      </c>
      <c r="BB272" s="2">
        <f>IF($AS272="","",IF(OR($AT272&lt;0,AND($I$6&lt;&gt;"",ISNUMBER(FIND("수정",INDEX($A:$AP,ROW(),IF($I$6="",1,$I$6))&amp;"")))),"수정","일반"))</f>
        <v/>
      </c>
      <c r="BC272" s="2">
        <f>IF($AS272="","",MID(IF($BA272="기간 밖"," / 기간 밖(신고기간 아님)","")&amp;IF(AND($AW272&lt;&gt;"",COUNTIF($AW$8:$AW$1007,$AW272)&gt;1)," / 승인번호 중복(두 번 붙여넣기?)","")&amp;IF(ABS($AU272-ROUND($AT272*0.1,0))&gt;설정!$B$8,IF($AU272=0," / 세액 0원(영세율·면세 여부 확인)"," / 세액이 공급가액 10%와 다름"),"")&amp;IF($BB272="수정"," / 수정세금계산서(합계에서 자동 가감)",""),4,200))</f>
        <v/>
      </c>
      <c r="BD272" s="2">
        <f>IF($BA272&lt;&gt;"포함","",IF(COUNTIFS($AX$8:$AX272,$AX272,$BA$8:$BA272,"포함")=1,MAX($BD$7:BD271)+1,""))</f>
        <v/>
      </c>
      <c r="BE272" s="2">
        <f>IF($BC272="","",MAX($BE$7:BE271)+1)</f>
        <v/>
      </c>
    </row>
    <row r="273">
      <c r="AR273" s="2">
        <f>IF(OR($A$5="",$B$6="",ROW()&lt;$A$5),"",IF(INDEX($A:$AP,ROW(),$B$6)="","",INDEX($A:$AP,ROW(),$B$6)))</f>
        <v/>
      </c>
      <c r="AS273" s="22">
        <f>IF($AR273="","",IF(ISNUMBER($AR273),IF($AR273&gt;=10000000,IFERROR(DATE(INT($AR273/10000),MOD(INT($AR273/100),100),MOD($AR273,100)),""),INT($AR273)),IFERROR(DATE(--LEFT(LEFT(SUBSTITUTE(SUBSTITUTE(SUBSTITUTE(SUBSTITUTE(TRIM($AR273),"-",""),".",""),"/","")," ",""),8),4),--MID(LEFT(SUBSTITUTE(SUBSTITUTE(SUBSTITUTE(SUBSTITUTE(TRIM($AR273),"-",""),".",""),"/","")," ",""),8),5,2),--MID(LEFT(SUBSTITUTE(SUBSTITUTE(SUBSTITUTE(SUBSTITUTE(TRIM($AR273),"-",""),".",""),"/","")," ",""),8),7,2)),"")))</f>
        <v/>
      </c>
      <c r="AT273" s="23">
        <f>IF($AS273="","",IF($F$6="",0,IF(ISNUMBER(INDEX($A:$AP,ROW(),$F$6)),INDEX($A:$AP,ROW(),$F$6),IFERROR(--SUBSTITUTE(SUBSTITUTE(TRIM(INDEX($A:$AP,ROW(),$F$6)),",",""),"원",""),0))))</f>
        <v/>
      </c>
      <c r="AU273" s="23">
        <f>IF($AS273="","",IF($G$6="",0,IF(ISNUMBER(INDEX($A:$AP,ROW(),$G$6)),INDEX($A:$AP,ROW(),$G$6),IFERROR(--SUBSTITUTE(SUBSTITUTE(TRIM(INDEX($A:$AP,ROW(),$G$6)),",",""),"원",""),0))))</f>
        <v/>
      </c>
      <c r="AV273" s="23">
        <f>IF($AS273="","",IF($H$6="",$AT273+$AU273,IF($H$6="",0,IF(ISNUMBER(INDEX($A:$AP,ROW(),$H$6)),INDEX($A:$AP,ROW(),$H$6),IFERROR(--SUBSTITUTE(SUBSTITUTE(TRIM(INDEX($A:$AP,ROW(),$H$6)),",",""),"원",""),0)))))</f>
        <v/>
      </c>
      <c r="AW273" s="2">
        <f>IF(OR($AS273="",$C$6=""),"",TRIM(INDEX($A:$AP,ROW(),$C$6)&amp;""))</f>
        <v/>
      </c>
      <c r="AX273" s="2">
        <f>IF($AS273="","",IF($AZ273&lt;&gt;"",SUBSTITUTE(SUBSTITUTE($AZ273,"-","")," ",""),$AY273))</f>
        <v/>
      </c>
      <c r="AY273" s="2">
        <f>IF(OR($AS273="",$E$6=""),"",TRIM(INDEX($A:$AP,ROW(),$E$6)&amp;""))</f>
        <v/>
      </c>
      <c r="AZ273" s="2">
        <f>IF(OR($AS273="",$D$6=""),"",TRIM(INDEX($A:$AP,ROW(),$D$6)&amp;""))</f>
        <v/>
      </c>
      <c r="BA273" s="2">
        <f>IF($AS273="","",IF(AND($AS273&gt;=설정!$B$10,$AS273&lt;=설정!$B$11),"포함","기간 밖"))</f>
        <v/>
      </c>
      <c r="BB273" s="2">
        <f>IF($AS273="","",IF(OR($AT273&lt;0,AND($I$6&lt;&gt;"",ISNUMBER(FIND("수정",INDEX($A:$AP,ROW(),IF($I$6="",1,$I$6))&amp;"")))),"수정","일반"))</f>
        <v/>
      </c>
      <c r="BC273" s="2">
        <f>IF($AS273="","",MID(IF($BA273="기간 밖"," / 기간 밖(신고기간 아님)","")&amp;IF(AND($AW273&lt;&gt;"",COUNTIF($AW$8:$AW$1007,$AW273)&gt;1)," / 승인번호 중복(두 번 붙여넣기?)","")&amp;IF(ABS($AU273-ROUND($AT273*0.1,0))&gt;설정!$B$8,IF($AU273=0," / 세액 0원(영세율·면세 여부 확인)"," / 세액이 공급가액 10%와 다름"),"")&amp;IF($BB273="수정"," / 수정세금계산서(합계에서 자동 가감)",""),4,200))</f>
        <v/>
      </c>
      <c r="BD273" s="2">
        <f>IF($BA273&lt;&gt;"포함","",IF(COUNTIFS($AX$8:$AX273,$AX273,$BA$8:$BA273,"포함")=1,MAX($BD$7:BD272)+1,""))</f>
        <v/>
      </c>
      <c r="BE273" s="2">
        <f>IF($BC273="","",MAX($BE$7:BE272)+1)</f>
        <v/>
      </c>
    </row>
    <row r="274">
      <c r="AR274" s="2">
        <f>IF(OR($A$5="",$B$6="",ROW()&lt;$A$5),"",IF(INDEX($A:$AP,ROW(),$B$6)="","",INDEX($A:$AP,ROW(),$B$6)))</f>
        <v/>
      </c>
      <c r="AS274" s="22">
        <f>IF($AR274="","",IF(ISNUMBER($AR274),IF($AR274&gt;=10000000,IFERROR(DATE(INT($AR274/10000),MOD(INT($AR274/100),100),MOD($AR274,100)),""),INT($AR274)),IFERROR(DATE(--LEFT(LEFT(SUBSTITUTE(SUBSTITUTE(SUBSTITUTE(SUBSTITUTE(TRIM($AR274),"-",""),".",""),"/","")," ",""),8),4),--MID(LEFT(SUBSTITUTE(SUBSTITUTE(SUBSTITUTE(SUBSTITUTE(TRIM($AR274),"-",""),".",""),"/","")," ",""),8),5,2),--MID(LEFT(SUBSTITUTE(SUBSTITUTE(SUBSTITUTE(SUBSTITUTE(TRIM($AR274),"-",""),".",""),"/","")," ",""),8),7,2)),"")))</f>
        <v/>
      </c>
      <c r="AT274" s="23">
        <f>IF($AS274="","",IF($F$6="",0,IF(ISNUMBER(INDEX($A:$AP,ROW(),$F$6)),INDEX($A:$AP,ROW(),$F$6),IFERROR(--SUBSTITUTE(SUBSTITUTE(TRIM(INDEX($A:$AP,ROW(),$F$6)),",",""),"원",""),0))))</f>
        <v/>
      </c>
      <c r="AU274" s="23">
        <f>IF($AS274="","",IF($G$6="",0,IF(ISNUMBER(INDEX($A:$AP,ROW(),$G$6)),INDEX($A:$AP,ROW(),$G$6),IFERROR(--SUBSTITUTE(SUBSTITUTE(TRIM(INDEX($A:$AP,ROW(),$G$6)),",",""),"원",""),0))))</f>
        <v/>
      </c>
      <c r="AV274" s="23">
        <f>IF($AS274="","",IF($H$6="",$AT274+$AU274,IF($H$6="",0,IF(ISNUMBER(INDEX($A:$AP,ROW(),$H$6)),INDEX($A:$AP,ROW(),$H$6),IFERROR(--SUBSTITUTE(SUBSTITUTE(TRIM(INDEX($A:$AP,ROW(),$H$6)),",",""),"원",""),0)))))</f>
        <v/>
      </c>
      <c r="AW274" s="2">
        <f>IF(OR($AS274="",$C$6=""),"",TRIM(INDEX($A:$AP,ROW(),$C$6)&amp;""))</f>
        <v/>
      </c>
      <c r="AX274" s="2">
        <f>IF($AS274="","",IF($AZ274&lt;&gt;"",SUBSTITUTE(SUBSTITUTE($AZ274,"-","")," ",""),$AY274))</f>
        <v/>
      </c>
      <c r="AY274" s="2">
        <f>IF(OR($AS274="",$E$6=""),"",TRIM(INDEX($A:$AP,ROW(),$E$6)&amp;""))</f>
        <v/>
      </c>
      <c r="AZ274" s="2">
        <f>IF(OR($AS274="",$D$6=""),"",TRIM(INDEX($A:$AP,ROW(),$D$6)&amp;""))</f>
        <v/>
      </c>
      <c r="BA274" s="2">
        <f>IF($AS274="","",IF(AND($AS274&gt;=설정!$B$10,$AS274&lt;=설정!$B$11),"포함","기간 밖"))</f>
        <v/>
      </c>
      <c r="BB274" s="2">
        <f>IF($AS274="","",IF(OR($AT274&lt;0,AND($I$6&lt;&gt;"",ISNUMBER(FIND("수정",INDEX($A:$AP,ROW(),IF($I$6="",1,$I$6))&amp;"")))),"수정","일반"))</f>
        <v/>
      </c>
      <c r="BC274" s="2">
        <f>IF($AS274="","",MID(IF($BA274="기간 밖"," / 기간 밖(신고기간 아님)","")&amp;IF(AND($AW274&lt;&gt;"",COUNTIF($AW$8:$AW$1007,$AW274)&gt;1)," / 승인번호 중복(두 번 붙여넣기?)","")&amp;IF(ABS($AU274-ROUND($AT274*0.1,0))&gt;설정!$B$8,IF($AU274=0," / 세액 0원(영세율·면세 여부 확인)"," / 세액이 공급가액 10%와 다름"),"")&amp;IF($BB274="수정"," / 수정세금계산서(합계에서 자동 가감)",""),4,200))</f>
        <v/>
      </c>
      <c r="BD274" s="2">
        <f>IF($BA274&lt;&gt;"포함","",IF(COUNTIFS($AX$8:$AX274,$AX274,$BA$8:$BA274,"포함")=1,MAX($BD$7:BD273)+1,""))</f>
        <v/>
      </c>
      <c r="BE274" s="2">
        <f>IF($BC274="","",MAX($BE$7:BE273)+1)</f>
        <v/>
      </c>
    </row>
    <row r="275">
      <c r="AR275" s="2">
        <f>IF(OR($A$5="",$B$6="",ROW()&lt;$A$5),"",IF(INDEX($A:$AP,ROW(),$B$6)="","",INDEX($A:$AP,ROW(),$B$6)))</f>
        <v/>
      </c>
      <c r="AS275" s="22">
        <f>IF($AR275="","",IF(ISNUMBER($AR275),IF($AR275&gt;=10000000,IFERROR(DATE(INT($AR275/10000),MOD(INT($AR275/100),100),MOD($AR275,100)),""),INT($AR275)),IFERROR(DATE(--LEFT(LEFT(SUBSTITUTE(SUBSTITUTE(SUBSTITUTE(SUBSTITUTE(TRIM($AR275),"-",""),".",""),"/","")," ",""),8),4),--MID(LEFT(SUBSTITUTE(SUBSTITUTE(SUBSTITUTE(SUBSTITUTE(TRIM($AR275),"-",""),".",""),"/","")," ",""),8),5,2),--MID(LEFT(SUBSTITUTE(SUBSTITUTE(SUBSTITUTE(SUBSTITUTE(TRIM($AR275),"-",""),".",""),"/","")," ",""),8),7,2)),"")))</f>
        <v/>
      </c>
      <c r="AT275" s="23">
        <f>IF($AS275="","",IF($F$6="",0,IF(ISNUMBER(INDEX($A:$AP,ROW(),$F$6)),INDEX($A:$AP,ROW(),$F$6),IFERROR(--SUBSTITUTE(SUBSTITUTE(TRIM(INDEX($A:$AP,ROW(),$F$6)),",",""),"원",""),0))))</f>
        <v/>
      </c>
      <c r="AU275" s="23">
        <f>IF($AS275="","",IF($G$6="",0,IF(ISNUMBER(INDEX($A:$AP,ROW(),$G$6)),INDEX($A:$AP,ROW(),$G$6),IFERROR(--SUBSTITUTE(SUBSTITUTE(TRIM(INDEX($A:$AP,ROW(),$G$6)),",",""),"원",""),0))))</f>
        <v/>
      </c>
      <c r="AV275" s="23">
        <f>IF($AS275="","",IF($H$6="",$AT275+$AU275,IF($H$6="",0,IF(ISNUMBER(INDEX($A:$AP,ROW(),$H$6)),INDEX($A:$AP,ROW(),$H$6),IFERROR(--SUBSTITUTE(SUBSTITUTE(TRIM(INDEX($A:$AP,ROW(),$H$6)),",",""),"원",""),0)))))</f>
        <v/>
      </c>
      <c r="AW275" s="2">
        <f>IF(OR($AS275="",$C$6=""),"",TRIM(INDEX($A:$AP,ROW(),$C$6)&amp;""))</f>
        <v/>
      </c>
      <c r="AX275" s="2">
        <f>IF($AS275="","",IF($AZ275&lt;&gt;"",SUBSTITUTE(SUBSTITUTE($AZ275,"-","")," ",""),$AY275))</f>
        <v/>
      </c>
      <c r="AY275" s="2">
        <f>IF(OR($AS275="",$E$6=""),"",TRIM(INDEX($A:$AP,ROW(),$E$6)&amp;""))</f>
        <v/>
      </c>
      <c r="AZ275" s="2">
        <f>IF(OR($AS275="",$D$6=""),"",TRIM(INDEX($A:$AP,ROW(),$D$6)&amp;""))</f>
        <v/>
      </c>
      <c r="BA275" s="2">
        <f>IF($AS275="","",IF(AND($AS275&gt;=설정!$B$10,$AS275&lt;=설정!$B$11),"포함","기간 밖"))</f>
        <v/>
      </c>
      <c r="BB275" s="2">
        <f>IF($AS275="","",IF(OR($AT275&lt;0,AND($I$6&lt;&gt;"",ISNUMBER(FIND("수정",INDEX($A:$AP,ROW(),IF($I$6="",1,$I$6))&amp;"")))),"수정","일반"))</f>
        <v/>
      </c>
      <c r="BC275" s="2">
        <f>IF($AS275="","",MID(IF($BA275="기간 밖"," / 기간 밖(신고기간 아님)","")&amp;IF(AND($AW275&lt;&gt;"",COUNTIF($AW$8:$AW$1007,$AW275)&gt;1)," / 승인번호 중복(두 번 붙여넣기?)","")&amp;IF(ABS($AU275-ROUND($AT275*0.1,0))&gt;설정!$B$8,IF($AU275=0," / 세액 0원(영세율·면세 여부 확인)"," / 세액이 공급가액 10%와 다름"),"")&amp;IF($BB275="수정"," / 수정세금계산서(합계에서 자동 가감)",""),4,200))</f>
        <v/>
      </c>
      <c r="BD275" s="2">
        <f>IF($BA275&lt;&gt;"포함","",IF(COUNTIFS($AX$8:$AX275,$AX275,$BA$8:$BA275,"포함")=1,MAX($BD$7:BD274)+1,""))</f>
        <v/>
      </c>
      <c r="BE275" s="2">
        <f>IF($BC275="","",MAX($BE$7:BE274)+1)</f>
        <v/>
      </c>
    </row>
    <row r="276">
      <c r="AR276" s="2">
        <f>IF(OR($A$5="",$B$6="",ROW()&lt;$A$5),"",IF(INDEX($A:$AP,ROW(),$B$6)="","",INDEX($A:$AP,ROW(),$B$6)))</f>
        <v/>
      </c>
      <c r="AS276" s="22">
        <f>IF($AR276="","",IF(ISNUMBER($AR276),IF($AR276&gt;=10000000,IFERROR(DATE(INT($AR276/10000),MOD(INT($AR276/100),100),MOD($AR276,100)),""),INT($AR276)),IFERROR(DATE(--LEFT(LEFT(SUBSTITUTE(SUBSTITUTE(SUBSTITUTE(SUBSTITUTE(TRIM($AR276),"-",""),".",""),"/","")," ",""),8),4),--MID(LEFT(SUBSTITUTE(SUBSTITUTE(SUBSTITUTE(SUBSTITUTE(TRIM($AR276),"-",""),".",""),"/","")," ",""),8),5,2),--MID(LEFT(SUBSTITUTE(SUBSTITUTE(SUBSTITUTE(SUBSTITUTE(TRIM($AR276),"-",""),".",""),"/","")," ",""),8),7,2)),"")))</f>
        <v/>
      </c>
      <c r="AT276" s="23">
        <f>IF($AS276="","",IF($F$6="",0,IF(ISNUMBER(INDEX($A:$AP,ROW(),$F$6)),INDEX($A:$AP,ROW(),$F$6),IFERROR(--SUBSTITUTE(SUBSTITUTE(TRIM(INDEX($A:$AP,ROW(),$F$6)),",",""),"원",""),0))))</f>
        <v/>
      </c>
      <c r="AU276" s="23">
        <f>IF($AS276="","",IF($G$6="",0,IF(ISNUMBER(INDEX($A:$AP,ROW(),$G$6)),INDEX($A:$AP,ROW(),$G$6),IFERROR(--SUBSTITUTE(SUBSTITUTE(TRIM(INDEX($A:$AP,ROW(),$G$6)),",",""),"원",""),0))))</f>
        <v/>
      </c>
      <c r="AV276" s="23">
        <f>IF($AS276="","",IF($H$6="",$AT276+$AU276,IF($H$6="",0,IF(ISNUMBER(INDEX($A:$AP,ROW(),$H$6)),INDEX($A:$AP,ROW(),$H$6),IFERROR(--SUBSTITUTE(SUBSTITUTE(TRIM(INDEX($A:$AP,ROW(),$H$6)),",",""),"원",""),0)))))</f>
        <v/>
      </c>
      <c r="AW276" s="2">
        <f>IF(OR($AS276="",$C$6=""),"",TRIM(INDEX($A:$AP,ROW(),$C$6)&amp;""))</f>
        <v/>
      </c>
      <c r="AX276" s="2">
        <f>IF($AS276="","",IF($AZ276&lt;&gt;"",SUBSTITUTE(SUBSTITUTE($AZ276,"-","")," ",""),$AY276))</f>
        <v/>
      </c>
      <c r="AY276" s="2">
        <f>IF(OR($AS276="",$E$6=""),"",TRIM(INDEX($A:$AP,ROW(),$E$6)&amp;""))</f>
        <v/>
      </c>
      <c r="AZ276" s="2">
        <f>IF(OR($AS276="",$D$6=""),"",TRIM(INDEX($A:$AP,ROW(),$D$6)&amp;""))</f>
        <v/>
      </c>
      <c r="BA276" s="2">
        <f>IF($AS276="","",IF(AND($AS276&gt;=설정!$B$10,$AS276&lt;=설정!$B$11),"포함","기간 밖"))</f>
        <v/>
      </c>
      <c r="BB276" s="2">
        <f>IF($AS276="","",IF(OR($AT276&lt;0,AND($I$6&lt;&gt;"",ISNUMBER(FIND("수정",INDEX($A:$AP,ROW(),IF($I$6="",1,$I$6))&amp;"")))),"수정","일반"))</f>
        <v/>
      </c>
      <c r="BC276" s="2">
        <f>IF($AS276="","",MID(IF($BA276="기간 밖"," / 기간 밖(신고기간 아님)","")&amp;IF(AND($AW276&lt;&gt;"",COUNTIF($AW$8:$AW$1007,$AW276)&gt;1)," / 승인번호 중복(두 번 붙여넣기?)","")&amp;IF(ABS($AU276-ROUND($AT276*0.1,0))&gt;설정!$B$8,IF($AU276=0," / 세액 0원(영세율·면세 여부 확인)"," / 세액이 공급가액 10%와 다름"),"")&amp;IF($BB276="수정"," / 수정세금계산서(합계에서 자동 가감)",""),4,200))</f>
        <v/>
      </c>
      <c r="BD276" s="2">
        <f>IF($BA276&lt;&gt;"포함","",IF(COUNTIFS($AX$8:$AX276,$AX276,$BA$8:$BA276,"포함")=1,MAX($BD$7:BD275)+1,""))</f>
        <v/>
      </c>
      <c r="BE276" s="2">
        <f>IF($BC276="","",MAX($BE$7:BE275)+1)</f>
        <v/>
      </c>
    </row>
    <row r="277">
      <c r="AR277" s="2">
        <f>IF(OR($A$5="",$B$6="",ROW()&lt;$A$5),"",IF(INDEX($A:$AP,ROW(),$B$6)="","",INDEX($A:$AP,ROW(),$B$6)))</f>
        <v/>
      </c>
      <c r="AS277" s="22">
        <f>IF($AR277="","",IF(ISNUMBER($AR277),IF($AR277&gt;=10000000,IFERROR(DATE(INT($AR277/10000),MOD(INT($AR277/100),100),MOD($AR277,100)),""),INT($AR277)),IFERROR(DATE(--LEFT(LEFT(SUBSTITUTE(SUBSTITUTE(SUBSTITUTE(SUBSTITUTE(TRIM($AR277),"-",""),".",""),"/","")," ",""),8),4),--MID(LEFT(SUBSTITUTE(SUBSTITUTE(SUBSTITUTE(SUBSTITUTE(TRIM($AR277),"-",""),".",""),"/","")," ",""),8),5,2),--MID(LEFT(SUBSTITUTE(SUBSTITUTE(SUBSTITUTE(SUBSTITUTE(TRIM($AR277),"-",""),".",""),"/","")," ",""),8),7,2)),"")))</f>
        <v/>
      </c>
      <c r="AT277" s="23">
        <f>IF($AS277="","",IF($F$6="",0,IF(ISNUMBER(INDEX($A:$AP,ROW(),$F$6)),INDEX($A:$AP,ROW(),$F$6),IFERROR(--SUBSTITUTE(SUBSTITUTE(TRIM(INDEX($A:$AP,ROW(),$F$6)),",",""),"원",""),0))))</f>
        <v/>
      </c>
      <c r="AU277" s="23">
        <f>IF($AS277="","",IF($G$6="",0,IF(ISNUMBER(INDEX($A:$AP,ROW(),$G$6)),INDEX($A:$AP,ROW(),$G$6),IFERROR(--SUBSTITUTE(SUBSTITUTE(TRIM(INDEX($A:$AP,ROW(),$G$6)),",",""),"원",""),0))))</f>
        <v/>
      </c>
      <c r="AV277" s="23">
        <f>IF($AS277="","",IF($H$6="",$AT277+$AU277,IF($H$6="",0,IF(ISNUMBER(INDEX($A:$AP,ROW(),$H$6)),INDEX($A:$AP,ROW(),$H$6),IFERROR(--SUBSTITUTE(SUBSTITUTE(TRIM(INDEX($A:$AP,ROW(),$H$6)),",",""),"원",""),0)))))</f>
        <v/>
      </c>
      <c r="AW277" s="2">
        <f>IF(OR($AS277="",$C$6=""),"",TRIM(INDEX($A:$AP,ROW(),$C$6)&amp;""))</f>
        <v/>
      </c>
      <c r="AX277" s="2">
        <f>IF($AS277="","",IF($AZ277&lt;&gt;"",SUBSTITUTE(SUBSTITUTE($AZ277,"-","")," ",""),$AY277))</f>
        <v/>
      </c>
      <c r="AY277" s="2">
        <f>IF(OR($AS277="",$E$6=""),"",TRIM(INDEX($A:$AP,ROW(),$E$6)&amp;""))</f>
        <v/>
      </c>
      <c r="AZ277" s="2">
        <f>IF(OR($AS277="",$D$6=""),"",TRIM(INDEX($A:$AP,ROW(),$D$6)&amp;""))</f>
        <v/>
      </c>
      <c r="BA277" s="2">
        <f>IF($AS277="","",IF(AND($AS277&gt;=설정!$B$10,$AS277&lt;=설정!$B$11),"포함","기간 밖"))</f>
        <v/>
      </c>
      <c r="BB277" s="2">
        <f>IF($AS277="","",IF(OR($AT277&lt;0,AND($I$6&lt;&gt;"",ISNUMBER(FIND("수정",INDEX($A:$AP,ROW(),IF($I$6="",1,$I$6))&amp;"")))),"수정","일반"))</f>
        <v/>
      </c>
      <c r="BC277" s="2">
        <f>IF($AS277="","",MID(IF($BA277="기간 밖"," / 기간 밖(신고기간 아님)","")&amp;IF(AND($AW277&lt;&gt;"",COUNTIF($AW$8:$AW$1007,$AW277)&gt;1)," / 승인번호 중복(두 번 붙여넣기?)","")&amp;IF(ABS($AU277-ROUND($AT277*0.1,0))&gt;설정!$B$8,IF($AU277=0," / 세액 0원(영세율·면세 여부 확인)"," / 세액이 공급가액 10%와 다름"),"")&amp;IF($BB277="수정"," / 수정세금계산서(합계에서 자동 가감)",""),4,200))</f>
        <v/>
      </c>
      <c r="BD277" s="2">
        <f>IF($BA277&lt;&gt;"포함","",IF(COUNTIFS($AX$8:$AX277,$AX277,$BA$8:$BA277,"포함")=1,MAX($BD$7:BD276)+1,""))</f>
        <v/>
      </c>
      <c r="BE277" s="2">
        <f>IF($BC277="","",MAX($BE$7:BE276)+1)</f>
        <v/>
      </c>
    </row>
    <row r="278">
      <c r="AR278" s="2">
        <f>IF(OR($A$5="",$B$6="",ROW()&lt;$A$5),"",IF(INDEX($A:$AP,ROW(),$B$6)="","",INDEX($A:$AP,ROW(),$B$6)))</f>
        <v/>
      </c>
      <c r="AS278" s="22">
        <f>IF($AR278="","",IF(ISNUMBER($AR278),IF($AR278&gt;=10000000,IFERROR(DATE(INT($AR278/10000),MOD(INT($AR278/100),100),MOD($AR278,100)),""),INT($AR278)),IFERROR(DATE(--LEFT(LEFT(SUBSTITUTE(SUBSTITUTE(SUBSTITUTE(SUBSTITUTE(TRIM($AR278),"-",""),".",""),"/","")," ",""),8),4),--MID(LEFT(SUBSTITUTE(SUBSTITUTE(SUBSTITUTE(SUBSTITUTE(TRIM($AR278),"-",""),".",""),"/","")," ",""),8),5,2),--MID(LEFT(SUBSTITUTE(SUBSTITUTE(SUBSTITUTE(SUBSTITUTE(TRIM($AR278),"-",""),".",""),"/","")," ",""),8),7,2)),"")))</f>
        <v/>
      </c>
      <c r="AT278" s="23">
        <f>IF($AS278="","",IF($F$6="",0,IF(ISNUMBER(INDEX($A:$AP,ROW(),$F$6)),INDEX($A:$AP,ROW(),$F$6),IFERROR(--SUBSTITUTE(SUBSTITUTE(TRIM(INDEX($A:$AP,ROW(),$F$6)),",",""),"원",""),0))))</f>
        <v/>
      </c>
      <c r="AU278" s="23">
        <f>IF($AS278="","",IF($G$6="",0,IF(ISNUMBER(INDEX($A:$AP,ROW(),$G$6)),INDEX($A:$AP,ROW(),$G$6),IFERROR(--SUBSTITUTE(SUBSTITUTE(TRIM(INDEX($A:$AP,ROW(),$G$6)),",",""),"원",""),0))))</f>
        <v/>
      </c>
      <c r="AV278" s="23">
        <f>IF($AS278="","",IF($H$6="",$AT278+$AU278,IF($H$6="",0,IF(ISNUMBER(INDEX($A:$AP,ROW(),$H$6)),INDEX($A:$AP,ROW(),$H$6),IFERROR(--SUBSTITUTE(SUBSTITUTE(TRIM(INDEX($A:$AP,ROW(),$H$6)),",",""),"원",""),0)))))</f>
        <v/>
      </c>
      <c r="AW278" s="2">
        <f>IF(OR($AS278="",$C$6=""),"",TRIM(INDEX($A:$AP,ROW(),$C$6)&amp;""))</f>
        <v/>
      </c>
      <c r="AX278" s="2">
        <f>IF($AS278="","",IF($AZ278&lt;&gt;"",SUBSTITUTE(SUBSTITUTE($AZ278,"-","")," ",""),$AY278))</f>
        <v/>
      </c>
      <c r="AY278" s="2">
        <f>IF(OR($AS278="",$E$6=""),"",TRIM(INDEX($A:$AP,ROW(),$E$6)&amp;""))</f>
        <v/>
      </c>
      <c r="AZ278" s="2">
        <f>IF(OR($AS278="",$D$6=""),"",TRIM(INDEX($A:$AP,ROW(),$D$6)&amp;""))</f>
        <v/>
      </c>
      <c r="BA278" s="2">
        <f>IF($AS278="","",IF(AND($AS278&gt;=설정!$B$10,$AS278&lt;=설정!$B$11),"포함","기간 밖"))</f>
        <v/>
      </c>
      <c r="BB278" s="2">
        <f>IF($AS278="","",IF(OR($AT278&lt;0,AND($I$6&lt;&gt;"",ISNUMBER(FIND("수정",INDEX($A:$AP,ROW(),IF($I$6="",1,$I$6))&amp;"")))),"수정","일반"))</f>
        <v/>
      </c>
      <c r="BC278" s="2">
        <f>IF($AS278="","",MID(IF($BA278="기간 밖"," / 기간 밖(신고기간 아님)","")&amp;IF(AND($AW278&lt;&gt;"",COUNTIF($AW$8:$AW$1007,$AW278)&gt;1)," / 승인번호 중복(두 번 붙여넣기?)","")&amp;IF(ABS($AU278-ROUND($AT278*0.1,0))&gt;설정!$B$8,IF($AU278=0," / 세액 0원(영세율·면세 여부 확인)"," / 세액이 공급가액 10%와 다름"),"")&amp;IF($BB278="수정"," / 수정세금계산서(합계에서 자동 가감)",""),4,200))</f>
        <v/>
      </c>
      <c r="BD278" s="2">
        <f>IF($BA278&lt;&gt;"포함","",IF(COUNTIFS($AX$8:$AX278,$AX278,$BA$8:$BA278,"포함")=1,MAX($BD$7:BD277)+1,""))</f>
        <v/>
      </c>
      <c r="BE278" s="2">
        <f>IF($BC278="","",MAX($BE$7:BE277)+1)</f>
        <v/>
      </c>
    </row>
    <row r="279">
      <c r="AR279" s="2">
        <f>IF(OR($A$5="",$B$6="",ROW()&lt;$A$5),"",IF(INDEX($A:$AP,ROW(),$B$6)="","",INDEX($A:$AP,ROW(),$B$6)))</f>
        <v/>
      </c>
      <c r="AS279" s="22">
        <f>IF($AR279="","",IF(ISNUMBER($AR279),IF($AR279&gt;=10000000,IFERROR(DATE(INT($AR279/10000),MOD(INT($AR279/100),100),MOD($AR279,100)),""),INT($AR279)),IFERROR(DATE(--LEFT(LEFT(SUBSTITUTE(SUBSTITUTE(SUBSTITUTE(SUBSTITUTE(TRIM($AR279),"-",""),".",""),"/","")," ",""),8),4),--MID(LEFT(SUBSTITUTE(SUBSTITUTE(SUBSTITUTE(SUBSTITUTE(TRIM($AR279),"-",""),".",""),"/","")," ",""),8),5,2),--MID(LEFT(SUBSTITUTE(SUBSTITUTE(SUBSTITUTE(SUBSTITUTE(TRIM($AR279),"-",""),".",""),"/","")," ",""),8),7,2)),"")))</f>
        <v/>
      </c>
      <c r="AT279" s="23">
        <f>IF($AS279="","",IF($F$6="",0,IF(ISNUMBER(INDEX($A:$AP,ROW(),$F$6)),INDEX($A:$AP,ROW(),$F$6),IFERROR(--SUBSTITUTE(SUBSTITUTE(TRIM(INDEX($A:$AP,ROW(),$F$6)),",",""),"원",""),0))))</f>
        <v/>
      </c>
      <c r="AU279" s="23">
        <f>IF($AS279="","",IF($G$6="",0,IF(ISNUMBER(INDEX($A:$AP,ROW(),$G$6)),INDEX($A:$AP,ROW(),$G$6),IFERROR(--SUBSTITUTE(SUBSTITUTE(TRIM(INDEX($A:$AP,ROW(),$G$6)),",",""),"원",""),0))))</f>
        <v/>
      </c>
      <c r="AV279" s="23">
        <f>IF($AS279="","",IF($H$6="",$AT279+$AU279,IF($H$6="",0,IF(ISNUMBER(INDEX($A:$AP,ROW(),$H$6)),INDEX($A:$AP,ROW(),$H$6),IFERROR(--SUBSTITUTE(SUBSTITUTE(TRIM(INDEX($A:$AP,ROW(),$H$6)),",",""),"원",""),0)))))</f>
        <v/>
      </c>
      <c r="AW279" s="2">
        <f>IF(OR($AS279="",$C$6=""),"",TRIM(INDEX($A:$AP,ROW(),$C$6)&amp;""))</f>
        <v/>
      </c>
      <c r="AX279" s="2">
        <f>IF($AS279="","",IF($AZ279&lt;&gt;"",SUBSTITUTE(SUBSTITUTE($AZ279,"-","")," ",""),$AY279))</f>
        <v/>
      </c>
      <c r="AY279" s="2">
        <f>IF(OR($AS279="",$E$6=""),"",TRIM(INDEX($A:$AP,ROW(),$E$6)&amp;""))</f>
        <v/>
      </c>
      <c r="AZ279" s="2">
        <f>IF(OR($AS279="",$D$6=""),"",TRIM(INDEX($A:$AP,ROW(),$D$6)&amp;""))</f>
        <v/>
      </c>
      <c r="BA279" s="2">
        <f>IF($AS279="","",IF(AND($AS279&gt;=설정!$B$10,$AS279&lt;=설정!$B$11),"포함","기간 밖"))</f>
        <v/>
      </c>
      <c r="BB279" s="2">
        <f>IF($AS279="","",IF(OR($AT279&lt;0,AND($I$6&lt;&gt;"",ISNUMBER(FIND("수정",INDEX($A:$AP,ROW(),IF($I$6="",1,$I$6))&amp;"")))),"수정","일반"))</f>
        <v/>
      </c>
      <c r="BC279" s="2">
        <f>IF($AS279="","",MID(IF($BA279="기간 밖"," / 기간 밖(신고기간 아님)","")&amp;IF(AND($AW279&lt;&gt;"",COUNTIF($AW$8:$AW$1007,$AW279)&gt;1)," / 승인번호 중복(두 번 붙여넣기?)","")&amp;IF(ABS($AU279-ROUND($AT279*0.1,0))&gt;설정!$B$8,IF($AU279=0," / 세액 0원(영세율·면세 여부 확인)"," / 세액이 공급가액 10%와 다름"),"")&amp;IF($BB279="수정"," / 수정세금계산서(합계에서 자동 가감)",""),4,200))</f>
        <v/>
      </c>
      <c r="BD279" s="2">
        <f>IF($BA279&lt;&gt;"포함","",IF(COUNTIFS($AX$8:$AX279,$AX279,$BA$8:$BA279,"포함")=1,MAX($BD$7:BD278)+1,""))</f>
        <v/>
      </c>
      <c r="BE279" s="2">
        <f>IF($BC279="","",MAX($BE$7:BE278)+1)</f>
        <v/>
      </c>
    </row>
    <row r="280">
      <c r="AR280" s="2">
        <f>IF(OR($A$5="",$B$6="",ROW()&lt;$A$5),"",IF(INDEX($A:$AP,ROW(),$B$6)="","",INDEX($A:$AP,ROW(),$B$6)))</f>
        <v/>
      </c>
      <c r="AS280" s="22">
        <f>IF($AR280="","",IF(ISNUMBER($AR280),IF($AR280&gt;=10000000,IFERROR(DATE(INT($AR280/10000),MOD(INT($AR280/100),100),MOD($AR280,100)),""),INT($AR280)),IFERROR(DATE(--LEFT(LEFT(SUBSTITUTE(SUBSTITUTE(SUBSTITUTE(SUBSTITUTE(TRIM($AR280),"-",""),".",""),"/","")," ",""),8),4),--MID(LEFT(SUBSTITUTE(SUBSTITUTE(SUBSTITUTE(SUBSTITUTE(TRIM($AR280),"-",""),".",""),"/","")," ",""),8),5,2),--MID(LEFT(SUBSTITUTE(SUBSTITUTE(SUBSTITUTE(SUBSTITUTE(TRIM($AR280),"-",""),".",""),"/","")," ",""),8),7,2)),"")))</f>
        <v/>
      </c>
      <c r="AT280" s="23">
        <f>IF($AS280="","",IF($F$6="",0,IF(ISNUMBER(INDEX($A:$AP,ROW(),$F$6)),INDEX($A:$AP,ROW(),$F$6),IFERROR(--SUBSTITUTE(SUBSTITUTE(TRIM(INDEX($A:$AP,ROW(),$F$6)),",",""),"원",""),0))))</f>
        <v/>
      </c>
      <c r="AU280" s="23">
        <f>IF($AS280="","",IF($G$6="",0,IF(ISNUMBER(INDEX($A:$AP,ROW(),$G$6)),INDEX($A:$AP,ROW(),$G$6),IFERROR(--SUBSTITUTE(SUBSTITUTE(TRIM(INDEX($A:$AP,ROW(),$G$6)),",",""),"원",""),0))))</f>
        <v/>
      </c>
      <c r="AV280" s="23">
        <f>IF($AS280="","",IF($H$6="",$AT280+$AU280,IF($H$6="",0,IF(ISNUMBER(INDEX($A:$AP,ROW(),$H$6)),INDEX($A:$AP,ROW(),$H$6),IFERROR(--SUBSTITUTE(SUBSTITUTE(TRIM(INDEX($A:$AP,ROW(),$H$6)),",",""),"원",""),0)))))</f>
        <v/>
      </c>
      <c r="AW280" s="2">
        <f>IF(OR($AS280="",$C$6=""),"",TRIM(INDEX($A:$AP,ROW(),$C$6)&amp;""))</f>
        <v/>
      </c>
      <c r="AX280" s="2">
        <f>IF($AS280="","",IF($AZ280&lt;&gt;"",SUBSTITUTE(SUBSTITUTE($AZ280,"-","")," ",""),$AY280))</f>
        <v/>
      </c>
      <c r="AY280" s="2">
        <f>IF(OR($AS280="",$E$6=""),"",TRIM(INDEX($A:$AP,ROW(),$E$6)&amp;""))</f>
        <v/>
      </c>
      <c r="AZ280" s="2">
        <f>IF(OR($AS280="",$D$6=""),"",TRIM(INDEX($A:$AP,ROW(),$D$6)&amp;""))</f>
        <v/>
      </c>
      <c r="BA280" s="2">
        <f>IF($AS280="","",IF(AND($AS280&gt;=설정!$B$10,$AS280&lt;=설정!$B$11),"포함","기간 밖"))</f>
        <v/>
      </c>
      <c r="BB280" s="2">
        <f>IF($AS280="","",IF(OR($AT280&lt;0,AND($I$6&lt;&gt;"",ISNUMBER(FIND("수정",INDEX($A:$AP,ROW(),IF($I$6="",1,$I$6))&amp;"")))),"수정","일반"))</f>
        <v/>
      </c>
      <c r="BC280" s="2">
        <f>IF($AS280="","",MID(IF($BA280="기간 밖"," / 기간 밖(신고기간 아님)","")&amp;IF(AND($AW280&lt;&gt;"",COUNTIF($AW$8:$AW$1007,$AW280)&gt;1)," / 승인번호 중복(두 번 붙여넣기?)","")&amp;IF(ABS($AU280-ROUND($AT280*0.1,0))&gt;설정!$B$8,IF($AU280=0," / 세액 0원(영세율·면세 여부 확인)"," / 세액이 공급가액 10%와 다름"),"")&amp;IF($BB280="수정"," / 수정세금계산서(합계에서 자동 가감)",""),4,200))</f>
        <v/>
      </c>
      <c r="BD280" s="2">
        <f>IF($BA280&lt;&gt;"포함","",IF(COUNTIFS($AX$8:$AX280,$AX280,$BA$8:$BA280,"포함")=1,MAX($BD$7:BD279)+1,""))</f>
        <v/>
      </c>
      <c r="BE280" s="2">
        <f>IF($BC280="","",MAX($BE$7:BE279)+1)</f>
        <v/>
      </c>
    </row>
    <row r="281">
      <c r="AR281" s="2">
        <f>IF(OR($A$5="",$B$6="",ROW()&lt;$A$5),"",IF(INDEX($A:$AP,ROW(),$B$6)="","",INDEX($A:$AP,ROW(),$B$6)))</f>
        <v/>
      </c>
      <c r="AS281" s="22">
        <f>IF($AR281="","",IF(ISNUMBER($AR281),IF($AR281&gt;=10000000,IFERROR(DATE(INT($AR281/10000),MOD(INT($AR281/100),100),MOD($AR281,100)),""),INT($AR281)),IFERROR(DATE(--LEFT(LEFT(SUBSTITUTE(SUBSTITUTE(SUBSTITUTE(SUBSTITUTE(TRIM($AR281),"-",""),".",""),"/","")," ",""),8),4),--MID(LEFT(SUBSTITUTE(SUBSTITUTE(SUBSTITUTE(SUBSTITUTE(TRIM($AR281),"-",""),".",""),"/","")," ",""),8),5,2),--MID(LEFT(SUBSTITUTE(SUBSTITUTE(SUBSTITUTE(SUBSTITUTE(TRIM($AR281),"-",""),".",""),"/","")," ",""),8),7,2)),"")))</f>
        <v/>
      </c>
      <c r="AT281" s="23">
        <f>IF($AS281="","",IF($F$6="",0,IF(ISNUMBER(INDEX($A:$AP,ROW(),$F$6)),INDEX($A:$AP,ROW(),$F$6),IFERROR(--SUBSTITUTE(SUBSTITUTE(TRIM(INDEX($A:$AP,ROW(),$F$6)),",",""),"원",""),0))))</f>
        <v/>
      </c>
      <c r="AU281" s="23">
        <f>IF($AS281="","",IF($G$6="",0,IF(ISNUMBER(INDEX($A:$AP,ROW(),$G$6)),INDEX($A:$AP,ROW(),$G$6),IFERROR(--SUBSTITUTE(SUBSTITUTE(TRIM(INDEX($A:$AP,ROW(),$G$6)),",",""),"원",""),0))))</f>
        <v/>
      </c>
      <c r="AV281" s="23">
        <f>IF($AS281="","",IF($H$6="",$AT281+$AU281,IF($H$6="",0,IF(ISNUMBER(INDEX($A:$AP,ROW(),$H$6)),INDEX($A:$AP,ROW(),$H$6),IFERROR(--SUBSTITUTE(SUBSTITUTE(TRIM(INDEX($A:$AP,ROW(),$H$6)),",",""),"원",""),0)))))</f>
        <v/>
      </c>
      <c r="AW281" s="2">
        <f>IF(OR($AS281="",$C$6=""),"",TRIM(INDEX($A:$AP,ROW(),$C$6)&amp;""))</f>
        <v/>
      </c>
      <c r="AX281" s="2">
        <f>IF($AS281="","",IF($AZ281&lt;&gt;"",SUBSTITUTE(SUBSTITUTE($AZ281,"-","")," ",""),$AY281))</f>
        <v/>
      </c>
      <c r="AY281" s="2">
        <f>IF(OR($AS281="",$E$6=""),"",TRIM(INDEX($A:$AP,ROW(),$E$6)&amp;""))</f>
        <v/>
      </c>
      <c r="AZ281" s="2">
        <f>IF(OR($AS281="",$D$6=""),"",TRIM(INDEX($A:$AP,ROW(),$D$6)&amp;""))</f>
        <v/>
      </c>
      <c r="BA281" s="2">
        <f>IF($AS281="","",IF(AND($AS281&gt;=설정!$B$10,$AS281&lt;=설정!$B$11),"포함","기간 밖"))</f>
        <v/>
      </c>
      <c r="BB281" s="2">
        <f>IF($AS281="","",IF(OR($AT281&lt;0,AND($I$6&lt;&gt;"",ISNUMBER(FIND("수정",INDEX($A:$AP,ROW(),IF($I$6="",1,$I$6))&amp;"")))),"수정","일반"))</f>
        <v/>
      </c>
      <c r="BC281" s="2">
        <f>IF($AS281="","",MID(IF($BA281="기간 밖"," / 기간 밖(신고기간 아님)","")&amp;IF(AND($AW281&lt;&gt;"",COUNTIF($AW$8:$AW$1007,$AW281)&gt;1)," / 승인번호 중복(두 번 붙여넣기?)","")&amp;IF(ABS($AU281-ROUND($AT281*0.1,0))&gt;설정!$B$8,IF($AU281=0," / 세액 0원(영세율·면세 여부 확인)"," / 세액이 공급가액 10%와 다름"),"")&amp;IF($BB281="수정"," / 수정세금계산서(합계에서 자동 가감)",""),4,200))</f>
        <v/>
      </c>
      <c r="BD281" s="2">
        <f>IF($BA281&lt;&gt;"포함","",IF(COUNTIFS($AX$8:$AX281,$AX281,$BA$8:$BA281,"포함")=1,MAX($BD$7:BD280)+1,""))</f>
        <v/>
      </c>
      <c r="BE281" s="2">
        <f>IF($BC281="","",MAX($BE$7:BE280)+1)</f>
        <v/>
      </c>
    </row>
    <row r="282">
      <c r="AR282" s="2">
        <f>IF(OR($A$5="",$B$6="",ROW()&lt;$A$5),"",IF(INDEX($A:$AP,ROW(),$B$6)="","",INDEX($A:$AP,ROW(),$B$6)))</f>
        <v/>
      </c>
      <c r="AS282" s="22">
        <f>IF($AR282="","",IF(ISNUMBER($AR282),IF($AR282&gt;=10000000,IFERROR(DATE(INT($AR282/10000),MOD(INT($AR282/100),100),MOD($AR282,100)),""),INT($AR282)),IFERROR(DATE(--LEFT(LEFT(SUBSTITUTE(SUBSTITUTE(SUBSTITUTE(SUBSTITUTE(TRIM($AR282),"-",""),".",""),"/","")," ",""),8),4),--MID(LEFT(SUBSTITUTE(SUBSTITUTE(SUBSTITUTE(SUBSTITUTE(TRIM($AR282),"-",""),".",""),"/","")," ",""),8),5,2),--MID(LEFT(SUBSTITUTE(SUBSTITUTE(SUBSTITUTE(SUBSTITUTE(TRIM($AR282),"-",""),".",""),"/","")," ",""),8),7,2)),"")))</f>
        <v/>
      </c>
      <c r="AT282" s="23">
        <f>IF($AS282="","",IF($F$6="",0,IF(ISNUMBER(INDEX($A:$AP,ROW(),$F$6)),INDEX($A:$AP,ROW(),$F$6),IFERROR(--SUBSTITUTE(SUBSTITUTE(TRIM(INDEX($A:$AP,ROW(),$F$6)),",",""),"원",""),0))))</f>
        <v/>
      </c>
      <c r="AU282" s="23">
        <f>IF($AS282="","",IF($G$6="",0,IF(ISNUMBER(INDEX($A:$AP,ROW(),$G$6)),INDEX($A:$AP,ROW(),$G$6),IFERROR(--SUBSTITUTE(SUBSTITUTE(TRIM(INDEX($A:$AP,ROW(),$G$6)),",",""),"원",""),0))))</f>
        <v/>
      </c>
      <c r="AV282" s="23">
        <f>IF($AS282="","",IF($H$6="",$AT282+$AU282,IF($H$6="",0,IF(ISNUMBER(INDEX($A:$AP,ROW(),$H$6)),INDEX($A:$AP,ROW(),$H$6),IFERROR(--SUBSTITUTE(SUBSTITUTE(TRIM(INDEX($A:$AP,ROW(),$H$6)),",",""),"원",""),0)))))</f>
        <v/>
      </c>
      <c r="AW282" s="2">
        <f>IF(OR($AS282="",$C$6=""),"",TRIM(INDEX($A:$AP,ROW(),$C$6)&amp;""))</f>
        <v/>
      </c>
      <c r="AX282" s="2">
        <f>IF($AS282="","",IF($AZ282&lt;&gt;"",SUBSTITUTE(SUBSTITUTE($AZ282,"-","")," ",""),$AY282))</f>
        <v/>
      </c>
      <c r="AY282" s="2">
        <f>IF(OR($AS282="",$E$6=""),"",TRIM(INDEX($A:$AP,ROW(),$E$6)&amp;""))</f>
        <v/>
      </c>
      <c r="AZ282" s="2">
        <f>IF(OR($AS282="",$D$6=""),"",TRIM(INDEX($A:$AP,ROW(),$D$6)&amp;""))</f>
        <v/>
      </c>
      <c r="BA282" s="2">
        <f>IF($AS282="","",IF(AND($AS282&gt;=설정!$B$10,$AS282&lt;=설정!$B$11),"포함","기간 밖"))</f>
        <v/>
      </c>
      <c r="BB282" s="2">
        <f>IF($AS282="","",IF(OR($AT282&lt;0,AND($I$6&lt;&gt;"",ISNUMBER(FIND("수정",INDEX($A:$AP,ROW(),IF($I$6="",1,$I$6))&amp;"")))),"수정","일반"))</f>
        <v/>
      </c>
      <c r="BC282" s="2">
        <f>IF($AS282="","",MID(IF($BA282="기간 밖"," / 기간 밖(신고기간 아님)","")&amp;IF(AND($AW282&lt;&gt;"",COUNTIF($AW$8:$AW$1007,$AW282)&gt;1)," / 승인번호 중복(두 번 붙여넣기?)","")&amp;IF(ABS($AU282-ROUND($AT282*0.1,0))&gt;설정!$B$8,IF($AU282=0," / 세액 0원(영세율·면세 여부 확인)"," / 세액이 공급가액 10%와 다름"),"")&amp;IF($BB282="수정"," / 수정세금계산서(합계에서 자동 가감)",""),4,200))</f>
        <v/>
      </c>
      <c r="BD282" s="2">
        <f>IF($BA282&lt;&gt;"포함","",IF(COUNTIFS($AX$8:$AX282,$AX282,$BA$8:$BA282,"포함")=1,MAX($BD$7:BD281)+1,""))</f>
        <v/>
      </c>
      <c r="BE282" s="2">
        <f>IF($BC282="","",MAX($BE$7:BE281)+1)</f>
        <v/>
      </c>
    </row>
    <row r="283">
      <c r="AR283" s="2">
        <f>IF(OR($A$5="",$B$6="",ROW()&lt;$A$5),"",IF(INDEX($A:$AP,ROW(),$B$6)="","",INDEX($A:$AP,ROW(),$B$6)))</f>
        <v/>
      </c>
      <c r="AS283" s="22">
        <f>IF($AR283="","",IF(ISNUMBER($AR283),IF($AR283&gt;=10000000,IFERROR(DATE(INT($AR283/10000),MOD(INT($AR283/100),100),MOD($AR283,100)),""),INT($AR283)),IFERROR(DATE(--LEFT(LEFT(SUBSTITUTE(SUBSTITUTE(SUBSTITUTE(SUBSTITUTE(TRIM($AR283),"-",""),".",""),"/","")," ",""),8),4),--MID(LEFT(SUBSTITUTE(SUBSTITUTE(SUBSTITUTE(SUBSTITUTE(TRIM($AR283),"-",""),".",""),"/","")," ",""),8),5,2),--MID(LEFT(SUBSTITUTE(SUBSTITUTE(SUBSTITUTE(SUBSTITUTE(TRIM($AR283),"-",""),".",""),"/","")," ",""),8),7,2)),"")))</f>
        <v/>
      </c>
      <c r="AT283" s="23">
        <f>IF($AS283="","",IF($F$6="",0,IF(ISNUMBER(INDEX($A:$AP,ROW(),$F$6)),INDEX($A:$AP,ROW(),$F$6),IFERROR(--SUBSTITUTE(SUBSTITUTE(TRIM(INDEX($A:$AP,ROW(),$F$6)),",",""),"원",""),0))))</f>
        <v/>
      </c>
      <c r="AU283" s="23">
        <f>IF($AS283="","",IF($G$6="",0,IF(ISNUMBER(INDEX($A:$AP,ROW(),$G$6)),INDEX($A:$AP,ROW(),$G$6),IFERROR(--SUBSTITUTE(SUBSTITUTE(TRIM(INDEX($A:$AP,ROW(),$G$6)),",",""),"원",""),0))))</f>
        <v/>
      </c>
      <c r="AV283" s="23">
        <f>IF($AS283="","",IF($H$6="",$AT283+$AU283,IF($H$6="",0,IF(ISNUMBER(INDEX($A:$AP,ROW(),$H$6)),INDEX($A:$AP,ROW(),$H$6),IFERROR(--SUBSTITUTE(SUBSTITUTE(TRIM(INDEX($A:$AP,ROW(),$H$6)),",",""),"원",""),0)))))</f>
        <v/>
      </c>
      <c r="AW283" s="2">
        <f>IF(OR($AS283="",$C$6=""),"",TRIM(INDEX($A:$AP,ROW(),$C$6)&amp;""))</f>
        <v/>
      </c>
      <c r="AX283" s="2">
        <f>IF($AS283="","",IF($AZ283&lt;&gt;"",SUBSTITUTE(SUBSTITUTE($AZ283,"-","")," ",""),$AY283))</f>
        <v/>
      </c>
      <c r="AY283" s="2">
        <f>IF(OR($AS283="",$E$6=""),"",TRIM(INDEX($A:$AP,ROW(),$E$6)&amp;""))</f>
        <v/>
      </c>
      <c r="AZ283" s="2">
        <f>IF(OR($AS283="",$D$6=""),"",TRIM(INDEX($A:$AP,ROW(),$D$6)&amp;""))</f>
        <v/>
      </c>
      <c r="BA283" s="2">
        <f>IF($AS283="","",IF(AND($AS283&gt;=설정!$B$10,$AS283&lt;=설정!$B$11),"포함","기간 밖"))</f>
        <v/>
      </c>
      <c r="BB283" s="2">
        <f>IF($AS283="","",IF(OR($AT283&lt;0,AND($I$6&lt;&gt;"",ISNUMBER(FIND("수정",INDEX($A:$AP,ROW(),IF($I$6="",1,$I$6))&amp;"")))),"수정","일반"))</f>
        <v/>
      </c>
      <c r="BC283" s="2">
        <f>IF($AS283="","",MID(IF($BA283="기간 밖"," / 기간 밖(신고기간 아님)","")&amp;IF(AND($AW283&lt;&gt;"",COUNTIF($AW$8:$AW$1007,$AW283)&gt;1)," / 승인번호 중복(두 번 붙여넣기?)","")&amp;IF(ABS($AU283-ROUND($AT283*0.1,0))&gt;설정!$B$8,IF($AU283=0," / 세액 0원(영세율·면세 여부 확인)"," / 세액이 공급가액 10%와 다름"),"")&amp;IF($BB283="수정"," / 수정세금계산서(합계에서 자동 가감)",""),4,200))</f>
        <v/>
      </c>
      <c r="BD283" s="2">
        <f>IF($BA283&lt;&gt;"포함","",IF(COUNTIFS($AX$8:$AX283,$AX283,$BA$8:$BA283,"포함")=1,MAX($BD$7:BD282)+1,""))</f>
        <v/>
      </c>
      <c r="BE283" s="2">
        <f>IF($BC283="","",MAX($BE$7:BE282)+1)</f>
        <v/>
      </c>
    </row>
    <row r="284">
      <c r="AR284" s="2">
        <f>IF(OR($A$5="",$B$6="",ROW()&lt;$A$5),"",IF(INDEX($A:$AP,ROW(),$B$6)="","",INDEX($A:$AP,ROW(),$B$6)))</f>
        <v/>
      </c>
      <c r="AS284" s="22">
        <f>IF($AR284="","",IF(ISNUMBER($AR284),IF($AR284&gt;=10000000,IFERROR(DATE(INT($AR284/10000),MOD(INT($AR284/100),100),MOD($AR284,100)),""),INT($AR284)),IFERROR(DATE(--LEFT(LEFT(SUBSTITUTE(SUBSTITUTE(SUBSTITUTE(SUBSTITUTE(TRIM($AR284),"-",""),".",""),"/","")," ",""),8),4),--MID(LEFT(SUBSTITUTE(SUBSTITUTE(SUBSTITUTE(SUBSTITUTE(TRIM($AR284),"-",""),".",""),"/","")," ",""),8),5,2),--MID(LEFT(SUBSTITUTE(SUBSTITUTE(SUBSTITUTE(SUBSTITUTE(TRIM($AR284),"-",""),".",""),"/","")," ",""),8),7,2)),"")))</f>
        <v/>
      </c>
      <c r="AT284" s="23">
        <f>IF($AS284="","",IF($F$6="",0,IF(ISNUMBER(INDEX($A:$AP,ROW(),$F$6)),INDEX($A:$AP,ROW(),$F$6),IFERROR(--SUBSTITUTE(SUBSTITUTE(TRIM(INDEX($A:$AP,ROW(),$F$6)),",",""),"원",""),0))))</f>
        <v/>
      </c>
      <c r="AU284" s="23">
        <f>IF($AS284="","",IF($G$6="",0,IF(ISNUMBER(INDEX($A:$AP,ROW(),$G$6)),INDEX($A:$AP,ROW(),$G$6),IFERROR(--SUBSTITUTE(SUBSTITUTE(TRIM(INDEX($A:$AP,ROW(),$G$6)),",",""),"원",""),0))))</f>
        <v/>
      </c>
      <c r="AV284" s="23">
        <f>IF($AS284="","",IF($H$6="",$AT284+$AU284,IF($H$6="",0,IF(ISNUMBER(INDEX($A:$AP,ROW(),$H$6)),INDEX($A:$AP,ROW(),$H$6),IFERROR(--SUBSTITUTE(SUBSTITUTE(TRIM(INDEX($A:$AP,ROW(),$H$6)),",",""),"원",""),0)))))</f>
        <v/>
      </c>
      <c r="AW284" s="2">
        <f>IF(OR($AS284="",$C$6=""),"",TRIM(INDEX($A:$AP,ROW(),$C$6)&amp;""))</f>
        <v/>
      </c>
      <c r="AX284" s="2">
        <f>IF($AS284="","",IF($AZ284&lt;&gt;"",SUBSTITUTE(SUBSTITUTE($AZ284,"-","")," ",""),$AY284))</f>
        <v/>
      </c>
      <c r="AY284" s="2">
        <f>IF(OR($AS284="",$E$6=""),"",TRIM(INDEX($A:$AP,ROW(),$E$6)&amp;""))</f>
        <v/>
      </c>
      <c r="AZ284" s="2">
        <f>IF(OR($AS284="",$D$6=""),"",TRIM(INDEX($A:$AP,ROW(),$D$6)&amp;""))</f>
        <v/>
      </c>
      <c r="BA284" s="2">
        <f>IF($AS284="","",IF(AND($AS284&gt;=설정!$B$10,$AS284&lt;=설정!$B$11),"포함","기간 밖"))</f>
        <v/>
      </c>
      <c r="BB284" s="2">
        <f>IF($AS284="","",IF(OR($AT284&lt;0,AND($I$6&lt;&gt;"",ISNUMBER(FIND("수정",INDEX($A:$AP,ROW(),IF($I$6="",1,$I$6))&amp;"")))),"수정","일반"))</f>
        <v/>
      </c>
      <c r="BC284" s="2">
        <f>IF($AS284="","",MID(IF($BA284="기간 밖"," / 기간 밖(신고기간 아님)","")&amp;IF(AND($AW284&lt;&gt;"",COUNTIF($AW$8:$AW$1007,$AW284)&gt;1)," / 승인번호 중복(두 번 붙여넣기?)","")&amp;IF(ABS($AU284-ROUND($AT284*0.1,0))&gt;설정!$B$8,IF($AU284=0," / 세액 0원(영세율·면세 여부 확인)"," / 세액이 공급가액 10%와 다름"),"")&amp;IF($BB284="수정"," / 수정세금계산서(합계에서 자동 가감)",""),4,200))</f>
        <v/>
      </c>
      <c r="BD284" s="2">
        <f>IF($BA284&lt;&gt;"포함","",IF(COUNTIFS($AX$8:$AX284,$AX284,$BA$8:$BA284,"포함")=1,MAX($BD$7:BD283)+1,""))</f>
        <v/>
      </c>
      <c r="BE284" s="2">
        <f>IF($BC284="","",MAX($BE$7:BE283)+1)</f>
        <v/>
      </c>
    </row>
    <row r="285">
      <c r="AR285" s="2">
        <f>IF(OR($A$5="",$B$6="",ROW()&lt;$A$5),"",IF(INDEX($A:$AP,ROW(),$B$6)="","",INDEX($A:$AP,ROW(),$B$6)))</f>
        <v/>
      </c>
      <c r="AS285" s="22">
        <f>IF($AR285="","",IF(ISNUMBER($AR285),IF($AR285&gt;=10000000,IFERROR(DATE(INT($AR285/10000),MOD(INT($AR285/100),100),MOD($AR285,100)),""),INT($AR285)),IFERROR(DATE(--LEFT(LEFT(SUBSTITUTE(SUBSTITUTE(SUBSTITUTE(SUBSTITUTE(TRIM($AR285),"-",""),".",""),"/","")," ",""),8),4),--MID(LEFT(SUBSTITUTE(SUBSTITUTE(SUBSTITUTE(SUBSTITUTE(TRIM($AR285),"-",""),".",""),"/","")," ",""),8),5,2),--MID(LEFT(SUBSTITUTE(SUBSTITUTE(SUBSTITUTE(SUBSTITUTE(TRIM($AR285),"-",""),".",""),"/","")," ",""),8),7,2)),"")))</f>
        <v/>
      </c>
      <c r="AT285" s="23">
        <f>IF($AS285="","",IF($F$6="",0,IF(ISNUMBER(INDEX($A:$AP,ROW(),$F$6)),INDEX($A:$AP,ROW(),$F$6),IFERROR(--SUBSTITUTE(SUBSTITUTE(TRIM(INDEX($A:$AP,ROW(),$F$6)),",",""),"원",""),0))))</f>
        <v/>
      </c>
      <c r="AU285" s="23">
        <f>IF($AS285="","",IF($G$6="",0,IF(ISNUMBER(INDEX($A:$AP,ROW(),$G$6)),INDEX($A:$AP,ROW(),$G$6),IFERROR(--SUBSTITUTE(SUBSTITUTE(TRIM(INDEX($A:$AP,ROW(),$G$6)),",",""),"원",""),0))))</f>
        <v/>
      </c>
      <c r="AV285" s="23">
        <f>IF($AS285="","",IF($H$6="",$AT285+$AU285,IF($H$6="",0,IF(ISNUMBER(INDEX($A:$AP,ROW(),$H$6)),INDEX($A:$AP,ROW(),$H$6),IFERROR(--SUBSTITUTE(SUBSTITUTE(TRIM(INDEX($A:$AP,ROW(),$H$6)),",",""),"원",""),0)))))</f>
        <v/>
      </c>
      <c r="AW285" s="2">
        <f>IF(OR($AS285="",$C$6=""),"",TRIM(INDEX($A:$AP,ROW(),$C$6)&amp;""))</f>
        <v/>
      </c>
      <c r="AX285" s="2">
        <f>IF($AS285="","",IF($AZ285&lt;&gt;"",SUBSTITUTE(SUBSTITUTE($AZ285,"-","")," ",""),$AY285))</f>
        <v/>
      </c>
      <c r="AY285" s="2">
        <f>IF(OR($AS285="",$E$6=""),"",TRIM(INDEX($A:$AP,ROW(),$E$6)&amp;""))</f>
        <v/>
      </c>
      <c r="AZ285" s="2">
        <f>IF(OR($AS285="",$D$6=""),"",TRIM(INDEX($A:$AP,ROW(),$D$6)&amp;""))</f>
        <v/>
      </c>
      <c r="BA285" s="2">
        <f>IF($AS285="","",IF(AND($AS285&gt;=설정!$B$10,$AS285&lt;=설정!$B$11),"포함","기간 밖"))</f>
        <v/>
      </c>
      <c r="BB285" s="2">
        <f>IF($AS285="","",IF(OR($AT285&lt;0,AND($I$6&lt;&gt;"",ISNUMBER(FIND("수정",INDEX($A:$AP,ROW(),IF($I$6="",1,$I$6))&amp;"")))),"수정","일반"))</f>
        <v/>
      </c>
      <c r="BC285" s="2">
        <f>IF($AS285="","",MID(IF($BA285="기간 밖"," / 기간 밖(신고기간 아님)","")&amp;IF(AND($AW285&lt;&gt;"",COUNTIF($AW$8:$AW$1007,$AW285)&gt;1)," / 승인번호 중복(두 번 붙여넣기?)","")&amp;IF(ABS($AU285-ROUND($AT285*0.1,0))&gt;설정!$B$8,IF($AU285=0," / 세액 0원(영세율·면세 여부 확인)"," / 세액이 공급가액 10%와 다름"),"")&amp;IF($BB285="수정"," / 수정세금계산서(합계에서 자동 가감)",""),4,200))</f>
        <v/>
      </c>
      <c r="BD285" s="2">
        <f>IF($BA285&lt;&gt;"포함","",IF(COUNTIFS($AX$8:$AX285,$AX285,$BA$8:$BA285,"포함")=1,MAX($BD$7:BD284)+1,""))</f>
        <v/>
      </c>
      <c r="BE285" s="2">
        <f>IF($BC285="","",MAX($BE$7:BE284)+1)</f>
        <v/>
      </c>
    </row>
    <row r="286">
      <c r="AR286" s="2">
        <f>IF(OR($A$5="",$B$6="",ROW()&lt;$A$5),"",IF(INDEX($A:$AP,ROW(),$B$6)="","",INDEX($A:$AP,ROW(),$B$6)))</f>
        <v/>
      </c>
      <c r="AS286" s="22">
        <f>IF($AR286="","",IF(ISNUMBER($AR286),IF($AR286&gt;=10000000,IFERROR(DATE(INT($AR286/10000),MOD(INT($AR286/100),100),MOD($AR286,100)),""),INT($AR286)),IFERROR(DATE(--LEFT(LEFT(SUBSTITUTE(SUBSTITUTE(SUBSTITUTE(SUBSTITUTE(TRIM($AR286),"-",""),".",""),"/","")," ",""),8),4),--MID(LEFT(SUBSTITUTE(SUBSTITUTE(SUBSTITUTE(SUBSTITUTE(TRIM($AR286),"-",""),".",""),"/","")," ",""),8),5,2),--MID(LEFT(SUBSTITUTE(SUBSTITUTE(SUBSTITUTE(SUBSTITUTE(TRIM($AR286),"-",""),".",""),"/","")," ",""),8),7,2)),"")))</f>
        <v/>
      </c>
      <c r="AT286" s="23">
        <f>IF($AS286="","",IF($F$6="",0,IF(ISNUMBER(INDEX($A:$AP,ROW(),$F$6)),INDEX($A:$AP,ROW(),$F$6),IFERROR(--SUBSTITUTE(SUBSTITUTE(TRIM(INDEX($A:$AP,ROW(),$F$6)),",",""),"원",""),0))))</f>
        <v/>
      </c>
      <c r="AU286" s="23">
        <f>IF($AS286="","",IF($G$6="",0,IF(ISNUMBER(INDEX($A:$AP,ROW(),$G$6)),INDEX($A:$AP,ROW(),$G$6),IFERROR(--SUBSTITUTE(SUBSTITUTE(TRIM(INDEX($A:$AP,ROW(),$G$6)),",",""),"원",""),0))))</f>
        <v/>
      </c>
      <c r="AV286" s="23">
        <f>IF($AS286="","",IF($H$6="",$AT286+$AU286,IF($H$6="",0,IF(ISNUMBER(INDEX($A:$AP,ROW(),$H$6)),INDEX($A:$AP,ROW(),$H$6),IFERROR(--SUBSTITUTE(SUBSTITUTE(TRIM(INDEX($A:$AP,ROW(),$H$6)),",",""),"원",""),0)))))</f>
        <v/>
      </c>
      <c r="AW286" s="2">
        <f>IF(OR($AS286="",$C$6=""),"",TRIM(INDEX($A:$AP,ROW(),$C$6)&amp;""))</f>
        <v/>
      </c>
      <c r="AX286" s="2">
        <f>IF($AS286="","",IF($AZ286&lt;&gt;"",SUBSTITUTE(SUBSTITUTE($AZ286,"-","")," ",""),$AY286))</f>
        <v/>
      </c>
      <c r="AY286" s="2">
        <f>IF(OR($AS286="",$E$6=""),"",TRIM(INDEX($A:$AP,ROW(),$E$6)&amp;""))</f>
        <v/>
      </c>
      <c r="AZ286" s="2">
        <f>IF(OR($AS286="",$D$6=""),"",TRIM(INDEX($A:$AP,ROW(),$D$6)&amp;""))</f>
        <v/>
      </c>
      <c r="BA286" s="2">
        <f>IF($AS286="","",IF(AND($AS286&gt;=설정!$B$10,$AS286&lt;=설정!$B$11),"포함","기간 밖"))</f>
        <v/>
      </c>
      <c r="BB286" s="2">
        <f>IF($AS286="","",IF(OR($AT286&lt;0,AND($I$6&lt;&gt;"",ISNUMBER(FIND("수정",INDEX($A:$AP,ROW(),IF($I$6="",1,$I$6))&amp;"")))),"수정","일반"))</f>
        <v/>
      </c>
      <c r="BC286" s="2">
        <f>IF($AS286="","",MID(IF($BA286="기간 밖"," / 기간 밖(신고기간 아님)","")&amp;IF(AND($AW286&lt;&gt;"",COUNTIF($AW$8:$AW$1007,$AW286)&gt;1)," / 승인번호 중복(두 번 붙여넣기?)","")&amp;IF(ABS($AU286-ROUND($AT286*0.1,0))&gt;설정!$B$8,IF($AU286=0," / 세액 0원(영세율·면세 여부 확인)"," / 세액이 공급가액 10%와 다름"),"")&amp;IF($BB286="수정"," / 수정세금계산서(합계에서 자동 가감)",""),4,200))</f>
        <v/>
      </c>
      <c r="BD286" s="2">
        <f>IF($BA286&lt;&gt;"포함","",IF(COUNTIFS($AX$8:$AX286,$AX286,$BA$8:$BA286,"포함")=1,MAX($BD$7:BD285)+1,""))</f>
        <v/>
      </c>
      <c r="BE286" s="2">
        <f>IF($BC286="","",MAX($BE$7:BE285)+1)</f>
        <v/>
      </c>
    </row>
    <row r="287">
      <c r="AR287" s="2">
        <f>IF(OR($A$5="",$B$6="",ROW()&lt;$A$5),"",IF(INDEX($A:$AP,ROW(),$B$6)="","",INDEX($A:$AP,ROW(),$B$6)))</f>
        <v/>
      </c>
      <c r="AS287" s="22">
        <f>IF($AR287="","",IF(ISNUMBER($AR287),IF($AR287&gt;=10000000,IFERROR(DATE(INT($AR287/10000),MOD(INT($AR287/100),100),MOD($AR287,100)),""),INT($AR287)),IFERROR(DATE(--LEFT(LEFT(SUBSTITUTE(SUBSTITUTE(SUBSTITUTE(SUBSTITUTE(TRIM($AR287),"-",""),".",""),"/","")," ",""),8),4),--MID(LEFT(SUBSTITUTE(SUBSTITUTE(SUBSTITUTE(SUBSTITUTE(TRIM($AR287),"-",""),".",""),"/","")," ",""),8),5,2),--MID(LEFT(SUBSTITUTE(SUBSTITUTE(SUBSTITUTE(SUBSTITUTE(TRIM($AR287),"-",""),".",""),"/","")," ",""),8),7,2)),"")))</f>
        <v/>
      </c>
      <c r="AT287" s="23">
        <f>IF($AS287="","",IF($F$6="",0,IF(ISNUMBER(INDEX($A:$AP,ROW(),$F$6)),INDEX($A:$AP,ROW(),$F$6),IFERROR(--SUBSTITUTE(SUBSTITUTE(TRIM(INDEX($A:$AP,ROW(),$F$6)),",",""),"원",""),0))))</f>
        <v/>
      </c>
      <c r="AU287" s="23">
        <f>IF($AS287="","",IF($G$6="",0,IF(ISNUMBER(INDEX($A:$AP,ROW(),$G$6)),INDEX($A:$AP,ROW(),$G$6),IFERROR(--SUBSTITUTE(SUBSTITUTE(TRIM(INDEX($A:$AP,ROW(),$G$6)),",",""),"원",""),0))))</f>
        <v/>
      </c>
      <c r="AV287" s="23">
        <f>IF($AS287="","",IF($H$6="",$AT287+$AU287,IF($H$6="",0,IF(ISNUMBER(INDEX($A:$AP,ROW(),$H$6)),INDEX($A:$AP,ROW(),$H$6),IFERROR(--SUBSTITUTE(SUBSTITUTE(TRIM(INDEX($A:$AP,ROW(),$H$6)),",",""),"원",""),0)))))</f>
        <v/>
      </c>
      <c r="AW287" s="2">
        <f>IF(OR($AS287="",$C$6=""),"",TRIM(INDEX($A:$AP,ROW(),$C$6)&amp;""))</f>
        <v/>
      </c>
      <c r="AX287" s="2">
        <f>IF($AS287="","",IF($AZ287&lt;&gt;"",SUBSTITUTE(SUBSTITUTE($AZ287,"-","")," ",""),$AY287))</f>
        <v/>
      </c>
      <c r="AY287" s="2">
        <f>IF(OR($AS287="",$E$6=""),"",TRIM(INDEX($A:$AP,ROW(),$E$6)&amp;""))</f>
        <v/>
      </c>
      <c r="AZ287" s="2">
        <f>IF(OR($AS287="",$D$6=""),"",TRIM(INDEX($A:$AP,ROW(),$D$6)&amp;""))</f>
        <v/>
      </c>
      <c r="BA287" s="2">
        <f>IF($AS287="","",IF(AND($AS287&gt;=설정!$B$10,$AS287&lt;=설정!$B$11),"포함","기간 밖"))</f>
        <v/>
      </c>
      <c r="BB287" s="2">
        <f>IF($AS287="","",IF(OR($AT287&lt;0,AND($I$6&lt;&gt;"",ISNUMBER(FIND("수정",INDEX($A:$AP,ROW(),IF($I$6="",1,$I$6))&amp;"")))),"수정","일반"))</f>
        <v/>
      </c>
      <c r="BC287" s="2">
        <f>IF($AS287="","",MID(IF($BA287="기간 밖"," / 기간 밖(신고기간 아님)","")&amp;IF(AND($AW287&lt;&gt;"",COUNTIF($AW$8:$AW$1007,$AW287)&gt;1)," / 승인번호 중복(두 번 붙여넣기?)","")&amp;IF(ABS($AU287-ROUND($AT287*0.1,0))&gt;설정!$B$8,IF($AU287=0," / 세액 0원(영세율·면세 여부 확인)"," / 세액이 공급가액 10%와 다름"),"")&amp;IF($BB287="수정"," / 수정세금계산서(합계에서 자동 가감)",""),4,200))</f>
        <v/>
      </c>
      <c r="BD287" s="2">
        <f>IF($BA287&lt;&gt;"포함","",IF(COUNTIFS($AX$8:$AX287,$AX287,$BA$8:$BA287,"포함")=1,MAX($BD$7:BD286)+1,""))</f>
        <v/>
      </c>
      <c r="BE287" s="2">
        <f>IF($BC287="","",MAX($BE$7:BE286)+1)</f>
        <v/>
      </c>
    </row>
    <row r="288">
      <c r="AR288" s="2">
        <f>IF(OR($A$5="",$B$6="",ROW()&lt;$A$5),"",IF(INDEX($A:$AP,ROW(),$B$6)="","",INDEX($A:$AP,ROW(),$B$6)))</f>
        <v/>
      </c>
      <c r="AS288" s="22">
        <f>IF($AR288="","",IF(ISNUMBER($AR288),IF($AR288&gt;=10000000,IFERROR(DATE(INT($AR288/10000),MOD(INT($AR288/100),100),MOD($AR288,100)),""),INT($AR288)),IFERROR(DATE(--LEFT(LEFT(SUBSTITUTE(SUBSTITUTE(SUBSTITUTE(SUBSTITUTE(TRIM($AR288),"-",""),".",""),"/","")," ",""),8),4),--MID(LEFT(SUBSTITUTE(SUBSTITUTE(SUBSTITUTE(SUBSTITUTE(TRIM($AR288),"-",""),".",""),"/","")," ",""),8),5,2),--MID(LEFT(SUBSTITUTE(SUBSTITUTE(SUBSTITUTE(SUBSTITUTE(TRIM($AR288),"-",""),".",""),"/","")," ",""),8),7,2)),"")))</f>
        <v/>
      </c>
      <c r="AT288" s="23">
        <f>IF($AS288="","",IF($F$6="",0,IF(ISNUMBER(INDEX($A:$AP,ROW(),$F$6)),INDEX($A:$AP,ROW(),$F$6),IFERROR(--SUBSTITUTE(SUBSTITUTE(TRIM(INDEX($A:$AP,ROW(),$F$6)),",",""),"원",""),0))))</f>
        <v/>
      </c>
      <c r="AU288" s="23">
        <f>IF($AS288="","",IF($G$6="",0,IF(ISNUMBER(INDEX($A:$AP,ROW(),$G$6)),INDEX($A:$AP,ROW(),$G$6),IFERROR(--SUBSTITUTE(SUBSTITUTE(TRIM(INDEX($A:$AP,ROW(),$G$6)),",",""),"원",""),0))))</f>
        <v/>
      </c>
      <c r="AV288" s="23">
        <f>IF($AS288="","",IF($H$6="",$AT288+$AU288,IF($H$6="",0,IF(ISNUMBER(INDEX($A:$AP,ROW(),$H$6)),INDEX($A:$AP,ROW(),$H$6),IFERROR(--SUBSTITUTE(SUBSTITUTE(TRIM(INDEX($A:$AP,ROW(),$H$6)),",",""),"원",""),0)))))</f>
        <v/>
      </c>
      <c r="AW288" s="2">
        <f>IF(OR($AS288="",$C$6=""),"",TRIM(INDEX($A:$AP,ROW(),$C$6)&amp;""))</f>
        <v/>
      </c>
      <c r="AX288" s="2">
        <f>IF($AS288="","",IF($AZ288&lt;&gt;"",SUBSTITUTE(SUBSTITUTE($AZ288,"-","")," ",""),$AY288))</f>
        <v/>
      </c>
      <c r="AY288" s="2">
        <f>IF(OR($AS288="",$E$6=""),"",TRIM(INDEX($A:$AP,ROW(),$E$6)&amp;""))</f>
        <v/>
      </c>
      <c r="AZ288" s="2">
        <f>IF(OR($AS288="",$D$6=""),"",TRIM(INDEX($A:$AP,ROW(),$D$6)&amp;""))</f>
        <v/>
      </c>
      <c r="BA288" s="2">
        <f>IF($AS288="","",IF(AND($AS288&gt;=설정!$B$10,$AS288&lt;=설정!$B$11),"포함","기간 밖"))</f>
        <v/>
      </c>
      <c r="BB288" s="2">
        <f>IF($AS288="","",IF(OR($AT288&lt;0,AND($I$6&lt;&gt;"",ISNUMBER(FIND("수정",INDEX($A:$AP,ROW(),IF($I$6="",1,$I$6))&amp;"")))),"수정","일반"))</f>
        <v/>
      </c>
      <c r="BC288" s="2">
        <f>IF($AS288="","",MID(IF($BA288="기간 밖"," / 기간 밖(신고기간 아님)","")&amp;IF(AND($AW288&lt;&gt;"",COUNTIF($AW$8:$AW$1007,$AW288)&gt;1)," / 승인번호 중복(두 번 붙여넣기?)","")&amp;IF(ABS($AU288-ROUND($AT288*0.1,0))&gt;설정!$B$8,IF($AU288=0," / 세액 0원(영세율·면세 여부 확인)"," / 세액이 공급가액 10%와 다름"),"")&amp;IF($BB288="수정"," / 수정세금계산서(합계에서 자동 가감)",""),4,200))</f>
        <v/>
      </c>
      <c r="BD288" s="2">
        <f>IF($BA288&lt;&gt;"포함","",IF(COUNTIFS($AX$8:$AX288,$AX288,$BA$8:$BA288,"포함")=1,MAX($BD$7:BD287)+1,""))</f>
        <v/>
      </c>
      <c r="BE288" s="2">
        <f>IF($BC288="","",MAX($BE$7:BE287)+1)</f>
        <v/>
      </c>
    </row>
    <row r="289">
      <c r="AR289" s="2">
        <f>IF(OR($A$5="",$B$6="",ROW()&lt;$A$5),"",IF(INDEX($A:$AP,ROW(),$B$6)="","",INDEX($A:$AP,ROW(),$B$6)))</f>
        <v/>
      </c>
      <c r="AS289" s="22">
        <f>IF($AR289="","",IF(ISNUMBER($AR289),IF($AR289&gt;=10000000,IFERROR(DATE(INT($AR289/10000),MOD(INT($AR289/100),100),MOD($AR289,100)),""),INT($AR289)),IFERROR(DATE(--LEFT(LEFT(SUBSTITUTE(SUBSTITUTE(SUBSTITUTE(SUBSTITUTE(TRIM($AR289),"-",""),".",""),"/","")," ",""),8),4),--MID(LEFT(SUBSTITUTE(SUBSTITUTE(SUBSTITUTE(SUBSTITUTE(TRIM($AR289),"-",""),".",""),"/","")," ",""),8),5,2),--MID(LEFT(SUBSTITUTE(SUBSTITUTE(SUBSTITUTE(SUBSTITUTE(TRIM($AR289),"-",""),".",""),"/","")," ",""),8),7,2)),"")))</f>
        <v/>
      </c>
      <c r="AT289" s="23">
        <f>IF($AS289="","",IF($F$6="",0,IF(ISNUMBER(INDEX($A:$AP,ROW(),$F$6)),INDEX($A:$AP,ROW(),$F$6),IFERROR(--SUBSTITUTE(SUBSTITUTE(TRIM(INDEX($A:$AP,ROW(),$F$6)),",",""),"원",""),0))))</f>
        <v/>
      </c>
      <c r="AU289" s="23">
        <f>IF($AS289="","",IF($G$6="",0,IF(ISNUMBER(INDEX($A:$AP,ROW(),$G$6)),INDEX($A:$AP,ROW(),$G$6),IFERROR(--SUBSTITUTE(SUBSTITUTE(TRIM(INDEX($A:$AP,ROW(),$G$6)),",",""),"원",""),0))))</f>
        <v/>
      </c>
      <c r="AV289" s="23">
        <f>IF($AS289="","",IF($H$6="",$AT289+$AU289,IF($H$6="",0,IF(ISNUMBER(INDEX($A:$AP,ROW(),$H$6)),INDEX($A:$AP,ROW(),$H$6),IFERROR(--SUBSTITUTE(SUBSTITUTE(TRIM(INDEX($A:$AP,ROW(),$H$6)),",",""),"원",""),0)))))</f>
        <v/>
      </c>
      <c r="AW289" s="2">
        <f>IF(OR($AS289="",$C$6=""),"",TRIM(INDEX($A:$AP,ROW(),$C$6)&amp;""))</f>
        <v/>
      </c>
      <c r="AX289" s="2">
        <f>IF($AS289="","",IF($AZ289&lt;&gt;"",SUBSTITUTE(SUBSTITUTE($AZ289,"-","")," ",""),$AY289))</f>
        <v/>
      </c>
      <c r="AY289" s="2">
        <f>IF(OR($AS289="",$E$6=""),"",TRIM(INDEX($A:$AP,ROW(),$E$6)&amp;""))</f>
        <v/>
      </c>
      <c r="AZ289" s="2">
        <f>IF(OR($AS289="",$D$6=""),"",TRIM(INDEX($A:$AP,ROW(),$D$6)&amp;""))</f>
        <v/>
      </c>
      <c r="BA289" s="2">
        <f>IF($AS289="","",IF(AND($AS289&gt;=설정!$B$10,$AS289&lt;=설정!$B$11),"포함","기간 밖"))</f>
        <v/>
      </c>
      <c r="BB289" s="2">
        <f>IF($AS289="","",IF(OR($AT289&lt;0,AND($I$6&lt;&gt;"",ISNUMBER(FIND("수정",INDEX($A:$AP,ROW(),IF($I$6="",1,$I$6))&amp;"")))),"수정","일반"))</f>
        <v/>
      </c>
      <c r="BC289" s="2">
        <f>IF($AS289="","",MID(IF($BA289="기간 밖"," / 기간 밖(신고기간 아님)","")&amp;IF(AND($AW289&lt;&gt;"",COUNTIF($AW$8:$AW$1007,$AW289)&gt;1)," / 승인번호 중복(두 번 붙여넣기?)","")&amp;IF(ABS($AU289-ROUND($AT289*0.1,0))&gt;설정!$B$8,IF($AU289=0," / 세액 0원(영세율·면세 여부 확인)"," / 세액이 공급가액 10%와 다름"),"")&amp;IF($BB289="수정"," / 수정세금계산서(합계에서 자동 가감)",""),4,200))</f>
        <v/>
      </c>
      <c r="BD289" s="2">
        <f>IF($BA289&lt;&gt;"포함","",IF(COUNTIFS($AX$8:$AX289,$AX289,$BA$8:$BA289,"포함")=1,MAX($BD$7:BD288)+1,""))</f>
        <v/>
      </c>
      <c r="BE289" s="2">
        <f>IF($BC289="","",MAX($BE$7:BE288)+1)</f>
        <v/>
      </c>
    </row>
    <row r="290">
      <c r="AR290" s="2">
        <f>IF(OR($A$5="",$B$6="",ROW()&lt;$A$5),"",IF(INDEX($A:$AP,ROW(),$B$6)="","",INDEX($A:$AP,ROW(),$B$6)))</f>
        <v/>
      </c>
      <c r="AS290" s="22">
        <f>IF($AR290="","",IF(ISNUMBER($AR290),IF($AR290&gt;=10000000,IFERROR(DATE(INT($AR290/10000),MOD(INT($AR290/100),100),MOD($AR290,100)),""),INT($AR290)),IFERROR(DATE(--LEFT(LEFT(SUBSTITUTE(SUBSTITUTE(SUBSTITUTE(SUBSTITUTE(TRIM($AR290),"-",""),".",""),"/","")," ",""),8),4),--MID(LEFT(SUBSTITUTE(SUBSTITUTE(SUBSTITUTE(SUBSTITUTE(TRIM($AR290),"-",""),".",""),"/","")," ",""),8),5,2),--MID(LEFT(SUBSTITUTE(SUBSTITUTE(SUBSTITUTE(SUBSTITUTE(TRIM($AR290),"-",""),".",""),"/","")," ",""),8),7,2)),"")))</f>
        <v/>
      </c>
      <c r="AT290" s="23">
        <f>IF($AS290="","",IF($F$6="",0,IF(ISNUMBER(INDEX($A:$AP,ROW(),$F$6)),INDEX($A:$AP,ROW(),$F$6),IFERROR(--SUBSTITUTE(SUBSTITUTE(TRIM(INDEX($A:$AP,ROW(),$F$6)),",",""),"원",""),0))))</f>
        <v/>
      </c>
      <c r="AU290" s="23">
        <f>IF($AS290="","",IF($G$6="",0,IF(ISNUMBER(INDEX($A:$AP,ROW(),$G$6)),INDEX($A:$AP,ROW(),$G$6),IFERROR(--SUBSTITUTE(SUBSTITUTE(TRIM(INDEX($A:$AP,ROW(),$G$6)),",",""),"원",""),0))))</f>
        <v/>
      </c>
      <c r="AV290" s="23">
        <f>IF($AS290="","",IF($H$6="",$AT290+$AU290,IF($H$6="",0,IF(ISNUMBER(INDEX($A:$AP,ROW(),$H$6)),INDEX($A:$AP,ROW(),$H$6),IFERROR(--SUBSTITUTE(SUBSTITUTE(TRIM(INDEX($A:$AP,ROW(),$H$6)),",",""),"원",""),0)))))</f>
        <v/>
      </c>
      <c r="AW290" s="2">
        <f>IF(OR($AS290="",$C$6=""),"",TRIM(INDEX($A:$AP,ROW(),$C$6)&amp;""))</f>
        <v/>
      </c>
      <c r="AX290" s="2">
        <f>IF($AS290="","",IF($AZ290&lt;&gt;"",SUBSTITUTE(SUBSTITUTE($AZ290,"-","")," ",""),$AY290))</f>
        <v/>
      </c>
      <c r="AY290" s="2">
        <f>IF(OR($AS290="",$E$6=""),"",TRIM(INDEX($A:$AP,ROW(),$E$6)&amp;""))</f>
        <v/>
      </c>
      <c r="AZ290" s="2">
        <f>IF(OR($AS290="",$D$6=""),"",TRIM(INDEX($A:$AP,ROW(),$D$6)&amp;""))</f>
        <v/>
      </c>
      <c r="BA290" s="2">
        <f>IF($AS290="","",IF(AND($AS290&gt;=설정!$B$10,$AS290&lt;=설정!$B$11),"포함","기간 밖"))</f>
        <v/>
      </c>
      <c r="BB290" s="2">
        <f>IF($AS290="","",IF(OR($AT290&lt;0,AND($I$6&lt;&gt;"",ISNUMBER(FIND("수정",INDEX($A:$AP,ROW(),IF($I$6="",1,$I$6))&amp;"")))),"수정","일반"))</f>
        <v/>
      </c>
      <c r="BC290" s="2">
        <f>IF($AS290="","",MID(IF($BA290="기간 밖"," / 기간 밖(신고기간 아님)","")&amp;IF(AND($AW290&lt;&gt;"",COUNTIF($AW$8:$AW$1007,$AW290)&gt;1)," / 승인번호 중복(두 번 붙여넣기?)","")&amp;IF(ABS($AU290-ROUND($AT290*0.1,0))&gt;설정!$B$8,IF($AU290=0," / 세액 0원(영세율·면세 여부 확인)"," / 세액이 공급가액 10%와 다름"),"")&amp;IF($BB290="수정"," / 수정세금계산서(합계에서 자동 가감)",""),4,200))</f>
        <v/>
      </c>
      <c r="BD290" s="2">
        <f>IF($BA290&lt;&gt;"포함","",IF(COUNTIFS($AX$8:$AX290,$AX290,$BA$8:$BA290,"포함")=1,MAX($BD$7:BD289)+1,""))</f>
        <v/>
      </c>
      <c r="BE290" s="2">
        <f>IF($BC290="","",MAX($BE$7:BE289)+1)</f>
        <v/>
      </c>
    </row>
    <row r="291">
      <c r="AR291" s="2">
        <f>IF(OR($A$5="",$B$6="",ROW()&lt;$A$5),"",IF(INDEX($A:$AP,ROW(),$B$6)="","",INDEX($A:$AP,ROW(),$B$6)))</f>
        <v/>
      </c>
      <c r="AS291" s="22">
        <f>IF($AR291="","",IF(ISNUMBER($AR291),IF($AR291&gt;=10000000,IFERROR(DATE(INT($AR291/10000),MOD(INT($AR291/100),100),MOD($AR291,100)),""),INT($AR291)),IFERROR(DATE(--LEFT(LEFT(SUBSTITUTE(SUBSTITUTE(SUBSTITUTE(SUBSTITUTE(TRIM($AR291),"-",""),".",""),"/","")," ",""),8),4),--MID(LEFT(SUBSTITUTE(SUBSTITUTE(SUBSTITUTE(SUBSTITUTE(TRIM($AR291),"-",""),".",""),"/","")," ",""),8),5,2),--MID(LEFT(SUBSTITUTE(SUBSTITUTE(SUBSTITUTE(SUBSTITUTE(TRIM($AR291),"-",""),".",""),"/","")," ",""),8),7,2)),"")))</f>
        <v/>
      </c>
      <c r="AT291" s="23">
        <f>IF($AS291="","",IF($F$6="",0,IF(ISNUMBER(INDEX($A:$AP,ROW(),$F$6)),INDEX($A:$AP,ROW(),$F$6),IFERROR(--SUBSTITUTE(SUBSTITUTE(TRIM(INDEX($A:$AP,ROW(),$F$6)),",",""),"원",""),0))))</f>
        <v/>
      </c>
      <c r="AU291" s="23">
        <f>IF($AS291="","",IF($G$6="",0,IF(ISNUMBER(INDEX($A:$AP,ROW(),$G$6)),INDEX($A:$AP,ROW(),$G$6),IFERROR(--SUBSTITUTE(SUBSTITUTE(TRIM(INDEX($A:$AP,ROW(),$G$6)),",",""),"원",""),0))))</f>
        <v/>
      </c>
      <c r="AV291" s="23">
        <f>IF($AS291="","",IF($H$6="",$AT291+$AU291,IF($H$6="",0,IF(ISNUMBER(INDEX($A:$AP,ROW(),$H$6)),INDEX($A:$AP,ROW(),$H$6),IFERROR(--SUBSTITUTE(SUBSTITUTE(TRIM(INDEX($A:$AP,ROW(),$H$6)),",",""),"원",""),0)))))</f>
        <v/>
      </c>
      <c r="AW291" s="2">
        <f>IF(OR($AS291="",$C$6=""),"",TRIM(INDEX($A:$AP,ROW(),$C$6)&amp;""))</f>
        <v/>
      </c>
      <c r="AX291" s="2">
        <f>IF($AS291="","",IF($AZ291&lt;&gt;"",SUBSTITUTE(SUBSTITUTE($AZ291,"-","")," ",""),$AY291))</f>
        <v/>
      </c>
      <c r="AY291" s="2">
        <f>IF(OR($AS291="",$E$6=""),"",TRIM(INDEX($A:$AP,ROW(),$E$6)&amp;""))</f>
        <v/>
      </c>
      <c r="AZ291" s="2">
        <f>IF(OR($AS291="",$D$6=""),"",TRIM(INDEX($A:$AP,ROW(),$D$6)&amp;""))</f>
        <v/>
      </c>
      <c r="BA291" s="2">
        <f>IF($AS291="","",IF(AND($AS291&gt;=설정!$B$10,$AS291&lt;=설정!$B$11),"포함","기간 밖"))</f>
        <v/>
      </c>
      <c r="BB291" s="2">
        <f>IF($AS291="","",IF(OR($AT291&lt;0,AND($I$6&lt;&gt;"",ISNUMBER(FIND("수정",INDEX($A:$AP,ROW(),IF($I$6="",1,$I$6))&amp;"")))),"수정","일반"))</f>
        <v/>
      </c>
      <c r="BC291" s="2">
        <f>IF($AS291="","",MID(IF($BA291="기간 밖"," / 기간 밖(신고기간 아님)","")&amp;IF(AND($AW291&lt;&gt;"",COUNTIF($AW$8:$AW$1007,$AW291)&gt;1)," / 승인번호 중복(두 번 붙여넣기?)","")&amp;IF(ABS($AU291-ROUND($AT291*0.1,0))&gt;설정!$B$8,IF($AU291=0," / 세액 0원(영세율·면세 여부 확인)"," / 세액이 공급가액 10%와 다름"),"")&amp;IF($BB291="수정"," / 수정세금계산서(합계에서 자동 가감)",""),4,200))</f>
        <v/>
      </c>
      <c r="BD291" s="2">
        <f>IF($BA291&lt;&gt;"포함","",IF(COUNTIFS($AX$8:$AX291,$AX291,$BA$8:$BA291,"포함")=1,MAX($BD$7:BD290)+1,""))</f>
        <v/>
      </c>
      <c r="BE291" s="2">
        <f>IF($BC291="","",MAX($BE$7:BE290)+1)</f>
        <v/>
      </c>
    </row>
    <row r="292">
      <c r="AR292" s="2">
        <f>IF(OR($A$5="",$B$6="",ROW()&lt;$A$5),"",IF(INDEX($A:$AP,ROW(),$B$6)="","",INDEX($A:$AP,ROW(),$B$6)))</f>
        <v/>
      </c>
      <c r="AS292" s="22">
        <f>IF($AR292="","",IF(ISNUMBER($AR292),IF($AR292&gt;=10000000,IFERROR(DATE(INT($AR292/10000),MOD(INT($AR292/100),100),MOD($AR292,100)),""),INT($AR292)),IFERROR(DATE(--LEFT(LEFT(SUBSTITUTE(SUBSTITUTE(SUBSTITUTE(SUBSTITUTE(TRIM($AR292),"-",""),".",""),"/","")," ",""),8),4),--MID(LEFT(SUBSTITUTE(SUBSTITUTE(SUBSTITUTE(SUBSTITUTE(TRIM($AR292),"-",""),".",""),"/","")," ",""),8),5,2),--MID(LEFT(SUBSTITUTE(SUBSTITUTE(SUBSTITUTE(SUBSTITUTE(TRIM($AR292),"-",""),".",""),"/","")," ",""),8),7,2)),"")))</f>
        <v/>
      </c>
      <c r="AT292" s="23">
        <f>IF($AS292="","",IF($F$6="",0,IF(ISNUMBER(INDEX($A:$AP,ROW(),$F$6)),INDEX($A:$AP,ROW(),$F$6),IFERROR(--SUBSTITUTE(SUBSTITUTE(TRIM(INDEX($A:$AP,ROW(),$F$6)),",",""),"원",""),0))))</f>
        <v/>
      </c>
      <c r="AU292" s="23">
        <f>IF($AS292="","",IF($G$6="",0,IF(ISNUMBER(INDEX($A:$AP,ROW(),$G$6)),INDEX($A:$AP,ROW(),$G$6),IFERROR(--SUBSTITUTE(SUBSTITUTE(TRIM(INDEX($A:$AP,ROW(),$G$6)),",",""),"원",""),0))))</f>
        <v/>
      </c>
      <c r="AV292" s="23">
        <f>IF($AS292="","",IF($H$6="",$AT292+$AU292,IF($H$6="",0,IF(ISNUMBER(INDEX($A:$AP,ROW(),$H$6)),INDEX($A:$AP,ROW(),$H$6),IFERROR(--SUBSTITUTE(SUBSTITUTE(TRIM(INDEX($A:$AP,ROW(),$H$6)),",",""),"원",""),0)))))</f>
        <v/>
      </c>
      <c r="AW292" s="2">
        <f>IF(OR($AS292="",$C$6=""),"",TRIM(INDEX($A:$AP,ROW(),$C$6)&amp;""))</f>
        <v/>
      </c>
      <c r="AX292" s="2">
        <f>IF($AS292="","",IF($AZ292&lt;&gt;"",SUBSTITUTE(SUBSTITUTE($AZ292,"-","")," ",""),$AY292))</f>
        <v/>
      </c>
      <c r="AY292" s="2">
        <f>IF(OR($AS292="",$E$6=""),"",TRIM(INDEX($A:$AP,ROW(),$E$6)&amp;""))</f>
        <v/>
      </c>
      <c r="AZ292" s="2">
        <f>IF(OR($AS292="",$D$6=""),"",TRIM(INDEX($A:$AP,ROW(),$D$6)&amp;""))</f>
        <v/>
      </c>
      <c r="BA292" s="2">
        <f>IF($AS292="","",IF(AND($AS292&gt;=설정!$B$10,$AS292&lt;=설정!$B$11),"포함","기간 밖"))</f>
        <v/>
      </c>
      <c r="BB292" s="2">
        <f>IF($AS292="","",IF(OR($AT292&lt;0,AND($I$6&lt;&gt;"",ISNUMBER(FIND("수정",INDEX($A:$AP,ROW(),IF($I$6="",1,$I$6))&amp;"")))),"수정","일반"))</f>
        <v/>
      </c>
      <c r="BC292" s="2">
        <f>IF($AS292="","",MID(IF($BA292="기간 밖"," / 기간 밖(신고기간 아님)","")&amp;IF(AND($AW292&lt;&gt;"",COUNTIF($AW$8:$AW$1007,$AW292)&gt;1)," / 승인번호 중복(두 번 붙여넣기?)","")&amp;IF(ABS($AU292-ROUND($AT292*0.1,0))&gt;설정!$B$8,IF($AU292=0," / 세액 0원(영세율·면세 여부 확인)"," / 세액이 공급가액 10%와 다름"),"")&amp;IF($BB292="수정"," / 수정세금계산서(합계에서 자동 가감)",""),4,200))</f>
        <v/>
      </c>
      <c r="BD292" s="2">
        <f>IF($BA292&lt;&gt;"포함","",IF(COUNTIFS($AX$8:$AX292,$AX292,$BA$8:$BA292,"포함")=1,MAX($BD$7:BD291)+1,""))</f>
        <v/>
      </c>
      <c r="BE292" s="2">
        <f>IF($BC292="","",MAX($BE$7:BE291)+1)</f>
        <v/>
      </c>
    </row>
    <row r="293">
      <c r="AR293" s="2">
        <f>IF(OR($A$5="",$B$6="",ROW()&lt;$A$5),"",IF(INDEX($A:$AP,ROW(),$B$6)="","",INDEX($A:$AP,ROW(),$B$6)))</f>
        <v/>
      </c>
      <c r="AS293" s="22">
        <f>IF($AR293="","",IF(ISNUMBER($AR293),IF($AR293&gt;=10000000,IFERROR(DATE(INT($AR293/10000),MOD(INT($AR293/100),100),MOD($AR293,100)),""),INT($AR293)),IFERROR(DATE(--LEFT(LEFT(SUBSTITUTE(SUBSTITUTE(SUBSTITUTE(SUBSTITUTE(TRIM($AR293),"-",""),".",""),"/","")," ",""),8),4),--MID(LEFT(SUBSTITUTE(SUBSTITUTE(SUBSTITUTE(SUBSTITUTE(TRIM($AR293),"-",""),".",""),"/","")," ",""),8),5,2),--MID(LEFT(SUBSTITUTE(SUBSTITUTE(SUBSTITUTE(SUBSTITUTE(TRIM($AR293),"-",""),".",""),"/","")," ",""),8),7,2)),"")))</f>
        <v/>
      </c>
      <c r="AT293" s="23">
        <f>IF($AS293="","",IF($F$6="",0,IF(ISNUMBER(INDEX($A:$AP,ROW(),$F$6)),INDEX($A:$AP,ROW(),$F$6),IFERROR(--SUBSTITUTE(SUBSTITUTE(TRIM(INDEX($A:$AP,ROW(),$F$6)),",",""),"원",""),0))))</f>
        <v/>
      </c>
      <c r="AU293" s="23">
        <f>IF($AS293="","",IF($G$6="",0,IF(ISNUMBER(INDEX($A:$AP,ROW(),$G$6)),INDEX($A:$AP,ROW(),$G$6),IFERROR(--SUBSTITUTE(SUBSTITUTE(TRIM(INDEX($A:$AP,ROW(),$G$6)),",",""),"원",""),0))))</f>
        <v/>
      </c>
      <c r="AV293" s="23">
        <f>IF($AS293="","",IF($H$6="",$AT293+$AU293,IF($H$6="",0,IF(ISNUMBER(INDEX($A:$AP,ROW(),$H$6)),INDEX($A:$AP,ROW(),$H$6),IFERROR(--SUBSTITUTE(SUBSTITUTE(TRIM(INDEX($A:$AP,ROW(),$H$6)),",",""),"원",""),0)))))</f>
        <v/>
      </c>
      <c r="AW293" s="2">
        <f>IF(OR($AS293="",$C$6=""),"",TRIM(INDEX($A:$AP,ROW(),$C$6)&amp;""))</f>
        <v/>
      </c>
      <c r="AX293" s="2">
        <f>IF($AS293="","",IF($AZ293&lt;&gt;"",SUBSTITUTE(SUBSTITUTE($AZ293,"-","")," ",""),$AY293))</f>
        <v/>
      </c>
      <c r="AY293" s="2">
        <f>IF(OR($AS293="",$E$6=""),"",TRIM(INDEX($A:$AP,ROW(),$E$6)&amp;""))</f>
        <v/>
      </c>
      <c r="AZ293" s="2">
        <f>IF(OR($AS293="",$D$6=""),"",TRIM(INDEX($A:$AP,ROW(),$D$6)&amp;""))</f>
        <v/>
      </c>
      <c r="BA293" s="2">
        <f>IF($AS293="","",IF(AND($AS293&gt;=설정!$B$10,$AS293&lt;=설정!$B$11),"포함","기간 밖"))</f>
        <v/>
      </c>
      <c r="BB293" s="2">
        <f>IF($AS293="","",IF(OR($AT293&lt;0,AND($I$6&lt;&gt;"",ISNUMBER(FIND("수정",INDEX($A:$AP,ROW(),IF($I$6="",1,$I$6))&amp;"")))),"수정","일반"))</f>
        <v/>
      </c>
      <c r="BC293" s="2">
        <f>IF($AS293="","",MID(IF($BA293="기간 밖"," / 기간 밖(신고기간 아님)","")&amp;IF(AND($AW293&lt;&gt;"",COUNTIF($AW$8:$AW$1007,$AW293)&gt;1)," / 승인번호 중복(두 번 붙여넣기?)","")&amp;IF(ABS($AU293-ROUND($AT293*0.1,0))&gt;설정!$B$8,IF($AU293=0," / 세액 0원(영세율·면세 여부 확인)"," / 세액이 공급가액 10%와 다름"),"")&amp;IF($BB293="수정"," / 수정세금계산서(합계에서 자동 가감)",""),4,200))</f>
        <v/>
      </c>
      <c r="BD293" s="2">
        <f>IF($BA293&lt;&gt;"포함","",IF(COUNTIFS($AX$8:$AX293,$AX293,$BA$8:$BA293,"포함")=1,MAX($BD$7:BD292)+1,""))</f>
        <v/>
      </c>
      <c r="BE293" s="2">
        <f>IF($BC293="","",MAX($BE$7:BE292)+1)</f>
        <v/>
      </c>
    </row>
    <row r="294">
      <c r="AR294" s="2">
        <f>IF(OR($A$5="",$B$6="",ROW()&lt;$A$5),"",IF(INDEX($A:$AP,ROW(),$B$6)="","",INDEX($A:$AP,ROW(),$B$6)))</f>
        <v/>
      </c>
      <c r="AS294" s="22">
        <f>IF($AR294="","",IF(ISNUMBER($AR294),IF($AR294&gt;=10000000,IFERROR(DATE(INT($AR294/10000),MOD(INT($AR294/100),100),MOD($AR294,100)),""),INT($AR294)),IFERROR(DATE(--LEFT(LEFT(SUBSTITUTE(SUBSTITUTE(SUBSTITUTE(SUBSTITUTE(TRIM($AR294),"-",""),".",""),"/","")," ",""),8),4),--MID(LEFT(SUBSTITUTE(SUBSTITUTE(SUBSTITUTE(SUBSTITUTE(TRIM($AR294),"-",""),".",""),"/","")," ",""),8),5,2),--MID(LEFT(SUBSTITUTE(SUBSTITUTE(SUBSTITUTE(SUBSTITUTE(TRIM($AR294),"-",""),".",""),"/","")," ",""),8),7,2)),"")))</f>
        <v/>
      </c>
      <c r="AT294" s="23">
        <f>IF($AS294="","",IF($F$6="",0,IF(ISNUMBER(INDEX($A:$AP,ROW(),$F$6)),INDEX($A:$AP,ROW(),$F$6),IFERROR(--SUBSTITUTE(SUBSTITUTE(TRIM(INDEX($A:$AP,ROW(),$F$6)),",",""),"원",""),0))))</f>
        <v/>
      </c>
      <c r="AU294" s="23">
        <f>IF($AS294="","",IF($G$6="",0,IF(ISNUMBER(INDEX($A:$AP,ROW(),$G$6)),INDEX($A:$AP,ROW(),$G$6),IFERROR(--SUBSTITUTE(SUBSTITUTE(TRIM(INDEX($A:$AP,ROW(),$G$6)),",",""),"원",""),0))))</f>
        <v/>
      </c>
      <c r="AV294" s="23">
        <f>IF($AS294="","",IF($H$6="",$AT294+$AU294,IF($H$6="",0,IF(ISNUMBER(INDEX($A:$AP,ROW(),$H$6)),INDEX($A:$AP,ROW(),$H$6),IFERROR(--SUBSTITUTE(SUBSTITUTE(TRIM(INDEX($A:$AP,ROW(),$H$6)),",",""),"원",""),0)))))</f>
        <v/>
      </c>
      <c r="AW294" s="2">
        <f>IF(OR($AS294="",$C$6=""),"",TRIM(INDEX($A:$AP,ROW(),$C$6)&amp;""))</f>
        <v/>
      </c>
      <c r="AX294" s="2">
        <f>IF($AS294="","",IF($AZ294&lt;&gt;"",SUBSTITUTE(SUBSTITUTE($AZ294,"-","")," ",""),$AY294))</f>
        <v/>
      </c>
      <c r="AY294" s="2">
        <f>IF(OR($AS294="",$E$6=""),"",TRIM(INDEX($A:$AP,ROW(),$E$6)&amp;""))</f>
        <v/>
      </c>
      <c r="AZ294" s="2">
        <f>IF(OR($AS294="",$D$6=""),"",TRIM(INDEX($A:$AP,ROW(),$D$6)&amp;""))</f>
        <v/>
      </c>
      <c r="BA294" s="2">
        <f>IF($AS294="","",IF(AND($AS294&gt;=설정!$B$10,$AS294&lt;=설정!$B$11),"포함","기간 밖"))</f>
        <v/>
      </c>
      <c r="BB294" s="2">
        <f>IF($AS294="","",IF(OR($AT294&lt;0,AND($I$6&lt;&gt;"",ISNUMBER(FIND("수정",INDEX($A:$AP,ROW(),IF($I$6="",1,$I$6))&amp;"")))),"수정","일반"))</f>
        <v/>
      </c>
      <c r="BC294" s="2">
        <f>IF($AS294="","",MID(IF($BA294="기간 밖"," / 기간 밖(신고기간 아님)","")&amp;IF(AND($AW294&lt;&gt;"",COUNTIF($AW$8:$AW$1007,$AW294)&gt;1)," / 승인번호 중복(두 번 붙여넣기?)","")&amp;IF(ABS($AU294-ROUND($AT294*0.1,0))&gt;설정!$B$8,IF($AU294=0," / 세액 0원(영세율·면세 여부 확인)"," / 세액이 공급가액 10%와 다름"),"")&amp;IF($BB294="수정"," / 수정세금계산서(합계에서 자동 가감)",""),4,200))</f>
        <v/>
      </c>
      <c r="BD294" s="2">
        <f>IF($BA294&lt;&gt;"포함","",IF(COUNTIFS($AX$8:$AX294,$AX294,$BA$8:$BA294,"포함")=1,MAX($BD$7:BD293)+1,""))</f>
        <v/>
      </c>
      <c r="BE294" s="2">
        <f>IF($BC294="","",MAX($BE$7:BE293)+1)</f>
        <v/>
      </c>
    </row>
    <row r="295">
      <c r="AR295" s="2">
        <f>IF(OR($A$5="",$B$6="",ROW()&lt;$A$5),"",IF(INDEX($A:$AP,ROW(),$B$6)="","",INDEX($A:$AP,ROW(),$B$6)))</f>
        <v/>
      </c>
      <c r="AS295" s="22">
        <f>IF($AR295="","",IF(ISNUMBER($AR295),IF($AR295&gt;=10000000,IFERROR(DATE(INT($AR295/10000),MOD(INT($AR295/100),100),MOD($AR295,100)),""),INT($AR295)),IFERROR(DATE(--LEFT(LEFT(SUBSTITUTE(SUBSTITUTE(SUBSTITUTE(SUBSTITUTE(TRIM($AR295),"-",""),".",""),"/","")," ",""),8),4),--MID(LEFT(SUBSTITUTE(SUBSTITUTE(SUBSTITUTE(SUBSTITUTE(TRIM($AR295),"-",""),".",""),"/","")," ",""),8),5,2),--MID(LEFT(SUBSTITUTE(SUBSTITUTE(SUBSTITUTE(SUBSTITUTE(TRIM($AR295),"-",""),".",""),"/","")," ",""),8),7,2)),"")))</f>
        <v/>
      </c>
      <c r="AT295" s="23">
        <f>IF($AS295="","",IF($F$6="",0,IF(ISNUMBER(INDEX($A:$AP,ROW(),$F$6)),INDEX($A:$AP,ROW(),$F$6),IFERROR(--SUBSTITUTE(SUBSTITUTE(TRIM(INDEX($A:$AP,ROW(),$F$6)),",",""),"원",""),0))))</f>
        <v/>
      </c>
      <c r="AU295" s="23">
        <f>IF($AS295="","",IF($G$6="",0,IF(ISNUMBER(INDEX($A:$AP,ROW(),$G$6)),INDEX($A:$AP,ROW(),$G$6),IFERROR(--SUBSTITUTE(SUBSTITUTE(TRIM(INDEX($A:$AP,ROW(),$G$6)),",",""),"원",""),0))))</f>
        <v/>
      </c>
      <c r="AV295" s="23">
        <f>IF($AS295="","",IF($H$6="",$AT295+$AU295,IF($H$6="",0,IF(ISNUMBER(INDEX($A:$AP,ROW(),$H$6)),INDEX($A:$AP,ROW(),$H$6),IFERROR(--SUBSTITUTE(SUBSTITUTE(TRIM(INDEX($A:$AP,ROW(),$H$6)),",",""),"원",""),0)))))</f>
        <v/>
      </c>
      <c r="AW295" s="2">
        <f>IF(OR($AS295="",$C$6=""),"",TRIM(INDEX($A:$AP,ROW(),$C$6)&amp;""))</f>
        <v/>
      </c>
      <c r="AX295" s="2">
        <f>IF($AS295="","",IF($AZ295&lt;&gt;"",SUBSTITUTE(SUBSTITUTE($AZ295,"-","")," ",""),$AY295))</f>
        <v/>
      </c>
      <c r="AY295" s="2">
        <f>IF(OR($AS295="",$E$6=""),"",TRIM(INDEX($A:$AP,ROW(),$E$6)&amp;""))</f>
        <v/>
      </c>
      <c r="AZ295" s="2">
        <f>IF(OR($AS295="",$D$6=""),"",TRIM(INDEX($A:$AP,ROW(),$D$6)&amp;""))</f>
        <v/>
      </c>
      <c r="BA295" s="2">
        <f>IF($AS295="","",IF(AND($AS295&gt;=설정!$B$10,$AS295&lt;=설정!$B$11),"포함","기간 밖"))</f>
        <v/>
      </c>
      <c r="BB295" s="2">
        <f>IF($AS295="","",IF(OR($AT295&lt;0,AND($I$6&lt;&gt;"",ISNUMBER(FIND("수정",INDEX($A:$AP,ROW(),IF($I$6="",1,$I$6))&amp;"")))),"수정","일반"))</f>
        <v/>
      </c>
      <c r="BC295" s="2">
        <f>IF($AS295="","",MID(IF($BA295="기간 밖"," / 기간 밖(신고기간 아님)","")&amp;IF(AND($AW295&lt;&gt;"",COUNTIF($AW$8:$AW$1007,$AW295)&gt;1)," / 승인번호 중복(두 번 붙여넣기?)","")&amp;IF(ABS($AU295-ROUND($AT295*0.1,0))&gt;설정!$B$8,IF($AU295=0," / 세액 0원(영세율·면세 여부 확인)"," / 세액이 공급가액 10%와 다름"),"")&amp;IF($BB295="수정"," / 수정세금계산서(합계에서 자동 가감)",""),4,200))</f>
        <v/>
      </c>
      <c r="BD295" s="2">
        <f>IF($BA295&lt;&gt;"포함","",IF(COUNTIFS($AX$8:$AX295,$AX295,$BA$8:$BA295,"포함")=1,MAX($BD$7:BD294)+1,""))</f>
        <v/>
      </c>
      <c r="BE295" s="2">
        <f>IF($BC295="","",MAX($BE$7:BE294)+1)</f>
        <v/>
      </c>
    </row>
    <row r="296">
      <c r="AR296" s="2">
        <f>IF(OR($A$5="",$B$6="",ROW()&lt;$A$5),"",IF(INDEX($A:$AP,ROW(),$B$6)="","",INDEX($A:$AP,ROW(),$B$6)))</f>
        <v/>
      </c>
      <c r="AS296" s="22">
        <f>IF($AR296="","",IF(ISNUMBER($AR296),IF($AR296&gt;=10000000,IFERROR(DATE(INT($AR296/10000),MOD(INT($AR296/100),100),MOD($AR296,100)),""),INT($AR296)),IFERROR(DATE(--LEFT(LEFT(SUBSTITUTE(SUBSTITUTE(SUBSTITUTE(SUBSTITUTE(TRIM($AR296),"-",""),".",""),"/","")," ",""),8),4),--MID(LEFT(SUBSTITUTE(SUBSTITUTE(SUBSTITUTE(SUBSTITUTE(TRIM($AR296),"-",""),".",""),"/","")," ",""),8),5,2),--MID(LEFT(SUBSTITUTE(SUBSTITUTE(SUBSTITUTE(SUBSTITUTE(TRIM($AR296),"-",""),".",""),"/","")," ",""),8),7,2)),"")))</f>
        <v/>
      </c>
      <c r="AT296" s="23">
        <f>IF($AS296="","",IF($F$6="",0,IF(ISNUMBER(INDEX($A:$AP,ROW(),$F$6)),INDEX($A:$AP,ROW(),$F$6),IFERROR(--SUBSTITUTE(SUBSTITUTE(TRIM(INDEX($A:$AP,ROW(),$F$6)),",",""),"원",""),0))))</f>
        <v/>
      </c>
      <c r="AU296" s="23">
        <f>IF($AS296="","",IF($G$6="",0,IF(ISNUMBER(INDEX($A:$AP,ROW(),$G$6)),INDEX($A:$AP,ROW(),$G$6),IFERROR(--SUBSTITUTE(SUBSTITUTE(TRIM(INDEX($A:$AP,ROW(),$G$6)),",",""),"원",""),0))))</f>
        <v/>
      </c>
      <c r="AV296" s="23">
        <f>IF($AS296="","",IF($H$6="",$AT296+$AU296,IF($H$6="",0,IF(ISNUMBER(INDEX($A:$AP,ROW(),$H$6)),INDEX($A:$AP,ROW(),$H$6),IFERROR(--SUBSTITUTE(SUBSTITUTE(TRIM(INDEX($A:$AP,ROW(),$H$6)),",",""),"원",""),0)))))</f>
        <v/>
      </c>
      <c r="AW296" s="2">
        <f>IF(OR($AS296="",$C$6=""),"",TRIM(INDEX($A:$AP,ROW(),$C$6)&amp;""))</f>
        <v/>
      </c>
      <c r="AX296" s="2">
        <f>IF($AS296="","",IF($AZ296&lt;&gt;"",SUBSTITUTE(SUBSTITUTE($AZ296,"-","")," ",""),$AY296))</f>
        <v/>
      </c>
      <c r="AY296" s="2">
        <f>IF(OR($AS296="",$E$6=""),"",TRIM(INDEX($A:$AP,ROW(),$E$6)&amp;""))</f>
        <v/>
      </c>
      <c r="AZ296" s="2">
        <f>IF(OR($AS296="",$D$6=""),"",TRIM(INDEX($A:$AP,ROW(),$D$6)&amp;""))</f>
        <v/>
      </c>
      <c r="BA296" s="2">
        <f>IF($AS296="","",IF(AND($AS296&gt;=설정!$B$10,$AS296&lt;=설정!$B$11),"포함","기간 밖"))</f>
        <v/>
      </c>
      <c r="BB296" s="2">
        <f>IF($AS296="","",IF(OR($AT296&lt;0,AND($I$6&lt;&gt;"",ISNUMBER(FIND("수정",INDEX($A:$AP,ROW(),IF($I$6="",1,$I$6))&amp;"")))),"수정","일반"))</f>
        <v/>
      </c>
      <c r="BC296" s="2">
        <f>IF($AS296="","",MID(IF($BA296="기간 밖"," / 기간 밖(신고기간 아님)","")&amp;IF(AND($AW296&lt;&gt;"",COUNTIF($AW$8:$AW$1007,$AW296)&gt;1)," / 승인번호 중복(두 번 붙여넣기?)","")&amp;IF(ABS($AU296-ROUND($AT296*0.1,0))&gt;설정!$B$8,IF($AU296=0," / 세액 0원(영세율·면세 여부 확인)"," / 세액이 공급가액 10%와 다름"),"")&amp;IF($BB296="수정"," / 수정세금계산서(합계에서 자동 가감)",""),4,200))</f>
        <v/>
      </c>
      <c r="BD296" s="2">
        <f>IF($BA296&lt;&gt;"포함","",IF(COUNTIFS($AX$8:$AX296,$AX296,$BA$8:$BA296,"포함")=1,MAX($BD$7:BD295)+1,""))</f>
        <v/>
      </c>
      <c r="BE296" s="2">
        <f>IF($BC296="","",MAX($BE$7:BE295)+1)</f>
        <v/>
      </c>
    </row>
    <row r="297">
      <c r="AR297" s="2">
        <f>IF(OR($A$5="",$B$6="",ROW()&lt;$A$5),"",IF(INDEX($A:$AP,ROW(),$B$6)="","",INDEX($A:$AP,ROW(),$B$6)))</f>
        <v/>
      </c>
      <c r="AS297" s="22">
        <f>IF($AR297="","",IF(ISNUMBER($AR297),IF($AR297&gt;=10000000,IFERROR(DATE(INT($AR297/10000),MOD(INT($AR297/100),100),MOD($AR297,100)),""),INT($AR297)),IFERROR(DATE(--LEFT(LEFT(SUBSTITUTE(SUBSTITUTE(SUBSTITUTE(SUBSTITUTE(TRIM($AR297),"-",""),".",""),"/","")," ",""),8),4),--MID(LEFT(SUBSTITUTE(SUBSTITUTE(SUBSTITUTE(SUBSTITUTE(TRIM($AR297),"-",""),".",""),"/","")," ",""),8),5,2),--MID(LEFT(SUBSTITUTE(SUBSTITUTE(SUBSTITUTE(SUBSTITUTE(TRIM($AR297),"-",""),".",""),"/","")," ",""),8),7,2)),"")))</f>
        <v/>
      </c>
      <c r="AT297" s="23">
        <f>IF($AS297="","",IF($F$6="",0,IF(ISNUMBER(INDEX($A:$AP,ROW(),$F$6)),INDEX($A:$AP,ROW(),$F$6),IFERROR(--SUBSTITUTE(SUBSTITUTE(TRIM(INDEX($A:$AP,ROW(),$F$6)),",",""),"원",""),0))))</f>
        <v/>
      </c>
      <c r="AU297" s="23">
        <f>IF($AS297="","",IF($G$6="",0,IF(ISNUMBER(INDEX($A:$AP,ROW(),$G$6)),INDEX($A:$AP,ROW(),$G$6),IFERROR(--SUBSTITUTE(SUBSTITUTE(TRIM(INDEX($A:$AP,ROW(),$G$6)),",",""),"원",""),0))))</f>
        <v/>
      </c>
      <c r="AV297" s="23">
        <f>IF($AS297="","",IF($H$6="",$AT297+$AU297,IF($H$6="",0,IF(ISNUMBER(INDEX($A:$AP,ROW(),$H$6)),INDEX($A:$AP,ROW(),$H$6),IFERROR(--SUBSTITUTE(SUBSTITUTE(TRIM(INDEX($A:$AP,ROW(),$H$6)),",",""),"원",""),0)))))</f>
        <v/>
      </c>
      <c r="AW297" s="2">
        <f>IF(OR($AS297="",$C$6=""),"",TRIM(INDEX($A:$AP,ROW(),$C$6)&amp;""))</f>
        <v/>
      </c>
      <c r="AX297" s="2">
        <f>IF($AS297="","",IF($AZ297&lt;&gt;"",SUBSTITUTE(SUBSTITUTE($AZ297,"-","")," ",""),$AY297))</f>
        <v/>
      </c>
      <c r="AY297" s="2">
        <f>IF(OR($AS297="",$E$6=""),"",TRIM(INDEX($A:$AP,ROW(),$E$6)&amp;""))</f>
        <v/>
      </c>
      <c r="AZ297" s="2">
        <f>IF(OR($AS297="",$D$6=""),"",TRIM(INDEX($A:$AP,ROW(),$D$6)&amp;""))</f>
        <v/>
      </c>
      <c r="BA297" s="2">
        <f>IF($AS297="","",IF(AND($AS297&gt;=설정!$B$10,$AS297&lt;=설정!$B$11),"포함","기간 밖"))</f>
        <v/>
      </c>
      <c r="BB297" s="2">
        <f>IF($AS297="","",IF(OR($AT297&lt;0,AND($I$6&lt;&gt;"",ISNUMBER(FIND("수정",INDEX($A:$AP,ROW(),IF($I$6="",1,$I$6))&amp;"")))),"수정","일반"))</f>
        <v/>
      </c>
      <c r="BC297" s="2">
        <f>IF($AS297="","",MID(IF($BA297="기간 밖"," / 기간 밖(신고기간 아님)","")&amp;IF(AND($AW297&lt;&gt;"",COUNTIF($AW$8:$AW$1007,$AW297)&gt;1)," / 승인번호 중복(두 번 붙여넣기?)","")&amp;IF(ABS($AU297-ROUND($AT297*0.1,0))&gt;설정!$B$8,IF($AU297=0," / 세액 0원(영세율·면세 여부 확인)"," / 세액이 공급가액 10%와 다름"),"")&amp;IF($BB297="수정"," / 수정세금계산서(합계에서 자동 가감)",""),4,200))</f>
        <v/>
      </c>
      <c r="BD297" s="2">
        <f>IF($BA297&lt;&gt;"포함","",IF(COUNTIFS($AX$8:$AX297,$AX297,$BA$8:$BA297,"포함")=1,MAX($BD$7:BD296)+1,""))</f>
        <v/>
      </c>
      <c r="BE297" s="2">
        <f>IF($BC297="","",MAX($BE$7:BE296)+1)</f>
        <v/>
      </c>
    </row>
    <row r="298">
      <c r="AR298" s="2">
        <f>IF(OR($A$5="",$B$6="",ROW()&lt;$A$5),"",IF(INDEX($A:$AP,ROW(),$B$6)="","",INDEX($A:$AP,ROW(),$B$6)))</f>
        <v/>
      </c>
      <c r="AS298" s="22">
        <f>IF($AR298="","",IF(ISNUMBER($AR298),IF($AR298&gt;=10000000,IFERROR(DATE(INT($AR298/10000),MOD(INT($AR298/100),100),MOD($AR298,100)),""),INT($AR298)),IFERROR(DATE(--LEFT(LEFT(SUBSTITUTE(SUBSTITUTE(SUBSTITUTE(SUBSTITUTE(TRIM($AR298),"-",""),".",""),"/","")," ",""),8),4),--MID(LEFT(SUBSTITUTE(SUBSTITUTE(SUBSTITUTE(SUBSTITUTE(TRIM($AR298),"-",""),".",""),"/","")," ",""),8),5,2),--MID(LEFT(SUBSTITUTE(SUBSTITUTE(SUBSTITUTE(SUBSTITUTE(TRIM($AR298),"-",""),".",""),"/","")," ",""),8),7,2)),"")))</f>
        <v/>
      </c>
      <c r="AT298" s="23">
        <f>IF($AS298="","",IF($F$6="",0,IF(ISNUMBER(INDEX($A:$AP,ROW(),$F$6)),INDEX($A:$AP,ROW(),$F$6),IFERROR(--SUBSTITUTE(SUBSTITUTE(TRIM(INDEX($A:$AP,ROW(),$F$6)),",",""),"원",""),0))))</f>
        <v/>
      </c>
      <c r="AU298" s="23">
        <f>IF($AS298="","",IF($G$6="",0,IF(ISNUMBER(INDEX($A:$AP,ROW(),$G$6)),INDEX($A:$AP,ROW(),$G$6),IFERROR(--SUBSTITUTE(SUBSTITUTE(TRIM(INDEX($A:$AP,ROW(),$G$6)),",",""),"원",""),0))))</f>
        <v/>
      </c>
      <c r="AV298" s="23">
        <f>IF($AS298="","",IF($H$6="",$AT298+$AU298,IF($H$6="",0,IF(ISNUMBER(INDEX($A:$AP,ROW(),$H$6)),INDEX($A:$AP,ROW(),$H$6),IFERROR(--SUBSTITUTE(SUBSTITUTE(TRIM(INDEX($A:$AP,ROW(),$H$6)),",",""),"원",""),0)))))</f>
        <v/>
      </c>
      <c r="AW298" s="2">
        <f>IF(OR($AS298="",$C$6=""),"",TRIM(INDEX($A:$AP,ROW(),$C$6)&amp;""))</f>
        <v/>
      </c>
      <c r="AX298" s="2">
        <f>IF($AS298="","",IF($AZ298&lt;&gt;"",SUBSTITUTE(SUBSTITUTE($AZ298,"-","")," ",""),$AY298))</f>
        <v/>
      </c>
      <c r="AY298" s="2">
        <f>IF(OR($AS298="",$E$6=""),"",TRIM(INDEX($A:$AP,ROW(),$E$6)&amp;""))</f>
        <v/>
      </c>
      <c r="AZ298" s="2">
        <f>IF(OR($AS298="",$D$6=""),"",TRIM(INDEX($A:$AP,ROW(),$D$6)&amp;""))</f>
        <v/>
      </c>
      <c r="BA298" s="2">
        <f>IF($AS298="","",IF(AND($AS298&gt;=설정!$B$10,$AS298&lt;=설정!$B$11),"포함","기간 밖"))</f>
        <v/>
      </c>
      <c r="BB298" s="2">
        <f>IF($AS298="","",IF(OR($AT298&lt;0,AND($I$6&lt;&gt;"",ISNUMBER(FIND("수정",INDEX($A:$AP,ROW(),IF($I$6="",1,$I$6))&amp;"")))),"수정","일반"))</f>
        <v/>
      </c>
      <c r="BC298" s="2">
        <f>IF($AS298="","",MID(IF($BA298="기간 밖"," / 기간 밖(신고기간 아님)","")&amp;IF(AND($AW298&lt;&gt;"",COUNTIF($AW$8:$AW$1007,$AW298)&gt;1)," / 승인번호 중복(두 번 붙여넣기?)","")&amp;IF(ABS($AU298-ROUND($AT298*0.1,0))&gt;설정!$B$8,IF($AU298=0," / 세액 0원(영세율·면세 여부 확인)"," / 세액이 공급가액 10%와 다름"),"")&amp;IF($BB298="수정"," / 수정세금계산서(합계에서 자동 가감)",""),4,200))</f>
        <v/>
      </c>
      <c r="BD298" s="2">
        <f>IF($BA298&lt;&gt;"포함","",IF(COUNTIFS($AX$8:$AX298,$AX298,$BA$8:$BA298,"포함")=1,MAX($BD$7:BD297)+1,""))</f>
        <v/>
      </c>
      <c r="BE298" s="2">
        <f>IF($BC298="","",MAX($BE$7:BE297)+1)</f>
        <v/>
      </c>
    </row>
    <row r="299">
      <c r="AR299" s="2">
        <f>IF(OR($A$5="",$B$6="",ROW()&lt;$A$5),"",IF(INDEX($A:$AP,ROW(),$B$6)="","",INDEX($A:$AP,ROW(),$B$6)))</f>
        <v/>
      </c>
      <c r="AS299" s="22">
        <f>IF($AR299="","",IF(ISNUMBER($AR299),IF($AR299&gt;=10000000,IFERROR(DATE(INT($AR299/10000),MOD(INT($AR299/100),100),MOD($AR299,100)),""),INT($AR299)),IFERROR(DATE(--LEFT(LEFT(SUBSTITUTE(SUBSTITUTE(SUBSTITUTE(SUBSTITUTE(TRIM($AR299),"-",""),".",""),"/","")," ",""),8),4),--MID(LEFT(SUBSTITUTE(SUBSTITUTE(SUBSTITUTE(SUBSTITUTE(TRIM($AR299),"-",""),".",""),"/","")," ",""),8),5,2),--MID(LEFT(SUBSTITUTE(SUBSTITUTE(SUBSTITUTE(SUBSTITUTE(TRIM($AR299),"-",""),".",""),"/","")," ",""),8),7,2)),"")))</f>
        <v/>
      </c>
      <c r="AT299" s="23">
        <f>IF($AS299="","",IF($F$6="",0,IF(ISNUMBER(INDEX($A:$AP,ROW(),$F$6)),INDEX($A:$AP,ROW(),$F$6),IFERROR(--SUBSTITUTE(SUBSTITUTE(TRIM(INDEX($A:$AP,ROW(),$F$6)),",",""),"원",""),0))))</f>
        <v/>
      </c>
      <c r="AU299" s="23">
        <f>IF($AS299="","",IF($G$6="",0,IF(ISNUMBER(INDEX($A:$AP,ROW(),$G$6)),INDEX($A:$AP,ROW(),$G$6),IFERROR(--SUBSTITUTE(SUBSTITUTE(TRIM(INDEX($A:$AP,ROW(),$G$6)),",",""),"원",""),0))))</f>
        <v/>
      </c>
      <c r="AV299" s="23">
        <f>IF($AS299="","",IF($H$6="",$AT299+$AU299,IF($H$6="",0,IF(ISNUMBER(INDEX($A:$AP,ROW(),$H$6)),INDEX($A:$AP,ROW(),$H$6),IFERROR(--SUBSTITUTE(SUBSTITUTE(TRIM(INDEX($A:$AP,ROW(),$H$6)),",",""),"원",""),0)))))</f>
        <v/>
      </c>
      <c r="AW299" s="2">
        <f>IF(OR($AS299="",$C$6=""),"",TRIM(INDEX($A:$AP,ROW(),$C$6)&amp;""))</f>
        <v/>
      </c>
      <c r="AX299" s="2">
        <f>IF($AS299="","",IF($AZ299&lt;&gt;"",SUBSTITUTE(SUBSTITUTE($AZ299,"-","")," ",""),$AY299))</f>
        <v/>
      </c>
      <c r="AY299" s="2">
        <f>IF(OR($AS299="",$E$6=""),"",TRIM(INDEX($A:$AP,ROW(),$E$6)&amp;""))</f>
        <v/>
      </c>
      <c r="AZ299" s="2">
        <f>IF(OR($AS299="",$D$6=""),"",TRIM(INDEX($A:$AP,ROW(),$D$6)&amp;""))</f>
        <v/>
      </c>
      <c r="BA299" s="2">
        <f>IF($AS299="","",IF(AND($AS299&gt;=설정!$B$10,$AS299&lt;=설정!$B$11),"포함","기간 밖"))</f>
        <v/>
      </c>
      <c r="BB299" s="2">
        <f>IF($AS299="","",IF(OR($AT299&lt;0,AND($I$6&lt;&gt;"",ISNUMBER(FIND("수정",INDEX($A:$AP,ROW(),IF($I$6="",1,$I$6))&amp;"")))),"수정","일반"))</f>
        <v/>
      </c>
      <c r="BC299" s="2">
        <f>IF($AS299="","",MID(IF($BA299="기간 밖"," / 기간 밖(신고기간 아님)","")&amp;IF(AND($AW299&lt;&gt;"",COUNTIF($AW$8:$AW$1007,$AW299)&gt;1)," / 승인번호 중복(두 번 붙여넣기?)","")&amp;IF(ABS($AU299-ROUND($AT299*0.1,0))&gt;설정!$B$8,IF($AU299=0," / 세액 0원(영세율·면세 여부 확인)"," / 세액이 공급가액 10%와 다름"),"")&amp;IF($BB299="수정"," / 수정세금계산서(합계에서 자동 가감)",""),4,200))</f>
        <v/>
      </c>
      <c r="BD299" s="2">
        <f>IF($BA299&lt;&gt;"포함","",IF(COUNTIFS($AX$8:$AX299,$AX299,$BA$8:$BA299,"포함")=1,MAX($BD$7:BD298)+1,""))</f>
        <v/>
      </c>
      <c r="BE299" s="2">
        <f>IF($BC299="","",MAX($BE$7:BE298)+1)</f>
        <v/>
      </c>
    </row>
    <row r="300">
      <c r="AR300" s="2">
        <f>IF(OR($A$5="",$B$6="",ROW()&lt;$A$5),"",IF(INDEX($A:$AP,ROW(),$B$6)="","",INDEX($A:$AP,ROW(),$B$6)))</f>
        <v/>
      </c>
      <c r="AS300" s="22">
        <f>IF($AR300="","",IF(ISNUMBER($AR300),IF($AR300&gt;=10000000,IFERROR(DATE(INT($AR300/10000),MOD(INT($AR300/100),100),MOD($AR300,100)),""),INT($AR300)),IFERROR(DATE(--LEFT(LEFT(SUBSTITUTE(SUBSTITUTE(SUBSTITUTE(SUBSTITUTE(TRIM($AR300),"-",""),".",""),"/","")," ",""),8),4),--MID(LEFT(SUBSTITUTE(SUBSTITUTE(SUBSTITUTE(SUBSTITUTE(TRIM($AR300),"-",""),".",""),"/","")," ",""),8),5,2),--MID(LEFT(SUBSTITUTE(SUBSTITUTE(SUBSTITUTE(SUBSTITUTE(TRIM($AR300),"-",""),".",""),"/","")," ",""),8),7,2)),"")))</f>
        <v/>
      </c>
      <c r="AT300" s="23">
        <f>IF($AS300="","",IF($F$6="",0,IF(ISNUMBER(INDEX($A:$AP,ROW(),$F$6)),INDEX($A:$AP,ROW(),$F$6),IFERROR(--SUBSTITUTE(SUBSTITUTE(TRIM(INDEX($A:$AP,ROW(),$F$6)),",",""),"원",""),0))))</f>
        <v/>
      </c>
      <c r="AU300" s="23">
        <f>IF($AS300="","",IF($G$6="",0,IF(ISNUMBER(INDEX($A:$AP,ROW(),$G$6)),INDEX($A:$AP,ROW(),$G$6),IFERROR(--SUBSTITUTE(SUBSTITUTE(TRIM(INDEX($A:$AP,ROW(),$G$6)),",",""),"원",""),0))))</f>
        <v/>
      </c>
      <c r="AV300" s="23">
        <f>IF($AS300="","",IF($H$6="",$AT300+$AU300,IF($H$6="",0,IF(ISNUMBER(INDEX($A:$AP,ROW(),$H$6)),INDEX($A:$AP,ROW(),$H$6),IFERROR(--SUBSTITUTE(SUBSTITUTE(TRIM(INDEX($A:$AP,ROW(),$H$6)),",",""),"원",""),0)))))</f>
        <v/>
      </c>
      <c r="AW300" s="2">
        <f>IF(OR($AS300="",$C$6=""),"",TRIM(INDEX($A:$AP,ROW(),$C$6)&amp;""))</f>
        <v/>
      </c>
      <c r="AX300" s="2">
        <f>IF($AS300="","",IF($AZ300&lt;&gt;"",SUBSTITUTE(SUBSTITUTE($AZ300,"-","")," ",""),$AY300))</f>
        <v/>
      </c>
      <c r="AY300" s="2">
        <f>IF(OR($AS300="",$E$6=""),"",TRIM(INDEX($A:$AP,ROW(),$E$6)&amp;""))</f>
        <v/>
      </c>
      <c r="AZ300" s="2">
        <f>IF(OR($AS300="",$D$6=""),"",TRIM(INDEX($A:$AP,ROW(),$D$6)&amp;""))</f>
        <v/>
      </c>
      <c r="BA300" s="2">
        <f>IF($AS300="","",IF(AND($AS300&gt;=설정!$B$10,$AS300&lt;=설정!$B$11),"포함","기간 밖"))</f>
        <v/>
      </c>
      <c r="BB300" s="2">
        <f>IF($AS300="","",IF(OR($AT300&lt;0,AND($I$6&lt;&gt;"",ISNUMBER(FIND("수정",INDEX($A:$AP,ROW(),IF($I$6="",1,$I$6))&amp;"")))),"수정","일반"))</f>
        <v/>
      </c>
      <c r="BC300" s="2">
        <f>IF($AS300="","",MID(IF($BA300="기간 밖"," / 기간 밖(신고기간 아님)","")&amp;IF(AND($AW300&lt;&gt;"",COUNTIF($AW$8:$AW$1007,$AW300)&gt;1)," / 승인번호 중복(두 번 붙여넣기?)","")&amp;IF(ABS($AU300-ROUND($AT300*0.1,0))&gt;설정!$B$8,IF($AU300=0," / 세액 0원(영세율·면세 여부 확인)"," / 세액이 공급가액 10%와 다름"),"")&amp;IF($BB300="수정"," / 수정세금계산서(합계에서 자동 가감)",""),4,200))</f>
        <v/>
      </c>
      <c r="BD300" s="2">
        <f>IF($BA300&lt;&gt;"포함","",IF(COUNTIFS($AX$8:$AX300,$AX300,$BA$8:$BA300,"포함")=1,MAX($BD$7:BD299)+1,""))</f>
        <v/>
      </c>
      <c r="BE300" s="2">
        <f>IF($BC300="","",MAX($BE$7:BE299)+1)</f>
        <v/>
      </c>
    </row>
    <row r="301">
      <c r="AR301" s="2">
        <f>IF(OR($A$5="",$B$6="",ROW()&lt;$A$5),"",IF(INDEX($A:$AP,ROW(),$B$6)="","",INDEX($A:$AP,ROW(),$B$6)))</f>
        <v/>
      </c>
      <c r="AS301" s="22">
        <f>IF($AR301="","",IF(ISNUMBER($AR301),IF($AR301&gt;=10000000,IFERROR(DATE(INT($AR301/10000),MOD(INT($AR301/100),100),MOD($AR301,100)),""),INT($AR301)),IFERROR(DATE(--LEFT(LEFT(SUBSTITUTE(SUBSTITUTE(SUBSTITUTE(SUBSTITUTE(TRIM($AR301),"-",""),".",""),"/","")," ",""),8),4),--MID(LEFT(SUBSTITUTE(SUBSTITUTE(SUBSTITUTE(SUBSTITUTE(TRIM($AR301),"-",""),".",""),"/","")," ",""),8),5,2),--MID(LEFT(SUBSTITUTE(SUBSTITUTE(SUBSTITUTE(SUBSTITUTE(TRIM($AR301),"-",""),".",""),"/","")," ",""),8),7,2)),"")))</f>
        <v/>
      </c>
      <c r="AT301" s="23">
        <f>IF($AS301="","",IF($F$6="",0,IF(ISNUMBER(INDEX($A:$AP,ROW(),$F$6)),INDEX($A:$AP,ROW(),$F$6),IFERROR(--SUBSTITUTE(SUBSTITUTE(TRIM(INDEX($A:$AP,ROW(),$F$6)),",",""),"원",""),0))))</f>
        <v/>
      </c>
      <c r="AU301" s="23">
        <f>IF($AS301="","",IF($G$6="",0,IF(ISNUMBER(INDEX($A:$AP,ROW(),$G$6)),INDEX($A:$AP,ROW(),$G$6),IFERROR(--SUBSTITUTE(SUBSTITUTE(TRIM(INDEX($A:$AP,ROW(),$G$6)),",",""),"원",""),0))))</f>
        <v/>
      </c>
      <c r="AV301" s="23">
        <f>IF($AS301="","",IF($H$6="",$AT301+$AU301,IF($H$6="",0,IF(ISNUMBER(INDEX($A:$AP,ROW(),$H$6)),INDEX($A:$AP,ROW(),$H$6),IFERROR(--SUBSTITUTE(SUBSTITUTE(TRIM(INDEX($A:$AP,ROW(),$H$6)),",",""),"원",""),0)))))</f>
        <v/>
      </c>
      <c r="AW301" s="2">
        <f>IF(OR($AS301="",$C$6=""),"",TRIM(INDEX($A:$AP,ROW(),$C$6)&amp;""))</f>
        <v/>
      </c>
      <c r="AX301" s="2">
        <f>IF($AS301="","",IF($AZ301&lt;&gt;"",SUBSTITUTE(SUBSTITUTE($AZ301,"-","")," ",""),$AY301))</f>
        <v/>
      </c>
      <c r="AY301" s="2">
        <f>IF(OR($AS301="",$E$6=""),"",TRIM(INDEX($A:$AP,ROW(),$E$6)&amp;""))</f>
        <v/>
      </c>
      <c r="AZ301" s="2">
        <f>IF(OR($AS301="",$D$6=""),"",TRIM(INDEX($A:$AP,ROW(),$D$6)&amp;""))</f>
        <v/>
      </c>
      <c r="BA301" s="2">
        <f>IF($AS301="","",IF(AND($AS301&gt;=설정!$B$10,$AS301&lt;=설정!$B$11),"포함","기간 밖"))</f>
        <v/>
      </c>
      <c r="BB301" s="2">
        <f>IF($AS301="","",IF(OR($AT301&lt;0,AND($I$6&lt;&gt;"",ISNUMBER(FIND("수정",INDEX($A:$AP,ROW(),IF($I$6="",1,$I$6))&amp;"")))),"수정","일반"))</f>
        <v/>
      </c>
      <c r="BC301" s="2">
        <f>IF($AS301="","",MID(IF($BA301="기간 밖"," / 기간 밖(신고기간 아님)","")&amp;IF(AND($AW301&lt;&gt;"",COUNTIF($AW$8:$AW$1007,$AW301)&gt;1)," / 승인번호 중복(두 번 붙여넣기?)","")&amp;IF(ABS($AU301-ROUND($AT301*0.1,0))&gt;설정!$B$8,IF($AU301=0," / 세액 0원(영세율·면세 여부 확인)"," / 세액이 공급가액 10%와 다름"),"")&amp;IF($BB301="수정"," / 수정세금계산서(합계에서 자동 가감)",""),4,200))</f>
        <v/>
      </c>
      <c r="BD301" s="2">
        <f>IF($BA301&lt;&gt;"포함","",IF(COUNTIFS($AX$8:$AX301,$AX301,$BA$8:$BA301,"포함")=1,MAX($BD$7:BD300)+1,""))</f>
        <v/>
      </c>
      <c r="BE301" s="2">
        <f>IF($BC301="","",MAX($BE$7:BE300)+1)</f>
        <v/>
      </c>
    </row>
    <row r="302">
      <c r="AR302" s="2">
        <f>IF(OR($A$5="",$B$6="",ROW()&lt;$A$5),"",IF(INDEX($A:$AP,ROW(),$B$6)="","",INDEX($A:$AP,ROW(),$B$6)))</f>
        <v/>
      </c>
      <c r="AS302" s="22">
        <f>IF($AR302="","",IF(ISNUMBER($AR302),IF($AR302&gt;=10000000,IFERROR(DATE(INT($AR302/10000),MOD(INT($AR302/100),100),MOD($AR302,100)),""),INT($AR302)),IFERROR(DATE(--LEFT(LEFT(SUBSTITUTE(SUBSTITUTE(SUBSTITUTE(SUBSTITUTE(TRIM($AR302),"-",""),".",""),"/","")," ",""),8),4),--MID(LEFT(SUBSTITUTE(SUBSTITUTE(SUBSTITUTE(SUBSTITUTE(TRIM($AR302),"-",""),".",""),"/","")," ",""),8),5,2),--MID(LEFT(SUBSTITUTE(SUBSTITUTE(SUBSTITUTE(SUBSTITUTE(TRIM($AR302),"-",""),".",""),"/","")," ",""),8),7,2)),"")))</f>
        <v/>
      </c>
      <c r="AT302" s="23">
        <f>IF($AS302="","",IF($F$6="",0,IF(ISNUMBER(INDEX($A:$AP,ROW(),$F$6)),INDEX($A:$AP,ROW(),$F$6),IFERROR(--SUBSTITUTE(SUBSTITUTE(TRIM(INDEX($A:$AP,ROW(),$F$6)),",",""),"원",""),0))))</f>
        <v/>
      </c>
      <c r="AU302" s="23">
        <f>IF($AS302="","",IF($G$6="",0,IF(ISNUMBER(INDEX($A:$AP,ROW(),$G$6)),INDEX($A:$AP,ROW(),$G$6),IFERROR(--SUBSTITUTE(SUBSTITUTE(TRIM(INDEX($A:$AP,ROW(),$G$6)),",",""),"원",""),0))))</f>
        <v/>
      </c>
      <c r="AV302" s="23">
        <f>IF($AS302="","",IF($H$6="",$AT302+$AU302,IF($H$6="",0,IF(ISNUMBER(INDEX($A:$AP,ROW(),$H$6)),INDEX($A:$AP,ROW(),$H$6),IFERROR(--SUBSTITUTE(SUBSTITUTE(TRIM(INDEX($A:$AP,ROW(),$H$6)),",",""),"원",""),0)))))</f>
        <v/>
      </c>
      <c r="AW302" s="2">
        <f>IF(OR($AS302="",$C$6=""),"",TRIM(INDEX($A:$AP,ROW(),$C$6)&amp;""))</f>
        <v/>
      </c>
      <c r="AX302" s="2">
        <f>IF($AS302="","",IF($AZ302&lt;&gt;"",SUBSTITUTE(SUBSTITUTE($AZ302,"-","")," ",""),$AY302))</f>
        <v/>
      </c>
      <c r="AY302" s="2">
        <f>IF(OR($AS302="",$E$6=""),"",TRIM(INDEX($A:$AP,ROW(),$E$6)&amp;""))</f>
        <v/>
      </c>
      <c r="AZ302" s="2">
        <f>IF(OR($AS302="",$D$6=""),"",TRIM(INDEX($A:$AP,ROW(),$D$6)&amp;""))</f>
        <v/>
      </c>
      <c r="BA302" s="2">
        <f>IF($AS302="","",IF(AND($AS302&gt;=설정!$B$10,$AS302&lt;=설정!$B$11),"포함","기간 밖"))</f>
        <v/>
      </c>
      <c r="BB302" s="2">
        <f>IF($AS302="","",IF(OR($AT302&lt;0,AND($I$6&lt;&gt;"",ISNUMBER(FIND("수정",INDEX($A:$AP,ROW(),IF($I$6="",1,$I$6))&amp;"")))),"수정","일반"))</f>
        <v/>
      </c>
      <c r="BC302" s="2">
        <f>IF($AS302="","",MID(IF($BA302="기간 밖"," / 기간 밖(신고기간 아님)","")&amp;IF(AND($AW302&lt;&gt;"",COUNTIF($AW$8:$AW$1007,$AW302)&gt;1)," / 승인번호 중복(두 번 붙여넣기?)","")&amp;IF(ABS($AU302-ROUND($AT302*0.1,0))&gt;설정!$B$8,IF($AU302=0," / 세액 0원(영세율·면세 여부 확인)"," / 세액이 공급가액 10%와 다름"),"")&amp;IF($BB302="수정"," / 수정세금계산서(합계에서 자동 가감)",""),4,200))</f>
        <v/>
      </c>
      <c r="BD302" s="2">
        <f>IF($BA302&lt;&gt;"포함","",IF(COUNTIFS($AX$8:$AX302,$AX302,$BA$8:$BA302,"포함")=1,MAX($BD$7:BD301)+1,""))</f>
        <v/>
      </c>
      <c r="BE302" s="2">
        <f>IF($BC302="","",MAX($BE$7:BE301)+1)</f>
        <v/>
      </c>
    </row>
    <row r="303">
      <c r="AR303" s="2">
        <f>IF(OR($A$5="",$B$6="",ROW()&lt;$A$5),"",IF(INDEX($A:$AP,ROW(),$B$6)="","",INDEX($A:$AP,ROW(),$B$6)))</f>
        <v/>
      </c>
      <c r="AS303" s="22">
        <f>IF($AR303="","",IF(ISNUMBER($AR303),IF($AR303&gt;=10000000,IFERROR(DATE(INT($AR303/10000),MOD(INT($AR303/100),100),MOD($AR303,100)),""),INT($AR303)),IFERROR(DATE(--LEFT(LEFT(SUBSTITUTE(SUBSTITUTE(SUBSTITUTE(SUBSTITUTE(TRIM($AR303),"-",""),".",""),"/","")," ",""),8),4),--MID(LEFT(SUBSTITUTE(SUBSTITUTE(SUBSTITUTE(SUBSTITUTE(TRIM($AR303),"-",""),".",""),"/","")," ",""),8),5,2),--MID(LEFT(SUBSTITUTE(SUBSTITUTE(SUBSTITUTE(SUBSTITUTE(TRIM($AR303),"-",""),".",""),"/","")," ",""),8),7,2)),"")))</f>
        <v/>
      </c>
      <c r="AT303" s="23">
        <f>IF($AS303="","",IF($F$6="",0,IF(ISNUMBER(INDEX($A:$AP,ROW(),$F$6)),INDEX($A:$AP,ROW(),$F$6),IFERROR(--SUBSTITUTE(SUBSTITUTE(TRIM(INDEX($A:$AP,ROW(),$F$6)),",",""),"원",""),0))))</f>
        <v/>
      </c>
      <c r="AU303" s="23">
        <f>IF($AS303="","",IF($G$6="",0,IF(ISNUMBER(INDEX($A:$AP,ROW(),$G$6)),INDEX($A:$AP,ROW(),$G$6),IFERROR(--SUBSTITUTE(SUBSTITUTE(TRIM(INDEX($A:$AP,ROW(),$G$6)),",",""),"원",""),0))))</f>
        <v/>
      </c>
      <c r="AV303" s="23">
        <f>IF($AS303="","",IF($H$6="",$AT303+$AU303,IF($H$6="",0,IF(ISNUMBER(INDEX($A:$AP,ROW(),$H$6)),INDEX($A:$AP,ROW(),$H$6),IFERROR(--SUBSTITUTE(SUBSTITUTE(TRIM(INDEX($A:$AP,ROW(),$H$6)),",",""),"원",""),0)))))</f>
        <v/>
      </c>
      <c r="AW303" s="2">
        <f>IF(OR($AS303="",$C$6=""),"",TRIM(INDEX($A:$AP,ROW(),$C$6)&amp;""))</f>
        <v/>
      </c>
      <c r="AX303" s="2">
        <f>IF($AS303="","",IF($AZ303&lt;&gt;"",SUBSTITUTE(SUBSTITUTE($AZ303,"-","")," ",""),$AY303))</f>
        <v/>
      </c>
      <c r="AY303" s="2">
        <f>IF(OR($AS303="",$E$6=""),"",TRIM(INDEX($A:$AP,ROW(),$E$6)&amp;""))</f>
        <v/>
      </c>
      <c r="AZ303" s="2">
        <f>IF(OR($AS303="",$D$6=""),"",TRIM(INDEX($A:$AP,ROW(),$D$6)&amp;""))</f>
        <v/>
      </c>
      <c r="BA303" s="2">
        <f>IF($AS303="","",IF(AND($AS303&gt;=설정!$B$10,$AS303&lt;=설정!$B$11),"포함","기간 밖"))</f>
        <v/>
      </c>
      <c r="BB303" s="2">
        <f>IF($AS303="","",IF(OR($AT303&lt;0,AND($I$6&lt;&gt;"",ISNUMBER(FIND("수정",INDEX($A:$AP,ROW(),IF($I$6="",1,$I$6))&amp;"")))),"수정","일반"))</f>
        <v/>
      </c>
      <c r="BC303" s="2">
        <f>IF($AS303="","",MID(IF($BA303="기간 밖"," / 기간 밖(신고기간 아님)","")&amp;IF(AND($AW303&lt;&gt;"",COUNTIF($AW$8:$AW$1007,$AW303)&gt;1)," / 승인번호 중복(두 번 붙여넣기?)","")&amp;IF(ABS($AU303-ROUND($AT303*0.1,0))&gt;설정!$B$8,IF($AU303=0," / 세액 0원(영세율·면세 여부 확인)"," / 세액이 공급가액 10%와 다름"),"")&amp;IF($BB303="수정"," / 수정세금계산서(합계에서 자동 가감)",""),4,200))</f>
        <v/>
      </c>
      <c r="BD303" s="2">
        <f>IF($BA303&lt;&gt;"포함","",IF(COUNTIFS($AX$8:$AX303,$AX303,$BA$8:$BA303,"포함")=1,MAX($BD$7:BD302)+1,""))</f>
        <v/>
      </c>
      <c r="BE303" s="2">
        <f>IF($BC303="","",MAX($BE$7:BE302)+1)</f>
        <v/>
      </c>
    </row>
    <row r="304">
      <c r="AR304" s="2">
        <f>IF(OR($A$5="",$B$6="",ROW()&lt;$A$5),"",IF(INDEX($A:$AP,ROW(),$B$6)="","",INDEX($A:$AP,ROW(),$B$6)))</f>
        <v/>
      </c>
      <c r="AS304" s="22">
        <f>IF($AR304="","",IF(ISNUMBER($AR304),IF($AR304&gt;=10000000,IFERROR(DATE(INT($AR304/10000),MOD(INT($AR304/100),100),MOD($AR304,100)),""),INT($AR304)),IFERROR(DATE(--LEFT(LEFT(SUBSTITUTE(SUBSTITUTE(SUBSTITUTE(SUBSTITUTE(TRIM($AR304),"-",""),".",""),"/","")," ",""),8),4),--MID(LEFT(SUBSTITUTE(SUBSTITUTE(SUBSTITUTE(SUBSTITUTE(TRIM($AR304),"-",""),".",""),"/","")," ",""),8),5,2),--MID(LEFT(SUBSTITUTE(SUBSTITUTE(SUBSTITUTE(SUBSTITUTE(TRIM($AR304),"-",""),".",""),"/","")," ",""),8),7,2)),"")))</f>
        <v/>
      </c>
      <c r="AT304" s="23">
        <f>IF($AS304="","",IF($F$6="",0,IF(ISNUMBER(INDEX($A:$AP,ROW(),$F$6)),INDEX($A:$AP,ROW(),$F$6),IFERROR(--SUBSTITUTE(SUBSTITUTE(TRIM(INDEX($A:$AP,ROW(),$F$6)),",",""),"원",""),0))))</f>
        <v/>
      </c>
      <c r="AU304" s="23">
        <f>IF($AS304="","",IF($G$6="",0,IF(ISNUMBER(INDEX($A:$AP,ROW(),$G$6)),INDEX($A:$AP,ROW(),$G$6),IFERROR(--SUBSTITUTE(SUBSTITUTE(TRIM(INDEX($A:$AP,ROW(),$G$6)),",",""),"원",""),0))))</f>
        <v/>
      </c>
      <c r="AV304" s="23">
        <f>IF($AS304="","",IF($H$6="",$AT304+$AU304,IF($H$6="",0,IF(ISNUMBER(INDEX($A:$AP,ROW(),$H$6)),INDEX($A:$AP,ROW(),$H$6),IFERROR(--SUBSTITUTE(SUBSTITUTE(TRIM(INDEX($A:$AP,ROW(),$H$6)),",",""),"원",""),0)))))</f>
        <v/>
      </c>
      <c r="AW304" s="2">
        <f>IF(OR($AS304="",$C$6=""),"",TRIM(INDEX($A:$AP,ROW(),$C$6)&amp;""))</f>
        <v/>
      </c>
      <c r="AX304" s="2">
        <f>IF($AS304="","",IF($AZ304&lt;&gt;"",SUBSTITUTE(SUBSTITUTE($AZ304,"-","")," ",""),$AY304))</f>
        <v/>
      </c>
      <c r="AY304" s="2">
        <f>IF(OR($AS304="",$E$6=""),"",TRIM(INDEX($A:$AP,ROW(),$E$6)&amp;""))</f>
        <v/>
      </c>
      <c r="AZ304" s="2">
        <f>IF(OR($AS304="",$D$6=""),"",TRIM(INDEX($A:$AP,ROW(),$D$6)&amp;""))</f>
        <v/>
      </c>
      <c r="BA304" s="2">
        <f>IF($AS304="","",IF(AND($AS304&gt;=설정!$B$10,$AS304&lt;=설정!$B$11),"포함","기간 밖"))</f>
        <v/>
      </c>
      <c r="BB304" s="2">
        <f>IF($AS304="","",IF(OR($AT304&lt;0,AND($I$6&lt;&gt;"",ISNUMBER(FIND("수정",INDEX($A:$AP,ROW(),IF($I$6="",1,$I$6))&amp;"")))),"수정","일반"))</f>
        <v/>
      </c>
      <c r="BC304" s="2">
        <f>IF($AS304="","",MID(IF($BA304="기간 밖"," / 기간 밖(신고기간 아님)","")&amp;IF(AND($AW304&lt;&gt;"",COUNTIF($AW$8:$AW$1007,$AW304)&gt;1)," / 승인번호 중복(두 번 붙여넣기?)","")&amp;IF(ABS($AU304-ROUND($AT304*0.1,0))&gt;설정!$B$8,IF($AU304=0," / 세액 0원(영세율·면세 여부 확인)"," / 세액이 공급가액 10%와 다름"),"")&amp;IF($BB304="수정"," / 수정세금계산서(합계에서 자동 가감)",""),4,200))</f>
        <v/>
      </c>
      <c r="BD304" s="2">
        <f>IF($BA304&lt;&gt;"포함","",IF(COUNTIFS($AX$8:$AX304,$AX304,$BA$8:$BA304,"포함")=1,MAX($BD$7:BD303)+1,""))</f>
        <v/>
      </c>
      <c r="BE304" s="2">
        <f>IF($BC304="","",MAX($BE$7:BE303)+1)</f>
        <v/>
      </c>
    </row>
    <row r="305">
      <c r="AR305" s="2">
        <f>IF(OR($A$5="",$B$6="",ROW()&lt;$A$5),"",IF(INDEX($A:$AP,ROW(),$B$6)="","",INDEX($A:$AP,ROW(),$B$6)))</f>
        <v/>
      </c>
      <c r="AS305" s="22">
        <f>IF($AR305="","",IF(ISNUMBER($AR305),IF($AR305&gt;=10000000,IFERROR(DATE(INT($AR305/10000),MOD(INT($AR305/100),100),MOD($AR305,100)),""),INT($AR305)),IFERROR(DATE(--LEFT(LEFT(SUBSTITUTE(SUBSTITUTE(SUBSTITUTE(SUBSTITUTE(TRIM($AR305),"-",""),".",""),"/","")," ",""),8),4),--MID(LEFT(SUBSTITUTE(SUBSTITUTE(SUBSTITUTE(SUBSTITUTE(TRIM($AR305),"-",""),".",""),"/","")," ",""),8),5,2),--MID(LEFT(SUBSTITUTE(SUBSTITUTE(SUBSTITUTE(SUBSTITUTE(TRIM($AR305),"-",""),".",""),"/","")," ",""),8),7,2)),"")))</f>
        <v/>
      </c>
      <c r="AT305" s="23">
        <f>IF($AS305="","",IF($F$6="",0,IF(ISNUMBER(INDEX($A:$AP,ROW(),$F$6)),INDEX($A:$AP,ROW(),$F$6),IFERROR(--SUBSTITUTE(SUBSTITUTE(TRIM(INDEX($A:$AP,ROW(),$F$6)),",",""),"원",""),0))))</f>
        <v/>
      </c>
      <c r="AU305" s="23">
        <f>IF($AS305="","",IF($G$6="",0,IF(ISNUMBER(INDEX($A:$AP,ROW(),$G$6)),INDEX($A:$AP,ROW(),$G$6),IFERROR(--SUBSTITUTE(SUBSTITUTE(TRIM(INDEX($A:$AP,ROW(),$G$6)),",",""),"원",""),0))))</f>
        <v/>
      </c>
      <c r="AV305" s="23">
        <f>IF($AS305="","",IF($H$6="",$AT305+$AU305,IF($H$6="",0,IF(ISNUMBER(INDEX($A:$AP,ROW(),$H$6)),INDEX($A:$AP,ROW(),$H$6),IFERROR(--SUBSTITUTE(SUBSTITUTE(TRIM(INDEX($A:$AP,ROW(),$H$6)),",",""),"원",""),0)))))</f>
        <v/>
      </c>
      <c r="AW305" s="2">
        <f>IF(OR($AS305="",$C$6=""),"",TRIM(INDEX($A:$AP,ROW(),$C$6)&amp;""))</f>
        <v/>
      </c>
      <c r="AX305" s="2">
        <f>IF($AS305="","",IF($AZ305&lt;&gt;"",SUBSTITUTE(SUBSTITUTE($AZ305,"-","")," ",""),$AY305))</f>
        <v/>
      </c>
      <c r="AY305" s="2">
        <f>IF(OR($AS305="",$E$6=""),"",TRIM(INDEX($A:$AP,ROW(),$E$6)&amp;""))</f>
        <v/>
      </c>
      <c r="AZ305" s="2">
        <f>IF(OR($AS305="",$D$6=""),"",TRIM(INDEX($A:$AP,ROW(),$D$6)&amp;""))</f>
        <v/>
      </c>
      <c r="BA305" s="2">
        <f>IF($AS305="","",IF(AND($AS305&gt;=설정!$B$10,$AS305&lt;=설정!$B$11),"포함","기간 밖"))</f>
        <v/>
      </c>
      <c r="BB305" s="2">
        <f>IF($AS305="","",IF(OR($AT305&lt;0,AND($I$6&lt;&gt;"",ISNUMBER(FIND("수정",INDEX($A:$AP,ROW(),IF($I$6="",1,$I$6))&amp;"")))),"수정","일반"))</f>
        <v/>
      </c>
      <c r="BC305" s="2">
        <f>IF($AS305="","",MID(IF($BA305="기간 밖"," / 기간 밖(신고기간 아님)","")&amp;IF(AND($AW305&lt;&gt;"",COUNTIF($AW$8:$AW$1007,$AW305)&gt;1)," / 승인번호 중복(두 번 붙여넣기?)","")&amp;IF(ABS($AU305-ROUND($AT305*0.1,0))&gt;설정!$B$8,IF($AU305=0," / 세액 0원(영세율·면세 여부 확인)"," / 세액이 공급가액 10%와 다름"),"")&amp;IF($BB305="수정"," / 수정세금계산서(합계에서 자동 가감)",""),4,200))</f>
        <v/>
      </c>
      <c r="BD305" s="2">
        <f>IF($BA305&lt;&gt;"포함","",IF(COUNTIFS($AX$8:$AX305,$AX305,$BA$8:$BA305,"포함")=1,MAX($BD$7:BD304)+1,""))</f>
        <v/>
      </c>
      <c r="BE305" s="2">
        <f>IF($BC305="","",MAX($BE$7:BE304)+1)</f>
        <v/>
      </c>
    </row>
    <row r="306">
      <c r="AR306" s="2">
        <f>IF(OR($A$5="",$B$6="",ROW()&lt;$A$5),"",IF(INDEX($A:$AP,ROW(),$B$6)="","",INDEX($A:$AP,ROW(),$B$6)))</f>
        <v/>
      </c>
      <c r="AS306" s="22">
        <f>IF($AR306="","",IF(ISNUMBER($AR306),IF($AR306&gt;=10000000,IFERROR(DATE(INT($AR306/10000),MOD(INT($AR306/100),100),MOD($AR306,100)),""),INT($AR306)),IFERROR(DATE(--LEFT(LEFT(SUBSTITUTE(SUBSTITUTE(SUBSTITUTE(SUBSTITUTE(TRIM($AR306),"-",""),".",""),"/","")," ",""),8),4),--MID(LEFT(SUBSTITUTE(SUBSTITUTE(SUBSTITUTE(SUBSTITUTE(TRIM($AR306),"-",""),".",""),"/","")," ",""),8),5,2),--MID(LEFT(SUBSTITUTE(SUBSTITUTE(SUBSTITUTE(SUBSTITUTE(TRIM($AR306),"-",""),".",""),"/","")," ",""),8),7,2)),"")))</f>
        <v/>
      </c>
      <c r="AT306" s="23">
        <f>IF($AS306="","",IF($F$6="",0,IF(ISNUMBER(INDEX($A:$AP,ROW(),$F$6)),INDEX($A:$AP,ROW(),$F$6),IFERROR(--SUBSTITUTE(SUBSTITUTE(TRIM(INDEX($A:$AP,ROW(),$F$6)),",",""),"원",""),0))))</f>
        <v/>
      </c>
      <c r="AU306" s="23">
        <f>IF($AS306="","",IF($G$6="",0,IF(ISNUMBER(INDEX($A:$AP,ROW(),$G$6)),INDEX($A:$AP,ROW(),$G$6),IFERROR(--SUBSTITUTE(SUBSTITUTE(TRIM(INDEX($A:$AP,ROW(),$G$6)),",",""),"원",""),0))))</f>
        <v/>
      </c>
      <c r="AV306" s="23">
        <f>IF($AS306="","",IF($H$6="",$AT306+$AU306,IF($H$6="",0,IF(ISNUMBER(INDEX($A:$AP,ROW(),$H$6)),INDEX($A:$AP,ROW(),$H$6),IFERROR(--SUBSTITUTE(SUBSTITUTE(TRIM(INDEX($A:$AP,ROW(),$H$6)),",",""),"원",""),0)))))</f>
        <v/>
      </c>
      <c r="AW306" s="2">
        <f>IF(OR($AS306="",$C$6=""),"",TRIM(INDEX($A:$AP,ROW(),$C$6)&amp;""))</f>
        <v/>
      </c>
      <c r="AX306" s="2">
        <f>IF($AS306="","",IF($AZ306&lt;&gt;"",SUBSTITUTE(SUBSTITUTE($AZ306,"-","")," ",""),$AY306))</f>
        <v/>
      </c>
      <c r="AY306" s="2">
        <f>IF(OR($AS306="",$E$6=""),"",TRIM(INDEX($A:$AP,ROW(),$E$6)&amp;""))</f>
        <v/>
      </c>
      <c r="AZ306" s="2">
        <f>IF(OR($AS306="",$D$6=""),"",TRIM(INDEX($A:$AP,ROW(),$D$6)&amp;""))</f>
        <v/>
      </c>
      <c r="BA306" s="2">
        <f>IF($AS306="","",IF(AND($AS306&gt;=설정!$B$10,$AS306&lt;=설정!$B$11),"포함","기간 밖"))</f>
        <v/>
      </c>
      <c r="BB306" s="2">
        <f>IF($AS306="","",IF(OR($AT306&lt;0,AND($I$6&lt;&gt;"",ISNUMBER(FIND("수정",INDEX($A:$AP,ROW(),IF($I$6="",1,$I$6))&amp;"")))),"수정","일반"))</f>
        <v/>
      </c>
      <c r="BC306" s="2">
        <f>IF($AS306="","",MID(IF($BA306="기간 밖"," / 기간 밖(신고기간 아님)","")&amp;IF(AND($AW306&lt;&gt;"",COUNTIF($AW$8:$AW$1007,$AW306)&gt;1)," / 승인번호 중복(두 번 붙여넣기?)","")&amp;IF(ABS($AU306-ROUND($AT306*0.1,0))&gt;설정!$B$8,IF($AU306=0," / 세액 0원(영세율·면세 여부 확인)"," / 세액이 공급가액 10%와 다름"),"")&amp;IF($BB306="수정"," / 수정세금계산서(합계에서 자동 가감)",""),4,200))</f>
        <v/>
      </c>
      <c r="BD306" s="2">
        <f>IF($BA306&lt;&gt;"포함","",IF(COUNTIFS($AX$8:$AX306,$AX306,$BA$8:$BA306,"포함")=1,MAX($BD$7:BD305)+1,""))</f>
        <v/>
      </c>
      <c r="BE306" s="2">
        <f>IF($BC306="","",MAX($BE$7:BE305)+1)</f>
        <v/>
      </c>
    </row>
    <row r="307">
      <c r="AR307" s="2">
        <f>IF(OR($A$5="",$B$6="",ROW()&lt;$A$5),"",IF(INDEX($A:$AP,ROW(),$B$6)="","",INDEX($A:$AP,ROW(),$B$6)))</f>
        <v/>
      </c>
      <c r="AS307" s="22">
        <f>IF($AR307="","",IF(ISNUMBER($AR307),IF($AR307&gt;=10000000,IFERROR(DATE(INT($AR307/10000),MOD(INT($AR307/100),100),MOD($AR307,100)),""),INT($AR307)),IFERROR(DATE(--LEFT(LEFT(SUBSTITUTE(SUBSTITUTE(SUBSTITUTE(SUBSTITUTE(TRIM($AR307),"-",""),".",""),"/","")," ",""),8),4),--MID(LEFT(SUBSTITUTE(SUBSTITUTE(SUBSTITUTE(SUBSTITUTE(TRIM($AR307),"-",""),".",""),"/","")," ",""),8),5,2),--MID(LEFT(SUBSTITUTE(SUBSTITUTE(SUBSTITUTE(SUBSTITUTE(TRIM($AR307),"-",""),".",""),"/","")," ",""),8),7,2)),"")))</f>
        <v/>
      </c>
      <c r="AT307" s="23">
        <f>IF($AS307="","",IF($F$6="",0,IF(ISNUMBER(INDEX($A:$AP,ROW(),$F$6)),INDEX($A:$AP,ROW(),$F$6),IFERROR(--SUBSTITUTE(SUBSTITUTE(TRIM(INDEX($A:$AP,ROW(),$F$6)),",",""),"원",""),0))))</f>
        <v/>
      </c>
      <c r="AU307" s="23">
        <f>IF($AS307="","",IF($G$6="",0,IF(ISNUMBER(INDEX($A:$AP,ROW(),$G$6)),INDEX($A:$AP,ROW(),$G$6),IFERROR(--SUBSTITUTE(SUBSTITUTE(TRIM(INDEX($A:$AP,ROW(),$G$6)),",",""),"원",""),0))))</f>
        <v/>
      </c>
      <c r="AV307" s="23">
        <f>IF($AS307="","",IF($H$6="",$AT307+$AU307,IF($H$6="",0,IF(ISNUMBER(INDEX($A:$AP,ROW(),$H$6)),INDEX($A:$AP,ROW(),$H$6),IFERROR(--SUBSTITUTE(SUBSTITUTE(TRIM(INDEX($A:$AP,ROW(),$H$6)),",",""),"원",""),0)))))</f>
        <v/>
      </c>
      <c r="AW307" s="2">
        <f>IF(OR($AS307="",$C$6=""),"",TRIM(INDEX($A:$AP,ROW(),$C$6)&amp;""))</f>
        <v/>
      </c>
      <c r="AX307" s="2">
        <f>IF($AS307="","",IF($AZ307&lt;&gt;"",SUBSTITUTE(SUBSTITUTE($AZ307,"-","")," ",""),$AY307))</f>
        <v/>
      </c>
      <c r="AY307" s="2">
        <f>IF(OR($AS307="",$E$6=""),"",TRIM(INDEX($A:$AP,ROW(),$E$6)&amp;""))</f>
        <v/>
      </c>
      <c r="AZ307" s="2">
        <f>IF(OR($AS307="",$D$6=""),"",TRIM(INDEX($A:$AP,ROW(),$D$6)&amp;""))</f>
        <v/>
      </c>
      <c r="BA307" s="2">
        <f>IF($AS307="","",IF(AND($AS307&gt;=설정!$B$10,$AS307&lt;=설정!$B$11),"포함","기간 밖"))</f>
        <v/>
      </c>
      <c r="BB307" s="2">
        <f>IF($AS307="","",IF(OR($AT307&lt;0,AND($I$6&lt;&gt;"",ISNUMBER(FIND("수정",INDEX($A:$AP,ROW(),IF($I$6="",1,$I$6))&amp;"")))),"수정","일반"))</f>
        <v/>
      </c>
      <c r="BC307" s="2">
        <f>IF($AS307="","",MID(IF($BA307="기간 밖"," / 기간 밖(신고기간 아님)","")&amp;IF(AND($AW307&lt;&gt;"",COUNTIF($AW$8:$AW$1007,$AW307)&gt;1)," / 승인번호 중복(두 번 붙여넣기?)","")&amp;IF(ABS($AU307-ROUND($AT307*0.1,0))&gt;설정!$B$8,IF($AU307=0," / 세액 0원(영세율·면세 여부 확인)"," / 세액이 공급가액 10%와 다름"),"")&amp;IF($BB307="수정"," / 수정세금계산서(합계에서 자동 가감)",""),4,200))</f>
        <v/>
      </c>
      <c r="BD307" s="2">
        <f>IF($BA307&lt;&gt;"포함","",IF(COUNTIFS($AX$8:$AX307,$AX307,$BA$8:$BA307,"포함")=1,MAX($BD$7:BD306)+1,""))</f>
        <v/>
      </c>
      <c r="BE307" s="2">
        <f>IF($BC307="","",MAX($BE$7:BE306)+1)</f>
        <v/>
      </c>
    </row>
    <row r="308">
      <c r="AR308" s="2">
        <f>IF(OR($A$5="",$B$6="",ROW()&lt;$A$5),"",IF(INDEX($A:$AP,ROW(),$B$6)="","",INDEX($A:$AP,ROW(),$B$6)))</f>
        <v/>
      </c>
      <c r="AS308" s="22">
        <f>IF($AR308="","",IF(ISNUMBER($AR308),IF($AR308&gt;=10000000,IFERROR(DATE(INT($AR308/10000),MOD(INT($AR308/100),100),MOD($AR308,100)),""),INT($AR308)),IFERROR(DATE(--LEFT(LEFT(SUBSTITUTE(SUBSTITUTE(SUBSTITUTE(SUBSTITUTE(TRIM($AR308),"-",""),".",""),"/","")," ",""),8),4),--MID(LEFT(SUBSTITUTE(SUBSTITUTE(SUBSTITUTE(SUBSTITUTE(TRIM($AR308),"-",""),".",""),"/","")," ",""),8),5,2),--MID(LEFT(SUBSTITUTE(SUBSTITUTE(SUBSTITUTE(SUBSTITUTE(TRIM($AR308),"-",""),".",""),"/","")," ",""),8),7,2)),"")))</f>
        <v/>
      </c>
      <c r="AT308" s="23">
        <f>IF($AS308="","",IF($F$6="",0,IF(ISNUMBER(INDEX($A:$AP,ROW(),$F$6)),INDEX($A:$AP,ROW(),$F$6),IFERROR(--SUBSTITUTE(SUBSTITUTE(TRIM(INDEX($A:$AP,ROW(),$F$6)),",",""),"원",""),0))))</f>
        <v/>
      </c>
      <c r="AU308" s="23">
        <f>IF($AS308="","",IF($G$6="",0,IF(ISNUMBER(INDEX($A:$AP,ROW(),$G$6)),INDEX($A:$AP,ROW(),$G$6),IFERROR(--SUBSTITUTE(SUBSTITUTE(TRIM(INDEX($A:$AP,ROW(),$G$6)),",",""),"원",""),0))))</f>
        <v/>
      </c>
      <c r="AV308" s="23">
        <f>IF($AS308="","",IF($H$6="",$AT308+$AU308,IF($H$6="",0,IF(ISNUMBER(INDEX($A:$AP,ROW(),$H$6)),INDEX($A:$AP,ROW(),$H$6),IFERROR(--SUBSTITUTE(SUBSTITUTE(TRIM(INDEX($A:$AP,ROW(),$H$6)),",",""),"원",""),0)))))</f>
        <v/>
      </c>
      <c r="AW308" s="2">
        <f>IF(OR($AS308="",$C$6=""),"",TRIM(INDEX($A:$AP,ROW(),$C$6)&amp;""))</f>
        <v/>
      </c>
      <c r="AX308" s="2">
        <f>IF($AS308="","",IF($AZ308&lt;&gt;"",SUBSTITUTE(SUBSTITUTE($AZ308,"-","")," ",""),$AY308))</f>
        <v/>
      </c>
      <c r="AY308" s="2">
        <f>IF(OR($AS308="",$E$6=""),"",TRIM(INDEX($A:$AP,ROW(),$E$6)&amp;""))</f>
        <v/>
      </c>
      <c r="AZ308" s="2">
        <f>IF(OR($AS308="",$D$6=""),"",TRIM(INDEX($A:$AP,ROW(),$D$6)&amp;""))</f>
        <v/>
      </c>
      <c r="BA308" s="2">
        <f>IF($AS308="","",IF(AND($AS308&gt;=설정!$B$10,$AS308&lt;=설정!$B$11),"포함","기간 밖"))</f>
        <v/>
      </c>
      <c r="BB308" s="2">
        <f>IF($AS308="","",IF(OR($AT308&lt;0,AND($I$6&lt;&gt;"",ISNUMBER(FIND("수정",INDEX($A:$AP,ROW(),IF($I$6="",1,$I$6))&amp;"")))),"수정","일반"))</f>
        <v/>
      </c>
      <c r="BC308" s="2">
        <f>IF($AS308="","",MID(IF($BA308="기간 밖"," / 기간 밖(신고기간 아님)","")&amp;IF(AND($AW308&lt;&gt;"",COUNTIF($AW$8:$AW$1007,$AW308)&gt;1)," / 승인번호 중복(두 번 붙여넣기?)","")&amp;IF(ABS($AU308-ROUND($AT308*0.1,0))&gt;설정!$B$8,IF($AU308=0," / 세액 0원(영세율·면세 여부 확인)"," / 세액이 공급가액 10%와 다름"),"")&amp;IF($BB308="수정"," / 수정세금계산서(합계에서 자동 가감)",""),4,200))</f>
        <v/>
      </c>
      <c r="BD308" s="2">
        <f>IF($BA308&lt;&gt;"포함","",IF(COUNTIFS($AX$8:$AX308,$AX308,$BA$8:$BA308,"포함")=1,MAX($BD$7:BD307)+1,""))</f>
        <v/>
      </c>
      <c r="BE308" s="2">
        <f>IF($BC308="","",MAX($BE$7:BE307)+1)</f>
        <v/>
      </c>
    </row>
    <row r="309">
      <c r="AR309" s="2">
        <f>IF(OR($A$5="",$B$6="",ROW()&lt;$A$5),"",IF(INDEX($A:$AP,ROW(),$B$6)="","",INDEX($A:$AP,ROW(),$B$6)))</f>
        <v/>
      </c>
      <c r="AS309" s="22">
        <f>IF($AR309="","",IF(ISNUMBER($AR309),IF($AR309&gt;=10000000,IFERROR(DATE(INT($AR309/10000),MOD(INT($AR309/100),100),MOD($AR309,100)),""),INT($AR309)),IFERROR(DATE(--LEFT(LEFT(SUBSTITUTE(SUBSTITUTE(SUBSTITUTE(SUBSTITUTE(TRIM($AR309),"-",""),".",""),"/","")," ",""),8),4),--MID(LEFT(SUBSTITUTE(SUBSTITUTE(SUBSTITUTE(SUBSTITUTE(TRIM($AR309),"-",""),".",""),"/","")," ",""),8),5,2),--MID(LEFT(SUBSTITUTE(SUBSTITUTE(SUBSTITUTE(SUBSTITUTE(TRIM($AR309),"-",""),".",""),"/","")," ",""),8),7,2)),"")))</f>
        <v/>
      </c>
      <c r="AT309" s="23">
        <f>IF($AS309="","",IF($F$6="",0,IF(ISNUMBER(INDEX($A:$AP,ROW(),$F$6)),INDEX($A:$AP,ROW(),$F$6),IFERROR(--SUBSTITUTE(SUBSTITUTE(TRIM(INDEX($A:$AP,ROW(),$F$6)),",",""),"원",""),0))))</f>
        <v/>
      </c>
      <c r="AU309" s="23">
        <f>IF($AS309="","",IF($G$6="",0,IF(ISNUMBER(INDEX($A:$AP,ROW(),$G$6)),INDEX($A:$AP,ROW(),$G$6),IFERROR(--SUBSTITUTE(SUBSTITUTE(TRIM(INDEX($A:$AP,ROW(),$G$6)),",",""),"원",""),0))))</f>
        <v/>
      </c>
      <c r="AV309" s="23">
        <f>IF($AS309="","",IF($H$6="",$AT309+$AU309,IF($H$6="",0,IF(ISNUMBER(INDEX($A:$AP,ROW(),$H$6)),INDEX($A:$AP,ROW(),$H$6),IFERROR(--SUBSTITUTE(SUBSTITUTE(TRIM(INDEX($A:$AP,ROW(),$H$6)),",",""),"원",""),0)))))</f>
        <v/>
      </c>
      <c r="AW309" s="2">
        <f>IF(OR($AS309="",$C$6=""),"",TRIM(INDEX($A:$AP,ROW(),$C$6)&amp;""))</f>
        <v/>
      </c>
      <c r="AX309" s="2">
        <f>IF($AS309="","",IF($AZ309&lt;&gt;"",SUBSTITUTE(SUBSTITUTE($AZ309,"-","")," ",""),$AY309))</f>
        <v/>
      </c>
      <c r="AY309" s="2">
        <f>IF(OR($AS309="",$E$6=""),"",TRIM(INDEX($A:$AP,ROW(),$E$6)&amp;""))</f>
        <v/>
      </c>
      <c r="AZ309" s="2">
        <f>IF(OR($AS309="",$D$6=""),"",TRIM(INDEX($A:$AP,ROW(),$D$6)&amp;""))</f>
        <v/>
      </c>
      <c r="BA309" s="2">
        <f>IF($AS309="","",IF(AND($AS309&gt;=설정!$B$10,$AS309&lt;=설정!$B$11),"포함","기간 밖"))</f>
        <v/>
      </c>
      <c r="BB309" s="2">
        <f>IF($AS309="","",IF(OR($AT309&lt;0,AND($I$6&lt;&gt;"",ISNUMBER(FIND("수정",INDEX($A:$AP,ROW(),IF($I$6="",1,$I$6))&amp;"")))),"수정","일반"))</f>
        <v/>
      </c>
      <c r="BC309" s="2">
        <f>IF($AS309="","",MID(IF($BA309="기간 밖"," / 기간 밖(신고기간 아님)","")&amp;IF(AND($AW309&lt;&gt;"",COUNTIF($AW$8:$AW$1007,$AW309)&gt;1)," / 승인번호 중복(두 번 붙여넣기?)","")&amp;IF(ABS($AU309-ROUND($AT309*0.1,0))&gt;설정!$B$8,IF($AU309=0," / 세액 0원(영세율·면세 여부 확인)"," / 세액이 공급가액 10%와 다름"),"")&amp;IF($BB309="수정"," / 수정세금계산서(합계에서 자동 가감)",""),4,200))</f>
        <v/>
      </c>
      <c r="BD309" s="2">
        <f>IF($BA309&lt;&gt;"포함","",IF(COUNTIFS($AX$8:$AX309,$AX309,$BA$8:$BA309,"포함")=1,MAX($BD$7:BD308)+1,""))</f>
        <v/>
      </c>
      <c r="BE309" s="2">
        <f>IF($BC309="","",MAX($BE$7:BE308)+1)</f>
        <v/>
      </c>
    </row>
    <row r="310">
      <c r="AR310" s="2">
        <f>IF(OR($A$5="",$B$6="",ROW()&lt;$A$5),"",IF(INDEX($A:$AP,ROW(),$B$6)="","",INDEX($A:$AP,ROW(),$B$6)))</f>
        <v/>
      </c>
      <c r="AS310" s="22">
        <f>IF($AR310="","",IF(ISNUMBER($AR310),IF($AR310&gt;=10000000,IFERROR(DATE(INT($AR310/10000),MOD(INT($AR310/100),100),MOD($AR310,100)),""),INT($AR310)),IFERROR(DATE(--LEFT(LEFT(SUBSTITUTE(SUBSTITUTE(SUBSTITUTE(SUBSTITUTE(TRIM($AR310),"-",""),".",""),"/","")," ",""),8),4),--MID(LEFT(SUBSTITUTE(SUBSTITUTE(SUBSTITUTE(SUBSTITUTE(TRIM($AR310),"-",""),".",""),"/","")," ",""),8),5,2),--MID(LEFT(SUBSTITUTE(SUBSTITUTE(SUBSTITUTE(SUBSTITUTE(TRIM($AR310),"-",""),".",""),"/","")," ",""),8),7,2)),"")))</f>
        <v/>
      </c>
      <c r="AT310" s="23">
        <f>IF($AS310="","",IF($F$6="",0,IF(ISNUMBER(INDEX($A:$AP,ROW(),$F$6)),INDEX($A:$AP,ROW(),$F$6),IFERROR(--SUBSTITUTE(SUBSTITUTE(TRIM(INDEX($A:$AP,ROW(),$F$6)),",",""),"원",""),0))))</f>
        <v/>
      </c>
      <c r="AU310" s="23">
        <f>IF($AS310="","",IF($G$6="",0,IF(ISNUMBER(INDEX($A:$AP,ROW(),$G$6)),INDEX($A:$AP,ROW(),$G$6),IFERROR(--SUBSTITUTE(SUBSTITUTE(TRIM(INDEX($A:$AP,ROW(),$G$6)),",",""),"원",""),0))))</f>
        <v/>
      </c>
      <c r="AV310" s="23">
        <f>IF($AS310="","",IF($H$6="",$AT310+$AU310,IF($H$6="",0,IF(ISNUMBER(INDEX($A:$AP,ROW(),$H$6)),INDEX($A:$AP,ROW(),$H$6),IFERROR(--SUBSTITUTE(SUBSTITUTE(TRIM(INDEX($A:$AP,ROW(),$H$6)),",",""),"원",""),0)))))</f>
        <v/>
      </c>
      <c r="AW310" s="2">
        <f>IF(OR($AS310="",$C$6=""),"",TRIM(INDEX($A:$AP,ROW(),$C$6)&amp;""))</f>
        <v/>
      </c>
      <c r="AX310" s="2">
        <f>IF($AS310="","",IF($AZ310&lt;&gt;"",SUBSTITUTE(SUBSTITUTE($AZ310,"-","")," ",""),$AY310))</f>
        <v/>
      </c>
      <c r="AY310" s="2">
        <f>IF(OR($AS310="",$E$6=""),"",TRIM(INDEX($A:$AP,ROW(),$E$6)&amp;""))</f>
        <v/>
      </c>
      <c r="AZ310" s="2">
        <f>IF(OR($AS310="",$D$6=""),"",TRIM(INDEX($A:$AP,ROW(),$D$6)&amp;""))</f>
        <v/>
      </c>
      <c r="BA310" s="2">
        <f>IF($AS310="","",IF(AND($AS310&gt;=설정!$B$10,$AS310&lt;=설정!$B$11),"포함","기간 밖"))</f>
        <v/>
      </c>
      <c r="BB310" s="2">
        <f>IF($AS310="","",IF(OR($AT310&lt;0,AND($I$6&lt;&gt;"",ISNUMBER(FIND("수정",INDEX($A:$AP,ROW(),IF($I$6="",1,$I$6))&amp;"")))),"수정","일반"))</f>
        <v/>
      </c>
      <c r="BC310" s="2">
        <f>IF($AS310="","",MID(IF($BA310="기간 밖"," / 기간 밖(신고기간 아님)","")&amp;IF(AND($AW310&lt;&gt;"",COUNTIF($AW$8:$AW$1007,$AW310)&gt;1)," / 승인번호 중복(두 번 붙여넣기?)","")&amp;IF(ABS($AU310-ROUND($AT310*0.1,0))&gt;설정!$B$8,IF($AU310=0," / 세액 0원(영세율·면세 여부 확인)"," / 세액이 공급가액 10%와 다름"),"")&amp;IF($BB310="수정"," / 수정세금계산서(합계에서 자동 가감)",""),4,200))</f>
        <v/>
      </c>
      <c r="BD310" s="2">
        <f>IF($BA310&lt;&gt;"포함","",IF(COUNTIFS($AX$8:$AX310,$AX310,$BA$8:$BA310,"포함")=1,MAX($BD$7:BD309)+1,""))</f>
        <v/>
      </c>
      <c r="BE310" s="2">
        <f>IF($BC310="","",MAX($BE$7:BE309)+1)</f>
        <v/>
      </c>
    </row>
    <row r="311">
      <c r="AR311" s="2">
        <f>IF(OR($A$5="",$B$6="",ROW()&lt;$A$5),"",IF(INDEX($A:$AP,ROW(),$B$6)="","",INDEX($A:$AP,ROW(),$B$6)))</f>
        <v/>
      </c>
      <c r="AS311" s="22">
        <f>IF($AR311="","",IF(ISNUMBER($AR311),IF($AR311&gt;=10000000,IFERROR(DATE(INT($AR311/10000),MOD(INT($AR311/100),100),MOD($AR311,100)),""),INT($AR311)),IFERROR(DATE(--LEFT(LEFT(SUBSTITUTE(SUBSTITUTE(SUBSTITUTE(SUBSTITUTE(TRIM($AR311),"-",""),".",""),"/","")," ",""),8),4),--MID(LEFT(SUBSTITUTE(SUBSTITUTE(SUBSTITUTE(SUBSTITUTE(TRIM($AR311),"-",""),".",""),"/","")," ",""),8),5,2),--MID(LEFT(SUBSTITUTE(SUBSTITUTE(SUBSTITUTE(SUBSTITUTE(TRIM($AR311),"-",""),".",""),"/","")," ",""),8),7,2)),"")))</f>
        <v/>
      </c>
      <c r="AT311" s="23">
        <f>IF($AS311="","",IF($F$6="",0,IF(ISNUMBER(INDEX($A:$AP,ROW(),$F$6)),INDEX($A:$AP,ROW(),$F$6),IFERROR(--SUBSTITUTE(SUBSTITUTE(TRIM(INDEX($A:$AP,ROW(),$F$6)),",",""),"원",""),0))))</f>
        <v/>
      </c>
      <c r="AU311" s="23">
        <f>IF($AS311="","",IF($G$6="",0,IF(ISNUMBER(INDEX($A:$AP,ROW(),$G$6)),INDEX($A:$AP,ROW(),$G$6),IFERROR(--SUBSTITUTE(SUBSTITUTE(TRIM(INDEX($A:$AP,ROW(),$G$6)),",",""),"원",""),0))))</f>
        <v/>
      </c>
      <c r="AV311" s="23">
        <f>IF($AS311="","",IF($H$6="",$AT311+$AU311,IF($H$6="",0,IF(ISNUMBER(INDEX($A:$AP,ROW(),$H$6)),INDEX($A:$AP,ROW(),$H$6),IFERROR(--SUBSTITUTE(SUBSTITUTE(TRIM(INDEX($A:$AP,ROW(),$H$6)),",",""),"원",""),0)))))</f>
        <v/>
      </c>
      <c r="AW311" s="2">
        <f>IF(OR($AS311="",$C$6=""),"",TRIM(INDEX($A:$AP,ROW(),$C$6)&amp;""))</f>
        <v/>
      </c>
      <c r="AX311" s="2">
        <f>IF($AS311="","",IF($AZ311&lt;&gt;"",SUBSTITUTE(SUBSTITUTE($AZ311,"-","")," ",""),$AY311))</f>
        <v/>
      </c>
      <c r="AY311" s="2">
        <f>IF(OR($AS311="",$E$6=""),"",TRIM(INDEX($A:$AP,ROW(),$E$6)&amp;""))</f>
        <v/>
      </c>
      <c r="AZ311" s="2">
        <f>IF(OR($AS311="",$D$6=""),"",TRIM(INDEX($A:$AP,ROW(),$D$6)&amp;""))</f>
        <v/>
      </c>
      <c r="BA311" s="2">
        <f>IF($AS311="","",IF(AND($AS311&gt;=설정!$B$10,$AS311&lt;=설정!$B$11),"포함","기간 밖"))</f>
        <v/>
      </c>
      <c r="BB311" s="2">
        <f>IF($AS311="","",IF(OR($AT311&lt;0,AND($I$6&lt;&gt;"",ISNUMBER(FIND("수정",INDEX($A:$AP,ROW(),IF($I$6="",1,$I$6))&amp;"")))),"수정","일반"))</f>
        <v/>
      </c>
      <c r="BC311" s="2">
        <f>IF($AS311="","",MID(IF($BA311="기간 밖"," / 기간 밖(신고기간 아님)","")&amp;IF(AND($AW311&lt;&gt;"",COUNTIF($AW$8:$AW$1007,$AW311)&gt;1)," / 승인번호 중복(두 번 붙여넣기?)","")&amp;IF(ABS($AU311-ROUND($AT311*0.1,0))&gt;설정!$B$8,IF($AU311=0," / 세액 0원(영세율·면세 여부 확인)"," / 세액이 공급가액 10%와 다름"),"")&amp;IF($BB311="수정"," / 수정세금계산서(합계에서 자동 가감)",""),4,200))</f>
        <v/>
      </c>
      <c r="BD311" s="2">
        <f>IF($BA311&lt;&gt;"포함","",IF(COUNTIFS($AX$8:$AX311,$AX311,$BA$8:$BA311,"포함")=1,MAX($BD$7:BD310)+1,""))</f>
        <v/>
      </c>
      <c r="BE311" s="2">
        <f>IF($BC311="","",MAX($BE$7:BE310)+1)</f>
        <v/>
      </c>
    </row>
    <row r="312">
      <c r="AR312" s="2">
        <f>IF(OR($A$5="",$B$6="",ROW()&lt;$A$5),"",IF(INDEX($A:$AP,ROW(),$B$6)="","",INDEX($A:$AP,ROW(),$B$6)))</f>
        <v/>
      </c>
      <c r="AS312" s="22">
        <f>IF($AR312="","",IF(ISNUMBER($AR312),IF($AR312&gt;=10000000,IFERROR(DATE(INT($AR312/10000),MOD(INT($AR312/100),100),MOD($AR312,100)),""),INT($AR312)),IFERROR(DATE(--LEFT(LEFT(SUBSTITUTE(SUBSTITUTE(SUBSTITUTE(SUBSTITUTE(TRIM($AR312),"-",""),".",""),"/","")," ",""),8),4),--MID(LEFT(SUBSTITUTE(SUBSTITUTE(SUBSTITUTE(SUBSTITUTE(TRIM($AR312),"-",""),".",""),"/","")," ",""),8),5,2),--MID(LEFT(SUBSTITUTE(SUBSTITUTE(SUBSTITUTE(SUBSTITUTE(TRIM($AR312),"-",""),".",""),"/","")," ",""),8),7,2)),"")))</f>
        <v/>
      </c>
      <c r="AT312" s="23">
        <f>IF($AS312="","",IF($F$6="",0,IF(ISNUMBER(INDEX($A:$AP,ROW(),$F$6)),INDEX($A:$AP,ROW(),$F$6),IFERROR(--SUBSTITUTE(SUBSTITUTE(TRIM(INDEX($A:$AP,ROW(),$F$6)),",",""),"원",""),0))))</f>
        <v/>
      </c>
      <c r="AU312" s="23">
        <f>IF($AS312="","",IF($G$6="",0,IF(ISNUMBER(INDEX($A:$AP,ROW(),$G$6)),INDEX($A:$AP,ROW(),$G$6),IFERROR(--SUBSTITUTE(SUBSTITUTE(TRIM(INDEX($A:$AP,ROW(),$G$6)),",",""),"원",""),0))))</f>
        <v/>
      </c>
      <c r="AV312" s="23">
        <f>IF($AS312="","",IF($H$6="",$AT312+$AU312,IF($H$6="",0,IF(ISNUMBER(INDEX($A:$AP,ROW(),$H$6)),INDEX($A:$AP,ROW(),$H$6),IFERROR(--SUBSTITUTE(SUBSTITUTE(TRIM(INDEX($A:$AP,ROW(),$H$6)),",",""),"원",""),0)))))</f>
        <v/>
      </c>
      <c r="AW312" s="2">
        <f>IF(OR($AS312="",$C$6=""),"",TRIM(INDEX($A:$AP,ROW(),$C$6)&amp;""))</f>
        <v/>
      </c>
      <c r="AX312" s="2">
        <f>IF($AS312="","",IF($AZ312&lt;&gt;"",SUBSTITUTE(SUBSTITUTE($AZ312,"-","")," ",""),$AY312))</f>
        <v/>
      </c>
      <c r="AY312" s="2">
        <f>IF(OR($AS312="",$E$6=""),"",TRIM(INDEX($A:$AP,ROW(),$E$6)&amp;""))</f>
        <v/>
      </c>
      <c r="AZ312" s="2">
        <f>IF(OR($AS312="",$D$6=""),"",TRIM(INDEX($A:$AP,ROW(),$D$6)&amp;""))</f>
        <v/>
      </c>
      <c r="BA312" s="2">
        <f>IF($AS312="","",IF(AND($AS312&gt;=설정!$B$10,$AS312&lt;=설정!$B$11),"포함","기간 밖"))</f>
        <v/>
      </c>
      <c r="BB312" s="2">
        <f>IF($AS312="","",IF(OR($AT312&lt;0,AND($I$6&lt;&gt;"",ISNUMBER(FIND("수정",INDEX($A:$AP,ROW(),IF($I$6="",1,$I$6))&amp;"")))),"수정","일반"))</f>
        <v/>
      </c>
      <c r="BC312" s="2">
        <f>IF($AS312="","",MID(IF($BA312="기간 밖"," / 기간 밖(신고기간 아님)","")&amp;IF(AND($AW312&lt;&gt;"",COUNTIF($AW$8:$AW$1007,$AW312)&gt;1)," / 승인번호 중복(두 번 붙여넣기?)","")&amp;IF(ABS($AU312-ROUND($AT312*0.1,0))&gt;설정!$B$8,IF($AU312=0," / 세액 0원(영세율·면세 여부 확인)"," / 세액이 공급가액 10%와 다름"),"")&amp;IF($BB312="수정"," / 수정세금계산서(합계에서 자동 가감)",""),4,200))</f>
        <v/>
      </c>
      <c r="BD312" s="2">
        <f>IF($BA312&lt;&gt;"포함","",IF(COUNTIFS($AX$8:$AX312,$AX312,$BA$8:$BA312,"포함")=1,MAX($BD$7:BD311)+1,""))</f>
        <v/>
      </c>
      <c r="BE312" s="2">
        <f>IF($BC312="","",MAX($BE$7:BE311)+1)</f>
        <v/>
      </c>
    </row>
    <row r="313">
      <c r="AR313" s="2">
        <f>IF(OR($A$5="",$B$6="",ROW()&lt;$A$5),"",IF(INDEX($A:$AP,ROW(),$B$6)="","",INDEX($A:$AP,ROW(),$B$6)))</f>
        <v/>
      </c>
      <c r="AS313" s="22">
        <f>IF($AR313="","",IF(ISNUMBER($AR313),IF($AR313&gt;=10000000,IFERROR(DATE(INT($AR313/10000),MOD(INT($AR313/100),100),MOD($AR313,100)),""),INT($AR313)),IFERROR(DATE(--LEFT(LEFT(SUBSTITUTE(SUBSTITUTE(SUBSTITUTE(SUBSTITUTE(TRIM($AR313),"-",""),".",""),"/","")," ",""),8),4),--MID(LEFT(SUBSTITUTE(SUBSTITUTE(SUBSTITUTE(SUBSTITUTE(TRIM($AR313),"-",""),".",""),"/","")," ",""),8),5,2),--MID(LEFT(SUBSTITUTE(SUBSTITUTE(SUBSTITUTE(SUBSTITUTE(TRIM($AR313),"-",""),".",""),"/","")," ",""),8),7,2)),"")))</f>
        <v/>
      </c>
      <c r="AT313" s="23">
        <f>IF($AS313="","",IF($F$6="",0,IF(ISNUMBER(INDEX($A:$AP,ROW(),$F$6)),INDEX($A:$AP,ROW(),$F$6),IFERROR(--SUBSTITUTE(SUBSTITUTE(TRIM(INDEX($A:$AP,ROW(),$F$6)),",",""),"원",""),0))))</f>
        <v/>
      </c>
      <c r="AU313" s="23">
        <f>IF($AS313="","",IF($G$6="",0,IF(ISNUMBER(INDEX($A:$AP,ROW(),$G$6)),INDEX($A:$AP,ROW(),$G$6),IFERROR(--SUBSTITUTE(SUBSTITUTE(TRIM(INDEX($A:$AP,ROW(),$G$6)),",",""),"원",""),0))))</f>
        <v/>
      </c>
      <c r="AV313" s="23">
        <f>IF($AS313="","",IF($H$6="",$AT313+$AU313,IF($H$6="",0,IF(ISNUMBER(INDEX($A:$AP,ROW(),$H$6)),INDEX($A:$AP,ROW(),$H$6),IFERROR(--SUBSTITUTE(SUBSTITUTE(TRIM(INDEX($A:$AP,ROW(),$H$6)),",",""),"원",""),0)))))</f>
        <v/>
      </c>
      <c r="AW313" s="2">
        <f>IF(OR($AS313="",$C$6=""),"",TRIM(INDEX($A:$AP,ROW(),$C$6)&amp;""))</f>
        <v/>
      </c>
      <c r="AX313" s="2">
        <f>IF($AS313="","",IF($AZ313&lt;&gt;"",SUBSTITUTE(SUBSTITUTE($AZ313,"-","")," ",""),$AY313))</f>
        <v/>
      </c>
      <c r="AY313" s="2">
        <f>IF(OR($AS313="",$E$6=""),"",TRIM(INDEX($A:$AP,ROW(),$E$6)&amp;""))</f>
        <v/>
      </c>
      <c r="AZ313" s="2">
        <f>IF(OR($AS313="",$D$6=""),"",TRIM(INDEX($A:$AP,ROW(),$D$6)&amp;""))</f>
        <v/>
      </c>
      <c r="BA313" s="2">
        <f>IF($AS313="","",IF(AND($AS313&gt;=설정!$B$10,$AS313&lt;=설정!$B$11),"포함","기간 밖"))</f>
        <v/>
      </c>
      <c r="BB313" s="2">
        <f>IF($AS313="","",IF(OR($AT313&lt;0,AND($I$6&lt;&gt;"",ISNUMBER(FIND("수정",INDEX($A:$AP,ROW(),IF($I$6="",1,$I$6))&amp;"")))),"수정","일반"))</f>
        <v/>
      </c>
      <c r="BC313" s="2">
        <f>IF($AS313="","",MID(IF($BA313="기간 밖"," / 기간 밖(신고기간 아님)","")&amp;IF(AND($AW313&lt;&gt;"",COUNTIF($AW$8:$AW$1007,$AW313)&gt;1)," / 승인번호 중복(두 번 붙여넣기?)","")&amp;IF(ABS($AU313-ROUND($AT313*0.1,0))&gt;설정!$B$8,IF($AU313=0," / 세액 0원(영세율·면세 여부 확인)"," / 세액이 공급가액 10%와 다름"),"")&amp;IF($BB313="수정"," / 수정세금계산서(합계에서 자동 가감)",""),4,200))</f>
        <v/>
      </c>
      <c r="BD313" s="2">
        <f>IF($BA313&lt;&gt;"포함","",IF(COUNTIFS($AX$8:$AX313,$AX313,$BA$8:$BA313,"포함")=1,MAX($BD$7:BD312)+1,""))</f>
        <v/>
      </c>
      <c r="BE313" s="2">
        <f>IF($BC313="","",MAX($BE$7:BE312)+1)</f>
        <v/>
      </c>
    </row>
    <row r="314">
      <c r="AR314" s="2">
        <f>IF(OR($A$5="",$B$6="",ROW()&lt;$A$5),"",IF(INDEX($A:$AP,ROW(),$B$6)="","",INDEX($A:$AP,ROW(),$B$6)))</f>
        <v/>
      </c>
      <c r="AS314" s="22">
        <f>IF($AR314="","",IF(ISNUMBER($AR314),IF($AR314&gt;=10000000,IFERROR(DATE(INT($AR314/10000),MOD(INT($AR314/100),100),MOD($AR314,100)),""),INT($AR314)),IFERROR(DATE(--LEFT(LEFT(SUBSTITUTE(SUBSTITUTE(SUBSTITUTE(SUBSTITUTE(TRIM($AR314),"-",""),".",""),"/","")," ",""),8),4),--MID(LEFT(SUBSTITUTE(SUBSTITUTE(SUBSTITUTE(SUBSTITUTE(TRIM($AR314),"-",""),".",""),"/","")," ",""),8),5,2),--MID(LEFT(SUBSTITUTE(SUBSTITUTE(SUBSTITUTE(SUBSTITUTE(TRIM($AR314),"-",""),".",""),"/","")," ",""),8),7,2)),"")))</f>
        <v/>
      </c>
      <c r="AT314" s="23">
        <f>IF($AS314="","",IF($F$6="",0,IF(ISNUMBER(INDEX($A:$AP,ROW(),$F$6)),INDEX($A:$AP,ROW(),$F$6),IFERROR(--SUBSTITUTE(SUBSTITUTE(TRIM(INDEX($A:$AP,ROW(),$F$6)),",",""),"원",""),0))))</f>
        <v/>
      </c>
      <c r="AU314" s="23">
        <f>IF($AS314="","",IF($G$6="",0,IF(ISNUMBER(INDEX($A:$AP,ROW(),$G$6)),INDEX($A:$AP,ROW(),$G$6),IFERROR(--SUBSTITUTE(SUBSTITUTE(TRIM(INDEX($A:$AP,ROW(),$G$6)),",",""),"원",""),0))))</f>
        <v/>
      </c>
      <c r="AV314" s="23">
        <f>IF($AS314="","",IF($H$6="",$AT314+$AU314,IF($H$6="",0,IF(ISNUMBER(INDEX($A:$AP,ROW(),$H$6)),INDEX($A:$AP,ROW(),$H$6),IFERROR(--SUBSTITUTE(SUBSTITUTE(TRIM(INDEX($A:$AP,ROW(),$H$6)),",",""),"원",""),0)))))</f>
        <v/>
      </c>
      <c r="AW314" s="2">
        <f>IF(OR($AS314="",$C$6=""),"",TRIM(INDEX($A:$AP,ROW(),$C$6)&amp;""))</f>
        <v/>
      </c>
      <c r="AX314" s="2">
        <f>IF($AS314="","",IF($AZ314&lt;&gt;"",SUBSTITUTE(SUBSTITUTE($AZ314,"-","")," ",""),$AY314))</f>
        <v/>
      </c>
      <c r="AY314" s="2">
        <f>IF(OR($AS314="",$E$6=""),"",TRIM(INDEX($A:$AP,ROW(),$E$6)&amp;""))</f>
        <v/>
      </c>
      <c r="AZ314" s="2">
        <f>IF(OR($AS314="",$D$6=""),"",TRIM(INDEX($A:$AP,ROW(),$D$6)&amp;""))</f>
        <v/>
      </c>
      <c r="BA314" s="2">
        <f>IF($AS314="","",IF(AND($AS314&gt;=설정!$B$10,$AS314&lt;=설정!$B$11),"포함","기간 밖"))</f>
        <v/>
      </c>
      <c r="BB314" s="2">
        <f>IF($AS314="","",IF(OR($AT314&lt;0,AND($I$6&lt;&gt;"",ISNUMBER(FIND("수정",INDEX($A:$AP,ROW(),IF($I$6="",1,$I$6))&amp;"")))),"수정","일반"))</f>
        <v/>
      </c>
      <c r="BC314" s="2">
        <f>IF($AS314="","",MID(IF($BA314="기간 밖"," / 기간 밖(신고기간 아님)","")&amp;IF(AND($AW314&lt;&gt;"",COUNTIF($AW$8:$AW$1007,$AW314)&gt;1)," / 승인번호 중복(두 번 붙여넣기?)","")&amp;IF(ABS($AU314-ROUND($AT314*0.1,0))&gt;설정!$B$8,IF($AU314=0," / 세액 0원(영세율·면세 여부 확인)"," / 세액이 공급가액 10%와 다름"),"")&amp;IF($BB314="수정"," / 수정세금계산서(합계에서 자동 가감)",""),4,200))</f>
        <v/>
      </c>
      <c r="BD314" s="2">
        <f>IF($BA314&lt;&gt;"포함","",IF(COUNTIFS($AX$8:$AX314,$AX314,$BA$8:$BA314,"포함")=1,MAX($BD$7:BD313)+1,""))</f>
        <v/>
      </c>
      <c r="BE314" s="2">
        <f>IF($BC314="","",MAX($BE$7:BE313)+1)</f>
        <v/>
      </c>
    </row>
    <row r="315">
      <c r="AR315" s="2">
        <f>IF(OR($A$5="",$B$6="",ROW()&lt;$A$5),"",IF(INDEX($A:$AP,ROW(),$B$6)="","",INDEX($A:$AP,ROW(),$B$6)))</f>
        <v/>
      </c>
      <c r="AS315" s="22">
        <f>IF($AR315="","",IF(ISNUMBER($AR315),IF($AR315&gt;=10000000,IFERROR(DATE(INT($AR315/10000),MOD(INT($AR315/100),100),MOD($AR315,100)),""),INT($AR315)),IFERROR(DATE(--LEFT(LEFT(SUBSTITUTE(SUBSTITUTE(SUBSTITUTE(SUBSTITUTE(TRIM($AR315),"-",""),".",""),"/","")," ",""),8),4),--MID(LEFT(SUBSTITUTE(SUBSTITUTE(SUBSTITUTE(SUBSTITUTE(TRIM($AR315),"-",""),".",""),"/","")," ",""),8),5,2),--MID(LEFT(SUBSTITUTE(SUBSTITUTE(SUBSTITUTE(SUBSTITUTE(TRIM($AR315),"-",""),".",""),"/","")," ",""),8),7,2)),"")))</f>
        <v/>
      </c>
      <c r="AT315" s="23">
        <f>IF($AS315="","",IF($F$6="",0,IF(ISNUMBER(INDEX($A:$AP,ROW(),$F$6)),INDEX($A:$AP,ROW(),$F$6),IFERROR(--SUBSTITUTE(SUBSTITUTE(TRIM(INDEX($A:$AP,ROW(),$F$6)),",",""),"원",""),0))))</f>
        <v/>
      </c>
      <c r="AU315" s="23">
        <f>IF($AS315="","",IF($G$6="",0,IF(ISNUMBER(INDEX($A:$AP,ROW(),$G$6)),INDEX($A:$AP,ROW(),$G$6),IFERROR(--SUBSTITUTE(SUBSTITUTE(TRIM(INDEX($A:$AP,ROW(),$G$6)),",",""),"원",""),0))))</f>
        <v/>
      </c>
      <c r="AV315" s="23">
        <f>IF($AS315="","",IF($H$6="",$AT315+$AU315,IF($H$6="",0,IF(ISNUMBER(INDEX($A:$AP,ROW(),$H$6)),INDEX($A:$AP,ROW(),$H$6),IFERROR(--SUBSTITUTE(SUBSTITUTE(TRIM(INDEX($A:$AP,ROW(),$H$6)),",",""),"원",""),0)))))</f>
        <v/>
      </c>
      <c r="AW315" s="2">
        <f>IF(OR($AS315="",$C$6=""),"",TRIM(INDEX($A:$AP,ROW(),$C$6)&amp;""))</f>
        <v/>
      </c>
      <c r="AX315" s="2">
        <f>IF($AS315="","",IF($AZ315&lt;&gt;"",SUBSTITUTE(SUBSTITUTE($AZ315,"-","")," ",""),$AY315))</f>
        <v/>
      </c>
      <c r="AY315" s="2">
        <f>IF(OR($AS315="",$E$6=""),"",TRIM(INDEX($A:$AP,ROW(),$E$6)&amp;""))</f>
        <v/>
      </c>
      <c r="AZ315" s="2">
        <f>IF(OR($AS315="",$D$6=""),"",TRIM(INDEX($A:$AP,ROW(),$D$6)&amp;""))</f>
        <v/>
      </c>
      <c r="BA315" s="2">
        <f>IF($AS315="","",IF(AND($AS315&gt;=설정!$B$10,$AS315&lt;=설정!$B$11),"포함","기간 밖"))</f>
        <v/>
      </c>
      <c r="BB315" s="2">
        <f>IF($AS315="","",IF(OR($AT315&lt;0,AND($I$6&lt;&gt;"",ISNUMBER(FIND("수정",INDEX($A:$AP,ROW(),IF($I$6="",1,$I$6))&amp;"")))),"수정","일반"))</f>
        <v/>
      </c>
      <c r="BC315" s="2">
        <f>IF($AS315="","",MID(IF($BA315="기간 밖"," / 기간 밖(신고기간 아님)","")&amp;IF(AND($AW315&lt;&gt;"",COUNTIF($AW$8:$AW$1007,$AW315)&gt;1)," / 승인번호 중복(두 번 붙여넣기?)","")&amp;IF(ABS($AU315-ROUND($AT315*0.1,0))&gt;설정!$B$8,IF($AU315=0," / 세액 0원(영세율·면세 여부 확인)"," / 세액이 공급가액 10%와 다름"),"")&amp;IF($BB315="수정"," / 수정세금계산서(합계에서 자동 가감)",""),4,200))</f>
        <v/>
      </c>
      <c r="BD315" s="2">
        <f>IF($BA315&lt;&gt;"포함","",IF(COUNTIFS($AX$8:$AX315,$AX315,$BA$8:$BA315,"포함")=1,MAX($BD$7:BD314)+1,""))</f>
        <v/>
      </c>
      <c r="BE315" s="2">
        <f>IF($BC315="","",MAX($BE$7:BE314)+1)</f>
        <v/>
      </c>
    </row>
    <row r="316">
      <c r="AR316" s="2">
        <f>IF(OR($A$5="",$B$6="",ROW()&lt;$A$5),"",IF(INDEX($A:$AP,ROW(),$B$6)="","",INDEX($A:$AP,ROW(),$B$6)))</f>
        <v/>
      </c>
      <c r="AS316" s="22">
        <f>IF($AR316="","",IF(ISNUMBER($AR316),IF($AR316&gt;=10000000,IFERROR(DATE(INT($AR316/10000),MOD(INT($AR316/100),100),MOD($AR316,100)),""),INT($AR316)),IFERROR(DATE(--LEFT(LEFT(SUBSTITUTE(SUBSTITUTE(SUBSTITUTE(SUBSTITUTE(TRIM($AR316),"-",""),".",""),"/","")," ",""),8),4),--MID(LEFT(SUBSTITUTE(SUBSTITUTE(SUBSTITUTE(SUBSTITUTE(TRIM($AR316),"-",""),".",""),"/","")," ",""),8),5,2),--MID(LEFT(SUBSTITUTE(SUBSTITUTE(SUBSTITUTE(SUBSTITUTE(TRIM($AR316),"-",""),".",""),"/","")," ",""),8),7,2)),"")))</f>
        <v/>
      </c>
      <c r="AT316" s="23">
        <f>IF($AS316="","",IF($F$6="",0,IF(ISNUMBER(INDEX($A:$AP,ROW(),$F$6)),INDEX($A:$AP,ROW(),$F$6),IFERROR(--SUBSTITUTE(SUBSTITUTE(TRIM(INDEX($A:$AP,ROW(),$F$6)),",",""),"원",""),0))))</f>
        <v/>
      </c>
      <c r="AU316" s="23">
        <f>IF($AS316="","",IF($G$6="",0,IF(ISNUMBER(INDEX($A:$AP,ROW(),$G$6)),INDEX($A:$AP,ROW(),$G$6),IFERROR(--SUBSTITUTE(SUBSTITUTE(TRIM(INDEX($A:$AP,ROW(),$G$6)),",",""),"원",""),0))))</f>
        <v/>
      </c>
      <c r="AV316" s="23">
        <f>IF($AS316="","",IF($H$6="",$AT316+$AU316,IF($H$6="",0,IF(ISNUMBER(INDEX($A:$AP,ROW(),$H$6)),INDEX($A:$AP,ROW(),$H$6),IFERROR(--SUBSTITUTE(SUBSTITUTE(TRIM(INDEX($A:$AP,ROW(),$H$6)),",",""),"원",""),0)))))</f>
        <v/>
      </c>
      <c r="AW316" s="2">
        <f>IF(OR($AS316="",$C$6=""),"",TRIM(INDEX($A:$AP,ROW(),$C$6)&amp;""))</f>
        <v/>
      </c>
      <c r="AX316" s="2">
        <f>IF($AS316="","",IF($AZ316&lt;&gt;"",SUBSTITUTE(SUBSTITUTE($AZ316,"-","")," ",""),$AY316))</f>
        <v/>
      </c>
      <c r="AY316" s="2">
        <f>IF(OR($AS316="",$E$6=""),"",TRIM(INDEX($A:$AP,ROW(),$E$6)&amp;""))</f>
        <v/>
      </c>
      <c r="AZ316" s="2">
        <f>IF(OR($AS316="",$D$6=""),"",TRIM(INDEX($A:$AP,ROW(),$D$6)&amp;""))</f>
        <v/>
      </c>
      <c r="BA316" s="2">
        <f>IF($AS316="","",IF(AND($AS316&gt;=설정!$B$10,$AS316&lt;=설정!$B$11),"포함","기간 밖"))</f>
        <v/>
      </c>
      <c r="BB316" s="2">
        <f>IF($AS316="","",IF(OR($AT316&lt;0,AND($I$6&lt;&gt;"",ISNUMBER(FIND("수정",INDEX($A:$AP,ROW(),IF($I$6="",1,$I$6))&amp;"")))),"수정","일반"))</f>
        <v/>
      </c>
      <c r="BC316" s="2">
        <f>IF($AS316="","",MID(IF($BA316="기간 밖"," / 기간 밖(신고기간 아님)","")&amp;IF(AND($AW316&lt;&gt;"",COUNTIF($AW$8:$AW$1007,$AW316)&gt;1)," / 승인번호 중복(두 번 붙여넣기?)","")&amp;IF(ABS($AU316-ROUND($AT316*0.1,0))&gt;설정!$B$8,IF($AU316=0," / 세액 0원(영세율·면세 여부 확인)"," / 세액이 공급가액 10%와 다름"),"")&amp;IF($BB316="수정"," / 수정세금계산서(합계에서 자동 가감)",""),4,200))</f>
        <v/>
      </c>
      <c r="BD316" s="2">
        <f>IF($BA316&lt;&gt;"포함","",IF(COUNTIFS($AX$8:$AX316,$AX316,$BA$8:$BA316,"포함")=1,MAX($BD$7:BD315)+1,""))</f>
        <v/>
      </c>
      <c r="BE316" s="2">
        <f>IF($BC316="","",MAX($BE$7:BE315)+1)</f>
        <v/>
      </c>
    </row>
    <row r="317">
      <c r="AR317" s="2">
        <f>IF(OR($A$5="",$B$6="",ROW()&lt;$A$5),"",IF(INDEX($A:$AP,ROW(),$B$6)="","",INDEX($A:$AP,ROW(),$B$6)))</f>
        <v/>
      </c>
      <c r="AS317" s="22">
        <f>IF($AR317="","",IF(ISNUMBER($AR317),IF($AR317&gt;=10000000,IFERROR(DATE(INT($AR317/10000),MOD(INT($AR317/100),100),MOD($AR317,100)),""),INT($AR317)),IFERROR(DATE(--LEFT(LEFT(SUBSTITUTE(SUBSTITUTE(SUBSTITUTE(SUBSTITUTE(TRIM($AR317),"-",""),".",""),"/","")," ",""),8),4),--MID(LEFT(SUBSTITUTE(SUBSTITUTE(SUBSTITUTE(SUBSTITUTE(TRIM($AR317),"-",""),".",""),"/","")," ",""),8),5,2),--MID(LEFT(SUBSTITUTE(SUBSTITUTE(SUBSTITUTE(SUBSTITUTE(TRIM($AR317),"-",""),".",""),"/","")," ",""),8),7,2)),"")))</f>
        <v/>
      </c>
      <c r="AT317" s="23">
        <f>IF($AS317="","",IF($F$6="",0,IF(ISNUMBER(INDEX($A:$AP,ROW(),$F$6)),INDEX($A:$AP,ROW(),$F$6),IFERROR(--SUBSTITUTE(SUBSTITUTE(TRIM(INDEX($A:$AP,ROW(),$F$6)),",",""),"원",""),0))))</f>
        <v/>
      </c>
      <c r="AU317" s="23">
        <f>IF($AS317="","",IF($G$6="",0,IF(ISNUMBER(INDEX($A:$AP,ROW(),$G$6)),INDEX($A:$AP,ROW(),$G$6),IFERROR(--SUBSTITUTE(SUBSTITUTE(TRIM(INDEX($A:$AP,ROW(),$G$6)),",",""),"원",""),0))))</f>
        <v/>
      </c>
      <c r="AV317" s="23">
        <f>IF($AS317="","",IF($H$6="",$AT317+$AU317,IF($H$6="",0,IF(ISNUMBER(INDEX($A:$AP,ROW(),$H$6)),INDEX($A:$AP,ROW(),$H$6),IFERROR(--SUBSTITUTE(SUBSTITUTE(TRIM(INDEX($A:$AP,ROW(),$H$6)),",",""),"원",""),0)))))</f>
        <v/>
      </c>
      <c r="AW317" s="2">
        <f>IF(OR($AS317="",$C$6=""),"",TRIM(INDEX($A:$AP,ROW(),$C$6)&amp;""))</f>
        <v/>
      </c>
      <c r="AX317" s="2">
        <f>IF($AS317="","",IF($AZ317&lt;&gt;"",SUBSTITUTE(SUBSTITUTE($AZ317,"-","")," ",""),$AY317))</f>
        <v/>
      </c>
      <c r="AY317" s="2">
        <f>IF(OR($AS317="",$E$6=""),"",TRIM(INDEX($A:$AP,ROW(),$E$6)&amp;""))</f>
        <v/>
      </c>
      <c r="AZ317" s="2">
        <f>IF(OR($AS317="",$D$6=""),"",TRIM(INDEX($A:$AP,ROW(),$D$6)&amp;""))</f>
        <v/>
      </c>
      <c r="BA317" s="2">
        <f>IF($AS317="","",IF(AND($AS317&gt;=설정!$B$10,$AS317&lt;=설정!$B$11),"포함","기간 밖"))</f>
        <v/>
      </c>
      <c r="BB317" s="2">
        <f>IF($AS317="","",IF(OR($AT317&lt;0,AND($I$6&lt;&gt;"",ISNUMBER(FIND("수정",INDEX($A:$AP,ROW(),IF($I$6="",1,$I$6))&amp;"")))),"수정","일반"))</f>
        <v/>
      </c>
      <c r="BC317" s="2">
        <f>IF($AS317="","",MID(IF($BA317="기간 밖"," / 기간 밖(신고기간 아님)","")&amp;IF(AND($AW317&lt;&gt;"",COUNTIF($AW$8:$AW$1007,$AW317)&gt;1)," / 승인번호 중복(두 번 붙여넣기?)","")&amp;IF(ABS($AU317-ROUND($AT317*0.1,0))&gt;설정!$B$8,IF($AU317=0," / 세액 0원(영세율·면세 여부 확인)"," / 세액이 공급가액 10%와 다름"),"")&amp;IF($BB317="수정"," / 수정세금계산서(합계에서 자동 가감)",""),4,200))</f>
        <v/>
      </c>
      <c r="BD317" s="2">
        <f>IF($BA317&lt;&gt;"포함","",IF(COUNTIFS($AX$8:$AX317,$AX317,$BA$8:$BA317,"포함")=1,MAX($BD$7:BD316)+1,""))</f>
        <v/>
      </c>
      <c r="BE317" s="2">
        <f>IF($BC317="","",MAX($BE$7:BE316)+1)</f>
        <v/>
      </c>
    </row>
    <row r="318">
      <c r="AR318" s="2">
        <f>IF(OR($A$5="",$B$6="",ROW()&lt;$A$5),"",IF(INDEX($A:$AP,ROW(),$B$6)="","",INDEX($A:$AP,ROW(),$B$6)))</f>
        <v/>
      </c>
      <c r="AS318" s="22">
        <f>IF($AR318="","",IF(ISNUMBER($AR318),IF($AR318&gt;=10000000,IFERROR(DATE(INT($AR318/10000),MOD(INT($AR318/100),100),MOD($AR318,100)),""),INT($AR318)),IFERROR(DATE(--LEFT(LEFT(SUBSTITUTE(SUBSTITUTE(SUBSTITUTE(SUBSTITUTE(TRIM($AR318),"-",""),".",""),"/","")," ",""),8),4),--MID(LEFT(SUBSTITUTE(SUBSTITUTE(SUBSTITUTE(SUBSTITUTE(TRIM($AR318),"-",""),".",""),"/","")," ",""),8),5,2),--MID(LEFT(SUBSTITUTE(SUBSTITUTE(SUBSTITUTE(SUBSTITUTE(TRIM($AR318),"-",""),".",""),"/","")," ",""),8),7,2)),"")))</f>
        <v/>
      </c>
      <c r="AT318" s="23">
        <f>IF($AS318="","",IF($F$6="",0,IF(ISNUMBER(INDEX($A:$AP,ROW(),$F$6)),INDEX($A:$AP,ROW(),$F$6),IFERROR(--SUBSTITUTE(SUBSTITUTE(TRIM(INDEX($A:$AP,ROW(),$F$6)),",",""),"원",""),0))))</f>
        <v/>
      </c>
      <c r="AU318" s="23">
        <f>IF($AS318="","",IF($G$6="",0,IF(ISNUMBER(INDEX($A:$AP,ROW(),$G$6)),INDEX($A:$AP,ROW(),$G$6),IFERROR(--SUBSTITUTE(SUBSTITUTE(TRIM(INDEX($A:$AP,ROW(),$G$6)),",",""),"원",""),0))))</f>
        <v/>
      </c>
      <c r="AV318" s="23">
        <f>IF($AS318="","",IF($H$6="",$AT318+$AU318,IF($H$6="",0,IF(ISNUMBER(INDEX($A:$AP,ROW(),$H$6)),INDEX($A:$AP,ROW(),$H$6),IFERROR(--SUBSTITUTE(SUBSTITUTE(TRIM(INDEX($A:$AP,ROW(),$H$6)),",",""),"원",""),0)))))</f>
        <v/>
      </c>
      <c r="AW318" s="2">
        <f>IF(OR($AS318="",$C$6=""),"",TRIM(INDEX($A:$AP,ROW(),$C$6)&amp;""))</f>
        <v/>
      </c>
      <c r="AX318" s="2">
        <f>IF($AS318="","",IF($AZ318&lt;&gt;"",SUBSTITUTE(SUBSTITUTE($AZ318,"-","")," ",""),$AY318))</f>
        <v/>
      </c>
      <c r="AY318" s="2">
        <f>IF(OR($AS318="",$E$6=""),"",TRIM(INDEX($A:$AP,ROW(),$E$6)&amp;""))</f>
        <v/>
      </c>
      <c r="AZ318" s="2">
        <f>IF(OR($AS318="",$D$6=""),"",TRIM(INDEX($A:$AP,ROW(),$D$6)&amp;""))</f>
        <v/>
      </c>
      <c r="BA318" s="2">
        <f>IF($AS318="","",IF(AND($AS318&gt;=설정!$B$10,$AS318&lt;=설정!$B$11),"포함","기간 밖"))</f>
        <v/>
      </c>
      <c r="BB318" s="2">
        <f>IF($AS318="","",IF(OR($AT318&lt;0,AND($I$6&lt;&gt;"",ISNUMBER(FIND("수정",INDEX($A:$AP,ROW(),IF($I$6="",1,$I$6))&amp;"")))),"수정","일반"))</f>
        <v/>
      </c>
      <c r="BC318" s="2">
        <f>IF($AS318="","",MID(IF($BA318="기간 밖"," / 기간 밖(신고기간 아님)","")&amp;IF(AND($AW318&lt;&gt;"",COUNTIF($AW$8:$AW$1007,$AW318)&gt;1)," / 승인번호 중복(두 번 붙여넣기?)","")&amp;IF(ABS($AU318-ROUND($AT318*0.1,0))&gt;설정!$B$8,IF($AU318=0," / 세액 0원(영세율·면세 여부 확인)"," / 세액이 공급가액 10%와 다름"),"")&amp;IF($BB318="수정"," / 수정세금계산서(합계에서 자동 가감)",""),4,200))</f>
        <v/>
      </c>
      <c r="BD318" s="2">
        <f>IF($BA318&lt;&gt;"포함","",IF(COUNTIFS($AX$8:$AX318,$AX318,$BA$8:$BA318,"포함")=1,MAX($BD$7:BD317)+1,""))</f>
        <v/>
      </c>
      <c r="BE318" s="2">
        <f>IF($BC318="","",MAX($BE$7:BE317)+1)</f>
        <v/>
      </c>
    </row>
    <row r="319">
      <c r="AR319" s="2">
        <f>IF(OR($A$5="",$B$6="",ROW()&lt;$A$5),"",IF(INDEX($A:$AP,ROW(),$B$6)="","",INDEX($A:$AP,ROW(),$B$6)))</f>
        <v/>
      </c>
      <c r="AS319" s="22">
        <f>IF($AR319="","",IF(ISNUMBER($AR319),IF($AR319&gt;=10000000,IFERROR(DATE(INT($AR319/10000),MOD(INT($AR319/100),100),MOD($AR319,100)),""),INT($AR319)),IFERROR(DATE(--LEFT(LEFT(SUBSTITUTE(SUBSTITUTE(SUBSTITUTE(SUBSTITUTE(TRIM($AR319),"-",""),".",""),"/","")," ",""),8),4),--MID(LEFT(SUBSTITUTE(SUBSTITUTE(SUBSTITUTE(SUBSTITUTE(TRIM($AR319),"-",""),".",""),"/","")," ",""),8),5,2),--MID(LEFT(SUBSTITUTE(SUBSTITUTE(SUBSTITUTE(SUBSTITUTE(TRIM($AR319),"-",""),".",""),"/","")," ",""),8),7,2)),"")))</f>
        <v/>
      </c>
      <c r="AT319" s="23">
        <f>IF($AS319="","",IF($F$6="",0,IF(ISNUMBER(INDEX($A:$AP,ROW(),$F$6)),INDEX($A:$AP,ROW(),$F$6),IFERROR(--SUBSTITUTE(SUBSTITUTE(TRIM(INDEX($A:$AP,ROW(),$F$6)),",",""),"원",""),0))))</f>
        <v/>
      </c>
      <c r="AU319" s="23">
        <f>IF($AS319="","",IF($G$6="",0,IF(ISNUMBER(INDEX($A:$AP,ROW(),$G$6)),INDEX($A:$AP,ROW(),$G$6),IFERROR(--SUBSTITUTE(SUBSTITUTE(TRIM(INDEX($A:$AP,ROW(),$G$6)),",",""),"원",""),0))))</f>
        <v/>
      </c>
      <c r="AV319" s="23">
        <f>IF($AS319="","",IF($H$6="",$AT319+$AU319,IF($H$6="",0,IF(ISNUMBER(INDEX($A:$AP,ROW(),$H$6)),INDEX($A:$AP,ROW(),$H$6),IFERROR(--SUBSTITUTE(SUBSTITUTE(TRIM(INDEX($A:$AP,ROW(),$H$6)),",",""),"원",""),0)))))</f>
        <v/>
      </c>
      <c r="AW319" s="2">
        <f>IF(OR($AS319="",$C$6=""),"",TRIM(INDEX($A:$AP,ROW(),$C$6)&amp;""))</f>
        <v/>
      </c>
      <c r="AX319" s="2">
        <f>IF($AS319="","",IF($AZ319&lt;&gt;"",SUBSTITUTE(SUBSTITUTE($AZ319,"-","")," ",""),$AY319))</f>
        <v/>
      </c>
      <c r="AY319" s="2">
        <f>IF(OR($AS319="",$E$6=""),"",TRIM(INDEX($A:$AP,ROW(),$E$6)&amp;""))</f>
        <v/>
      </c>
      <c r="AZ319" s="2">
        <f>IF(OR($AS319="",$D$6=""),"",TRIM(INDEX($A:$AP,ROW(),$D$6)&amp;""))</f>
        <v/>
      </c>
      <c r="BA319" s="2">
        <f>IF($AS319="","",IF(AND($AS319&gt;=설정!$B$10,$AS319&lt;=설정!$B$11),"포함","기간 밖"))</f>
        <v/>
      </c>
      <c r="BB319" s="2">
        <f>IF($AS319="","",IF(OR($AT319&lt;0,AND($I$6&lt;&gt;"",ISNUMBER(FIND("수정",INDEX($A:$AP,ROW(),IF($I$6="",1,$I$6))&amp;"")))),"수정","일반"))</f>
        <v/>
      </c>
      <c r="BC319" s="2">
        <f>IF($AS319="","",MID(IF($BA319="기간 밖"," / 기간 밖(신고기간 아님)","")&amp;IF(AND($AW319&lt;&gt;"",COUNTIF($AW$8:$AW$1007,$AW319)&gt;1)," / 승인번호 중복(두 번 붙여넣기?)","")&amp;IF(ABS($AU319-ROUND($AT319*0.1,0))&gt;설정!$B$8,IF($AU319=0," / 세액 0원(영세율·면세 여부 확인)"," / 세액이 공급가액 10%와 다름"),"")&amp;IF($BB319="수정"," / 수정세금계산서(합계에서 자동 가감)",""),4,200))</f>
        <v/>
      </c>
      <c r="BD319" s="2">
        <f>IF($BA319&lt;&gt;"포함","",IF(COUNTIFS($AX$8:$AX319,$AX319,$BA$8:$BA319,"포함")=1,MAX($BD$7:BD318)+1,""))</f>
        <v/>
      </c>
      <c r="BE319" s="2">
        <f>IF($BC319="","",MAX($BE$7:BE318)+1)</f>
        <v/>
      </c>
    </row>
    <row r="320">
      <c r="AR320" s="2">
        <f>IF(OR($A$5="",$B$6="",ROW()&lt;$A$5),"",IF(INDEX($A:$AP,ROW(),$B$6)="","",INDEX($A:$AP,ROW(),$B$6)))</f>
        <v/>
      </c>
      <c r="AS320" s="22">
        <f>IF($AR320="","",IF(ISNUMBER($AR320),IF($AR320&gt;=10000000,IFERROR(DATE(INT($AR320/10000),MOD(INT($AR320/100),100),MOD($AR320,100)),""),INT($AR320)),IFERROR(DATE(--LEFT(LEFT(SUBSTITUTE(SUBSTITUTE(SUBSTITUTE(SUBSTITUTE(TRIM($AR320),"-",""),".",""),"/","")," ",""),8),4),--MID(LEFT(SUBSTITUTE(SUBSTITUTE(SUBSTITUTE(SUBSTITUTE(TRIM($AR320),"-",""),".",""),"/","")," ",""),8),5,2),--MID(LEFT(SUBSTITUTE(SUBSTITUTE(SUBSTITUTE(SUBSTITUTE(TRIM($AR320),"-",""),".",""),"/","")," ",""),8),7,2)),"")))</f>
        <v/>
      </c>
      <c r="AT320" s="23">
        <f>IF($AS320="","",IF($F$6="",0,IF(ISNUMBER(INDEX($A:$AP,ROW(),$F$6)),INDEX($A:$AP,ROW(),$F$6),IFERROR(--SUBSTITUTE(SUBSTITUTE(TRIM(INDEX($A:$AP,ROW(),$F$6)),",",""),"원",""),0))))</f>
        <v/>
      </c>
      <c r="AU320" s="23">
        <f>IF($AS320="","",IF($G$6="",0,IF(ISNUMBER(INDEX($A:$AP,ROW(),$G$6)),INDEX($A:$AP,ROW(),$G$6),IFERROR(--SUBSTITUTE(SUBSTITUTE(TRIM(INDEX($A:$AP,ROW(),$G$6)),",",""),"원",""),0))))</f>
        <v/>
      </c>
      <c r="AV320" s="23">
        <f>IF($AS320="","",IF($H$6="",$AT320+$AU320,IF($H$6="",0,IF(ISNUMBER(INDEX($A:$AP,ROW(),$H$6)),INDEX($A:$AP,ROW(),$H$6),IFERROR(--SUBSTITUTE(SUBSTITUTE(TRIM(INDEX($A:$AP,ROW(),$H$6)),",",""),"원",""),0)))))</f>
        <v/>
      </c>
      <c r="AW320" s="2">
        <f>IF(OR($AS320="",$C$6=""),"",TRIM(INDEX($A:$AP,ROW(),$C$6)&amp;""))</f>
        <v/>
      </c>
      <c r="AX320" s="2">
        <f>IF($AS320="","",IF($AZ320&lt;&gt;"",SUBSTITUTE(SUBSTITUTE($AZ320,"-","")," ",""),$AY320))</f>
        <v/>
      </c>
      <c r="AY320" s="2">
        <f>IF(OR($AS320="",$E$6=""),"",TRIM(INDEX($A:$AP,ROW(),$E$6)&amp;""))</f>
        <v/>
      </c>
      <c r="AZ320" s="2">
        <f>IF(OR($AS320="",$D$6=""),"",TRIM(INDEX($A:$AP,ROW(),$D$6)&amp;""))</f>
        <v/>
      </c>
      <c r="BA320" s="2">
        <f>IF($AS320="","",IF(AND($AS320&gt;=설정!$B$10,$AS320&lt;=설정!$B$11),"포함","기간 밖"))</f>
        <v/>
      </c>
      <c r="BB320" s="2">
        <f>IF($AS320="","",IF(OR($AT320&lt;0,AND($I$6&lt;&gt;"",ISNUMBER(FIND("수정",INDEX($A:$AP,ROW(),IF($I$6="",1,$I$6))&amp;"")))),"수정","일반"))</f>
        <v/>
      </c>
      <c r="BC320" s="2">
        <f>IF($AS320="","",MID(IF($BA320="기간 밖"," / 기간 밖(신고기간 아님)","")&amp;IF(AND($AW320&lt;&gt;"",COUNTIF($AW$8:$AW$1007,$AW320)&gt;1)," / 승인번호 중복(두 번 붙여넣기?)","")&amp;IF(ABS($AU320-ROUND($AT320*0.1,0))&gt;설정!$B$8,IF($AU320=0," / 세액 0원(영세율·면세 여부 확인)"," / 세액이 공급가액 10%와 다름"),"")&amp;IF($BB320="수정"," / 수정세금계산서(합계에서 자동 가감)",""),4,200))</f>
        <v/>
      </c>
      <c r="BD320" s="2">
        <f>IF($BA320&lt;&gt;"포함","",IF(COUNTIFS($AX$8:$AX320,$AX320,$BA$8:$BA320,"포함")=1,MAX($BD$7:BD319)+1,""))</f>
        <v/>
      </c>
      <c r="BE320" s="2">
        <f>IF($BC320="","",MAX($BE$7:BE319)+1)</f>
        <v/>
      </c>
    </row>
    <row r="321">
      <c r="AR321" s="2">
        <f>IF(OR($A$5="",$B$6="",ROW()&lt;$A$5),"",IF(INDEX($A:$AP,ROW(),$B$6)="","",INDEX($A:$AP,ROW(),$B$6)))</f>
        <v/>
      </c>
      <c r="AS321" s="22">
        <f>IF($AR321="","",IF(ISNUMBER($AR321),IF($AR321&gt;=10000000,IFERROR(DATE(INT($AR321/10000),MOD(INT($AR321/100),100),MOD($AR321,100)),""),INT($AR321)),IFERROR(DATE(--LEFT(LEFT(SUBSTITUTE(SUBSTITUTE(SUBSTITUTE(SUBSTITUTE(TRIM($AR321),"-",""),".",""),"/","")," ",""),8),4),--MID(LEFT(SUBSTITUTE(SUBSTITUTE(SUBSTITUTE(SUBSTITUTE(TRIM($AR321),"-",""),".",""),"/","")," ",""),8),5,2),--MID(LEFT(SUBSTITUTE(SUBSTITUTE(SUBSTITUTE(SUBSTITUTE(TRIM($AR321),"-",""),".",""),"/","")," ",""),8),7,2)),"")))</f>
        <v/>
      </c>
      <c r="AT321" s="23">
        <f>IF($AS321="","",IF($F$6="",0,IF(ISNUMBER(INDEX($A:$AP,ROW(),$F$6)),INDEX($A:$AP,ROW(),$F$6),IFERROR(--SUBSTITUTE(SUBSTITUTE(TRIM(INDEX($A:$AP,ROW(),$F$6)),",",""),"원",""),0))))</f>
        <v/>
      </c>
      <c r="AU321" s="23">
        <f>IF($AS321="","",IF($G$6="",0,IF(ISNUMBER(INDEX($A:$AP,ROW(),$G$6)),INDEX($A:$AP,ROW(),$G$6),IFERROR(--SUBSTITUTE(SUBSTITUTE(TRIM(INDEX($A:$AP,ROW(),$G$6)),",",""),"원",""),0))))</f>
        <v/>
      </c>
      <c r="AV321" s="23">
        <f>IF($AS321="","",IF($H$6="",$AT321+$AU321,IF($H$6="",0,IF(ISNUMBER(INDEX($A:$AP,ROW(),$H$6)),INDEX($A:$AP,ROW(),$H$6),IFERROR(--SUBSTITUTE(SUBSTITUTE(TRIM(INDEX($A:$AP,ROW(),$H$6)),",",""),"원",""),0)))))</f>
        <v/>
      </c>
      <c r="AW321" s="2">
        <f>IF(OR($AS321="",$C$6=""),"",TRIM(INDEX($A:$AP,ROW(),$C$6)&amp;""))</f>
        <v/>
      </c>
      <c r="AX321" s="2">
        <f>IF($AS321="","",IF($AZ321&lt;&gt;"",SUBSTITUTE(SUBSTITUTE($AZ321,"-","")," ",""),$AY321))</f>
        <v/>
      </c>
      <c r="AY321" s="2">
        <f>IF(OR($AS321="",$E$6=""),"",TRIM(INDEX($A:$AP,ROW(),$E$6)&amp;""))</f>
        <v/>
      </c>
      <c r="AZ321" s="2">
        <f>IF(OR($AS321="",$D$6=""),"",TRIM(INDEX($A:$AP,ROW(),$D$6)&amp;""))</f>
        <v/>
      </c>
      <c r="BA321" s="2">
        <f>IF($AS321="","",IF(AND($AS321&gt;=설정!$B$10,$AS321&lt;=설정!$B$11),"포함","기간 밖"))</f>
        <v/>
      </c>
      <c r="BB321" s="2">
        <f>IF($AS321="","",IF(OR($AT321&lt;0,AND($I$6&lt;&gt;"",ISNUMBER(FIND("수정",INDEX($A:$AP,ROW(),IF($I$6="",1,$I$6))&amp;"")))),"수정","일반"))</f>
        <v/>
      </c>
      <c r="BC321" s="2">
        <f>IF($AS321="","",MID(IF($BA321="기간 밖"," / 기간 밖(신고기간 아님)","")&amp;IF(AND($AW321&lt;&gt;"",COUNTIF($AW$8:$AW$1007,$AW321)&gt;1)," / 승인번호 중복(두 번 붙여넣기?)","")&amp;IF(ABS($AU321-ROUND($AT321*0.1,0))&gt;설정!$B$8,IF($AU321=0," / 세액 0원(영세율·면세 여부 확인)"," / 세액이 공급가액 10%와 다름"),"")&amp;IF($BB321="수정"," / 수정세금계산서(합계에서 자동 가감)",""),4,200))</f>
        <v/>
      </c>
      <c r="BD321" s="2">
        <f>IF($BA321&lt;&gt;"포함","",IF(COUNTIFS($AX$8:$AX321,$AX321,$BA$8:$BA321,"포함")=1,MAX($BD$7:BD320)+1,""))</f>
        <v/>
      </c>
      <c r="BE321" s="2">
        <f>IF($BC321="","",MAX($BE$7:BE320)+1)</f>
        <v/>
      </c>
    </row>
    <row r="322">
      <c r="AR322" s="2">
        <f>IF(OR($A$5="",$B$6="",ROW()&lt;$A$5),"",IF(INDEX($A:$AP,ROW(),$B$6)="","",INDEX($A:$AP,ROW(),$B$6)))</f>
        <v/>
      </c>
      <c r="AS322" s="22">
        <f>IF($AR322="","",IF(ISNUMBER($AR322),IF($AR322&gt;=10000000,IFERROR(DATE(INT($AR322/10000),MOD(INT($AR322/100),100),MOD($AR322,100)),""),INT($AR322)),IFERROR(DATE(--LEFT(LEFT(SUBSTITUTE(SUBSTITUTE(SUBSTITUTE(SUBSTITUTE(TRIM($AR322),"-",""),".",""),"/","")," ",""),8),4),--MID(LEFT(SUBSTITUTE(SUBSTITUTE(SUBSTITUTE(SUBSTITUTE(TRIM($AR322),"-",""),".",""),"/","")," ",""),8),5,2),--MID(LEFT(SUBSTITUTE(SUBSTITUTE(SUBSTITUTE(SUBSTITUTE(TRIM($AR322),"-",""),".",""),"/","")," ",""),8),7,2)),"")))</f>
        <v/>
      </c>
      <c r="AT322" s="23">
        <f>IF($AS322="","",IF($F$6="",0,IF(ISNUMBER(INDEX($A:$AP,ROW(),$F$6)),INDEX($A:$AP,ROW(),$F$6),IFERROR(--SUBSTITUTE(SUBSTITUTE(TRIM(INDEX($A:$AP,ROW(),$F$6)),",",""),"원",""),0))))</f>
        <v/>
      </c>
      <c r="AU322" s="23">
        <f>IF($AS322="","",IF($G$6="",0,IF(ISNUMBER(INDEX($A:$AP,ROW(),$G$6)),INDEX($A:$AP,ROW(),$G$6),IFERROR(--SUBSTITUTE(SUBSTITUTE(TRIM(INDEX($A:$AP,ROW(),$G$6)),",",""),"원",""),0))))</f>
        <v/>
      </c>
      <c r="AV322" s="23">
        <f>IF($AS322="","",IF($H$6="",$AT322+$AU322,IF($H$6="",0,IF(ISNUMBER(INDEX($A:$AP,ROW(),$H$6)),INDEX($A:$AP,ROW(),$H$6),IFERROR(--SUBSTITUTE(SUBSTITUTE(TRIM(INDEX($A:$AP,ROW(),$H$6)),",",""),"원",""),0)))))</f>
        <v/>
      </c>
      <c r="AW322" s="2">
        <f>IF(OR($AS322="",$C$6=""),"",TRIM(INDEX($A:$AP,ROW(),$C$6)&amp;""))</f>
        <v/>
      </c>
      <c r="AX322" s="2">
        <f>IF($AS322="","",IF($AZ322&lt;&gt;"",SUBSTITUTE(SUBSTITUTE($AZ322,"-","")," ",""),$AY322))</f>
        <v/>
      </c>
      <c r="AY322" s="2">
        <f>IF(OR($AS322="",$E$6=""),"",TRIM(INDEX($A:$AP,ROW(),$E$6)&amp;""))</f>
        <v/>
      </c>
      <c r="AZ322" s="2">
        <f>IF(OR($AS322="",$D$6=""),"",TRIM(INDEX($A:$AP,ROW(),$D$6)&amp;""))</f>
        <v/>
      </c>
      <c r="BA322" s="2">
        <f>IF($AS322="","",IF(AND($AS322&gt;=설정!$B$10,$AS322&lt;=설정!$B$11),"포함","기간 밖"))</f>
        <v/>
      </c>
      <c r="BB322" s="2">
        <f>IF($AS322="","",IF(OR($AT322&lt;0,AND($I$6&lt;&gt;"",ISNUMBER(FIND("수정",INDEX($A:$AP,ROW(),IF($I$6="",1,$I$6))&amp;"")))),"수정","일반"))</f>
        <v/>
      </c>
      <c r="BC322" s="2">
        <f>IF($AS322="","",MID(IF($BA322="기간 밖"," / 기간 밖(신고기간 아님)","")&amp;IF(AND($AW322&lt;&gt;"",COUNTIF($AW$8:$AW$1007,$AW322)&gt;1)," / 승인번호 중복(두 번 붙여넣기?)","")&amp;IF(ABS($AU322-ROUND($AT322*0.1,0))&gt;설정!$B$8,IF($AU322=0," / 세액 0원(영세율·면세 여부 확인)"," / 세액이 공급가액 10%와 다름"),"")&amp;IF($BB322="수정"," / 수정세금계산서(합계에서 자동 가감)",""),4,200))</f>
        <v/>
      </c>
      <c r="BD322" s="2">
        <f>IF($BA322&lt;&gt;"포함","",IF(COUNTIFS($AX$8:$AX322,$AX322,$BA$8:$BA322,"포함")=1,MAX($BD$7:BD321)+1,""))</f>
        <v/>
      </c>
      <c r="BE322" s="2">
        <f>IF($BC322="","",MAX($BE$7:BE321)+1)</f>
        <v/>
      </c>
    </row>
    <row r="323">
      <c r="AR323" s="2">
        <f>IF(OR($A$5="",$B$6="",ROW()&lt;$A$5),"",IF(INDEX($A:$AP,ROW(),$B$6)="","",INDEX($A:$AP,ROW(),$B$6)))</f>
        <v/>
      </c>
      <c r="AS323" s="22">
        <f>IF($AR323="","",IF(ISNUMBER($AR323),IF($AR323&gt;=10000000,IFERROR(DATE(INT($AR323/10000),MOD(INT($AR323/100),100),MOD($AR323,100)),""),INT($AR323)),IFERROR(DATE(--LEFT(LEFT(SUBSTITUTE(SUBSTITUTE(SUBSTITUTE(SUBSTITUTE(TRIM($AR323),"-",""),".",""),"/","")," ",""),8),4),--MID(LEFT(SUBSTITUTE(SUBSTITUTE(SUBSTITUTE(SUBSTITUTE(TRIM($AR323),"-",""),".",""),"/","")," ",""),8),5,2),--MID(LEFT(SUBSTITUTE(SUBSTITUTE(SUBSTITUTE(SUBSTITUTE(TRIM($AR323),"-",""),".",""),"/","")," ",""),8),7,2)),"")))</f>
        <v/>
      </c>
      <c r="AT323" s="23">
        <f>IF($AS323="","",IF($F$6="",0,IF(ISNUMBER(INDEX($A:$AP,ROW(),$F$6)),INDEX($A:$AP,ROW(),$F$6),IFERROR(--SUBSTITUTE(SUBSTITUTE(TRIM(INDEX($A:$AP,ROW(),$F$6)),",",""),"원",""),0))))</f>
        <v/>
      </c>
      <c r="AU323" s="23">
        <f>IF($AS323="","",IF($G$6="",0,IF(ISNUMBER(INDEX($A:$AP,ROW(),$G$6)),INDEX($A:$AP,ROW(),$G$6),IFERROR(--SUBSTITUTE(SUBSTITUTE(TRIM(INDEX($A:$AP,ROW(),$G$6)),",",""),"원",""),0))))</f>
        <v/>
      </c>
      <c r="AV323" s="23">
        <f>IF($AS323="","",IF($H$6="",$AT323+$AU323,IF($H$6="",0,IF(ISNUMBER(INDEX($A:$AP,ROW(),$H$6)),INDEX($A:$AP,ROW(),$H$6),IFERROR(--SUBSTITUTE(SUBSTITUTE(TRIM(INDEX($A:$AP,ROW(),$H$6)),",",""),"원",""),0)))))</f>
        <v/>
      </c>
      <c r="AW323" s="2">
        <f>IF(OR($AS323="",$C$6=""),"",TRIM(INDEX($A:$AP,ROW(),$C$6)&amp;""))</f>
        <v/>
      </c>
      <c r="AX323" s="2">
        <f>IF($AS323="","",IF($AZ323&lt;&gt;"",SUBSTITUTE(SUBSTITUTE($AZ323,"-","")," ",""),$AY323))</f>
        <v/>
      </c>
      <c r="AY323" s="2">
        <f>IF(OR($AS323="",$E$6=""),"",TRIM(INDEX($A:$AP,ROW(),$E$6)&amp;""))</f>
        <v/>
      </c>
      <c r="AZ323" s="2">
        <f>IF(OR($AS323="",$D$6=""),"",TRIM(INDEX($A:$AP,ROW(),$D$6)&amp;""))</f>
        <v/>
      </c>
      <c r="BA323" s="2">
        <f>IF($AS323="","",IF(AND($AS323&gt;=설정!$B$10,$AS323&lt;=설정!$B$11),"포함","기간 밖"))</f>
        <v/>
      </c>
      <c r="BB323" s="2">
        <f>IF($AS323="","",IF(OR($AT323&lt;0,AND($I$6&lt;&gt;"",ISNUMBER(FIND("수정",INDEX($A:$AP,ROW(),IF($I$6="",1,$I$6))&amp;"")))),"수정","일반"))</f>
        <v/>
      </c>
      <c r="BC323" s="2">
        <f>IF($AS323="","",MID(IF($BA323="기간 밖"," / 기간 밖(신고기간 아님)","")&amp;IF(AND($AW323&lt;&gt;"",COUNTIF($AW$8:$AW$1007,$AW323)&gt;1)," / 승인번호 중복(두 번 붙여넣기?)","")&amp;IF(ABS($AU323-ROUND($AT323*0.1,0))&gt;설정!$B$8,IF($AU323=0," / 세액 0원(영세율·면세 여부 확인)"," / 세액이 공급가액 10%와 다름"),"")&amp;IF($BB323="수정"," / 수정세금계산서(합계에서 자동 가감)",""),4,200))</f>
        <v/>
      </c>
      <c r="BD323" s="2">
        <f>IF($BA323&lt;&gt;"포함","",IF(COUNTIFS($AX$8:$AX323,$AX323,$BA$8:$BA323,"포함")=1,MAX($BD$7:BD322)+1,""))</f>
        <v/>
      </c>
      <c r="BE323" s="2">
        <f>IF($BC323="","",MAX($BE$7:BE322)+1)</f>
        <v/>
      </c>
    </row>
    <row r="324">
      <c r="AR324" s="2">
        <f>IF(OR($A$5="",$B$6="",ROW()&lt;$A$5),"",IF(INDEX($A:$AP,ROW(),$B$6)="","",INDEX($A:$AP,ROW(),$B$6)))</f>
        <v/>
      </c>
      <c r="AS324" s="22">
        <f>IF($AR324="","",IF(ISNUMBER($AR324),IF($AR324&gt;=10000000,IFERROR(DATE(INT($AR324/10000),MOD(INT($AR324/100),100),MOD($AR324,100)),""),INT($AR324)),IFERROR(DATE(--LEFT(LEFT(SUBSTITUTE(SUBSTITUTE(SUBSTITUTE(SUBSTITUTE(TRIM($AR324),"-",""),".",""),"/","")," ",""),8),4),--MID(LEFT(SUBSTITUTE(SUBSTITUTE(SUBSTITUTE(SUBSTITUTE(TRIM($AR324),"-",""),".",""),"/","")," ",""),8),5,2),--MID(LEFT(SUBSTITUTE(SUBSTITUTE(SUBSTITUTE(SUBSTITUTE(TRIM($AR324),"-",""),".",""),"/","")," ",""),8),7,2)),"")))</f>
        <v/>
      </c>
      <c r="AT324" s="23">
        <f>IF($AS324="","",IF($F$6="",0,IF(ISNUMBER(INDEX($A:$AP,ROW(),$F$6)),INDEX($A:$AP,ROW(),$F$6),IFERROR(--SUBSTITUTE(SUBSTITUTE(TRIM(INDEX($A:$AP,ROW(),$F$6)),",",""),"원",""),0))))</f>
        <v/>
      </c>
      <c r="AU324" s="23">
        <f>IF($AS324="","",IF($G$6="",0,IF(ISNUMBER(INDEX($A:$AP,ROW(),$G$6)),INDEX($A:$AP,ROW(),$G$6),IFERROR(--SUBSTITUTE(SUBSTITUTE(TRIM(INDEX($A:$AP,ROW(),$G$6)),",",""),"원",""),0))))</f>
        <v/>
      </c>
      <c r="AV324" s="23">
        <f>IF($AS324="","",IF($H$6="",$AT324+$AU324,IF($H$6="",0,IF(ISNUMBER(INDEX($A:$AP,ROW(),$H$6)),INDEX($A:$AP,ROW(),$H$6),IFERROR(--SUBSTITUTE(SUBSTITUTE(TRIM(INDEX($A:$AP,ROW(),$H$6)),",",""),"원",""),0)))))</f>
        <v/>
      </c>
      <c r="AW324" s="2">
        <f>IF(OR($AS324="",$C$6=""),"",TRIM(INDEX($A:$AP,ROW(),$C$6)&amp;""))</f>
        <v/>
      </c>
      <c r="AX324" s="2">
        <f>IF($AS324="","",IF($AZ324&lt;&gt;"",SUBSTITUTE(SUBSTITUTE($AZ324,"-","")," ",""),$AY324))</f>
        <v/>
      </c>
      <c r="AY324" s="2">
        <f>IF(OR($AS324="",$E$6=""),"",TRIM(INDEX($A:$AP,ROW(),$E$6)&amp;""))</f>
        <v/>
      </c>
      <c r="AZ324" s="2">
        <f>IF(OR($AS324="",$D$6=""),"",TRIM(INDEX($A:$AP,ROW(),$D$6)&amp;""))</f>
        <v/>
      </c>
      <c r="BA324" s="2">
        <f>IF($AS324="","",IF(AND($AS324&gt;=설정!$B$10,$AS324&lt;=설정!$B$11),"포함","기간 밖"))</f>
        <v/>
      </c>
      <c r="BB324" s="2">
        <f>IF($AS324="","",IF(OR($AT324&lt;0,AND($I$6&lt;&gt;"",ISNUMBER(FIND("수정",INDEX($A:$AP,ROW(),IF($I$6="",1,$I$6))&amp;"")))),"수정","일반"))</f>
        <v/>
      </c>
      <c r="BC324" s="2">
        <f>IF($AS324="","",MID(IF($BA324="기간 밖"," / 기간 밖(신고기간 아님)","")&amp;IF(AND($AW324&lt;&gt;"",COUNTIF($AW$8:$AW$1007,$AW324)&gt;1)," / 승인번호 중복(두 번 붙여넣기?)","")&amp;IF(ABS($AU324-ROUND($AT324*0.1,0))&gt;설정!$B$8,IF($AU324=0," / 세액 0원(영세율·면세 여부 확인)"," / 세액이 공급가액 10%와 다름"),"")&amp;IF($BB324="수정"," / 수정세금계산서(합계에서 자동 가감)",""),4,200))</f>
        <v/>
      </c>
      <c r="BD324" s="2">
        <f>IF($BA324&lt;&gt;"포함","",IF(COUNTIFS($AX$8:$AX324,$AX324,$BA$8:$BA324,"포함")=1,MAX($BD$7:BD323)+1,""))</f>
        <v/>
      </c>
      <c r="BE324" s="2">
        <f>IF($BC324="","",MAX($BE$7:BE323)+1)</f>
        <v/>
      </c>
    </row>
    <row r="325">
      <c r="AR325" s="2">
        <f>IF(OR($A$5="",$B$6="",ROW()&lt;$A$5),"",IF(INDEX($A:$AP,ROW(),$B$6)="","",INDEX($A:$AP,ROW(),$B$6)))</f>
        <v/>
      </c>
      <c r="AS325" s="22">
        <f>IF($AR325="","",IF(ISNUMBER($AR325),IF($AR325&gt;=10000000,IFERROR(DATE(INT($AR325/10000),MOD(INT($AR325/100),100),MOD($AR325,100)),""),INT($AR325)),IFERROR(DATE(--LEFT(LEFT(SUBSTITUTE(SUBSTITUTE(SUBSTITUTE(SUBSTITUTE(TRIM($AR325),"-",""),".",""),"/","")," ",""),8),4),--MID(LEFT(SUBSTITUTE(SUBSTITUTE(SUBSTITUTE(SUBSTITUTE(TRIM($AR325),"-",""),".",""),"/","")," ",""),8),5,2),--MID(LEFT(SUBSTITUTE(SUBSTITUTE(SUBSTITUTE(SUBSTITUTE(TRIM($AR325),"-",""),".",""),"/","")," ",""),8),7,2)),"")))</f>
        <v/>
      </c>
      <c r="AT325" s="23">
        <f>IF($AS325="","",IF($F$6="",0,IF(ISNUMBER(INDEX($A:$AP,ROW(),$F$6)),INDEX($A:$AP,ROW(),$F$6),IFERROR(--SUBSTITUTE(SUBSTITUTE(TRIM(INDEX($A:$AP,ROW(),$F$6)),",",""),"원",""),0))))</f>
        <v/>
      </c>
      <c r="AU325" s="23">
        <f>IF($AS325="","",IF($G$6="",0,IF(ISNUMBER(INDEX($A:$AP,ROW(),$G$6)),INDEX($A:$AP,ROW(),$G$6),IFERROR(--SUBSTITUTE(SUBSTITUTE(TRIM(INDEX($A:$AP,ROW(),$G$6)),",",""),"원",""),0))))</f>
        <v/>
      </c>
      <c r="AV325" s="23">
        <f>IF($AS325="","",IF($H$6="",$AT325+$AU325,IF($H$6="",0,IF(ISNUMBER(INDEX($A:$AP,ROW(),$H$6)),INDEX($A:$AP,ROW(),$H$6),IFERROR(--SUBSTITUTE(SUBSTITUTE(TRIM(INDEX($A:$AP,ROW(),$H$6)),",",""),"원",""),0)))))</f>
        <v/>
      </c>
      <c r="AW325" s="2">
        <f>IF(OR($AS325="",$C$6=""),"",TRIM(INDEX($A:$AP,ROW(),$C$6)&amp;""))</f>
        <v/>
      </c>
      <c r="AX325" s="2">
        <f>IF($AS325="","",IF($AZ325&lt;&gt;"",SUBSTITUTE(SUBSTITUTE($AZ325,"-","")," ",""),$AY325))</f>
        <v/>
      </c>
      <c r="AY325" s="2">
        <f>IF(OR($AS325="",$E$6=""),"",TRIM(INDEX($A:$AP,ROW(),$E$6)&amp;""))</f>
        <v/>
      </c>
      <c r="AZ325" s="2">
        <f>IF(OR($AS325="",$D$6=""),"",TRIM(INDEX($A:$AP,ROW(),$D$6)&amp;""))</f>
        <v/>
      </c>
      <c r="BA325" s="2">
        <f>IF($AS325="","",IF(AND($AS325&gt;=설정!$B$10,$AS325&lt;=설정!$B$11),"포함","기간 밖"))</f>
        <v/>
      </c>
      <c r="BB325" s="2">
        <f>IF($AS325="","",IF(OR($AT325&lt;0,AND($I$6&lt;&gt;"",ISNUMBER(FIND("수정",INDEX($A:$AP,ROW(),IF($I$6="",1,$I$6))&amp;"")))),"수정","일반"))</f>
        <v/>
      </c>
      <c r="BC325" s="2">
        <f>IF($AS325="","",MID(IF($BA325="기간 밖"," / 기간 밖(신고기간 아님)","")&amp;IF(AND($AW325&lt;&gt;"",COUNTIF($AW$8:$AW$1007,$AW325)&gt;1)," / 승인번호 중복(두 번 붙여넣기?)","")&amp;IF(ABS($AU325-ROUND($AT325*0.1,0))&gt;설정!$B$8,IF($AU325=0," / 세액 0원(영세율·면세 여부 확인)"," / 세액이 공급가액 10%와 다름"),"")&amp;IF($BB325="수정"," / 수정세금계산서(합계에서 자동 가감)",""),4,200))</f>
        <v/>
      </c>
      <c r="BD325" s="2">
        <f>IF($BA325&lt;&gt;"포함","",IF(COUNTIFS($AX$8:$AX325,$AX325,$BA$8:$BA325,"포함")=1,MAX($BD$7:BD324)+1,""))</f>
        <v/>
      </c>
      <c r="BE325" s="2">
        <f>IF($BC325="","",MAX($BE$7:BE324)+1)</f>
        <v/>
      </c>
    </row>
    <row r="326">
      <c r="AR326" s="2">
        <f>IF(OR($A$5="",$B$6="",ROW()&lt;$A$5),"",IF(INDEX($A:$AP,ROW(),$B$6)="","",INDEX($A:$AP,ROW(),$B$6)))</f>
        <v/>
      </c>
      <c r="AS326" s="22">
        <f>IF($AR326="","",IF(ISNUMBER($AR326),IF($AR326&gt;=10000000,IFERROR(DATE(INT($AR326/10000),MOD(INT($AR326/100),100),MOD($AR326,100)),""),INT($AR326)),IFERROR(DATE(--LEFT(LEFT(SUBSTITUTE(SUBSTITUTE(SUBSTITUTE(SUBSTITUTE(TRIM($AR326),"-",""),".",""),"/","")," ",""),8),4),--MID(LEFT(SUBSTITUTE(SUBSTITUTE(SUBSTITUTE(SUBSTITUTE(TRIM($AR326),"-",""),".",""),"/","")," ",""),8),5,2),--MID(LEFT(SUBSTITUTE(SUBSTITUTE(SUBSTITUTE(SUBSTITUTE(TRIM($AR326),"-",""),".",""),"/","")," ",""),8),7,2)),"")))</f>
        <v/>
      </c>
      <c r="AT326" s="23">
        <f>IF($AS326="","",IF($F$6="",0,IF(ISNUMBER(INDEX($A:$AP,ROW(),$F$6)),INDEX($A:$AP,ROW(),$F$6),IFERROR(--SUBSTITUTE(SUBSTITUTE(TRIM(INDEX($A:$AP,ROW(),$F$6)),",",""),"원",""),0))))</f>
        <v/>
      </c>
      <c r="AU326" s="23">
        <f>IF($AS326="","",IF($G$6="",0,IF(ISNUMBER(INDEX($A:$AP,ROW(),$G$6)),INDEX($A:$AP,ROW(),$G$6),IFERROR(--SUBSTITUTE(SUBSTITUTE(TRIM(INDEX($A:$AP,ROW(),$G$6)),",",""),"원",""),0))))</f>
        <v/>
      </c>
      <c r="AV326" s="23">
        <f>IF($AS326="","",IF($H$6="",$AT326+$AU326,IF($H$6="",0,IF(ISNUMBER(INDEX($A:$AP,ROW(),$H$6)),INDEX($A:$AP,ROW(),$H$6),IFERROR(--SUBSTITUTE(SUBSTITUTE(TRIM(INDEX($A:$AP,ROW(),$H$6)),",",""),"원",""),0)))))</f>
        <v/>
      </c>
      <c r="AW326" s="2">
        <f>IF(OR($AS326="",$C$6=""),"",TRIM(INDEX($A:$AP,ROW(),$C$6)&amp;""))</f>
        <v/>
      </c>
      <c r="AX326" s="2">
        <f>IF($AS326="","",IF($AZ326&lt;&gt;"",SUBSTITUTE(SUBSTITUTE($AZ326,"-","")," ",""),$AY326))</f>
        <v/>
      </c>
      <c r="AY326" s="2">
        <f>IF(OR($AS326="",$E$6=""),"",TRIM(INDEX($A:$AP,ROW(),$E$6)&amp;""))</f>
        <v/>
      </c>
      <c r="AZ326" s="2">
        <f>IF(OR($AS326="",$D$6=""),"",TRIM(INDEX($A:$AP,ROW(),$D$6)&amp;""))</f>
        <v/>
      </c>
      <c r="BA326" s="2">
        <f>IF($AS326="","",IF(AND($AS326&gt;=설정!$B$10,$AS326&lt;=설정!$B$11),"포함","기간 밖"))</f>
        <v/>
      </c>
      <c r="BB326" s="2">
        <f>IF($AS326="","",IF(OR($AT326&lt;0,AND($I$6&lt;&gt;"",ISNUMBER(FIND("수정",INDEX($A:$AP,ROW(),IF($I$6="",1,$I$6))&amp;"")))),"수정","일반"))</f>
        <v/>
      </c>
      <c r="BC326" s="2">
        <f>IF($AS326="","",MID(IF($BA326="기간 밖"," / 기간 밖(신고기간 아님)","")&amp;IF(AND($AW326&lt;&gt;"",COUNTIF($AW$8:$AW$1007,$AW326)&gt;1)," / 승인번호 중복(두 번 붙여넣기?)","")&amp;IF(ABS($AU326-ROUND($AT326*0.1,0))&gt;설정!$B$8,IF($AU326=0," / 세액 0원(영세율·면세 여부 확인)"," / 세액이 공급가액 10%와 다름"),"")&amp;IF($BB326="수정"," / 수정세금계산서(합계에서 자동 가감)",""),4,200))</f>
        <v/>
      </c>
      <c r="BD326" s="2">
        <f>IF($BA326&lt;&gt;"포함","",IF(COUNTIFS($AX$8:$AX326,$AX326,$BA$8:$BA326,"포함")=1,MAX($BD$7:BD325)+1,""))</f>
        <v/>
      </c>
      <c r="BE326" s="2">
        <f>IF($BC326="","",MAX($BE$7:BE325)+1)</f>
        <v/>
      </c>
    </row>
    <row r="327">
      <c r="AR327" s="2">
        <f>IF(OR($A$5="",$B$6="",ROW()&lt;$A$5),"",IF(INDEX($A:$AP,ROW(),$B$6)="","",INDEX($A:$AP,ROW(),$B$6)))</f>
        <v/>
      </c>
      <c r="AS327" s="22">
        <f>IF($AR327="","",IF(ISNUMBER($AR327),IF($AR327&gt;=10000000,IFERROR(DATE(INT($AR327/10000),MOD(INT($AR327/100),100),MOD($AR327,100)),""),INT($AR327)),IFERROR(DATE(--LEFT(LEFT(SUBSTITUTE(SUBSTITUTE(SUBSTITUTE(SUBSTITUTE(TRIM($AR327),"-",""),".",""),"/","")," ",""),8),4),--MID(LEFT(SUBSTITUTE(SUBSTITUTE(SUBSTITUTE(SUBSTITUTE(TRIM($AR327),"-",""),".",""),"/","")," ",""),8),5,2),--MID(LEFT(SUBSTITUTE(SUBSTITUTE(SUBSTITUTE(SUBSTITUTE(TRIM($AR327),"-",""),".",""),"/","")," ",""),8),7,2)),"")))</f>
        <v/>
      </c>
      <c r="AT327" s="23">
        <f>IF($AS327="","",IF($F$6="",0,IF(ISNUMBER(INDEX($A:$AP,ROW(),$F$6)),INDEX($A:$AP,ROW(),$F$6),IFERROR(--SUBSTITUTE(SUBSTITUTE(TRIM(INDEX($A:$AP,ROW(),$F$6)),",",""),"원",""),0))))</f>
        <v/>
      </c>
      <c r="AU327" s="23">
        <f>IF($AS327="","",IF($G$6="",0,IF(ISNUMBER(INDEX($A:$AP,ROW(),$G$6)),INDEX($A:$AP,ROW(),$G$6),IFERROR(--SUBSTITUTE(SUBSTITUTE(TRIM(INDEX($A:$AP,ROW(),$G$6)),",",""),"원",""),0))))</f>
        <v/>
      </c>
      <c r="AV327" s="23">
        <f>IF($AS327="","",IF($H$6="",$AT327+$AU327,IF($H$6="",0,IF(ISNUMBER(INDEX($A:$AP,ROW(),$H$6)),INDEX($A:$AP,ROW(),$H$6),IFERROR(--SUBSTITUTE(SUBSTITUTE(TRIM(INDEX($A:$AP,ROW(),$H$6)),",",""),"원",""),0)))))</f>
        <v/>
      </c>
      <c r="AW327" s="2">
        <f>IF(OR($AS327="",$C$6=""),"",TRIM(INDEX($A:$AP,ROW(),$C$6)&amp;""))</f>
        <v/>
      </c>
      <c r="AX327" s="2">
        <f>IF($AS327="","",IF($AZ327&lt;&gt;"",SUBSTITUTE(SUBSTITUTE($AZ327,"-","")," ",""),$AY327))</f>
        <v/>
      </c>
      <c r="AY327" s="2">
        <f>IF(OR($AS327="",$E$6=""),"",TRIM(INDEX($A:$AP,ROW(),$E$6)&amp;""))</f>
        <v/>
      </c>
      <c r="AZ327" s="2">
        <f>IF(OR($AS327="",$D$6=""),"",TRIM(INDEX($A:$AP,ROW(),$D$6)&amp;""))</f>
        <v/>
      </c>
      <c r="BA327" s="2">
        <f>IF($AS327="","",IF(AND($AS327&gt;=설정!$B$10,$AS327&lt;=설정!$B$11),"포함","기간 밖"))</f>
        <v/>
      </c>
      <c r="BB327" s="2">
        <f>IF($AS327="","",IF(OR($AT327&lt;0,AND($I$6&lt;&gt;"",ISNUMBER(FIND("수정",INDEX($A:$AP,ROW(),IF($I$6="",1,$I$6))&amp;"")))),"수정","일반"))</f>
        <v/>
      </c>
      <c r="BC327" s="2">
        <f>IF($AS327="","",MID(IF($BA327="기간 밖"," / 기간 밖(신고기간 아님)","")&amp;IF(AND($AW327&lt;&gt;"",COUNTIF($AW$8:$AW$1007,$AW327)&gt;1)," / 승인번호 중복(두 번 붙여넣기?)","")&amp;IF(ABS($AU327-ROUND($AT327*0.1,0))&gt;설정!$B$8,IF($AU327=0," / 세액 0원(영세율·면세 여부 확인)"," / 세액이 공급가액 10%와 다름"),"")&amp;IF($BB327="수정"," / 수정세금계산서(합계에서 자동 가감)",""),4,200))</f>
        <v/>
      </c>
      <c r="BD327" s="2">
        <f>IF($BA327&lt;&gt;"포함","",IF(COUNTIFS($AX$8:$AX327,$AX327,$BA$8:$BA327,"포함")=1,MAX($BD$7:BD326)+1,""))</f>
        <v/>
      </c>
      <c r="BE327" s="2">
        <f>IF($BC327="","",MAX($BE$7:BE326)+1)</f>
        <v/>
      </c>
    </row>
    <row r="328">
      <c r="AR328" s="2">
        <f>IF(OR($A$5="",$B$6="",ROW()&lt;$A$5),"",IF(INDEX($A:$AP,ROW(),$B$6)="","",INDEX($A:$AP,ROW(),$B$6)))</f>
        <v/>
      </c>
      <c r="AS328" s="22">
        <f>IF($AR328="","",IF(ISNUMBER($AR328),IF($AR328&gt;=10000000,IFERROR(DATE(INT($AR328/10000),MOD(INT($AR328/100),100),MOD($AR328,100)),""),INT($AR328)),IFERROR(DATE(--LEFT(LEFT(SUBSTITUTE(SUBSTITUTE(SUBSTITUTE(SUBSTITUTE(TRIM($AR328),"-",""),".",""),"/","")," ",""),8),4),--MID(LEFT(SUBSTITUTE(SUBSTITUTE(SUBSTITUTE(SUBSTITUTE(TRIM($AR328),"-",""),".",""),"/","")," ",""),8),5,2),--MID(LEFT(SUBSTITUTE(SUBSTITUTE(SUBSTITUTE(SUBSTITUTE(TRIM($AR328),"-",""),".",""),"/","")," ",""),8),7,2)),"")))</f>
        <v/>
      </c>
      <c r="AT328" s="23">
        <f>IF($AS328="","",IF($F$6="",0,IF(ISNUMBER(INDEX($A:$AP,ROW(),$F$6)),INDEX($A:$AP,ROW(),$F$6),IFERROR(--SUBSTITUTE(SUBSTITUTE(TRIM(INDEX($A:$AP,ROW(),$F$6)),",",""),"원",""),0))))</f>
        <v/>
      </c>
      <c r="AU328" s="23">
        <f>IF($AS328="","",IF($G$6="",0,IF(ISNUMBER(INDEX($A:$AP,ROW(),$G$6)),INDEX($A:$AP,ROW(),$G$6),IFERROR(--SUBSTITUTE(SUBSTITUTE(TRIM(INDEX($A:$AP,ROW(),$G$6)),",",""),"원",""),0))))</f>
        <v/>
      </c>
      <c r="AV328" s="23">
        <f>IF($AS328="","",IF($H$6="",$AT328+$AU328,IF($H$6="",0,IF(ISNUMBER(INDEX($A:$AP,ROW(),$H$6)),INDEX($A:$AP,ROW(),$H$6),IFERROR(--SUBSTITUTE(SUBSTITUTE(TRIM(INDEX($A:$AP,ROW(),$H$6)),",",""),"원",""),0)))))</f>
        <v/>
      </c>
      <c r="AW328" s="2">
        <f>IF(OR($AS328="",$C$6=""),"",TRIM(INDEX($A:$AP,ROW(),$C$6)&amp;""))</f>
        <v/>
      </c>
      <c r="AX328" s="2">
        <f>IF($AS328="","",IF($AZ328&lt;&gt;"",SUBSTITUTE(SUBSTITUTE($AZ328,"-","")," ",""),$AY328))</f>
        <v/>
      </c>
      <c r="AY328" s="2">
        <f>IF(OR($AS328="",$E$6=""),"",TRIM(INDEX($A:$AP,ROW(),$E$6)&amp;""))</f>
        <v/>
      </c>
      <c r="AZ328" s="2">
        <f>IF(OR($AS328="",$D$6=""),"",TRIM(INDEX($A:$AP,ROW(),$D$6)&amp;""))</f>
        <v/>
      </c>
      <c r="BA328" s="2">
        <f>IF($AS328="","",IF(AND($AS328&gt;=설정!$B$10,$AS328&lt;=설정!$B$11),"포함","기간 밖"))</f>
        <v/>
      </c>
      <c r="BB328" s="2">
        <f>IF($AS328="","",IF(OR($AT328&lt;0,AND($I$6&lt;&gt;"",ISNUMBER(FIND("수정",INDEX($A:$AP,ROW(),IF($I$6="",1,$I$6))&amp;"")))),"수정","일반"))</f>
        <v/>
      </c>
      <c r="BC328" s="2">
        <f>IF($AS328="","",MID(IF($BA328="기간 밖"," / 기간 밖(신고기간 아님)","")&amp;IF(AND($AW328&lt;&gt;"",COUNTIF($AW$8:$AW$1007,$AW328)&gt;1)," / 승인번호 중복(두 번 붙여넣기?)","")&amp;IF(ABS($AU328-ROUND($AT328*0.1,0))&gt;설정!$B$8,IF($AU328=0," / 세액 0원(영세율·면세 여부 확인)"," / 세액이 공급가액 10%와 다름"),"")&amp;IF($BB328="수정"," / 수정세금계산서(합계에서 자동 가감)",""),4,200))</f>
        <v/>
      </c>
      <c r="BD328" s="2">
        <f>IF($BA328&lt;&gt;"포함","",IF(COUNTIFS($AX$8:$AX328,$AX328,$BA$8:$BA328,"포함")=1,MAX($BD$7:BD327)+1,""))</f>
        <v/>
      </c>
      <c r="BE328" s="2">
        <f>IF($BC328="","",MAX($BE$7:BE327)+1)</f>
        <v/>
      </c>
    </row>
    <row r="329">
      <c r="AR329" s="2">
        <f>IF(OR($A$5="",$B$6="",ROW()&lt;$A$5),"",IF(INDEX($A:$AP,ROW(),$B$6)="","",INDEX($A:$AP,ROW(),$B$6)))</f>
        <v/>
      </c>
      <c r="AS329" s="22">
        <f>IF($AR329="","",IF(ISNUMBER($AR329),IF($AR329&gt;=10000000,IFERROR(DATE(INT($AR329/10000),MOD(INT($AR329/100),100),MOD($AR329,100)),""),INT($AR329)),IFERROR(DATE(--LEFT(LEFT(SUBSTITUTE(SUBSTITUTE(SUBSTITUTE(SUBSTITUTE(TRIM($AR329),"-",""),".",""),"/","")," ",""),8),4),--MID(LEFT(SUBSTITUTE(SUBSTITUTE(SUBSTITUTE(SUBSTITUTE(TRIM($AR329),"-",""),".",""),"/","")," ",""),8),5,2),--MID(LEFT(SUBSTITUTE(SUBSTITUTE(SUBSTITUTE(SUBSTITUTE(TRIM($AR329),"-",""),".",""),"/","")," ",""),8),7,2)),"")))</f>
        <v/>
      </c>
      <c r="AT329" s="23">
        <f>IF($AS329="","",IF($F$6="",0,IF(ISNUMBER(INDEX($A:$AP,ROW(),$F$6)),INDEX($A:$AP,ROW(),$F$6),IFERROR(--SUBSTITUTE(SUBSTITUTE(TRIM(INDEX($A:$AP,ROW(),$F$6)),",",""),"원",""),0))))</f>
        <v/>
      </c>
      <c r="AU329" s="23">
        <f>IF($AS329="","",IF($G$6="",0,IF(ISNUMBER(INDEX($A:$AP,ROW(),$G$6)),INDEX($A:$AP,ROW(),$G$6),IFERROR(--SUBSTITUTE(SUBSTITUTE(TRIM(INDEX($A:$AP,ROW(),$G$6)),",",""),"원",""),0))))</f>
        <v/>
      </c>
      <c r="AV329" s="23">
        <f>IF($AS329="","",IF($H$6="",$AT329+$AU329,IF($H$6="",0,IF(ISNUMBER(INDEX($A:$AP,ROW(),$H$6)),INDEX($A:$AP,ROW(),$H$6),IFERROR(--SUBSTITUTE(SUBSTITUTE(TRIM(INDEX($A:$AP,ROW(),$H$6)),",",""),"원",""),0)))))</f>
        <v/>
      </c>
      <c r="AW329" s="2">
        <f>IF(OR($AS329="",$C$6=""),"",TRIM(INDEX($A:$AP,ROW(),$C$6)&amp;""))</f>
        <v/>
      </c>
      <c r="AX329" s="2">
        <f>IF($AS329="","",IF($AZ329&lt;&gt;"",SUBSTITUTE(SUBSTITUTE($AZ329,"-","")," ",""),$AY329))</f>
        <v/>
      </c>
      <c r="AY329" s="2">
        <f>IF(OR($AS329="",$E$6=""),"",TRIM(INDEX($A:$AP,ROW(),$E$6)&amp;""))</f>
        <v/>
      </c>
      <c r="AZ329" s="2">
        <f>IF(OR($AS329="",$D$6=""),"",TRIM(INDEX($A:$AP,ROW(),$D$6)&amp;""))</f>
        <v/>
      </c>
      <c r="BA329" s="2">
        <f>IF($AS329="","",IF(AND($AS329&gt;=설정!$B$10,$AS329&lt;=설정!$B$11),"포함","기간 밖"))</f>
        <v/>
      </c>
      <c r="BB329" s="2">
        <f>IF($AS329="","",IF(OR($AT329&lt;0,AND($I$6&lt;&gt;"",ISNUMBER(FIND("수정",INDEX($A:$AP,ROW(),IF($I$6="",1,$I$6))&amp;"")))),"수정","일반"))</f>
        <v/>
      </c>
      <c r="BC329" s="2">
        <f>IF($AS329="","",MID(IF($BA329="기간 밖"," / 기간 밖(신고기간 아님)","")&amp;IF(AND($AW329&lt;&gt;"",COUNTIF($AW$8:$AW$1007,$AW329)&gt;1)," / 승인번호 중복(두 번 붙여넣기?)","")&amp;IF(ABS($AU329-ROUND($AT329*0.1,0))&gt;설정!$B$8,IF($AU329=0," / 세액 0원(영세율·면세 여부 확인)"," / 세액이 공급가액 10%와 다름"),"")&amp;IF($BB329="수정"," / 수정세금계산서(합계에서 자동 가감)",""),4,200))</f>
        <v/>
      </c>
      <c r="BD329" s="2">
        <f>IF($BA329&lt;&gt;"포함","",IF(COUNTIFS($AX$8:$AX329,$AX329,$BA$8:$BA329,"포함")=1,MAX($BD$7:BD328)+1,""))</f>
        <v/>
      </c>
      <c r="BE329" s="2">
        <f>IF($BC329="","",MAX($BE$7:BE328)+1)</f>
        <v/>
      </c>
    </row>
    <row r="330">
      <c r="AR330" s="2">
        <f>IF(OR($A$5="",$B$6="",ROW()&lt;$A$5),"",IF(INDEX($A:$AP,ROW(),$B$6)="","",INDEX($A:$AP,ROW(),$B$6)))</f>
        <v/>
      </c>
      <c r="AS330" s="22">
        <f>IF($AR330="","",IF(ISNUMBER($AR330),IF($AR330&gt;=10000000,IFERROR(DATE(INT($AR330/10000),MOD(INT($AR330/100),100),MOD($AR330,100)),""),INT($AR330)),IFERROR(DATE(--LEFT(LEFT(SUBSTITUTE(SUBSTITUTE(SUBSTITUTE(SUBSTITUTE(TRIM($AR330),"-",""),".",""),"/","")," ",""),8),4),--MID(LEFT(SUBSTITUTE(SUBSTITUTE(SUBSTITUTE(SUBSTITUTE(TRIM($AR330),"-",""),".",""),"/","")," ",""),8),5,2),--MID(LEFT(SUBSTITUTE(SUBSTITUTE(SUBSTITUTE(SUBSTITUTE(TRIM($AR330),"-",""),".",""),"/","")," ",""),8),7,2)),"")))</f>
        <v/>
      </c>
      <c r="AT330" s="23">
        <f>IF($AS330="","",IF($F$6="",0,IF(ISNUMBER(INDEX($A:$AP,ROW(),$F$6)),INDEX($A:$AP,ROW(),$F$6),IFERROR(--SUBSTITUTE(SUBSTITUTE(TRIM(INDEX($A:$AP,ROW(),$F$6)),",",""),"원",""),0))))</f>
        <v/>
      </c>
      <c r="AU330" s="23">
        <f>IF($AS330="","",IF($G$6="",0,IF(ISNUMBER(INDEX($A:$AP,ROW(),$G$6)),INDEX($A:$AP,ROW(),$G$6),IFERROR(--SUBSTITUTE(SUBSTITUTE(TRIM(INDEX($A:$AP,ROW(),$G$6)),",",""),"원",""),0))))</f>
        <v/>
      </c>
      <c r="AV330" s="23">
        <f>IF($AS330="","",IF($H$6="",$AT330+$AU330,IF($H$6="",0,IF(ISNUMBER(INDEX($A:$AP,ROW(),$H$6)),INDEX($A:$AP,ROW(),$H$6),IFERROR(--SUBSTITUTE(SUBSTITUTE(TRIM(INDEX($A:$AP,ROW(),$H$6)),",",""),"원",""),0)))))</f>
        <v/>
      </c>
      <c r="AW330" s="2">
        <f>IF(OR($AS330="",$C$6=""),"",TRIM(INDEX($A:$AP,ROW(),$C$6)&amp;""))</f>
        <v/>
      </c>
      <c r="AX330" s="2">
        <f>IF($AS330="","",IF($AZ330&lt;&gt;"",SUBSTITUTE(SUBSTITUTE($AZ330,"-","")," ",""),$AY330))</f>
        <v/>
      </c>
      <c r="AY330" s="2">
        <f>IF(OR($AS330="",$E$6=""),"",TRIM(INDEX($A:$AP,ROW(),$E$6)&amp;""))</f>
        <v/>
      </c>
      <c r="AZ330" s="2">
        <f>IF(OR($AS330="",$D$6=""),"",TRIM(INDEX($A:$AP,ROW(),$D$6)&amp;""))</f>
        <v/>
      </c>
      <c r="BA330" s="2">
        <f>IF($AS330="","",IF(AND($AS330&gt;=설정!$B$10,$AS330&lt;=설정!$B$11),"포함","기간 밖"))</f>
        <v/>
      </c>
      <c r="BB330" s="2">
        <f>IF($AS330="","",IF(OR($AT330&lt;0,AND($I$6&lt;&gt;"",ISNUMBER(FIND("수정",INDEX($A:$AP,ROW(),IF($I$6="",1,$I$6))&amp;"")))),"수정","일반"))</f>
        <v/>
      </c>
      <c r="BC330" s="2">
        <f>IF($AS330="","",MID(IF($BA330="기간 밖"," / 기간 밖(신고기간 아님)","")&amp;IF(AND($AW330&lt;&gt;"",COUNTIF($AW$8:$AW$1007,$AW330)&gt;1)," / 승인번호 중복(두 번 붙여넣기?)","")&amp;IF(ABS($AU330-ROUND($AT330*0.1,0))&gt;설정!$B$8,IF($AU330=0," / 세액 0원(영세율·면세 여부 확인)"," / 세액이 공급가액 10%와 다름"),"")&amp;IF($BB330="수정"," / 수정세금계산서(합계에서 자동 가감)",""),4,200))</f>
        <v/>
      </c>
      <c r="BD330" s="2">
        <f>IF($BA330&lt;&gt;"포함","",IF(COUNTIFS($AX$8:$AX330,$AX330,$BA$8:$BA330,"포함")=1,MAX($BD$7:BD329)+1,""))</f>
        <v/>
      </c>
      <c r="BE330" s="2">
        <f>IF($BC330="","",MAX($BE$7:BE329)+1)</f>
        <v/>
      </c>
    </row>
    <row r="331">
      <c r="AR331" s="2">
        <f>IF(OR($A$5="",$B$6="",ROW()&lt;$A$5),"",IF(INDEX($A:$AP,ROW(),$B$6)="","",INDEX($A:$AP,ROW(),$B$6)))</f>
        <v/>
      </c>
      <c r="AS331" s="22">
        <f>IF($AR331="","",IF(ISNUMBER($AR331),IF($AR331&gt;=10000000,IFERROR(DATE(INT($AR331/10000),MOD(INT($AR331/100),100),MOD($AR331,100)),""),INT($AR331)),IFERROR(DATE(--LEFT(LEFT(SUBSTITUTE(SUBSTITUTE(SUBSTITUTE(SUBSTITUTE(TRIM($AR331),"-",""),".",""),"/","")," ",""),8),4),--MID(LEFT(SUBSTITUTE(SUBSTITUTE(SUBSTITUTE(SUBSTITUTE(TRIM($AR331),"-",""),".",""),"/","")," ",""),8),5,2),--MID(LEFT(SUBSTITUTE(SUBSTITUTE(SUBSTITUTE(SUBSTITUTE(TRIM($AR331),"-",""),".",""),"/","")," ",""),8),7,2)),"")))</f>
        <v/>
      </c>
      <c r="AT331" s="23">
        <f>IF($AS331="","",IF($F$6="",0,IF(ISNUMBER(INDEX($A:$AP,ROW(),$F$6)),INDEX($A:$AP,ROW(),$F$6),IFERROR(--SUBSTITUTE(SUBSTITUTE(TRIM(INDEX($A:$AP,ROW(),$F$6)),",",""),"원",""),0))))</f>
        <v/>
      </c>
      <c r="AU331" s="23">
        <f>IF($AS331="","",IF($G$6="",0,IF(ISNUMBER(INDEX($A:$AP,ROW(),$G$6)),INDEX($A:$AP,ROW(),$G$6),IFERROR(--SUBSTITUTE(SUBSTITUTE(TRIM(INDEX($A:$AP,ROW(),$G$6)),",",""),"원",""),0))))</f>
        <v/>
      </c>
      <c r="AV331" s="23">
        <f>IF($AS331="","",IF($H$6="",$AT331+$AU331,IF($H$6="",0,IF(ISNUMBER(INDEX($A:$AP,ROW(),$H$6)),INDEX($A:$AP,ROW(),$H$6),IFERROR(--SUBSTITUTE(SUBSTITUTE(TRIM(INDEX($A:$AP,ROW(),$H$6)),",",""),"원",""),0)))))</f>
        <v/>
      </c>
      <c r="AW331" s="2">
        <f>IF(OR($AS331="",$C$6=""),"",TRIM(INDEX($A:$AP,ROW(),$C$6)&amp;""))</f>
        <v/>
      </c>
      <c r="AX331" s="2">
        <f>IF($AS331="","",IF($AZ331&lt;&gt;"",SUBSTITUTE(SUBSTITUTE($AZ331,"-","")," ",""),$AY331))</f>
        <v/>
      </c>
      <c r="AY331" s="2">
        <f>IF(OR($AS331="",$E$6=""),"",TRIM(INDEX($A:$AP,ROW(),$E$6)&amp;""))</f>
        <v/>
      </c>
      <c r="AZ331" s="2">
        <f>IF(OR($AS331="",$D$6=""),"",TRIM(INDEX($A:$AP,ROW(),$D$6)&amp;""))</f>
        <v/>
      </c>
      <c r="BA331" s="2">
        <f>IF($AS331="","",IF(AND($AS331&gt;=설정!$B$10,$AS331&lt;=설정!$B$11),"포함","기간 밖"))</f>
        <v/>
      </c>
      <c r="BB331" s="2">
        <f>IF($AS331="","",IF(OR($AT331&lt;0,AND($I$6&lt;&gt;"",ISNUMBER(FIND("수정",INDEX($A:$AP,ROW(),IF($I$6="",1,$I$6))&amp;"")))),"수정","일반"))</f>
        <v/>
      </c>
      <c r="BC331" s="2">
        <f>IF($AS331="","",MID(IF($BA331="기간 밖"," / 기간 밖(신고기간 아님)","")&amp;IF(AND($AW331&lt;&gt;"",COUNTIF($AW$8:$AW$1007,$AW331)&gt;1)," / 승인번호 중복(두 번 붙여넣기?)","")&amp;IF(ABS($AU331-ROUND($AT331*0.1,0))&gt;설정!$B$8,IF($AU331=0," / 세액 0원(영세율·면세 여부 확인)"," / 세액이 공급가액 10%와 다름"),"")&amp;IF($BB331="수정"," / 수정세금계산서(합계에서 자동 가감)",""),4,200))</f>
        <v/>
      </c>
      <c r="BD331" s="2">
        <f>IF($BA331&lt;&gt;"포함","",IF(COUNTIFS($AX$8:$AX331,$AX331,$BA$8:$BA331,"포함")=1,MAX($BD$7:BD330)+1,""))</f>
        <v/>
      </c>
      <c r="BE331" s="2">
        <f>IF($BC331="","",MAX($BE$7:BE330)+1)</f>
        <v/>
      </c>
    </row>
    <row r="332">
      <c r="AR332" s="2">
        <f>IF(OR($A$5="",$B$6="",ROW()&lt;$A$5),"",IF(INDEX($A:$AP,ROW(),$B$6)="","",INDEX($A:$AP,ROW(),$B$6)))</f>
        <v/>
      </c>
      <c r="AS332" s="22">
        <f>IF($AR332="","",IF(ISNUMBER($AR332),IF($AR332&gt;=10000000,IFERROR(DATE(INT($AR332/10000),MOD(INT($AR332/100),100),MOD($AR332,100)),""),INT($AR332)),IFERROR(DATE(--LEFT(LEFT(SUBSTITUTE(SUBSTITUTE(SUBSTITUTE(SUBSTITUTE(TRIM($AR332),"-",""),".",""),"/","")," ",""),8),4),--MID(LEFT(SUBSTITUTE(SUBSTITUTE(SUBSTITUTE(SUBSTITUTE(TRIM($AR332),"-",""),".",""),"/","")," ",""),8),5,2),--MID(LEFT(SUBSTITUTE(SUBSTITUTE(SUBSTITUTE(SUBSTITUTE(TRIM($AR332),"-",""),".",""),"/","")," ",""),8),7,2)),"")))</f>
        <v/>
      </c>
      <c r="AT332" s="23">
        <f>IF($AS332="","",IF($F$6="",0,IF(ISNUMBER(INDEX($A:$AP,ROW(),$F$6)),INDEX($A:$AP,ROW(),$F$6),IFERROR(--SUBSTITUTE(SUBSTITUTE(TRIM(INDEX($A:$AP,ROW(),$F$6)),",",""),"원",""),0))))</f>
        <v/>
      </c>
      <c r="AU332" s="23">
        <f>IF($AS332="","",IF($G$6="",0,IF(ISNUMBER(INDEX($A:$AP,ROW(),$G$6)),INDEX($A:$AP,ROW(),$G$6),IFERROR(--SUBSTITUTE(SUBSTITUTE(TRIM(INDEX($A:$AP,ROW(),$G$6)),",",""),"원",""),0))))</f>
        <v/>
      </c>
      <c r="AV332" s="23">
        <f>IF($AS332="","",IF($H$6="",$AT332+$AU332,IF($H$6="",0,IF(ISNUMBER(INDEX($A:$AP,ROW(),$H$6)),INDEX($A:$AP,ROW(),$H$6),IFERROR(--SUBSTITUTE(SUBSTITUTE(TRIM(INDEX($A:$AP,ROW(),$H$6)),",",""),"원",""),0)))))</f>
        <v/>
      </c>
      <c r="AW332" s="2">
        <f>IF(OR($AS332="",$C$6=""),"",TRIM(INDEX($A:$AP,ROW(),$C$6)&amp;""))</f>
        <v/>
      </c>
      <c r="AX332" s="2">
        <f>IF($AS332="","",IF($AZ332&lt;&gt;"",SUBSTITUTE(SUBSTITUTE($AZ332,"-","")," ",""),$AY332))</f>
        <v/>
      </c>
      <c r="AY332" s="2">
        <f>IF(OR($AS332="",$E$6=""),"",TRIM(INDEX($A:$AP,ROW(),$E$6)&amp;""))</f>
        <v/>
      </c>
      <c r="AZ332" s="2">
        <f>IF(OR($AS332="",$D$6=""),"",TRIM(INDEX($A:$AP,ROW(),$D$6)&amp;""))</f>
        <v/>
      </c>
      <c r="BA332" s="2">
        <f>IF($AS332="","",IF(AND($AS332&gt;=설정!$B$10,$AS332&lt;=설정!$B$11),"포함","기간 밖"))</f>
        <v/>
      </c>
      <c r="BB332" s="2">
        <f>IF($AS332="","",IF(OR($AT332&lt;0,AND($I$6&lt;&gt;"",ISNUMBER(FIND("수정",INDEX($A:$AP,ROW(),IF($I$6="",1,$I$6))&amp;"")))),"수정","일반"))</f>
        <v/>
      </c>
      <c r="BC332" s="2">
        <f>IF($AS332="","",MID(IF($BA332="기간 밖"," / 기간 밖(신고기간 아님)","")&amp;IF(AND($AW332&lt;&gt;"",COUNTIF($AW$8:$AW$1007,$AW332)&gt;1)," / 승인번호 중복(두 번 붙여넣기?)","")&amp;IF(ABS($AU332-ROUND($AT332*0.1,0))&gt;설정!$B$8,IF($AU332=0," / 세액 0원(영세율·면세 여부 확인)"," / 세액이 공급가액 10%와 다름"),"")&amp;IF($BB332="수정"," / 수정세금계산서(합계에서 자동 가감)",""),4,200))</f>
        <v/>
      </c>
      <c r="BD332" s="2">
        <f>IF($BA332&lt;&gt;"포함","",IF(COUNTIFS($AX$8:$AX332,$AX332,$BA$8:$BA332,"포함")=1,MAX($BD$7:BD331)+1,""))</f>
        <v/>
      </c>
      <c r="BE332" s="2">
        <f>IF($BC332="","",MAX($BE$7:BE331)+1)</f>
        <v/>
      </c>
    </row>
    <row r="333">
      <c r="AR333" s="2">
        <f>IF(OR($A$5="",$B$6="",ROW()&lt;$A$5),"",IF(INDEX($A:$AP,ROW(),$B$6)="","",INDEX($A:$AP,ROW(),$B$6)))</f>
        <v/>
      </c>
      <c r="AS333" s="22">
        <f>IF($AR333="","",IF(ISNUMBER($AR333),IF($AR333&gt;=10000000,IFERROR(DATE(INT($AR333/10000),MOD(INT($AR333/100),100),MOD($AR333,100)),""),INT($AR333)),IFERROR(DATE(--LEFT(LEFT(SUBSTITUTE(SUBSTITUTE(SUBSTITUTE(SUBSTITUTE(TRIM($AR333),"-",""),".",""),"/","")," ",""),8),4),--MID(LEFT(SUBSTITUTE(SUBSTITUTE(SUBSTITUTE(SUBSTITUTE(TRIM($AR333),"-",""),".",""),"/","")," ",""),8),5,2),--MID(LEFT(SUBSTITUTE(SUBSTITUTE(SUBSTITUTE(SUBSTITUTE(TRIM($AR333),"-",""),".",""),"/","")," ",""),8),7,2)),"")))</f>
        <v/>
      </c>
      <c r="AT333" s="23">
        <f>IF($AS333="","",IF($F$6="",0,IF(ISNUMBER(INDEX($A:$AP,ROW(),$F$6)),INDEX($A:$AP,ROW(),$F$6),IFERROR(--SUBSTITUTE(SUBSTITUTE(TRIM(INDEX($A:$AP,ROW(),$F$6)),",",""),"원",""),0))))</f>
        <v/>
      </c>
      <c r="AU333" s="23">
        <f>IF($AS333="","",IF($G$6="",0,IF(ISNUMBER(INDEX($A:$AP,ROW(),$G$6)),INDEX($A:$AP,ROW(),$G$6),IFERROR(--SUBSTITUTE(SUBSTITUTE(TRIM(INDEX($A:$AP,ROW(),$G$6)),",",""),"원",""),0))))</f>
        <v/>
      </c>
      <c r="AV333" s="23">
        <f>IF($AS333="","",IF($H$6="",$AT333+$AU333,IF($H$6="",0,IF(ISNUMBER(INDEX($A:$AP,ROW(),$H$6)),INDEX($A:$AP,ROW(),$H$6),IFERROR(--SUBSTITUTE(SUBSTITUTE(TRIM(INDEX($A:$AP,ROW(),$H$6)),",",""),"원",""),0)))))</f>
        <v/>
      </c>
      <c r="AW333" s="2">
        <f>IF(OR($AS333="",$C$6=""),"",TRIM(INDEX($A:$AP,ROW(),$C$6)&amp;""))</f>
        <v/>
      </c>
      <c r="AX333" s="2">
        <f>IF($AS333="","",IF($AZ333&lt;&gt;"",SUBSTITUTE(SUBSTITUTE($AZ333,"-","")," ",""),$AY333))</f>
        <v/>
      </c>
      <c r="AY333" s="2">
        <f>IF(OR($AS333="",$E$6=""),"",TRIM(INDEX($A:$AP,ROW(),$E$6)&amp;""))</f>
        <v/>
      </c>
      <c r="AZ333" s="2">
        <f>IF(OR($AS333="",$D$6=""),"",TRIM(INDEX($A:$AP,ROW(),$D$6)&amp;""))</f>
        <v/>
      </c>
      <c r="BA333" s="2">
        <f>IF($AS333="","",IF(AND($AS333&gt;=설정!$B$10,$AS333&lt;=설정!$B$11),"포함","기간 밖"))</f>
        <v/>
      </c>
      <c r="BB333" s="2">
        <f>IF($AS333="","",IF(OR($AT333&lt;0,AND($I$6&lt;&gt;"",ISNUMBER(FIND("수정",INDEX($A:$AP,ROW(),IF($I$6="",1,$I$6))&amp;"")))),"수정","일반"))</f>
        <v/>
      </c>
      <c r="BC333" s="2">
        <f>IF($AS333="","",MID(IF($BA333="기간 밖"," / 기간 밖(신고기간 아님)","")&amp;IF(AND($AW333&lt;&gt;"",COUNTIF($AW$8:$AW$1007,$AW333)&gt;1)," / 승인번호 중복(두 번 붙여넣기?)","")&amp;IF(ABS($AU333-ROUND($AT333*0.1,0))&gt;설정!$B$8,IF($AU333=0," / 세액 0원(영세율·면세 여부 확인)"," / 세액이 공급가액 10%와 다름"),"")&amp;IF($BB333="수정"," / 수정세금계산서(합계에서 자동 가감)",""),4,200))</f>
        <v/>
      </c>
      <c r="BD333" s="2">
        <f>IF($BA333&lt;&gt;"포함","",IF(COUNTIFS($AX$8:$AX333,$AX333,$BA$8:$BA333,"포함")=1,MAX($BD$7:BD332)+1,""))</f>
        <v/>
      </c>
      <c r="BE333" s="2">
        <f>IF($BC333="","",MAX($BE$7:BE332)+1)</f>
        <v/>
      </c>
    </row>
    <row r="334">
      <c r="AR334" s="2">
        <f>IF(OR($A$5="",$B$6="",ROW()&lt;$A$5),"",IF(INDEX($A:$AP,ROW(),$B$6)="","",INDEX($A:$AP,ROW(),$B$6)))</f>
        <v/>
      </c>
      <c r="AS334" s="22">
        <f>IF($AR334="","",IF(ISNUMBER($AR334),IF($AR334&gt;=10000000,IFERROR(DATE(INT($AR334/10000),MOD(INT($AR334/100),100),MOD($AR334,100)),""),INT($AR334)),IFERROR(DATE(--LEFT(LEFT(SUBSTITUTE(SUBSTITUTE(SUBSTITUTE(SUBSTITUTE(TRIM($AR334),"-",""),".",""),"/","")," ",""),8),4),--MID(LEFT(SUBSTITUTE(SUBSTITUTE(SUBSTITUTE(SUBSTITUTE(TRIM($AR334),"-",""),".",""),"/","")," ",""),8),5,2),--MID(LEFT(SUBSTITUTE(SUBSTITUTE(SUBSTITUTE(SUBSTITUTE(TRIM($AR334),"-",""),".",""),"/","")," ",""),8),7,2)),"")))</f>
        <v/>
      </c>
      <c r="AT334" s="23">
        <f>IF($AS334="","",IF($F$6="",0,IF(ISNUMBER(INDEX($A:$AP,ROW(),$F$6)),INDEX($A:$AP,ROW(),$F$6),IFERROR(--SUBSTITUTE(SUBSTITUTE(TRIM(INDEX($A:$AP,ROW(),$F$6)),",",""),"원",""),0))))</f>
        <v/>
      </c>
      <c r="AU334" s="23">
        <f>IF($AS334="","",IF($G$6="",0,IF(ISNUMBER(INDEX($A:$AP,ROW(),$G$6)),INDEX($A:$AP,ROW(),$G$6),IFERROR(--SUBSTITUTE(SUBSTITUTE(TRIM(INDEX($A:$AP,ROW(),$G$6)),",",""),"원",""),0))))</f>
        <v/>
      </c>
      <c r="AV334" s="23">
        <f>IF($AS334="","",IF($H$6="",$AT334+$AU334,IF($H$6="",0,IF(ISNUMBER(INDEX($A:$AP,ROW(),$H$6)),INDEX($A:$AP,ROW(),$H$6),IFERROR(--SUBSTITUTE(SUBSTITUTE(TRIM(INDEX($A:$AP,ROW(),$H$6)),",",""),"원",""),0)))))</f>
        <v/>
      </c>
      <c r="AW334" s="2">
        <f>IF(OR($AS334="",$C$6=""),"",TRIM(INDEX($A:$AP,ROW(),$C$6)&amp;""))</f>
        <v/>
      </c>
      <c r="AX334" s="2">
        <f>IF($AS334="","",IF($AZ334&lt;&gt;"",SUBSTITUTE(SUBSTITUTE($AZ334,"-","")," ",""),$AY334))</f>
        <v/>
      </c>
      <c r="AY334" s="2">
        <f>IF(OR($AS334="",$E$6=""),"",TRIM(INDEX($A:$AP,ROW(),$E$6)&amp;""))</f>
        <v/>
      </c>
      <c r="AZ334" s="2">
        <f>IF(OR($AS334="",$D$6=""),"",TRIM(INDEX($A:$AP,ROW(),$D$6)&amp;""))</f>
        <v/>
      </c>
      <c r="BA334" s="2">
        <f>IF($AS334="","",IF(AND($AS334&gt;=설정!$B$10,$AS334&lt;=설정!$B$11),"포함","기간 밖"))</f>
        <v/>
      </c>
      <c r="BB334" s="2">
        <f>IF($AS334="","",IF(OR($AT334&lt;0,AND($I$6&lt;&gt;"",ISNUMBER(FIND("수정",INDEX($A:$AP,ROW(),IF($I$6="",1,$I$6))&amp;"")))),"수정","일반"))</f>
        <v/>
      </c>
      <c r="BC334" s="2">
        <f>IF($AS334="","",MID(IF($BA334="기간 밖"," / 기간 밖(신고기간 아님)","")&amp;IF(AND($AW334&lt;&gt;"",COUNTIF($AW$8:$AW$1007,$AW334)&gt;1)," / 승인번호 중복(두 번 붙여넣기?)","")&amp;IF(ABS($AU334-ROUND($AT334*0.1,0))&gt;설정!$B$8,IF($AU334=0," / 세액 0원(영세율·면세 여부 확인)"," / 세액이 공급가액 10%와 다름"),"")&amp;IF($BB334="수정"," / 수정세금계산서(합계에서 자동 가감)",""),4,200))</f>
        <v/>
      </c>
      <c r="BD334" s="2">
        <f>IF($BA334&lt;&gt;"포함","",IF(COUNTIFS($AX$8:$AX334,$AX334,$BA$8:$BA334,"포함")=1,MAX($BD$7:BD333)+1,""))</f>
        <v/>
      </c>
      <c r="BE334" s="2">
        <f>IF($BC334="","",MAX($BE$7:BE333)+1)</f>
        <v/>
      </c>
    </row>
    <row r="335">
      <c r="AR335" s="2">
        <f>IF(OR($A$5="",$B$6="",ROW()&lt;$A$5),"",IF(INDEX($A:$AP,ROW(),$B$6)="","",INDEX($A:$AP,ROW(),$B$6)))</f>
        <v/>
      </c>
      <c r="AS335" s="22">
        <f>IF($AR335="","",IF(ISNUMBER($AR335),IF($AR335&gt;=10000000,IFERROR(DATE(INT($AR335/10000),MOD(INT($AR335/100),100),MOD($AR335,100)),""),INT($AR335)),IFERROR(DATE(--LEFT(LEFT(SUBSTITUTE(SUBSTITUTE(SUBSTITUTE(SUBSTITUTE(TRIM($AR335),"-",""),".",""),"/","")," ",""),8),4),--MID(LEFT(SUBSTITUTE(SUBSTITUTE(SUBSTITUTE(SUBSTITUTE(TRIM($AR335),"-",""),".",""),"/","")," ",""),8),5,2),--MID(LEFT(SUBSTITUTE(SUBSTITUTE(SUBSTITUTE(SUBSTITUTE(TRIM($AR335),"-",""),".",""),"/","")," ",""),8),7,2)),"")))</f>
        <v/>
      </c>
      <c r="AT335" s="23">
        <f>IF($AS335="","",IF($F$6="",0,IF(ISNUMBER(INDEX($A:$AP,ROW(),$F$6)),INDEX($A:$AP,ROW(),$F$6),IFERROR(--SUBSTITUTE(SUBSTITUTE(TRIM(INDEX($A:$AP,ROW(),$F$6)),",",""),"원",""),0))))</f>
        <v/>
      </c>
      <c r="AU335" s="23">
        <f>IF($AS335="","",IF($G$6="",0,IF(ISNUMBER(INDEX($A:$AP,ROW(),$G$6)),INDEX($A:$AP,ROW(),$G$6),IFERROR(--SUBSTITUTE(SUBSTITUTE(TRIM(INDEX($A:$AP,ROW(),$G$6)),",",""),"원",""),0))))</f>
        <v/>
      </c>
      <c r="AV335" s="23">
        <f>IF($AS335="","",IF($H$6="",$AT335+$AU335,IF($H$6="",0,IF(ISNUMBER(INDEX($A:$AP,ROW(),$H$6)),INDEX($A:$AP,ROW(),$H$6),IFERROR(--SUBSTITUTE(SUBSTITUTE(TRIM(INDEX($A:$AP,ROW(),$H$6)),",",""),"원",""),0)))))</f>
        <v/>
      </c>
      <c r="AW335" s="2">
        <f>IF(OR($AS335="",$C$6=""),"",TRIM(INDEX($A:$AP,ROW(),$C$6)&amp;""))</f>
        <v/>
      </c>
      <c r="AX335" s="2">
        <f>IF($AS335="","",IF($AZ335&lt;&gt;"",SUBSTITUTE(SUBSTITUTE($AZ335,"-","")," ",""),$AY335))</f>
        <v/>
      </c>
      <c r="AY335" s="2">
        <f>IF(OR($AS335="",$E$6=""),"",TRIM(INDEX($A:$AP,ROW(),$E$6)&amp;""))</f>
        <v/>
      </c>
      <c r="AZ335" s="2">
        <f>IF(OR($AS335="",$D$6=""),"",TRIM(INDEX($A:$AP,ROW(),$D$6)&amp;""))</f>
        <v/>
      </c>
      <c r="BA335" s="2">
        <f>IF($AS335="","",IF(AND($AS335&gt;=설정!$B$10,$AS335&lt;=설정!$B$11),"포함","기간 밖"))</f>
        <v/>
      </c>
      <c r="BB335" s="2">
        <f>IF($AS335="","",IF(OR($AT335&lt;0,AND($I$6&lt;&gt;"",ISNUMBER(FIND("수정",INDEX($A:$AP,ROW(),IF($I$6="",1,$I$6))&amp;"")))),"수정","일반"))</f>
        <v/>
      </c>
      <c r="BC335" s="2">
        <f>IF($AS335="","",MID(IF($BA335="기간 밖"," / 기간 밖(신고기간 아님)","")&amp;IF(AND($AW335&lt;&gt;"",COUNTIF($AW$8:$AW$1007,$AW335)&gt;1)," / 승인번호 중복(두 번 붙여넣기?)","")&amp;IF(ABS($AU335-ROUND($AT335*0.1,0))&gt;설정!$B$8,IF($AU335=0," / 세액 0원(영세율·면세 여부 확인)"," / 세액이 공급가액 10%와 다름"),"")&amp;IF($BB335="수정"," / 수정세금계산서(합계에서 자동 가감)",""),4,200))</f>
        <v/>
      </c>
      <c r="BD335" s="2">
        <f>IF($BA335&lt;&gt;"포함","",IF(COUNTIFS($AX$8:$AX335,$AX335,$BA$8:$BA335,"포함")=1,MAX($BD$7:BD334)+1,""))</f>
        <v/>
      </c>
      <c r="BE335" s="2">
        <f>IF($BC335="","",MAX($BE$7:BE334)+1)</f>
        <v/>
      </c>
    </row>
    <row r="336">
      <c r="AR336" s="2">
        <f>IF(OR($A$5="",$B$6="",ROW()&lt;$A$5),"",IF(INDEX($A:$AP,ROW(),$B$6)="","",INDEX($A:$AP,ROW(),$B$6)))</f>
        <v/>
      </c>
      <c r="AS336" s="22">
        <f>IF($AR336="","",IF(ISNUMBER($AR336),IF($AR336&gt;=10000000,IFERROR(DATE(INT($AR336/10000),MOD(INT($AR336/100),100),MOD($AR336,100)),""),INT($AR336)),IFERROR(DATE(--LEFT(LEFT(SUBSTITUTE(SUBSTITUTE(SUBSTITUTE(SUBSTITUTE(TRIM($AR336),"-",""),".",""),"/","")," ",""),8),4),--MID(LEFT(SUBSTITUTE(SUBSTITUTE(SUBSTITUTE(SUBSTITUTE(TRIM($AR336),"-",""),".",""),"/","")," ",""),8),5,2),--MID(LEFT(SUBSTITUTE(SUBSTITUTE(SUBSTITUTE(SUBSTITUTE(TRIM($AR336),"-",""),".",""),"/","")," ",""),8),7,2)),"")))</f>
        <v/>
      </c>
      <c r="AT336" s="23">
        <f>IF($AS336="","",IF($F$6="",0,IF(ISNUMBER(INDEX($A:$AP,ROW(),$F$6)),INDEX($A:$AP,ROW(),$F$6),IFERROR(--SUBSTITUTE(SUBSTITUTE(TRIM(INDEX($A:$AP,ROW(),$F$6)),",",""),"원",""),0))))</f>
        <v/>
      </c>
      <c r="AU336" s="23">
        <f>IF($AS336="","",IF($G$6="",0,IF(ISNUMBER(INDEX($A:$AP,ROW(),$G$6)),INDEX($A:$AP,ROW(),$G$6),IFERROR(--SUBSTITUTE(SUBSTITUTE(TRIM(INDEX($A:$AP,ROW(),$G$6)),",",""),"원",""),0))))</f>
        <v/>
      </c>
      <c r="AV336" s="23">
        <f>IF($AS336="","",IF($H$6="",$AT336+$AU336,IF($H$6="",0,IF(ISNUMBER(INDEX($A:$AP,ROW(),$H$6)),INDEX($A:$AP,ROW(),$H$6),IFERROR(--SUBSTITUTE(SUBSTITUTE(TRIM(INDEX($A:$AP,ROW(),$H$6)),",",""),"원",""),0)))))</f>
        <v/>
      </c>
      <c r="AW336" s="2">
        <f>IF(OR($AS336="",$C$6=""),"",TRIM(INDEX($A:$AP,ROW(),$C$6)&amp;""))</f>
        <v/>
      </c>
      <c r="AX336" s="2">
        <f>IF($AS336="","",IF($AZ336&lt;&gt;"",SUBSTITUTE(SUBSTITUTE($AZ336,"-","")," ",""),$AY336))</f>
        <v/>
      </c>
      <c r="AY336" s="2">
        <f>IF(OR($AS336="",$E$6=""),"",TRIM(INDEX($A:$AP,ROW(),$E$6)&amp;""))</f>
        <v/>
      </c>
      <c r="AZ336" s="2">
        <f>IF(OR($AS336="",$D$6=""),"",TRIM(INDEX($A:$AP,ROW(),$D$6)&amp;""))</f>
        <v/>
      </c>
      <c r="BA336" s="2">
        <f>IF($AS336="","",IF(AND($AS336&gt;=설정!$B$10,$AS336&lt;=설정!$B$11),"포함","기간 밖"))</f>
        <v/>
      </c>
      <c r="BB336" s="2">
        <f>IF($AS336="","",IF(OR($AT336&lt;0,AND($I$6&lt;&gt;"",ISNUMBER(FIND("수정",INDEX($A:$AP,ROW(),IF($I$6="",1,$I$6))&amp;"")))),"수정","일반"))</f>
        <v/>
      </c>
      <c r="BC336" s="2">
        <f>IF($AS336="","",MID(IF($BA336="기간 밖"," / 기간 밖(신고기간 아님)","")&amp;IF(AND($AW336&lt;&gt;"",COUNTIF($AW$8:$AW$1007,$AW336)&gt;1)," / 승인번호 중복(두 번 붙여넣기?)","")&amp;IF(ABS($AU336-ROUND($AT336*0.1,0))&gt;설정!$B$8,IF($AU336=0," / 세액 0원(영세율·면세 여부 확인)"," / 세액이 공급가액 10%와 다름"),"")&amp;IF($BB336="수정"," / 수정세금계산서(합계에서 자동 가감)",""),4,200))</f>
        <v/>
      </c>
      <c r="BD336" s="2">
        <f>IF($BA336&lt;&gt;"포함","",IF(COUNTIFS($AX$8:$AX336,$AX336,$BA$8:$BA336,"포함")=1,MAX($BD$7:BD335)+1,""))</f>
        <v/>
      </c>
      <c r="BE336" s="2">
        <f>IF($BC336="","",MAX($BE$7:BE335)+1)</f>
        <v/>
      </c>
    </row>
    <row r="337">
      <c r="AR337" s="2">
        <f>IF(OR($A$5="",$B$6="",ROW()&lt;$A$5),"",IF(INDEX($A:$AP,ROW(),$B$6)="","",INDEX($A:$AP,ROW(),$B$6)))</f>
        <v/>
      </c>
      <c r="AS337" s="22">
        <f>IF($AR337="","",IF(ISNUMBER($AR337),IF($AR337&gt;=10000000,IFERROR(DATE(INT($AR337/10000),MOD(INT($AR337/100),100),MOD($AR337,100)),""),INT($AR337)),IFERROR(DATE(--LEFT(LEFT(SUBSTITUTE(SUBSTITUTE(SUBSTITUTE(SUBSTITUTE(TRIM($AR337),"-",""),".",""),"/","")," ",""),8),4),--MID(LEFT(SUBSTITUTE(SUBSTITUTE(SUBSTITUTE(SUBSTITUTE(TRIM($AR337),"-",""),".",""),"/","")," ",""),8),5,2),--MID(LEFT(SUBSTITUTE(SUBSTITUTE(SUBSTITUTE(SUBSTITUTE(TRIM($AR337),"-",""),".",""),"/","")," ",""),8),7,2)),"")))</f>
        <v/>
      </c>
      <c r="AT337" s="23">
        <f>IF($AS337="","",IF($F$6="",0,IF(ISNUMBER(INDEX($A:$AP,ROW(),$F$6)),INDEX($A:$AP,ROW(),$F$6),IFERROR(--SUBSTITUTE(SUBSTITUTE(TRIM(INDEX($A:$AP,ROW(),$F$6)),",",""),"원",""),0))))</f>
        <v/>
      </c>
      <c r="AU337" s="23">
        <f>IF($AS337="","",IF($G$6="",0,IF(ISNUMBER(INDEX($A:$AP,ROW(),$G$6)),INDEX($A:$AP,ROW(),$G$6),IFERROR(--SUBSTITUTE(SUBSTITUTE(TRIM(INDEX($A:$AP,ROW(),$G$6)),",",""),"원",""),0))))</f>
        <v/>
      </c>
      <c r="AV337" s="23">
        <f>IF($AS337="","",IF($H$6="",$AT337+$AU337,IF($H$6="",0,IF(ISNUMBER(INDEX($A:$AP,ROW(),$H$6)),INDEX($A:$AP,ROW(),$H$6),IFERROR(--SUBSTITUTE(SUBSTITUTE(TRIM(INDEX($A:$AP,ROW(),$H$6)),",",""),"원",""),0)))))</f>
        <v/>
      </c>
      <c r="AW337" s="2">
        <f>IF(OR($AS337="",$C$6=""),"",TRIM(INDEX($A:$AP,ROW(),$C$6)&amp;""))</f>
        <v/>
      </c>
      <c r="AX337" s="2">
        <f>IF($AS337="","",IF($AZ337&lt;&gt;"",SUBSTITUTE(SUBSTITUTE($AZ337,"-","")," ",""),$AY337))</f>
        <v/>
      </c>
      <c r="AY337" s="2">
        <f>IF(OR($AS337="",$E$6=""),"",TRIM(INDEX($A:$AP,ROW(),$E$6)&amp;""))</f>
        <v/>
      </c>
      <c r="AZ337" s="2">
        <f>IF(OR($AS337="",$D$6=""),"",TRIM(INDEX($A:$AP,ROW(),$D$6)&amp;""))</f>
        <v/>
      </c>
      <c r="BA337" s="2">
        <f>IF($AS337="","",IF(AND($AS337&gt;=설정!$B$10,$AS337&lt;=설정!$B$11),"포함","기간 밖"))</f>
        <v/>
      </c>
      <c r="BB337" s="2">
        <f>IF($AS337="","",IF(OR($AT337&lt;0,AND($I$6&lt;&gt;"",ISNUMBER(FIND("수정",INDEX($A:$AP,ROW(),IF($I$6="",1,$I$6))&amp;"")))),"수정","일반"))</f>
        <v/>
      </c>
      <c r="BC337" s="2">
        <f>IF($AS337="","",MID(IF($BA337="기간 밖"," / 기간 밖(신고기간 아님)","")&amp;IF(AND($AW337&lt;&gt;"",COUNTIF($AW$8:$AW$1007,$AW337)&gt;1)," / 승인번호 중복(두 번 붙여넣기?)","")&amp;IF(ABS($AU337-ROUND($AT337*0.1,0))&gt;설정!$B$8,IF($AU337=0," / 세액 0원(영세율·면세 여부 확인)"," / 세액이 공급가액 10%와 다름"),"")&amp;IF($BB337="수정"," / 수정세금계산서(합계에서 자동 가감)",""),4,200))</f>
        <v/>
      </c>
      <c r="BD337" s="2">
        <f>IF($BA337&lt;&gt;"포함","",IF(COUNTIFS($AX$8:$AX337,$AX337,$BA$8:$BA337,"포함")=1,MAX($BD$7:BD336)+1,""))</f>
        <v/>
      </c>
      <c r="BE337" s="2">
        <f>IF($BC337="","",MAX($BE$7:BE336)+1)</f>
        <v/>
      </c>
    </row>
    <row r="338">
      <c r="AR338" s="2">
        <f>IF(OR($A$5="",$B$6="",ROW()&lt;$A$5),"",IF(INDEX($A:$AP,ROW(),$B$6)="","",INDEX($A:$AP,ROW(),$B$6)))</f>
        <v/>
      </c>
      <c r="AS338" s="22">
        <f>IF($AR338="","",IF(ISNUMBER($AR338),IF($AR338&gt;=10000000,IFERROR(DATE(INT($AR338/10000),MOD(INT($AR338/100),100),MOD($AR338,100)),""),INT($AR338)),IFERROR(DATE(--LEFT(LEFT(SUBSTITUTE(SUBSTITUTE(SUBSTITUTE(SUBSTITUTE(TRIM($AR338),"-",""),".",""),"/","")," ",""),8),4),--MID(LEFT(SUBSTITUTE(SUBSTITUTE(SUBSTITUTE(SUBSTITUTE(TRIM($AR338),"-",""),".",""),"/","")," ",""),8),5,2),--MID(LEFT(SUBSTITUTE(SUBSTITUTE(SUBSTITUTE(SUBSTITUTE(TRIM($AR338),"-",""),".",""),"/","")," ",""),8),7,2)),"")))</f>
        <v/>
      </c>
      <c r="AT338" s="23">
        <f>IF($AS338="","",IF($F$6="",0,IF(ISNUMBER(INDEX($A:$AP,ROW(),$F$6)),INDEX($A:$AP,ROW(),$F$6),IFERROR(--SUBSTITUTE(SUBSTITUTE(TRIM(INDEX($A:$AP,ROW(),$F$6)),",",""),"원",""),0))))</f>
        <v/>
      </c>
      <c r="AU338" s="23">
        <f>IF($AS338="","",IF($G$6="",0,IF(ISNUMBER(INDEX($A:$AP,ROW(),$G$6)),INDEX($A:$AP,ROW(),$G$6),IFERROR(--SUBSTITUTE(SUBSTITUTE(TRIM(INDEX($A:$AP,ROW(),$G$6)),",",""),"원",""),0))))</f>
        <v/>
      </c>
      <c r="AV338" s="23">
        <f>IF($AS338="","",IF($H$6="",$AT338+$AU338,IF($H$6="",0,IF(ISNUMBER(INDEX($A:$AP,ROW(),$H$6)),INDEX($A:$AP,ROW(),$H$6),IFERROR(--SUBSTITUTE(SUBSTITUTE(TRIM(INDEX($A:$AP,ROW(),$H$6)),",",""),"원",""),0)))))</f>
        <v/>
      </c>
      <c r="AW338" s="2">
        <f>IF(OR($AS338="",$C$6=""),"",TRIM(INDEX($A:$AP,ROW(),$C$6)&amp;""))</f>
        <v/>
      </c>
      <c r="AX338" s="2">
        <f>IF($AS338="","",IF($AZ338&lt;&gt;"",SUBSTITUTE(SUBSTITUTE($AZ338,"-","")," ",""),$AY338))</f>
        <v/>
      </c>
      <c r="AY338" s="2">
        <f>IF(OR($AS338="",$E$6=""),"",TRIM(INDEX($A:$AP,ROW(),$E$6)&amp;""))</f>
        <v/>
      </c>
      <c r="AZ338" s="2">
        <f>IF(OR($AS338="",$D$6=""),"",TRIM(INDEX($A:$AP,ROW(),$D$6)&amp;""))</f>
        <v/>
      </c>
      <c r="BA338" s="2">
        <f>IF($AS338="","",IF(AND($AS338&gt;=설정!$B$10,$AS338&lt;=설정!$B$11),"포함","기간 밖"))</f>
        <v/>
      </c>
      <c r="BB338" s="2">
        <f>IF($AS338="","",IF(OR($AT338&lt;0,AND($I$6&lt;&gt;"",ISNUMBER(FIND("수정",INDEX($A:$AP,ROW(),IF($I$6="",1,$I$6))&amp;"")))),"수정","일반"))</f>
        <v/>
      </c>
      <c r="BC338" s="2">
        <f>IF($AS338="","",MID(IF($BA338="기간 밖"," / 기간 밖(신고기간 아님)","")&amp;IF(AND($AW338&lt;&gt;"",COUNTIF($AW$8:$AW$1007,$AW338)&gt;1)," / 승인번호 중복(두 번 붙여넣기?)","")&amp;IF(ABS($AU338-ROUND($AT338*0.1,0))&gt;설정!$B$8,IF($AU338=0," / 세액 0원(영세율·면세 여부 확인)"," / 세액이 공급가액 10%와 다름"),"")&amp;IF($BB338="수정"," / 수정세금계산서(합계에서 자동 가감)",""),4,200))</f>
        <v/>
      </c>
      <c r="BD338" s="2">
        <f>IF($BA338&lt;&gt;"포함","",IF(COUNTIFS($AX$8:$AX338,$AX338,$BA$8:$BA338,"포함")=1,MAX($BD$7:BD337)+1,""))</f>
        <v/>
      </c>
      <c r="BE338" s="2">
        <f>IF($BC338="","",MAX($BE$7:BE337)+1)</f>
        <v/>
      </c>
    </row>
    <row r="339">
      <c r="AR339" s="2">
        <f>IF(OR($A$5="",$B$6="",ROW()&lt;$A$5),"",IF(INDEX($A:$AP,ROW(),$B$6)="","",INDEX($A:$AP,ROW(),$B$6)))</f>
        <v/>
      </c>
      <c r="AS339" s="22">
        <f>IF($AR339="","",IF(ISNUMBER($AR339),IF($AR339&gt;=10000000,IFERROR(DATE(INT($AR339/10000),MOD(INT($AR339/100),100),MOD($AR339,100)),""),INT($AR339)),IFERROR(DATE(--LEFT(LEFT(SUBSTITUTE(SUBSTITUTE(SUBSTITUTE(SUBSTITUTE(TRIM($AR339),"-",""),".",""),"/","")," ",""),8),4),--MID(LEFT(SUBSTITUTE(SUBSTITUTE(SUBSTITUTE(SUBSTITUTE(TRIM($AR339),"-",""),".",""),"/","")," ",""),8),5,2),--MID(LEFT(SUBSTITUTE(SUBSTITUTE(SUBSTITUTE(SUBSTITUTE(TRIM($AR339),"-",""),".",""),"/","")," ",""),8),7,2)),"")))</f>
        <v/>
      </c>
      <c r="AT339" s="23">
        <f>IF($AS339="","",IF($F$6="",0,IF(ISNUMBER(INDEX($A:$AP,ROW(),$F$6)),INDEX($A:$AP,ROW(),$F$6),IFERROR(--SUBSTITUTE(SUBSTITUTE(TRIM(INDEX($A:$AP,ROW(),$F$6)),",",""),"원",""),0))))</f>
        <v/>
      </c>
      <c r="AU339" s="23">
        <f>IF($AS339="","",IF($G$6="",0,IF(ISNUMBER(INDEX($A:$AP,ROW(),$G$6)),INDEX($A:$AP,ROW(),$G$6),IFERROR(--SUBSTITUTE(SUBSTITUTE(TRIM(INDEX($A:$AP,ROW(),$G$6)),",",""),"원",""),0))))</f>
        <v/>
      </c>
      <c r="AV339" s="23">
        <f>IF($AS339="","",IF($H$6="",$AT339+$AU339,IF($H$6="",0,IF(ISNUMBER(INDEX($A:$AP,ROW(),$H$6)),INDEX($A:$AP,ROW(),$H$6),IFERROR(--SUBSTITUTE(SUBSTITUTE(TRIM(INDEX($A:$AP,ROW(),$H$6)),",",""),"원",""),0)))))</f>
        <v/>
      </c>
      <c r="AW339" s="2">
        <f>IF(OR($AS339="",$C$6=""),"",TRIM(INDEX($A:$AP,ROW(),$C$6)&amp;""))</f>
        <v/>
      </c>
      <c r="AX339" s="2">
        <f>IF($AS339="","",IF($AZ339&lt;&gt;"",SUBSTITUTE(SUBSTITUTE($AZ339,"-","")," ",""),$AY339))</f>
        <v/>
      </c>
      <c r="AY339" s="2">
        <f>IF(OR($AS339="",$E$6=""),"",TRIM(INDEX($A:$AP,ROW(),$E$6)&amp;""))</f>
        <v/>
      </c>
      <c r="AZ339" s="2">
        <f>IF(OR($AS339="",$D$6=""),"",TRIM(INDEX($A:$AP,ROW(),$D$6)&amp;""))</f>
        <v/>
      </c>
      <c r="BA339" s="2">
        <f>IF($AS339="","",IF(AND($AS339&gt;=설정!$B$10,$AS339&lt;=설정!$B$11),"포함","기간 밖"))</f>
        <v/>
      </c>
      <c r="BB339" s="2">
        <f>IF($AS339="","",IF(OR($AT339&lt;0,AND($I$6&lt;&gt;"",ISNUMBER(FIND("수정",INDEX($A:$AP,ROW(),IF($I$6="",1,$I$6))&amp;"")))),"수정","일반"))</f>
        <v/>
      </c>
      <c r="BC339" s="2">
        <f>IF($AS339="","",MID(IF($BA339="기간 밖"," / 기간 밖(신고기간 아님)","")&amp;IF(AND($AW339&lt;&gt;"",COUNTIF($AW$8:$AW$1007,$AW339)&gt;1)," / 승인번호 중복(두 번 붙여넣기?)","")&amp;IF(ABS($AU339-ROUND($AT339*0.1,0))&gt;설정!$B$8,IF($AU339=0," / 세액 0원(영세율·면세 여부 확인)"," / 세액이 공급가액 10%와 다름"),"")&amp;IF($BB339="수정"," / 수정세금계산서(합계에서 자동 가감)",""),4,200))</f>
        <v/>
      </c>
      <c r="BD339" s="2">
        <f>IF($BA339&lt;&gt;"포함","",IF(COUNTIFS($AX$8:$AX339,$AX339,$BA$8:$BA339,"포함")=1,MAX($BD$7:BD338)+1,""))</f>
        <v/>
      </c>
      <c r="BE339" s="2">
        <f>IF($BC339="","",MAX($BE$7:BE338)+1)</f>
        <v/>
      </c>
    </row>
    <row r="340">
      <c r="AR340" s="2">
        <f>IF(OR($A$5="",$B$6="",ROW()&lt;$A$5),"",IF(INDEX($A:$AP,ROW(),$B$6)="","",INDEX($A:$AP,ROW(),$B$6)))</f>
        <v/>
      </c>
      <c r="AS340" s="22">
        <f>IF($AR340="","",IF(ISNUMBER($AR340),IF($AR340&gt;=10000000,IFERROR(DATE(INT($AR340/10000),MOD(INT($AR340/100),100),MOD($AR340,100)),""),INT($AR340)),IFERROR(DATE(--LEFT(LEFT(SUBSTITUTE(SUBSTITUTE(SUBSTITUTE(SUBSTITUTE(TRIM($AR340),"-",""),".",""),"/","")," ",""),8),4),--MID(LEFT(SUBSTITUTE(SUBSTITUTE(SUBSTITUTE(SUBSTITUTE(TRIM($AR340),"-",""),".",""),"/","")," ",""),8),5,2),--MID(LEFT(SUBSTITUTE(SUBSTITUTE(SUBSTITUTE(SUBSTITUTE(TRIM($AR340),"-",""),".",""),"/","")," ",""),8),7,2)),"")))</f>
        <v/>
      </c>
      <c r="AT340" s="23">
        <f>IF($AS340="","",IF($F$6="",0,IF(ISNUMBER(INDEX($A:$AP,ROW(),$F$6)),INDEX($A:$AP,ROW(),$F$6),IFERROR(--SUBSTITUTE(SUBSTITUTE(TRIM(INDEX($A:$AP,ROW(),$F$6)),",",""),"원",""),0))))</f>
        <v/>
      </c>
      <c r="AU340" s="23">
        <f>IF($AS340="","",IF($G$6="",0,IF(ISNUMBER(INDEX($A:$AP,ROW(),$G$6)),INDEX($A:$AP,ROW(),$G$6),IFERROR(--SUBSTITUTE(SUBSTITUTE(TRIM(INDEX($A:$AP,ROW(),$G$6)),",",""),"원",""),0))))</f>
        <v/>
      </c>
      <c r="AV340" s="23">
        <f>IF($AS340="","",IF($H$6="",$AT340+$AU340,IF($H$6="",0,IF(ISNUMBER(INDEX($A:$AP,ROW(),$H$6)),INDEX($A:$AP,ROW(),$H$6),IFERROR(--SUBSTITUTE(SUBSTITUTE(TRIM(INDEX($A:$AP,ROW(),$H$6)),",",""),"원",""),0)))))</f>
        <v/>
      </c>
      <c r="AW340" s="2">
        <f>IF(OR($AS340="",$C$6=""),"",TRIM(INDEX($A:$AP,ROW(),$C$6)&amp;""))</f>
        <v/>
      </c>
      <c r="AX340" s="2">
        <f>IF($AS340="","",IF($AZ340&lt;&gt;"",SUBSTITUTE(SUBSTITUTE($AZ340,"-","")," ",""),$AY340))</f>
        <v/>
      </c>
      <c r="AY340" s="2">
        <f>IF(OR($AS340="",$E$6=""),"",TRIM(INDEX($A:$AP,ROW(),$E$6)&amp;""))</f>
        <v/>
      </c>
      <c r="AZ340" s="2">
        <f>IF(OR($AS340="",$D$6=""),"",TRIM(INDEX($A:$AP,ROW(),$D$6)&amp;""))</f>
        <v/>
      </c>
      <c r="BA340" s="2">
        <f>IF($AS340="","",IF(AND($AS340&gt;=설정!$B$10,$AS340&lt;=설정!$B$11),"포함","기간 밖"))</f>
        <v/>
      </c>
      <c r="BB340" s="2">
        <f>IF($AS340="","",IF(OR($AT340&lt;0,AND($I$6&lt;&gt;"",ISNUMBER(FIND("수정",INDEX($A:$AP,ROW(),IF($I$6="",1,$I$6))&amp;"")))),"수정","일반"))</f>
        <v/>
      </c>
      <c r="BC340" s="2">
        <f>IF($AS340="","",MID(IF($BA340="기간 밖"," / 기간 밖(신고기간 아님)","")&amp;IF(AND($AW340&lt;&gt;"",COUNTIF($AW$8:$AW$1007,$AW340)&gt;1)," / 승인번호 중복(두 번 붙여넣기?)","")&amp;IF(ABS($AU340-ROUND($AT340*0.1,0))&gt;설정!$B$8,IF($AU340=0," / 세액 0원(영세율·면세 여부 확인)"," / 세액이 공급가액 10%와 다름"),"")&amp;IF($BB340="수정"," / 수정세금계산서(합계에서 자동 가감)",""),4,200))</f>
        <v/>
      </c>
      <c r="BD340" s="2">
        <f>IF($BA340&lt;&gt;"포함","",IF(COUNTIFS($AX$8:$AX340,$AX340,$BA$8:$BA340,"포함")=1,MAX($BD$7:BD339)+1,""))</f>
        <v/>
      </c>
      <c r="BE340" s="2">
        <f>IF($BC340="","",MAX($BE$7:BE339)+1)</f>
        <v/>
      </c>
    </row>
    <row r="341">
      <c r="AR341" s="2">
        <f>IF(OR($A$5="",$B$6="",ROW()&lt;$A$5),"",IF(INDEX($A:$AP,ROW(),$B$6)="","",INDEX($A:$AP,ROW(),$B$6)))</f>
        <v/>
      </c>
      <c r="AS341" s="22">
        <f>IF($AR341="","",IF(ISNUMBER($AR341),IF($AR341&gt;=10000000,IFERROR(DATE(INT($AR341/10000),MOD(INT($AR341/100),100),MOD($AR341,100)),""),INT($AR341)),IFERROR(DATE(--LEFT(LEFT(SUBSTITUTE(SUBSTITUTE(SUBSTITUTE(SUBSTITUTE(TRIM($AR341),"-",""),".",""),"/","")," ",""),8),4),--MID(LEFT(SUBSTITUTE(SUBSTITUTE(SUBSTITUTE(SUBSTITUTE(TRIM($AR341),"-",""),".",""),"/","")," ",""),8),5,2),--MID(LEFT(SUBSTITUTE(SUBSTITUTE(SUBSTITUTE(SUBSTITUTE(TRIM($AR341),"-",""),".",""),"/","")," ",""),8),7,2)),"")))</f>
        <v/>
      </c>
      <c r="AT341" s="23">
        <f>IF($AS341="","",IF($F$6="",0,IF(ISNUMBER(INDEX($A:$AP,ROW(),$F$6)),INDEX($A:$AP,ROW(),$F$6),IFERROR(--SUBSTITUTE(SUBSTITUTE(TRIM(INDEX($A:$AP,ROW(),$F$6)),",",""),"원",""),0))))</f>
        <v/>
      </c>
      <c r="AU341" s="23">
        <f>IF($AS341="","",IF($G$6="",0,IF(ISNUMBER(INDEX($A:$AP,ROW(),$G$6)),INDEX($A:$AP,ROW(),$G$6),IFERROR(--SUBSTITUTE(SUBSTITUTE(TRIM(INDEX($A:$AP,ROW(),$G$6)),",",""),"원",""),0))))</f>
        <v/>
      </c>
      <c r="AV341" s="23">
        <f>IF($AS341="","",IF($H$6="",$AT341+$AU341,IF($H$6="",0,IF(ISNUMBER(INDEX($A:$AP,ROW(),$H$6)),INDEX($A:$AP,ROW(),$H$6),IFERROR(--SUBSTITUTE(SUBSTITUTE(TRIM(INDEX($A:$AP,ROW(),$H$6)),",",""),"원",""),0)))))</f>
        <v/>
      </c>
      <c r="AW341" s="2">
        <f>IF(OR($AS341="",$C$6=""),"",TRIM(INDEX($A:$AP,ROW(),$C$6)&amp;""))</f>
        <v/>
      </c>
      <c r="AX341" s="2">
        <f>IF($AS341="","",IF($AZ341&lt;&gt;"",SUBSTITUTE(SUBSTITUTE($AZ341,"-","")," ",""),$AY341))</f>
        <v/>
      </c>
      <c r="AY341" s="2">
        <f>IF(OR($AS341="",$E$6=""),"",TRIM(INDEX($A:$AP,ROW(),$E$6)&amp;""))</f>
        <v/>
      </c>
      <c r="AZ341" s="2">
        <f>IF(OR($AS341="",$D$6=""),"",TRIM(INDEX($A:$AP,ROW(),$D$6)&amp;""))</f>
        <v/>
      </c>
      <c r="BA341" s="2">
        <f>IF($AS341="","",IF(AND($AS341&gt;=설정!$B$10,$AS341&lt;=설정!$B$11),"포함","기간 밖"))</f>
        <v/>
      </c>
      <c r="BB341" s="2">
        <f>IF($AS341="","",IF(OR($AT341&lt;0,AND($I$6&lt;&gt;"",ISNUMBER(FIND("수정",INDEX($A:$AP,ROW(),IF($I$6="",1,$I$6))&amp;"")))),"수정","일반"))</f>
        <v/>
      </c>
      <c r="BC341" s="2">
        <f>IF($AS341="","",MID(IF($BA341="기간 밖"," / 기간 밖(신고기간 아님)","")&amp;IF(AND($AW341&lt;&gt;"",COUNTIF($AW$8:$AW$1007,$AW341)&gt;1)," / 승인번호 중복(두 번 붙여넣기?)","")&amp;IF(ABS($AU341-ROUND($AT341*0.1,0))&gt;설정!$B$8,IF($AU341=0," / 세액 0원(영세율·면세 여부 확인)"," / 세액이 공급가액 10%와 다름"),"")&amp;IF($BB341="수정"," / 수정세금계산서(합계에서 자동 가감)",""),4,200))</f>
        <v/>
      </c>
      <c r="BD341" s="2">
        <f>IF($BA341&lt;&gt;"포함","",IF(COUNTIFS($AX$8:$AX341,$AX341,$BA$8:$BA341,"포함")=1,MAX($BD$7:BD340)+1,""))</f>
        <v/>
      </c>
      <c r="BE341" s="2">
        <f>IF($BC341="","",MAX($BE$7:BE340)+1)</f>
        <v/>
      </c>
    </row>
    <row r="342">
      <c r="AR342" s="2">
        <f>IF(OR($A$5="",$B$6="",ROW()&lt;$A$5),"",IF(INDEX($A:$AP,ROW(),$B$6)="","",INDEX($A:$AP,ROW(),$B$6)))</f>
        <v/>
      </c>
      <c r="AS342" s="22">
        <f>IF($AR342="","",IF(ISNUMBER($AR342),IF($AR342&gt;=10000000,IFERROR(DATE(INT($AR342/10000),MOD(INT($AR342/100),100),MOD($AR342,100)),""),INT($AR342)),IFERROR(DATE(--LEFT(LEFT(SUBSTITUTE(SUBSTITUTE(SUBSTITUTE(SUBSTITUTE(TRIM($AR342),"-",""),".",""),"/","")," ",""),8),4),--MID(LEFT(SUBSTITUTE(SUBSTITUTE(SUBSTITUTE(SUBSTITUTE(TRIM($AR342),"-",""),".",""),"/","")," ",""),8),5,2),--MID(LEFT(SUBSTITUTE(SUBSTITUTE(SUBSTITUTE(SUBSTITUTE(TRIM($AR342),"-",""),".",""),"/","")," ",""),8),7,2)),"")))</f>
        <v/>
      </c>
      <c r="AT342" s="23">
        <f>IF($AS342="","",IF($F$6="",0,IF(ISNUMBER(INDEX($A:$AP,ROW(),$F$6)),INDEX($A:$AP,ROW(),$F$6),IFERROR(--SUBSTITUTE(SUBSTITUTE(TRIM(INDEX($A:$AP,ROW(),$F$6)),",",""),"원",""),0))))</f>
        <v/>
      </c>
      <c r="AU342" s="23">
        <f>IF($AS342="","",IF($G$6="",0,IF(ISNUMBER(INDEX($A:$AP,ROW(),$G$6)),INDEX($A:$AP,ROW(),$G$6),IFERROR(--SUBSTITUTE(SUBSTITUTE(TRIM(INDEX($A:$AP,ROW(),$G$6)),",",""),"원",""),0))))</f>
        <v/>
      </c>
      <c r="AV342" s="23">
        <f>IF($AS342="","",IF($H$6="",$AT342+$AU342,IF($H$6="",0,IF(ISNUMBER(INDEX($A:$AP,ROW(),$H$6)),INDEX($A:$AP,ROW(),$H$6),IFERROR(--SUBSTITUTE(SUBSTITUTE(TRIM(INDEX($A:$AP,ROW(),$H$6)),",",""),"원",""),0)))))</f>
        <v/>
      </c>
      <c r="AW342" s="2">
        <f>IF(OR($AS342="",$C$6=""),"",TRIM(INDEX($A:$AP,ROW(),$C$6)&amp;""))</f>
        <v/>
      </c>
      <c r="AX342" s="2">
        <f>IF($AS342="","",IF($AZ342&lt;&gt;"",SUBSTITUTE(SUBSTITUTE($AZ342,"-","")," ",""),$AY342))</f>
        <v/>
      </c>
      <c r="AY342" s="2">
        <f>IF(OR($AS342="",$E$6=""),"",TRIM(INDEX($A:$AP,ROW(),$E$6)&amp;""))</f>
        <v/>
      </c>
      <c r="AZ342" s="2">
        <f>IF(OR($AS342="",$D$6=""),"",TRIM(INDEX($A:$AP,ROW(),$D$6)&amp;""))</f>
        <v/>
      </c>
      <c r="BA342" s="2">
        <f>IF($AS342="","",IF(AND($AS342&gt;=설정!$B$10,$AS342&lt;=설정!$B$11),"포함","기간 밖"))</f>
        <v/>
      </c>
      <c r="BB342" s="2">
        <f>IF($AS342="","",IF(OR($AT342&lt;0,AND($I$6&lt;&gt;"",ISNUMBER(FIND("수정",INDEX($A:$AP,ROW(),IF($I$6="",1,$I$6))&amp;"")))),"수정","일반"))</f>
        <v/>
      </c>
      <c r="BC342" s="2">
        <f>IF($AS342="","",MID(IF($BA342="기간 밖"," / 기간 밖(신고기간 아님)","")&amp;IF(AND($AW342&lt;&gt;"",COUNTIF($AW$8:$AW$1007,$AW342)&gt;1)," / 승인번호 중복(두 번 붙여넣기?)","")&amp;IF(ABS($AU342-ROUND($AT342*0.1,0))&gt;설정!$B$8,IF($AU342=0," / 세액 0원(영세율·면세 여부 확인)"," / 세액이 공급가액 10%와 다름"),"")&amp;IF($BB342="수정"," / 수정세금계산서(합계에서 자동 가감)",""),4,200))</f>
        <v/>
      </c>
      <c r="BD342" s="2">
        <f>IF($BA342&lt;&gt;"포함","",IF(COUNTIFS($AX$8:$AX342,$AX342,$BA$8:$BA342,"포함")=1,MAX($BD$7:BD341)+1,""))</f>
        <v/>
      </c>
      <c r="BE342" s="2">
        <f>IF($BC342="","",MAX($BE$7:BE341)+1)</f>
        <v/>
      </c>
    </row>
    <row r="343">
      <c r="AR343" s="2">
        <f>IF(OR($A$5="",$B$6="",ROW()&lt;$A$5),"",IF(INDEX($A:$AP,ROW(),$B$6)="","",INDEX($A:$AP,ROW(),$B$6)))</f>
        <v/>
      </c>
      <c r="AS343" s="22">
        <f>IF($AR343="","",IF(ISNUMBER($AR343),IF($AR343&gt;=10000000,IFERROR(DATE(INT($AR343/10000),MOD(INT($AR343/100),100),MOD($AR343,100)),""),INT($AR343)),IFERROR(DATE(--LEFT(LEFT(SUBSTITUTE(SUBSTITUTE(SUBSTITUTE(SUBSTITUTE(TRIM($AR343),"-",""),".",""),"/","")," ",""),8),4),--MID(LEFT(SUBSTITUTE(SUBSTITUTE(SUBSTITUTE(SUBSTITUTE(TRIM($AR343),"-",""),".",""),"/","")," ",""),8),5,2),--MID(LEFT(SUBSTITUTE(SUBSTITUTE(SUBSTITUTE(SUBSTITUTE(TRIM($AR343),"-",""),".",""),"/","")," ",""),8),7,2)),"")))</f>
        <v/>
      </c>
      <c r="AT343" s="23">
        <f>IF($AS343="","",IF($F$6="",0,IF(ISNUMBER(INDEX($A:$AP,ROW(),$F$6)),INDEX($A:$AP,ROW(),$F$6),IFERROR(--SUBSTITUTE(SUBSTITUTE(TRIM(INDEX($A:$AP,ROW(),$F$6)),",",""),"원",""),0))))</f>
        <v/>
      </c>
      <c r="AU343" s="23">
        <f>IF($AS343="","",IF($G$6="",0,IF(ISNUMBER(INDEX($A:$AP,ROW(),$G$6)),INDEX($A:$AP,ROW(),$G$6),IFERROR(--SUBSTITUTE(SUBSTITUTE(TRIM(INDEX($A:$AP,ROW(),$G$6)),",",""),"원",""),0))))</f>
        <v/>
      </c>
      <c r="AV343" s="23">
        <f>IF($AS343="","",IF($H$6="",$AT343+$AU343,IF($H$6="",0,IF(ISNUMBER(INDEX($A:$AP,ROW(),$H$6)),INDEX($A:$AP,ROW(),$H$6),IFERROR(--SUBSTITUTE(SUBSTITUTE(TRIM(INDEX($A:$AP,ROW(),$H$6)),",",""),"원",""),0)))))</f>
        <v/>
      </c>
      <c r="AW343" s="2">
        <f>IF(OR($AS343="",$C$6=""),"",TRIM(INDEX($A:$AP,ROW(),$C$6)&amp;""))</f>
        <v/>
      </c>
      <c r="AX343" s="2">
        <f>IF($AS343="","",IF($AZ343&lt;&gt;"",SUBSTITUTE(SUBSTITUTE($AZ343,"-","")," ",""),$AY343))</f>
        <v/>
      </c>
      <c r="AY343" s="2">
        <f>IF(OR($AS343="",$E$6=""),"",TRIM(INDEX($A:$AP,ROW(),$E$6)&amp;""))</f>
        <v/>
      </c>
      <c r="AZ343" s="2">
        <f>IF(OR($AS343="",$D$6=""),"",TRIM(INDEX($A:$AP,ROW(),$D$6)&amp;""))</f>
        <v/>
      </c>
      <c r="BA343" s="2">
        <f>IF($AS343="","",IF(AND($AS343&gt;=설정!$B$10,$AS343&lt;=설정!$B$11),"포함","기간 밖"))</f>
        <v/>
      </c>
      <c r="BB343" s="2">
        <f>IF($AS343="","",IF(OR($AT343&lt;0,AND($I$6&lt;&gt;"",ISNUMBER(FIND("수정",INDEX($A:$AP,ROW(),IF($I$6="",1,$I$6))&amp;"")))),"수정","일반"))</f>
        <v/>
      </c>
      <c r="BC343" s="2">
        <f>IF($AS343="","",MID(IF($BA343="기간 밖"," / 기간 밖(신고기간 아님)","")&amp;IF(AND($AW343&lt;&gt;"",COUNTIF($AW$8:$AW$1007,$AW343)&gt;1)," / 승인번호 중복(두 번 붙여넣기?)","")&amp;IF(ABS($AU343-ROUND($AT343*0.1,0))&gt;설정!$B$8,IF($AU343=0," / 세액 0원(영세율·면세 여부 확인)"," / 세액이 공급가액 10%와 다름"),"")&amp;IF($BB343="수정"," / 수정세금계산서(합계에서 자동 가감)",""),4,200))</f>
        <v/>
      </c>
      <c r="BD343" s="2">
        <f>IF($BA343&lt;&gt;"포함","",IF(COUNTIFS($AX$8:$AX343,$AX343,$BA$8:$BA343,"포함")=1,MAX($BD$7:BD342)+1,""))</f>
        <v/>
      </c>
      <c r="BE343" s="2">
        <f>IF($BC343="","",MAX($BE$7:BE342)+1)</f>
        <v/>
      </c>
    </row>
    <row r="344">
      <c r="AR344" s="2">
        <f>IF(OR($A$5="",$B$6="",ROW()&lt;$A$5),"",IF(INDEX($A:$AP,ROW(),$B$6)="","",INDEX($A:$AP,ROW(),$B$6)))</f>
        <v/>
      </c>
      <c r="AS344" s="22">
        <f>IF($AR344="","",IF(ISNUMBER($AR344),IF($AR344&gt;=10000000,IFERROR(DATE(INT($AR344/10000),MOD(INT($AR344/100),100),MOD($AR344,100)),""),INT($AR344)),IFERROR(DATE(--LEFT(LEFT(SUBSTITUTE(SUBSTITUTE(SUBSTITUTE(SUBSTITUTE(TRIM($AR344),"-",""),".",""),"/","")," ",""),8),4),--MID(LEFT(SUBSTITUTE(SUBSTITUTE(SUBSTITUTE(SUBSTITUTE(TRIM($AR344),"-",""),".",""),"/","")," ",""),8),5,2),--MID(LEFT(SUBSTITUTE(SUBSTITUTE(SUBSTITUTE(SUBSTITUTE(TRIM($AR344),"-",""),".",""),"/","")," ",""),8),7,2)),"")))</f>
        <v/>
      </c>
      <c r="AT344" s="23">
        <f>IF($AS344="","",IF($F$6="",0,IF(ISNUMBER(INDEX($A:$AP,ROW(),$F$6)),INDEX($A:$AP,ROW(),$F$6),IFERROR(--SUBSTITUTE(SUBSTITUTE(TRIM(INDEX($A:$AP,ROW(),$F$6)),",",""),"원",""),0))))</f>
        <v/>
      </c>
      <c r="AU344" s="23">
        <f>IF($AS344="","",IF($G$6="",0,IF(ISNUMBER(INDEX($A:$AP,ROW(),$G$6)),INDEX($A:$AP,ROW(),$G$6),IFERROR(--SUBSTITUTE(SUBSTITUTE(TRIM(INDEX($A:$AP,ROW(),$G$6)),",",""),"원",""),0))))</f>
        <v/>
      </c>
      <c r="AV344" s="23">
        <f>IF($AS344="","",IF($H$6="",$AT344+$AU344,IF($H$6="",0,IF(ISNUMBER(INDEX($A:$AP,ROW(),$H$6)),INDEX($A:$AP,ROW(),$H$6),IFERROR(--SUBSTITUTE(SUBSTITUTE(TRIM(INDEX($A:$AP,ROW(),$H$6)),",",""),"원",""),0)))))</f>
        <v/>
      </c>
      <c r="AW344" s="2">
        <f>IF(OR($AS344="",$C$6=""),"",TRIM(INDEX($A:$AP,ROW(),$C$6)&amp;""))</f>
        <v/>
      </c>
      <c r="AX344" s="2">
        <f>IF($AS344="","",IF($AZ344&lt;&gt;"",SUBSTITUTE(SUBSTITUTE($AZ344,"-","")," ",""),$AY344))</f>
        <v/>
      </c>
      <c r="AY344" s="2">
        <f>IF(OR($AS344="",$E$6=""),"",TRIM(INDEX($A:$AP,ROW(),$E$6)&amp;""))</f>
        <v/>
      </c>
      <c r="AZ344" s="2">
        <f>IF(OR($AS344="",$D$6=""),"",TRIM(INDEX($A:$AP,ROW(),$D$6)&amp;""))</f>
        <v/>
      </c>
      <c r="BA344" s="2">
        <f>IF($AS344="","",IF(AND($AS344&gt;=설정!$B$10,$AS344&lt;=설정!$B$11),"포함","기간 밖"))</f>
        <v/>
      </c>
      <c r="BB344" s="2">
        <f>IF($AS344="","",IF(OR($AT344&lt;0,AND($I$6&lt;&gt;"",ISNUMBER(FIND("수정",INDEX($A:$AP,ROW(),IF($I$6="",1,$I$6))&amp;"")))),"수정","일반"))</f>
        <v/>
      </c>
      <c r="BC344" s="2">
        <f>IF($AS344="","",MID(IF($BA344="기간 밖"," / 기간 밖(신고기간 아님)","")&amp;IF(AND($AW344&lt;&gt;"",COUNTIF($AW$8:$AW$1007,$AW344)&gt;1)," / 승인번호 중복(두 번 붙여넣기?)","")&amp;IF(ABS($AU344-ROUND($AT344*0.1,0))&gt;설정!$B$8,IF($AU344=0," / 세액 0원(영세율·면세 여부 확인)"," / 세액이 공급가액 10%와 다름"),"")&amp;IF($BB344="수정"," / 수정세금계산서(합계에서 자동 가감)",""),4,200))</f>
        <v/>
      </c>
      <c r="BD344" s="2">
        <f>IF($BA344&lt;&gt;"포함","",IF(COUNTIFS($AX$8:$AX344,$AX344,$BA$8:$BA344,"포함")=1,MAX($BD$7:BD343)+1,""))</f>
        <v/>
      </c>
      <c r="BE344" s="2">
        <f>IF($BC344="","",MAX($BE$7:BE343)+1)</f>
        <v/>
      </c>
    </row>
    <row r="345">
      <c r="AR345" s="2">
        <f>IF(OR($A$5="",$B$6="",ROW()&lt;$A$5),"",IF(INDEX($A:$AP,ROW(),$B$6)="","",INDEX($A:$AP,ROW(),$B$6)))</f>
        <v/>
      </c>
      <c r="AS345" s="22">
        <f>IF($AR345="","",IF(ISNUMBER($AR345),IF($AR345&gt;=10000000,IFERROR(DATE(INT($AR345/10000),MOD(INT($AR345/100),100),MOD($AR345,100)),""),INT($AR345)),IFERROR(DATE(--LEFT(LEFT(SUBSTITUTE(SUBSTITUTE(SUBSTITUTE(SUBSTITUTE(TRIM($AR345),"-",""),".",""),"/","")," ",""),8),4),--MID(LEFT(SUBSTITUTE(SUBSTITUTE(SUBSTITUTE(SUBSTITUTE(TRIM($AR345),"-",""),".",""),"/","")," ",""),8),5,2),--MID(LEFT(SUBSTITUTE(SUBSTITUTE(SUBSTITUTE(SUBSTITUTE(TRIM($AR345),"-",""),".",""),"/","")," ",""),8),7,2)),"")))</f>
        <v/>
      </c>
      <c r="AT345" s="23">
        <f>IF($AS345="","",IF($F$6="",0,IF(ISNUMBER(INDEX($A:$AP,ROW(),$F$6)),INDEX($A:$AP,ROW(),$F$6),IFERROR(--SUBSTITUTE(SUBSTITUTE(TRIM(INDEX($A:$AP,ROW(),$F$6)),",",""),"원",""),0))))</f>
        <v/>
      </c>
      <c r="AU345" s="23">
        <f>IF($AS345="","",IF($G$6="",0,IF(ISNUMBER(INDEX($A:$AP,ROW(),$G$6)),INDEX($A:$AP,ROW(),$G$6),IFERROR(--SUBSTITUTE(SUBSTITUTE(TRIM(INDEX($A:$AP,ROW(),$G$6)),",",""),"원",""),0))))</f>
        <v/>
      </c>
      <c r="AV345" s="23">
        <f>IF($AS345="","",IF($H$6="",$AT345+$AU345,IF($H$6="",0,IF(ISNUMBER(INDEX($A:$AP,ROW(),$H$6)),INDEX($A:$AP,ROW(),$H$6),IFERROR(--SUBSTITUTE(SUBSTITUTE(TRIM(INDEX($A:$AP,ROW(),$H$6)),",",""),"원",""),0)))))</f>
        <v/>
      </c>
      <c r="AW345" s="2">
        <f>IF(OR($AS345="",$C$6=""),"",TRIM(INDEX($A:$AP,ROW(),$C$6)&amp;""))</f>
        <v/>
      </c>
      <c r="AX345" s="2">
        <f>IF($AS345="","",IF($AZ345&lt;&gt;"",SUBSTITUTE(SUBSTITUTE($AZ345,"-","")," ",""),$AY345))</f>
        <v/>
      </c>
      <c r="AY345" s="2">
        <f>IF(OR($AS345="",$E$6=""),"",TRIM(INDEX($A:$AP,ROW(),$E$6)&amp;""))</f>
        <v/>
      </c>
      <c r="AZ345" s="2">
        <f>IF(OR($AS345="",$D$6=""),"",TRIM(INDEX($A:$AP,ROW(),$D$6)&amp;""))</f>
        <v/>
      </c>
      <c r="BA345" s="2">
        <f>IF($AS345="","",IF(AND($AS345&gt;=설정!$B$10,$AS345&lt;=설정!$B$11),"포함","기간 밖"))</f>
        <v/>
      </c>
      <c r="BB345" s="2">
        <f>IF($AS345="","",IF(OR($AT345&lt;0,AND($I$6&lt;&gt;"",ISNUMBER(FIND("수정",INDEX($A:$AP,ROW(),IF($I$6="",1,$I$6))&amp;"")))),"수정","일반"))</f>
        <v/>
      </c>
      <c r="BC345" s="2">
        <f>IF($AS345="","",MID(IF($BA345="기간 밖"," / 기간 밖(신고기간 아님)","")&amp;IF(AND($AW345&lt;&gt;"",COUNTIF($AW$8:$AW$1007,$AW345)&gt;1)," / 승인번호 중복(두 번 붙여넣기?)","")&amp;IF(ABS($AU345-ROUND($AT345*0.1,0))&gt;설정!$B$8,IF($AU345=0," / 세액 0원(영세율·면세 여부 확인)"," / 세액이 공급가액 10%와 다름"),"")&amp;IF($BB345="수정"," / 수정세금계산서(합계에서 자동 가감)",""),4,200))</f>
        <v/>
      </c>
      <c r="BD345" s="2">
        <f>IF($BA345&lt;&gt;"포함","",IF(COUNTIFS($AX$8:$AX345,$AX345,$BA$8:$BA345,"포함")=1,MAX($BD$7:BD344)+1,""))</f>
        <v/>
      </c>
      <c r="BE345" s="2">
        <f>IF($BC345="","",MAX($BE$7:BE344)+1)</f>
        <v/>
      </c>
    </row>
    <row r="346">
      <c r="AR346" s="2">
        <f>IF(OR($A$5="",$B$6="",ROW()&lt;$A$5),"",IF(INDEX($A:$AP,ROW(),$B$6)="","",INDEX($A:$AP,ROW(),$B$6)))</f>
        <v/>
      </c>
      <c r="AS346" s="22">
        <f>IF($AR346="","",IF(ISNUMBER($AR346),IF($AR346&gt;=10000000,IFERROR(DATE(INT($AR346/10000),MOD(INT($AR346/100),100),MOD($AR346,100)),""),INT($AR346)),IFERROR(DATE(--LEFT(LEFT(SUBSTITUTE(SUBSTITUTE(SUBSTITUTE(SUBSTITUTE(TRIM($AR346),"-",""),".",""),"/","")," ",""),8),4),--MID(LEFT(SUBSTITUTE(SUBSTITUTE(SUBSTITUTE(SUBSTITUTE(TRIM($AR346),"-",""),".",""),"/","")," ",""),8),5,2),--MID(LEFT(SUBSTITUTE(SUBSTITUTE(SUBSTITUTE(SUBSTITUTE(TRIM($AR346),"-",""),".",""),"/","")," ",""),8),7,2)),"")))</f>
        <v/>
      </c>
      <c r="AT346" s="23">
        <f>IF($AS346="","",IF($F$6="",0,IF(ISNUMBER(INDEX($A:$AP,ROW(),$F$6)),INDEX($A:$AP,ROW(),$F$6),IFERROR(--SUBSTITUTE(SUBSTITUTE(TRIM(INDEX($A:$AP,ROW(),$F$6)),",",""),"원",""),0))))</f>
        <v/>
      </c>
      <c r="AU346" s="23">
        <f>IF($AS346="","",IF($G$6="",0,IF(ISNUMBER(INDEX($A:$AP,ROW(),$G$6)),INDEX($A:$AP,ROW(),$G$6),IFERROR(--SUBSTITUTE(SUBSTITUTE(TRIM(INDEX($A:$AP,ROW(),$G$6)),",",""),"원",""),0))))</f>
        <v/>
      </c>
      <c r="AV346" s="23">
        <f>IF($AS346="","",IF($H$6="",$AT346+$AU346,IF($H$6="",0,IF(ISNUMBER(INDEX($A:$AP,ROW(),$H$6)),INDEX($A:$AP,ROW(),$H$6),IFERROR(--SUBSTITUTE(SUBSTITUTE(TRIM(INDEX($A:$AP,ROW(),$H$6)),",",""),"원",""),0)))))</f>
        <v/>
      </c>
      <c r="AW346" s="2">
        <f>IF(OR($AS346="",$C$6=""),"",TRIM(INDEX($A:$AP,ROW(),$C$6)&amp;""))</f>
        <v/>
      </c>
      <c r="AX346" s="2">
        <f>IF($AS346="","",IF($AZ346&lt;&gt;"",SUBSTITUTE(SUBSTITUTE($AZ346,"-","")," ",""),$AY346))</f>
        <v/>
      </c>
      <c r="AY346" s="2">
        <f>IF(OR($AS346="",$E$6=""),"",TRIM(INDEX($A:$AP,ROW(),$E$6)&amp;""))</f>
        <v/>
      </c>
      <c r="AZ346" s="2">
        <f>IF(OR($AS346="",$D$6=""),"",TRIM(INDEX($A:$AP,ROW(),$D$6)&amp;""))</f>
        <v/>
      </c>
      <c r="BA346" s="2">
        <f>IF($AS346="","",IF(AND($AS346&gt;=설정!$B$10,$AS346&lt;=설정!$B$11),"포함","기간 밖"))</f>
        <v/>
      </c>
      <c r="BB346" s="2">
        <f>IF($AS346="","",IF(OR($AT346&lt;0,AND($I$6&lt;&gt;"",ISNUMBER(FIND("수정",INDEX($A:$AP,ROW(),IF($I$6="",1,$I$6))&amp;"")))),"수정","일반"))</f>
        <v/>
      </c>
      <c r="BC346" s="2">
        <f>IF($AS346="","",MID(IF($BA346="기간 밖"," / 기간 밖(신고기간 아님)","")&amp;IF(AND($AW346&lt;&gt;"",COUNTIF($AW$8:$AW$1007,$AW346)&gt;1)," / 승인번호 중복(두 번 붙여넣기?)","")&amp;IF(ABS($AU346-ROUND($AT346*0.1,0))&gt;설정!$B$8,IF($AU346=0," / 세액 0원(영세율·면세 여부 확인)"," / 세액이 공급가액 10%와 다름"),"")&amp;IF($BB346="수정"," / 수정세금계산서(합계에서 자동 가감)",""),4,200))</f>
        <v/>
      </c>
      <c r="BD346" s="2">
        <f>IF($BA346&lt;&gt;"포함","",IF(COUNTIFS($AX$8:$AX346,$AX346,$BA$8:$BA346,"포함")=1,MAX($BD$7:BD345)+1,""))</f>
        <v/>
      </c>
      <c r="BE346" s="2">
        <f>IF($BC346="","",MAX($BE$7:BE345)+1)</f>
        <v/>
      </c>
    </row>
    <row r="347">
      <c r="AR347" s="2">
        <f>IF(OR($A$5="",$B$6="",ROW()&lt;$A$5),"",IF(INDEX($A:$AP,ROW(),$B$6)="","",INDEX($A:$AP,ROW(),$B$6)))</f>
        <v/>
      </c>
      <c r="AS347" s="22">
        <f>IF($AR347="","",IF(ISNUMBER($AR347),IF($AR347&gt;=10000000,IFERROR(DATE(INT($AR347/10000),MOD(INT($AR347/100),100),MOD($AR347,100)),""),INT($AR347)),IFERROR(DATE(--LEFT(LEFT(SUBSTITUTE(SUBSTITUTE(SUBSTITUTE(SUBSTITUTE(TRIM($AR347),"-",""),".",""),"/","")," ",""),8),4),--MID(LEFT(SUBSTITUTE(SUBSTITUTE(SUBSTITUTE(SUBSTITUTE(TRIM($AR347),"-",""),".",""),"/","")," ",""),8),5,2),--MID(LEFT(SUBSTITUTE(SUBSTITUTE(SUBSTITUTE(SUBSTITUTE(TRIM($AR347),"-",""),".",""),"/","")," ",""),8),7,2)),"")))</f>
        <v/>
      </c>
      <c r="AT347" s="23">
        <f>IF($AS347="","",IF($F$6="",0,IF(ISNUMBER(INDEX($A:$AP,ROW(),$F$6)),INDEX($A:$AP,ROW(),$F$6),IFERROR(--SUBSTITUTE(SUBSTITUTE(TRIM(INDEX($A:$AP,ROW(),$F$6)),",",""),"원",""),0))))</f>
        <v/>
      </c>
      <c r="AU347" s="23">
        <f>IF($AS347="","",IF($G$6="",0,IF(ISNUMBER(INDEX($A:$AP,ROW(),$G$6)),INDEX($A:$AP,ROW(),$G$6),IFERROR(--SUBSTITUTE(SUBSTITUTE(TRIM(INDEX($A:$AP,ROW(),$G$6)),",",""),"원",""),0))))</f>
        <v/>
      </c>
      <c r="AV347" s="23">
        <f>IF($AS347="","",IF($H$6="",$AT347+$AU347,IF($H$6="",0,IF(ISNUMBER(INDEX($A:$AP,ROW(),$H$6)),INDEX($A:$AP,ROW(),$H$6),IFERROR(--SUBSTITUTE(SUBSTITUTE(TRIM(INDEX($A:$AP,ROW(),$H$6)),",",""),"원",""),0)))))</f>
        <v/>
      </c>
      <c r="AW347" s="2">
        <f>IF(OR($AS347="",$C$6=""),"",TRIM(INDEX($A:$AP,ROW(),$C$6)&amp;""))</f>
        <v/>
      </c>
      <c r="AX347" s="2">
        <f>IF($AS347="","",IF($AZ347&lt;&gt;"",SUBSTITUTE(SUBSTITUTE($AZ347,"-","")," ",""),$AY347))</f>
        <v/>
      </c>
      <c r="AY347" s="2">
        <f>IF(OR($AS347="",$E$6=""),"",TRIM(INDEX($A:$AP,ROW(),$E$6)&amp;""))</f>
        <v/>
      </c>
      <c r="AZ347" s="2">
        <f>IF(OR($AS347="",$D$6=""),"",TRIM(INDEX($A:$AP,ROW(),$D$6)&amp;""))</f>
        <v/>
      </c>
      <c r="BA347" s="2">
        <f>IF($AS347="","",IF(AND($AS347&gt;=설정!$B$10,$AS347&lt;=설정!$B$11),"포함","기간 밖"))</f>
        <v/>
      </c>
      <c r="BB347" s="2">
        <f>IF($AS347="","",IF(OR($AT347&lt;0,AND($I$6&lt;&gt;"",ISNUMBER(FIND("수정",INDEX($A:$AP,ROW(),IF($I$6="",1,$I$6))&amp;"")))),"수정","일반"))</f>
        <v/>
      </c>
      <c r="BC347" s="2">
        <f>IF($AS347="","",MID(IF($BA347="기간 밖"," / 기간 밖(신고기간 아님)","")&amp;IF(AND($AW347&lt;&gt;"",COUNTIF($AW$8:$AW$1007,$AW347)&gt;1)," / 승인번호 중복(두 번 붙여넣기?)","")&amp;IF(ABS($AU347-ROUND($AT347*0.1,0))&gt;설정!$B$8,IF($AU347=0," / 세액 0원(영세율·면세 여부 확인)"," / 세액이 공급가액 10%와 다름"),"")&amp;IF($BB347="수정"," / 수정세금계산서(합계에서 자동 가감)",""),4,200))</f>
        <v/>
      </c>
      <c r="BD347" s="2">
        <f>IF($BA347&lt;&gt;"포함","",IF(COUNTIFS($AX$8:$AX347,$AX347,$BA$8:$BA347,"포함")=1,MAX($BD$7:BD346)+1,""))</f>
        <v/>
      </c>
      <c r="BE347" s="2">
        <f>IF($BC347="","",MAX($BE$7:BE346)+1)</f>
        <v/>
      </c>
    </row>
    <row r="348">
      <c r="AR348" s="2">
        <f>IF(OR($A$5="",$B$6="",ROW()&lt;$A$5),"",IF(INDEX($A:$AP,ROW(),$B$6)="","",INDEX($A:$AP,ROW(),$B$6)))</f>
        <v/>
      </c>
      <c r="AS348" s="22">
        <f>IF($AR348="","",IF(ISNUMBER($AR348),IF($AR348&gt;=10000000,IFERROR(DATE(INT($AR348/10000),MOD(INT($AR348/100),100),MOD($AR348,100)),""),INT($AR348)),IFERROR(DATE(--LEFT(LEFT(SUBSTITUTE(SUBSTITUTE(SUBSTITUTE(SUBSTITUTE(TRIM($AR348),"-",""),".",""),"/","")," ",""),8),4),--MID(LEFT(SUBSTITUTE(SUBSTITUTE(SUBSTITUTE(SUBSTITUTE(TRIM($AR348),"-",""),".",""),"/","")," ",""),8),5,2),--MID(LEFT(SUBSTITUTE(SUBSTITUTE(SUBSTITUTE(SUBSTITUTE(TRIM($AR348),"-",""),".",""),"/","")," ",""),8),7,2)),"")))</f>
        <v/>
      </c>
      <c r="AT348" s="23">
        <f>IF($AS348="","",IF($F$6="",0,IF(ISNUMBER(INDEX($A:$AP,ROW(),$F$6)),INDEX($A:$AP,ROW(),$F$6),IFERROR(--SUBSTITUTE(SUBSTITUTE(TRIM(INDEX($A:$AP,ROW(),$F$6)),",",""),"원",""),0))))</f>
        <v/>
      </c>
      <c r="AU348" s="23">
        <f>IF($AS348="","",IF($G$6="",0,IF(ISNUMBER(INDEX($A:$AP,ROW(),$G$6)),INDEX($A:$AP,ROW(),$G$6),IFERROR(--SUBSTITUTE(SUBSTITUTE(TRIM(INDEX($A:$AP,ROW(),$G$6)),",",""),"원",""),0))))</f>
        <v/>
      </c>
      <c r="AV348" s="23">
        <f>IF($AS348="","",IF($H$6="",$AT348+$AU348,IF($H$6="",0,IF(ISNUMBER(INDEX($A:$AP,ROW(),$H$6)),INDEX($A:$AP,ROW(),$H$6),IFERROR(--SUBSTITUTE(SUBSTITUTE(TRIM(INDEX($A:$AP,ROW(),$H$6)),",",""),"원",""),0)))))</f>
        <v/>
      </c>
      <c r="AW348" s="2">
        <f>IF(OR($AS348="",$C$6=""),"",TRIM(INDEX($A:$AP,ROW(),$C$6)&amp;""))</f>
        <v/>
      </c>
      <c r="AX348" s="2">
        <f>IF($AS348="","",IF($AZ348&lt;&gt;"",SUBSTITUTE(SUBSTITUTE($AZ348,"-","")," ",""),$AY348))</f>
        <v/>
      </c>
      <c r="AY348" s="2">
        <f>IF(OR($AS348="",$E$6=""),"",TRIM(INDEX($A:$AP,ROW(),$E$6)&amp;""))</f>
        <v/>
      </c>
      <c r="AZ348" s="2">
        <f>IF(OR($AS348="",$D$6=""),"",TRIM(INDEX($A:$AP,ROW(),$D$6)&amp;""))</f>
        <v/>
      </c>
      <c r="BA348" s="2">
        <f>IF($AS348="","",IF(AND($AS348&gt;=설정!$B$10,$AS348&lt;=설정!$B$11),"포함","기간 밖"))</f>
        <v/>
      </c>
      <c r="BB348" s="2">
        <f>IF($AS348="","",IF(OR($AT348&lt;0,AND($I$6&lt;&gt;"",ISNUMBER(FIND("수정",INDEX($A:$AP,ROW(),IF($I$6="",1,$I$6))&amp;"")))),"수정","일반"))</f>
        <v/>
      </c>
      <c r="BC348" s="2">
        <f>IF($AS348="","",MID(IF($BA348="기간 밖"," / 기간 밖(신고기간 아님)","")&amp;IF(AND($AW348&lt;&gt;"",COUNTIF($AW$8:$AW$1007,$AW348)&gt;1)," / 승인번호 중복(두 번 붙여넣기?)","")&amp;IF(ABS($AU348-ROUND($AT348*0.1,0))&gt;설정!$B$8,IF($AU348=0," / 세액 0원(영세율·면세 여부 확인)"," / 세액이 공급가액 10%와 다름"),"")&amp;IF($BB348="수정"," / 수정세금계산서(합계에서 자동 가감)",""),4,200))</f>
        <v/>
      </c>
      <c r="BD348" s="2">
        <f>IF($BA348&lt;&gt;"포함","",IF(COUNTIFS($AX$8:$AX348,$AX348,$BA$8:$BA348,"포함")=1,MAX($BD$7:BD347)+1,""))</f>
        <v/>
      </c>
      <c r="BE348" s="2">
        <f>IF($BC348="","",MAX($BE$7:BE347)+1)</f>
        <v/>
      </c>
    </row>
    <row r="349">
      <c r="AR349" s="2">
        <f>IF(OR($A$5="",$B$6="",ROW()&lt;$A$5),"",IF(INDEX($A:$AP,ROW(),$B$6)="","",INDEX($A:$AP,ROW(),$B$6)))</f>
        <v/>
      </c>
      <c r="AS349" s="22">
        <f>IF($AR349="","",IF(ISNUMBER($AR349),IF($AR349&gt;=10000000,IFERROR(DATE(INT($AR349/10000),MOD(INT($AR349/100),100),MOD($AR349,100)),""),INT($AR349)),IFERROR(DATE(--LEFT(LEFT(SUBSTITUTE(SUBSTITUTE(SUBSTITUTE(SUBSTITUTE(TRIM($AR349),"-",""),".",""),"/","")," ",""),8),4),--MID(LEFT(SUBSTITUTE(SUBSTITUTE(SUBSTITUTE(SUBSTITUTE(TRIM($AR349),"-",""),".",""),"/","")," ",""),8),5,2),--MID(LEFT(SUBSTITUTE(SUBSTITUTE(SUBSTITUTE(SUBSTITUTE(TRIM($AR349),"-",""),".",""),"/","")," ",""),8),7,2)),"")))</f>
        <v/>
      </c>
      <c r="AT349" s="23">
        <f>IF($AS349="","",IF($F$6="",0,IF(ISNUMBER(INDEX($A:$AP,ROW(),$F$6)),INDEX($A:$AP,ROW(),$F$6),IFERROR(--SUBSTITUTE(SUBSTITUTE(TRIM(INDEX($A:$AP,ROW(),$F$6)),",",""),"원",""),0))))</f>
        <v/>
      </c>
      <c r="AU349" s="23">
        <f>IF($AS349="","",IF($G$6="",0,IF(ISNUMBER(INDEX($A:$AP,ROW(),$G$6)),INDEX($A:$AP,ROW(),$G$6),IFERROR(--SUBSTITUTE(SUBSTITUTE(TRIM(INDEX($A:$AP,ROW(),$G$6)),",",""),"원",""),0))))</f>
        <v/>
      </c>
      <c r="AV349" s="23">
        <f>IF($AS349="","",IF($H$6="",$AT349+$AU349,IF($H$6="",0,IF(ISNUMBER(INDEX($A:$AP,ROW(),$H$6)),INDEX($A:$AP,ROW(),$H$6),IFERROR(--SUBSTITUTE(SUBSTITUTE(TRIM(INDEX($A:$AP,ROW(),$H$6)),",",""),"원",""),0)))))</f>
        <v/>
      </c>
      <c r="AW349" s="2">
        <f>IF(OR($AS349="",$C$6=""),"",TRIM(INDEX($A:$AP,ROW(),$C$6)&amp;""))</f>
        <v/>
      </c>
      <c r="AX349" s="2">
        <f>IF($AS349="","",IF($AZ349&lt;&gt;"",SUBSTITUTE(SUBSTITUTE($AZ349,"-","")," ",""),$AY349))</f>
        <v/>
      </c>
      <c r="AY349" s="2">
        <f>IF(OR($AS349="",$E$6=""),"",TRIM(INDEX($A:$AP,ROW(),$E$6)&amp;""))</f>
        <v/>
      </c>
      <c r="AZ349" s="2">
        <f>IF(OR($AS349="",$D$6=""),"",TRIM(INDEX($A:$AP,ROW(),$D$6)&amp;""))</f>
        <v/>
      </c>
      <c r="BA349" s="2">
        <f>IF($AS349="","",IF(AND($AS349&gt;=설정!$B$10,$AS349&lt;=설정!$B$11),"포함","기간 밖"))</f>
        <v/>
      </c>
      <c r="BB349" s="2">
        <f>IF($AS349="","",IF(OR($AT349&lt;0,AND($I$6&lt;&gt;"",ISNUMBER(FIND("수정",INDEX($A:$AP,ROW(),IF($I$6="",1,$I$6))&amp;"")))),"수정","일반"))</f>
        <v/>
      </c>
      <c r="BC349" s="2">
        <f>IF($AS349="","",MID(IF($BA349="기간 밖"," / 기간 밖(신고기간 아님)","")&amp;IF(AND($AW349&lt;&gt;"",COUNTIF($AW$8:$AW$1007,$AW349)&gt;1)," / 승인번호 중복(두 번 붙여넣기?)","")&amp;IF(ABS($AU349-ROUND($AT349*0.1,0))&gt;설정!$B$8,IF($AU349=0," / 세액 0원(영세율·면세 여부 확인)"," / 세액이 공급가액 10%와 다름"),"")&amp;IF($BB349="수정"," / 수정세금계산서(합계에서 자동 가감)",""),4,200))</f>
        <v/>
      </c>
      <c r="BD349" s="2">
        <f>IF($BA349&lt;&gt;"포함","",IF(COUNTIFS($AX$8:$AX349,$AX349,$BA$8:$BA349,"포함")=1,MAX($BD$7:BD348)+1,""))</f>
        <v/>
      </c>
      <c r="BE349" s="2">
        <f>IF($BC349="","",MAX($BE$7:BE348)+1)</f>
        <v/>
      </c>
    </row>
    <row r="350">
      <c r="AR350" s="2">
        <f>IF(OR($A$5="",$B$6="",ROW()&lt;$A$5),"",IF(INDEX($A:$AP,ROW(),$B$6)="","",INDEX($A:$AP,ROW(),$B$6)))</f>
        <v/>
      </c>
      <c r="AS350" s="22">
        <f>IF($AR350="","",IF(ISNUMBER($AR350),IF($AR350&gt;=10000000,IFERROR(DATE(INT($AR350/10000),MOD(INT($AR350/100),100),MOD($AR350,100)),""),INT($AR350)),IFERROR(DATE(--LEFT(LEFT(SUBSTITUTE(SUBSTITUTE(SUBSTITUTE(SUBSTITUTE(TRIM($AR350),"-",""),".",""),"/","")," ",""),8),4),--MID(LEFT(SUBSTITUTE(SUBSTITUTE(SUBSTITUTE(SUBSTITUTE(TRIM($AR350),"-",""),".",""),"/","")," ",""),8),5,2),--MID(LEFT(SUBSTITUTE(SUBSTITUTE(SUBSTITUTE(SUBSTITUTE(TRIM($AR350),"-",""),".",""),"/","")," ",""),8),7,2)),"")))</f>
        <v/>
      </c>
      <c r="AT350" s="23">
        <f>IF($AS350="","",IF($F$6="",0,IF(ISNUMBER(INDEX($A:$AP,ROW(),$F$6)),INDEX($A:$AP,ROW(),$F$6),IFERROR(--SUBSTITUTE(SUBSTITUTE(TRIM(INDEX($A:$AP,ROW(),$F$6)),",",""),"원",""),0))))</f>
        <v/>
      </c>
      <c r="AU350" s="23">
        <f>IF($AS350="","",IF($G$6="",0,IF(ISNUMBER(INDEX($A:$AP,ROW(),$G$6)),INDEX($A:$AP,ROW(),$G$6),IFERROR(--SUBSTITUTE(SUBSTITUTE(TRIM(INDEX($A:$AP,ROW(),$G$6)),",",""),"원",""),0))))</f>
        <v/>
      </c>
      <c r="AV350" s="23">
        <f>IF($AS350="","",IF($H$6="",$AT350+$AU350,IF($H$6="",0,IF(ISNUMBER(INDEX($A:$AP,ROW(),$H$6)),INDEX($A:$AP,ROW(),$H$6),IFERROR(--SUBSTITUTE(SUBSTITUTE(TRIM(INDEX($A:$AP,ROW(),$H$6)),",",""),"원",""),0)))))</f>
        <v/>
      </c>
      <c r="AW350" s="2">
        <f>IF(OR($AS350="",$C$6=""),"",TRIM(INDEX($A:$AP,ROW(),$C$6)&amp;""))</f>
        <v/>
      </c>
      <c r="AX350" s="2">
        <f>IF($AS350="","",IF($AZ350&lt;&gt;"",SUBSTITUTE(SUBSTITUTE($AZ350,"-","")," ",""),$AY350))</f>
        <v/>
      </c>
      <c r="AY350" s="2">
        <f>IF(OR($AS350="",$E$6=""),"",TRIM(INDEX($A:$AP,ROW(),$E$6)&amp;""))</f>
        <v/>
      </c>
      <c r="AZ350" s="2">
        <f>IF(OR($AS350="",$D$6=""),"",TRIM(INDEX($A:$AP,ROW(),$D$6)&amp;""))</f>
        <v/>
      </c>
      <c r="BA350" s="2">
        <f>IF($AS350="","",IF(AND($AS350&gt;=설정!$B$10,$AS350&lt;=설정!$B$11),"포함","기간 밖"))</f>
        <v/>
      </c>
      <c r="BB350" s="2">
        <f>IF($AS350="","",IF(OR($AT350&lt;0,AND($I$6&lt;&gt;"",ISNUMBER(FIND("수정",INDEX($A:$AP,ROW(),IF($I$6="",1,$I$6))&amp;"")))),"수정","일반"))</f>
        <v/>
      </c>
      <c r="BC350" s="2">
        <f>IF($AS350="","",MID(IF($BA350="기간 밖"," / 기간 밖(신고기간 아님)","")&amp;IF(AND($AW350&lt;&gt;"",COUNTIF($AW$8:$AW$1007,$AW350)&gt;1)," / 승인번호 중복(두 번 붙여넣기?)","")&amp;IF(ABS($AU350-ROUND($AT350*0.1,0))&gt;설정!$B$8,IF($AU350=0," / 세액 0원(영세율·면세 여부 확인)"," / 세액이 공급가액 10%와 다름"),"")&amp;IF($BB350="수정"," / 수정세금계산서(합계에서 자동 가감)",""),4,200))</f>
        <v/>
      </c>
      <c r="BD350" s="2">
        <f>IF($BA350&lt;&gt;"포함","",IF(COUNTIFS($AX$8:$AX350,$AX350,$BA$8:$BA350,"포함")=1,MAX($BD$7:BD349)+1,""))</f>
        <v/>
      </c>
      <c r="BE350" s="2">
        <f>IF($BC350="","",MAX($BE$7:BE349)+1)</f>
        <v/>
      </c>
    </row>
    <row r="351">
      <c r="AR351" s="2">
        <f>IF(OR($A$5="",$B$6="",ROW()&lt;$A$5),"",IF(INDEX($A:$AP,ROW(),$B$6)="","",INDEX($A:$AP,ROW(),$B$6)))</f>
        <v/>
      </c>
      <c r="AS351" s="22">
        <f>IF($AR351="","",IF(ISNUMBER($AR351),IF($AR351&gt;=10000000,IFERROR(DATE(INT($AR351/10000),MOD(INT($AR351/100),100),MOD($AR351,100)),""),INT($AR351)),IFERROR(DATE(--LEFT(LEFT(SUBSTITUTE(SUBSTITUTE(SUBSTITUTE(SUBSTITUTE(TRIM($AR351),"-",""),".",""),"/","")," ",""),8),4),--MID(LEFT(SUBSTITUTE(SUBSTITUTE(SUBSTITUTE(SUBSTITUTE(TRIM($AR351),"-",""),".",""),"/","")," ",""),8),5,2),--MID(LEFT(SUBSTITUTE(SUBSTITUTE(SUBSTITUTE(SUBSTITUTE(TRIM($AR351),"-",""),".",""),"/","")," ",""),8),7,2)),"")))</f>
        <v/>
      </c>
      <c r="AT351" s="23">
        <f>IF($AS351="","",IF($F$6="",0,IF(ISNUMBER(INDEX($A:$AP,ROW(),$F$6)),INDEX($A:$AP,ROW(),$F$6),IFERROR(--SUBSTITUTE(SUBSTITUTE(TRIM(INDEX($A:$AP,ROW(),$F$6)),",",""),"원",""),0))))</f>
        <v/>
      </c>
      <c r="AU351" s="23">
        <f>IF($AS351="","",IF($G$6="",0,IF(ISNUMBER(INDEX($A:$AP,ROW(),$G$6)),INDEX($A:$AP,ROW(),$G$6),IFERROR(--SUBSTITUTE(SUBSTITUTE(TRIM(INDEX($A:$AP,ROW(),$G$6)),",",""),"원",""),0))))</f>
        <v/>
      </c>
      <c r="AV351" s="23">
        <f>IF($AS351="","",IF($H$6="",$AT351+$AU351,IF($H$6="",0,IF(ISNUMBER(INDEX($A:$AP,ROW(),$H$6)),INDEX($A:$AP,ROW(),$H$6),IFERROR(--SUBSTITUTE(SUBSTITUTE(TRIM(INDEX($A:$AP,ROW(),$H$6)),",",""),"원",""),0)))))</f>
        <v/>
      </c>
      <c r="AW351" s="2">
        <f>IF(OR($AS351="",$C$6=""),"",TRIM(INDEX($A:$AP,ROW(),$C$6)&amp;""))</f>
        <v/>
      </c>
      <c r="AX351" s="2">
        <f>IF($AS351="","",IF($AZ351&lt;&gt;"",SUBSTITUTE(SUBSTITUTE($AZ351,"-","")," ",""),$AY351))</f>
        <v/>
      </c>
      <c r="AY351" s="2">
        <f>IF(OR($AS351="",$E$6=""),"",TRIM(INDEX($A:$AP,ROW(),$E$6)&amp;""))</f>
        <v/>
      </c>
      <c r="AZ351" s="2">
        <f>IF(OR($AS351="",$D$6=""),"",TRIM(INDEX($A:$AP,ROW(),$D$6)&amp;""))</f>
        <v/>
      </c>
      <c r="BA351" s="2">
        <f>IF($AS351="","",IF(AND($AS351&gt;=설정!$B$10,$AS351&lt;=설정!$B$11),"포함","기간 밖"))</f>
        <v/>
      </c>
      <c r="BB351" s="2">
        <f>IF($AS351="","",IF(OR($AT351&lt;0,AND($I$6&lt;&gt;"",ISNUMBER(FIND("수정",INDEX($A:$AP,ROW(),IF($I$6="",1,$I$6))&amp;"")))),"수정","일반"))</f>
        <v/>
      </c>
      <c r="BC351" s="2">
        <f>IF($AS351="","",MID(IF($BA351="기간 밖"," / 기간 밖(신고기간 아님)","")&amp;IF(AND($AW351&lt;&gt;"",COUNTIF($AW$8:$AW$1007,$AW351)&gt;1)," / 승인번호 중복(두 번 붙여넣기?)","")&amp;IF(ABS($AU351-ROUND($AT351*0.1,0))&gt;설정!$B$8,IF($AU351=0," / 세액 0원(영세율·면세 여부 확인)"," / 세액이 공급가액 10%와 다름"),"")&amp;IF($BB351="수정"," / 수정세금계산서(합계에서 자동 가감)",""),4,200))</f>
        <v/>
      </c>
      <c r="BD351" s="2">
        <f>IF($BA351&lt;&gt;"포함","",IF(COUNTIFS($AX$8:$AX351,$AX351,$BA$8:$BA351,"포함")=1,MAX($BD$7:BD350)+1,""))</f>
        <v/>
      </c>
      <c r="BE351" s="2">
        <f>IF($BC351="","",MAX($BE$7:BE350)+1)</f>
        <v/>
      </c>
    </row>
    <row r="352">
      <c r="AR352" s="2">
        <f>IF(OR($A$5="",$B$6="",ROW()&lt;$A$5),"",IF(INDEX($A:$AP,ROW(),$B$6)="","",INDEX($A:$AP,ROW(),$B$6)))</f>
        <v/>
      </c>
      <c r="AS352" s="22">
        <f>IF($AR352="","",IF(ISNUMBER($AR352),IF($AR352&gt;=10000000,IFERROR(DATE(INT($AR352/10000),MOD(INT($AR352/100),100),MOD($AR352,100)),""),INT($AR352)),IFERROR(DATE(--LEFT(LEFT(SUBSTITUTE(SUBSTITUTE(SUBSTITUTE(SUBSTITUTE(TRIM($AR352),"-",""),".",""),"/","")," ",""),8),4),--MID(LEFT(SUBSTITUTE(SUBSTITUTE(SUBSTITUTE(SUBSTITUTE(TRIM($AR352),"-",""),".",""),"/","")," ",""),8),5,2),--MID(LEFT(SUBSTITUTE(SUBSTITUTE(SUBSTITUTE(SUBSTITUTE(TRIM($AR352),"-",""),".",""),"/","")," ",""),8),7,2)),"")))</f>
        <v/>
      </c>
      <c r="AT352" s="23">
        <f>IF($AS352="","",IF($F$6="",0,IF(ISNUMBER(INDEX($A:$AP,ROW(),$F$6)),INDEX($A:$AP,ROW(),$F$6),IFERROR(--SUBSTITUTE(SUBSTITUTE(TRIM(INDEX($A:$AP,ROW(),$F$6)),",",""),"원",""),0))))</f>
        <v/>
      </c>
      <c r="AU352" s="23">
        <f>IF($AS352="","",IF($G$6="",0,IF(ISNUMBER(INDEX($A:$AP,ROW(),$G$6)),INDEX($A:$AP,ROW(),$G$6),IFERROR(--SUBSTITUTE(SUBSTITUTE(TRIM(INDEX($A:$AP,ROW(),$G$6)),",",""),"원",""),0))))</f>
        <v/>
      </c>
      <c r="AV352" s="23">
        <f>IF($AS352="","",IF($H$6="",$AT352+$AU352,IF($H$6="",0,IF(ISNUMBER(INDEX($A:$AP,ROW(),$H$6)),INDEX($A:$AP,ROW(),$H$6),IFERROR(--SUBSTITUTE(SUBSTITUTE(TRIM(INDEX($A:$AP,ROW(),$H$6)),",",""),"원",""),0)))))</f>
        <v/>
      </c>
      <c r="AW352" s="2">
        <f>IF(OR($AS352="",$C$6=""),"",TRIM(INDEX($A:$AP,ROW(),$C$6)&amp;""))</f>
        <v/>
      </c>
      <c r="AX352" s="2">
        <f>IF($AS352="","",IF($AZ352&lt;&gt;"",SUBSTITUTE(SUBSTITUTE($AZ352,"-","")," ",""),$AY352))</f>
        <v/>
      </c>
      <c r="AY352" s="2">
        <f>IF(OR($AS352="",$E$6=""),"",TRIM(INDEX($A:$AP,ROW(),$E$6)&amp;""))</f>
        <v/>
      </c>
      <c r="AZ352" s="2">
        <f>IF(OR($AS352="",$D$6=""),"",TRIM(INDEX($A:$AP,ROW(),$D$6)&amp;""))</f>
        <v/>
      </c>
      <c r="BA352" s="2">
        <f>IF($AS352="","",IF(AND($AS352&gt;=설정!$B$10,$AS352&lt;=설정!$B$11),"포함","기간 밖"))</f>
        <v/>
      </c>
      <c r="BB352" s="2">
        <f>IF($AS352="","",IF(OR($AT352&lt;0,AND($I$6&lt;&gt;"",ISNUMBER(FIND("수정",INDEX($A:$AP,ROW(),IF($I$6="",1,$I$6))&amp;"")))),"수정","일반"))</f>
        <v/>
      </c>
      <c r="BC352" s="2">
        <f>IF($AS352="","",MID(IF($BA352="기간 밖"," / 기간 밖(신고기간 아님)","")&amp;IF(AND($AW352&lt;&gt;"",COUNTIF($AW$8:$AW$1007,$AW352)&gt;1)," / 승인번호 중복(두 번 붙여넣기?)","")&amp;IF(ABS($AU352-ROUND($AT352*0.1,0))&gt;설정!$B$8,IF($AU352=0," / 세액 0원(영세율·면세 여부 확인)"," / 세액이 공급가액 10%와 다름"),"")&amp;IF($BB352="수정"," / 수정세금계산서(합계에서 자동 가감)",""),4,200))</f>
        <v/>
      </c>
      <c r="BD352" s="2">
        <f>IF($BA352&lt;&gt;"포함","",IF(COUNTIFS($AX$8:$AX352,$AX352,$BA$8:$BA352,"포함")=1,MAX($BD$7:BD351)+1,""))</f>
        <v/>
      </c>
      <c r="BE352" s="2">
        <f>IF($BC352="","",MAX($BE$7:BE351)+1)</f>
        <v/>
      </c>
    </row>
    <row r="353">
      <c r="AR353" s="2">
        <f>IF(OR($A$5="",$B$6="",ROW()&lt;$A$5),"",IF(INDEX($A:$AP,ROW(),$B$6)="","",INDEX($A:$AP,ROW(),$B$6)))</f>
        <v/>
      </c>
      <c r="AS353" s="22">
        <f>IF($AR353="","",IF(ISNUMBER($AR353),IF($AR353&gt;=10000000,IFERROR(DATE(INT($AR353/10000),MOD(INT($AR353/100),100),MOD($AR353,100)),""),INT($AR353)),IFERROR(DATE(--LEFT(LEFT(SUBSTITUTE(SUBSTITUTE(SUBSTITUTE(SUBSTITUTE(TRIM($AR353),"-",""),".",""),"/","")," ",""),8),4),--MID(LEFT(SUBSTITUTE(SUBSTITUTE(SUBSTITUTE(SUBSTITUTE(TRIM($AR353),"-",""),".",""),"/","")," ",""),8),5,2),--MID(LEFT(SUBSTITUTE(SUBSTITUTE(SUBSTITUTE(SUBSTITUTE(TRIM($AR353),"-",""),".",""),"/","")," ",""),8),7,2)),"")))</f>
        <v/>
      </c>
      <c r="AT353" s="23">
        <f>IF($AS353="","",IF($F$6="",0,IF(ISNUMBER(INDEX($A:$AP,ROW(),$F$6)),INDEX($A:$AP,ROW(),$F$6),IFERROR(--SUBSTITUTE(SUBSTITUTE(TRIM(INDEX($A:$AP,ROW(),$F$6)),",",""),"원",""),0))))</f>
        <v/>
      </c>
      <c r="AU353" s="23">
        <f>IF($AS353="","",IF($G$6="",0,IF(ISNUMBER(INDEX($A:$AP,ROW(),$G$6)),INDEX($A:$AP,ROW(),$G$6),IFERROR(--SUBSTITUTE(SUBSTITUTE(TRIM(INDEX($A:$AP,ROW(),$G$6)),",",""),"원",""),0))))</f>
        <v/>
      </c>
      <c r="AV353" s="23">
        <f>IF($AS353="","",IF($H$6="",$AT353+$AU353,IF($H$6="",0,IF(ISNUMBER(INDEX($A:$AP,ROW(),$H$6)),INDEX($A:$AP,ROW(),$H$6),IFERROR(--SUBSTITUTE(SUBSTITUTE(TRIM(INDEX($A:$AP,ROW(),$H$6)),",",""),"원",""),0)))))</f>
        <v/>
      </c>
      <c r="AW353" s="2">
        <f>IF(OR($AS353="",$C$6=""),"",TRIM(INDEX($A:$AP,ROW(),$C$6)&amp;""))</f>
        <v/>
      </c>
      <c r="AX353" s="2">
        <f>IF($AS353="","",IF($AZ353&lt;&gt;"",SUBSTITUTE(SUBSTITUTE($AZ353,"-","")," ",""),$AY353))</f>
        <v/>
      </c>
      <c r="AY353" s="2">
        <f>IF(OR($AS353="",$E$6=""),"",TRIM(INDEX($A:$AP,ROW(),$E$6)&amp;""))</f>
        <v/>
      </c>
      <c r="AZ353" s="2">
        <f>IF(OR($AS353="",$D$6=""),"",TRIM(INDEX($A:$AP,ROW(),$D$6)&amp;""))</f>
        <v/>
      </c>
      <c r="BA353" s="2">
        <f>IF($AS353="","",IF(AND($AS353&gt;=설정!$B$10,$AS353&lt;=설정!$B$11),"포함","기간 밖"))</f>
        <v/>
      </c>
      <c r="BB353" s="2">
        <f>IF($AS353="","",IF(OR($AT353&lt;0,AND($I$6&lt;&gt;"",ISNUMBER(FIND("수정",INDEX($A:$AP,ROW(),IF($I$6="",1,$I$6))&amp;"")))),"수정","일반"))</f>
        <v/>
      </c>
      <c r="BC353" s="2">
        <f>IF($AS353="","",MID(IF($BA353="기간 밖"," / 기간 밖(신고기간 아님)","")&amp;IF(AND($AW353&lt;&gt;"",COUNTIF($AW$8:$AW$1007,$AW353)&gt;1)," / 승인번호 중복(두 번 붙여넣기?)","")&amp;IF(ABS($AU353-ROUND($AT353*0.1,0))&gt;설정!$B$8,IF($AU353=0," / 세액 0원(영세율·면세 여부 확인)"," / 세액이 공급가액 10%와 다름"),"")&amp;IF($BB353="수정"," / 수정세금계산서(합계에서 자동 가감)",""),4,200))</f>
        <v/>
      </c>
      <c r="BD353" s="2">
        <f>IF($BA353&lt;&gt;"포함","",IF(COUNTIFS($AX$8:$AX353,$AX353,$BA$8:$BA353,"포함")=1,MAX($BD$7:BD352)+1,""))</f>
        <v/>
      </c>
      <c r="BE353" s="2">
        <f>IF($BC353="","",MAX($BE$7:BE352)+1)</f>
        <v/>
      </c>
    </row>
    <row r="354">
      <c r="AR354" s="2">
        <f>IF(OR($A$5="",$B$6="",ROW()&lt;$A$5),"",IF(INDEX($A:$AP,ROW(),$B$6)="","",INDEX($A:$AP,ROW(),$B$6)))</f>
        <v/>
      </c>
      <c r="AS354" s="22">
        <f>IF($AR354="","",IF(ISNUMBER($AR354),IF($AR354&gt;=10000000,IFERROR(DATE(INT($AR354/10000),MOD(INT($AR354/100),100),MOD($AR354,100)),""),INT($AR354)),IFERROR(DATE(--LEFT(LEFT(SUBSTITUTE(SUBSTITUTE(SUBSTITUTE(SUBSTITUTE(TRIM($AR354),"-",""),".",""),"/","")," ",""),8),4),--MID(LEFT(SUBSTITUTE(SUBSTITUTE(SUBSTITUTE(SUBSTITUTE(TRIM($AR354),"-",""),".",""),"/","")," ",""),8),5,2),--MID(LEFT(SUBSTITUTE(SUBSTITUTE(SUBSTITUTE(SUBSTITUTE(TRIM($AR354),"-",""),".",""),"/","")," ",""),8),7,2)),"")))</f>
        <v/>
      </c>
      <c r="AT354" s="23">
        <f>IF($AS354="","",IF($F$6="",0,IF(ISNUMBER(INDEX($A:$AP,ROW(),$F$6)),INDEX($A:$AP,ROW(),$F$6),IFERROR(--SUBSTITUTE(SUBSTITUTE(TRIM(INDEX($A:$AP,ROW(),$F$6)),",",""),"원",""),0))))</f>
        <v/>
      </c>
      <c r="AU354" s="23">
        <f>IF($AS354="","",IF($G$6="",0,IF(ISNUMBER(INDEX($A:$AP,ROW(),$G$6)),INDEX($A:$AP,ROW(),$G$6),IFERROR(--SUBSTITUTE(SUBSTITUTE(TRIM(INDEX($A:$AP,ROW(),$G$6)),",",""),"원",""),0))))</f>
        <v/>
      </c>
      <c r="AV354" s="23">
        <f>IF($AS354="","",IF($H$6="",$AT354+$AU354,IF($H$6="",0,IF(ISNUMBER(INDEX($A:$AP,ROW(),$H$6)),INDEX($A:$AP,ROW(),$H$6),IFERROR(--SUBSTITUTE(SUBSTITUTE(TRIM(INDEX($A:$AP,ROW(),$H$6)),",",""),"원",""),0)))))</f>
        <v/>
      </c>
      <c r="AW354" s="2">
        <f>IF(OR($AS354="",$C$6=""),"",TRIM(INDEX($A:$AP,ROW(),$C$6)&amp;""))</f>
        <v/>
      </c>
      <c r="AX354" s="2">
        <f>IF($AS354="","",IF($AZ354&lt;&gt;"",SUBSTITUTE(SUBSTITUTE($AZ354,"-","")," ",""),$AY354))</f>
        <v/>
      </c>
      <c r="AY354" s="2">
        <f>IF(OR($AS354="",$E$6=""),"",TRIM(INDEX($A:$AP,ROW(),$E$6)&amp;""))</f>
        <v/>
      </c>
      <c r="AZ354" s="2">
        <f>IF(OR($AS354="",$D$6=""),"",TRIM(INDEX($A:$AP,ROW(),$D$6)&amp;""))</f>
        <v/>
      </c>
      <c r="BA354" s="2">
        <f>IF($AS354="","",IF(AND($AS354&gt;=설정!$B$10,$AS354&lt;=설정!$B$11),"포함","기간 밖"))</f>
        <v/>
      </c>
      <c r="BB354" s="2">
        <f>IF($AS354="","",IF(OR($AT354&lt;0,AND($I$6&lt;&gt;"",ISNUMBER(FIND("수정",INDEX($A:$AP,ROW(),IF($I$6="",1,$I$6))&amp;"")))),"수정","일반"))</f>
        <v/>
      </c>
      <c r="BC354" s="2">
        <f>IF($AS354="","",MID(IF($BA354="기간 밖"," / 기간 밖(신고기간 아님)","")&amp;IF(AND($AW354&lt;&gt;"",COUNTIF($AW$8:$AW$1007,$AW354)&gt;1)," / 승인번호 중복(두 번 붙여넣기?)","")&amp;IF(ABS($AU354-ROUND($AT354*0.1,0))&gt;설정!$B$8,IF($AU354=0," / 세액 0원(영세율·면세 여부 확인)"," / 세액이 공급가액 10%와 다름"),"")&amp;IF($BB354="수정"," / 수정세금계산서(합계에서 자동 가감)",""),4,200))</f>
        <v/>
      </c>
      <c r="BD354" s="2">
        <f>IF($BA354&lt;&gt;"포함","",IF(COUNTIFS($AX$8:$AX354,$AX354,$BA$8:$BA354,"포함")=1,MAX($BD$7:BD353)+1,""))</f>
        <v/>
      </c>
      <c r="BE354" s="2">
        <f>IF($BC354="","",MAX($BE$7:BE353)+1)</f>
        <v/>
      </c>
    </row>
    <row r="355">
      <c r="AR355" s="2">
        <f>IF(OR($A$5="",$B$6="",ROW()&lt;$A$5),"",IF(INDEX($A:$AP,ROW(),$B$6)="","",INDEX($A:$AP,ROW(),$B$6)))</f>
        <v/>
      </c>
      <c r="AS355" s="22">
        <f>IF($AR355="","",IF(ISNUMBER($AR355),IF($AR355&gt;=10000000,IFERROR(DATE(INT($AR355/10000),MOD(INT($AR355/100),100),MOD($AR355,100)),""),INT($AR355)),IFERROR(DATE(--LEFT(LEFT(SUBSTITUTE(SUBSTITUTE(SUBSTITUTE(SUBSTITUTE(TRIM($AR355),"-",""),".",""),"/","")," ",""),8),4),--MID(LEFT(SUBSTITUTE(SUBSTITUTE(SUBSTITUTE(SUBSTITUTE(TRIM($AR355),"-",""),".",""),"/","")," ",""),8),5,2),--MID(LEFT(SUBSTITUTE(SUBSTITUTE(SUBSTITUTE(SUBSTITUTE(TRIM($AR355),"-",""),".",""),"/","")," ",""),8),7,2)),"")))</f>
        <v/>
      </c>
      <c r="AT355" s="23">
        <f>IF($AS355="","",IF($F$6="",0,IF(ISNUMBER(INDEX($A:$AP,ROW(),$F$6)),INDEX($A:$AP,ROW(),$F$6),IFERROR(--SUBSTITUTE(SUBSTITUTE(TRIM(INDEX($A:$AP,ROW(),$F$6)),",",""),"원",""),0))))</f>
        <v/>
      </c>
      <c r="AU355" s="23">
        <f>IF($AS355="","",IF($G$6="",0,IF(ISNUMBER(INDEX($A:$AP,ROW(),$G$6)),INDEX($A:$AP,ROW(),$G$6),IFERROR(--SUBSTITUTE(SUBSTITUTE(TRIM(INDEX($A:$AP,ROW(),$G$6)),",",""),"원",""),0))))</f>
        <v/>
      </c>
      <c r="AV355" s="23">
        <f>IF($AS355="","",IF($H$6="",$AT355+$AU355,IF($H$6="",0,IF(ISNUMBER(INDEX($A:$AP,ROW(),$H$6)),INDEX($A:$AP,ROW(),$H$6),IFERROR(--SUBSTITUTE(SUBSTITUTE(TRIM(INDEX($A:$AP,ROW(),$H$6)),",",""),"원",""),0)))))</f>
        <v/>
      </c>
      <c r="AW355" s="2">
        <f>IF(OR($AS355="",$C$6=""),"",TRIM(INDEX($A:$AP,ROW(),$C$6)&amp;""))</f>
        <v/>
      </c>
      <c r="AX355" s="2">
        <f>IF($AS355="","",IF($AZ355&lt;&gt;"",SUBSTITUTE(SUBSTITUTE($AZ355,"-","")," ",""),$AY355))</f>
        <v/>
      </c>
      <c r="AY355" s="2">
        <f>IF(OR($AS355="",$E$6=""),"",TRIM(INDEX($A:$AP,ROW(),$E$6)&amp;""))</f>
        <v/>
      </c>
      <c r="AZ355" s="2">
        <f>IF(OR($AS355="",$D$6=""),"",TRIM(INDEX($A:$AP,ROW(),$D$6)&amp;""))</f>
        <v/>
      </c>
      <c r="BA355" s="2">
        <f>IF($AS355="","",IF(AND($AS355&gt;=설정!$B$10,$AS355&lt;=설정!$B$11),"포함","기간 밖"))</f>
        <v/>
      </c>
      <c r="BB355" s="2">
        <f>IF($AS355="","",IF(OR($AT355&lt;0,AND($I$6&lt;&gt;"",ISNUMBER(FIND("수정",INDEX($A:$AP,ROW(),IF($I$6="",1,$I$6))&amp;"")))),"수정","일반"))</f>
        <v/>
      </c>
      <c r="BC355" s="2">
        <f>IF($AS355="","",MID(IF($BA355="기간 밖"," / 기간 밖(신고기간 아님)","")&amp;IF(AND($AW355&lt;&gt;"",COUNTIF($AW$8:$AW$1007,$AW355)&gt;1)," / 승인번호 중복(두 번 붙여넣기?)","")&amp;IF(ABS($AU355-ROUND($AT355*0.1,0))&gt;설정!$B$8,IF($AU355=0," / 세액 0원(영세율·면세 여부 확인)"," / 세액이 공급가액 10%와 다름"),"")&amp;IF($BB355="수정"," / 수정세금계산서(합계에서 자동 가감)",""),4,200))</f>
        <v/>
      </c>
      <c r="BD355" s="2">
        <f>IF($BA355&lt;&gt;"포함","",IF(COUNTIFS($AX$8:$AX355,$AX355,$BA$8:$BA355,"포함")=1,MAX($BD$7:BD354)+1,""))</f>
        <v/>
      </c>
      <c r="BE355" s="2">
        <f>IF($BC355="","",MAX($BE$7:BE354)+1)</f>
        <v/>
      </c>
    </row>
    <row r="356">
      <c r="AR356" s="2">
        <f>IF(OR($A$5="",$B$6="",ROW()&lt;$A$5),"",IF(INDEX($A:$AP,ROW(),$B$6)="","",INDEX($A:$AP,ROW(),$B$6)))</f>
        <v/>
      </c>
      <c r="AS356" s="22">
        <f>IF($AR356="","",IF(ISNUMBER($AR356),IF($AR356&gt;=10000000,IFERROR(DATE(INT($AR356/10000),MOD(INT($AR356/100),100),MOD($AR356,100)),""),INT($AR356)),IFERROR(DATE(--LEFT(LEFT(SUBSTITUTE(SUBSTITUTE(SUBSTITUTE(SUBSTITUTE(TRIM($AR356),"-",""),".",""),"/","")," ",""),8),4),--MID(LEFT(SUBSTITUTE(SUBSTITUTE(SUBSTITUTE(SUBSTITUTE(TRIM($AR356),"-",""),".",""),"/","")," ",""),8),5,2),--MID(LEFT(SUBSTITUTE(SUBSTITUTE(SUBSTITUTE(SUBSTITUTE(TRIM($AR356),"-",""),".",""),"/","")," ",""),8),7,2)),"")))</f>
        <v/>
      </c>
      <c r="AT356" s="23">
        <f>IF($AS356="","",IF($F$6="",0,IF(ISNUMBER(INDEX($A:$AP,ROW(),$F$6)),INDEX($A:$AP,ROW(),$F$6),IFERROR(--SUBSTITUTE(SUBSTITUTE(TRIM(INDEX($A:$AP,ROW(),$F$6)),",",""),"원",""),0))))</f>
        <v/>
      </c>
      <c r="AU356" s="23">
        <f>IF($AS356="","",IF($G$6="",0,IF(ISNUMBER(INDEX($A:$AP,ROW(),$G$6)),INDEX($A:$AP,ROW(),$G$6),IFERROR(--SUBSTITUTE(SUBSTITUTE(TRIM(INDEX($A:$AP,ROW(),$G$6)),",",""),"원",""),0))))</f>
        <v/>
      </c>
      <c r="AV356" s="23">
        <f>IF($AS356="","",IF($H$6="",$AT356+$AU356,IF($H$6="",0,IF(ISNUMBER(INDEX($A:$AP,ROW(),$H$6)),INDEX($A:$AP,ROW(),$H$6),IFERROR(--SUBSTITUTE(SUBSTITUTE(TRIM(INDEX($A:$AP,ROW(),$H$6)),",",""),"원",""),0)))))</f>
        <v/>
      </c>
      <c r="AW356" s="2">
        <f>IF(OR($AS356="",$C$6=""),"",TRIM(INDEX($A:$AP,ROW(),$C$6)&amp;""))</f>
        <v/>
      </c>
      <c r="AX356" s="2">
        <f>IF($AS356="","",IF($AZ356&lt;&gt;"",SUBSTITUTE(SUBSTITUTE($AZ356,"-","")," ",""),$AY356))</f>
        <v/>
      </c>
      <c r="AY356" s="2">
        <f>IF(OR($AS356="",$E$6=""),"",TRIM(INDEX($A:$AP,ROW(),$E$6)&amp;""))</f>
        <v/>
      </c>
      <c r="AZ356" s="2">
        <f>IF(OR($AS356="",$D$6=""),"",TRIM(INDEX($A:$AP,ROW(),$D$6)&amp;""))</f>
        <v/>
      </c>
      <c r="BA356" s="2">
        <f>IF($AS356="","",IF(AND($AS356&gt;=설정!$B$10,$AS356&lt;=설정!$B$11),"포함","기간 밖"))</f>
        <v/>
      </c>
      <c r="BB356" s="2">
        <f>IF($AS356="","",IF(OR($AT356&lt;0,AND($I$6&lt;&gt;"",ISNUMBER(FIND("수정",INDEX($A:$AP,ROW(),IF($I$6="",1,$I$6))&amp;"")))),"수정","일반"))</f>
        <v/>
      </c>
      <c r="BC356" s="2">
        <f>IF($AS356="","",MID(IF($BA356="기간 밖"," / 기간 밖(신고기간 아님)","")&amp;IF(AND($AW356&lt;&gt;"",COUNTIF($AW$8:$AW$1007,$AW356)&gt;1)," / 승인번호 중복(두 번 붙여넣기?)","")&amp;IF(ABS($AU356-ROUND($AT356*0.1,0))&gt;설정!$B$8,IF($AU356=0," / 세액 0원(영세율·면세 여부 확인)"," / 세액이 공급가액 10%와 다름"),"")&amp;IF($BB356="수정"," / 수정세금계산서(합계에서 자동 가감)",""),4,200))</f>
        <v/>
      </c>
      <c r="BD356" s="2">
        <f>IF($BA356&lt;&gt;"포함","",IF(COUNTIFS($AX$8:$AX356,$AX356,$BA$8:$BA356,"포함")=1,MAX($BD$7:BD355)+1,""))</f>
        <v/>
      </c>
      <c r="BE356" s="2">
        <f>IF($BC356="","",MAX($BE$7:BE355)+1)</f>
        <v/>
      </c>
    </row>
    <row r="357">
      <c r="AR357" s="2">
        <f>IF(OR($A$5="",$B$6="",ROW()&lt;$A$5),"",IF(INDEX($A:$AP,ROW(),$B$6)="","",INDEX($A:$AP,ROW(),$B$6)))</f>
        <v/>
      </c>
      <c r="AS357" s="22">
        <f>IF($AR357="","",IF(ISNUMBER($AR357),IF($AR357&gt;=10000000,IFERROR(DATE(INT($AR357/10000),MOD(INT($AR357/100),100),MOD($AR357,100)),""),INT($AR357)),IFERROR(DATE(--LEFT(LEFT(SUBSTITUTE(SUBSTITUTE(SUBSTITUTE(SUBSTITUTE(TRIM($AR357),"-",""),".",""),"/","")," ",""),8),4),--MID(LEFT(SUBSTITUTE(SUBSTITUTE(SUBSTITUTE(SUBSTITUTE(TRIM($AR357),"-",""),".",""),"/","")," ",""),8),5,2),--MID(LEFT(SUBSTITUTE(SUBSTITUTE(SUBSTITUTE(SUBSTITUTE(TRIM($AR357),"-",""),".",""),"/","")," ",""),8),7,2)),"")))</f>
        <v/>
      </c>
      <c r="AT357" s="23">
        <f>IF($AS357="","",IF($F$6="",0,IF(ISNUMBER(INDEX($A:$AP,ROW(),$F$6)),INDEX($A:$AP,ROW(),$F$6),IFERROR(--SUBSTITUTE(SUBSTITUTE(TRIM(INDEX($A:$AP,ROW(),$F$6)),",",""),"원",""),0))))</f>
        <v/>
      </c>
      <c r="AU357" s="23">
        <f>IF($AS357="","",IF($G$6="",0,IF(ISNUMBER(INDEX($A:$AP,ROW(),$G$6)),INDEX($A:$AP,ROW(),$G$6),IFERROR(--SUBSTITUTE(SUBSTITUTE(TRIM(INDEX($A:$AP,ROW(),$G$6)),",",""),"원",""),0))))</f>
        <v/>
      </c>
      <c r="AV357" s="23">
        <f>IF($AS357="","",IF($H$6="",$AT357+$AU357,IF($H$6="",0,IF(ISNUMBER(INDEX($A:$AP,ROW(),$H$6)),INDEX($A:$AP,ROW(),$H$6),IFERROR(--SUBSTITUTE(SUBSTITUTE(TRIM(INDEX($A:$AP,ROW(),$H$6)),",",""),"원",""),0)))))</f>
        <v/>
      </c>
      <c r="AW357" s="2">
        <f>IF(OR($AS357="",$C$6=""),"",TRIM(INDEX($A:$AP,ROW(),$C$6)&amp;""))</f>
        <v/>
      </c>
      <c r="AX357" s="2">
        <f>IF($AS357="","",IF($AZ357&lt;&gt;"",SUBSTITUTE(SUBSTITUTE($AZ357,"-","")," ",""),$AY357))</f>
        <v/>
      </c>
      <c r="AY357" s="2">
        <f>IF(OR($AS357="",$E$6=""),"",TRIM(INDEX($A:$AP,ROW(),$E$6)&amp;""))</f>
        <v/>
      </c>
      <c r="AZ357" s="2">
        <f>IF(OR($AS357="",$D$6=""),"",TRIM(INDEX($A:$AP,ROW(),$D$6)&amp;""))</f>
        <v/>
      </c>
      <c r="BA357" s="2">
        <f>IF($AS357="","",IF(AND($AS357&gt;=설정!$B$10,$AS357&lt;=설정!$B$11),"포함","기간 밖"))</f>
        <v/>
      </c>
      <c r="BB357" s="2">
        <f>IF($AS357="","",IF(OR($AT357&lt;0,AND($I$6&lt;&gt;"",ISNUMBER(FIND("수정",INDEX($A:$AP,ROW(),IF($I$6="",1,$I$6))&amp;"")))),"수정","일반"))</f>
        <v/>
      </c>
      <c r="BC357" s="2">
        <f>IF($AS357="","",MID(IF($BA357="기간 밖"," / 기간 밖(신고기간 아님)","")&amp;IF(AND($AW357&lt;&gt;"",COUNTIF($AW$8:$AW$1007,$AW357)&gt;1)," / 승인번호 중복(두 번 붙여넣기?)","")&amp;IF(ABS($AU357-ROUND($AT357*0.1,0))&gt;설정!$B$8,IF($AU357=0," / 세액 0원(영세율·면세 여부 확인)"," / 세액이 공급가액 10%와 다름"),"")&amp;IF($BB357="수정"," / 수정세금계산서(합계에서 자동 가감)",""),4,200))</f>
        <v/>
      </c>
      <c r="BD357" s="2">
        <f>IF($BA357&lt;&gt;"포함","",IF(COUNTIFS($AX$8:$AX357,$AX357,$BA$8:$BA357,"포함")=1,MAX($BD$7:BD356)+1,""))</f>
        <v/>
      </c>
      <c r="BE357" s="2">
        <f>IF($BC357="","",MAX($BE$7:BE356)+1)</f>
        <v/>
      </c>
    </row>
    <row r="358">
      <c r="AR358" s="2">
        <f>IF(OR($A$5="",$B$6="",ROW()&lt;$A$5),"",IF(INDEX($A:$AP,ROW(),$B$6)="","",INDEX($A:$AP,ROW(),$B$6)))</f>
        <v/>
      </c>
      <c r="AS358" s="22">
        <f>IF($AR358="","",IF(ISNUMBER($AR358),IF($AR358&gt;=10000000,IFERROR(DATE(INT($AR358/10000),MOD(INT($AR358/100),100),MOD($AR358,100)),""),INT($AR358)),IFERROR(DATE(--LEFT(LEFT(SUBSTITUTE(SUBSTITUTE(SUBSTITUTE(SUBSTITUTE(TRIM($AR358),"-",""),".",""),"/","")," ",""),8),4),--MID(LEFT(SUBSTITUTE(SUBSTITUTE(SUBSTITUTE(SUBSTITUTE(TRIM($AR358),"-",""),".",""),"/","")," ",""),8),5,2),--MID(LEFT(SUBSTITUTE(SUBSTITUTE(SUBSTITUTE(SUBSTITUTE(TRIM($AR358),"-",""),".",""),"/","")," ",""),8),7,2)),"")))</f>
        <v/>
      </c>
      <c r="AT358" s="23">
        <f>IF($AS358="","",IF($F$6="",0,IF(ISNUMBER(INDEX($A:$AP,ROW(),$F$6)),INDEX($A:$AP,ROW(),$F$6),IFERROR(--SUBSTITUTE(SUBSTITUTE(TRIM(INDEX($A:$AP,ROW(),$F$6)),",",""),"원",""),0))))</f>
        <v/>
      </c>
      <c r="AU358" s="23">
        <f>IF($AS358="","",IF($G$6="",0,IF(ISNUMBER(INDEX($A:$AP,ROW(),$G$6)),INDEX($A:$AP,ROW(),$G$6),IFERROR(--SUBSTITUTE(SUBSTITUTE(TRIM(INDEX($A:$AP,ROW(),$G$6)),",",""),"원",""),0))))</f>
        <v/>
      </c>
      <c r="AV358" s="23">
        <f>IF($AS358="","",IF($H$6="",$AT358+$AU358,IF($H$6="",0,IF(ISNUMBER(INDEX($A:$AP,ROW(),$H$6)),INDEX($A:$AP,ROW(),$H$6),IFERROR(--SUBSTITUTE(SUBSTITUTE(TRIM(INDEX($A:$AP,ROW(),$H$6)),",",""),"원",""),0)))))</f>
        <v/>
      </c>
      <c r="AW358" s="2">
        <f>IF(OR($AS358="",$C$6=""),"",TRIM(INDEX($A:$AP,ROW(),$C$6)&amp;""))</f>
        <v/>
      </c>
      <c r="AX358" s="2">
        <f>IF($AS358="","",IF($AZ358&lt;&gt;"",SUBSTITUTE(SUBSTITUTE($AZ358,"-","")," ",""),$AY358))</f>
        <v/>
      </c>
      <c r="AY358" s="2">
        <f>IF(OR($AS358="",$E$6=""),"",TRIM(INDEX($A:$AP,ROW(),$E$6)&amp;""))</f>
        <v/>
      </c>
      <c r="AZ358" s="2">
        <f>IF(OR($AS358="",$D$6=""),"",TRIM(INDEX($A:$AP,ROW(),$D$6)&amp;""))</f>
        <v/>
      </c>
      <c r="BA358" s="2">
        <f>IF($AS358="","",IF(AND($AS358&gt;=설정!$B$10,$AS358&lt;=설정!$B$11),"포함","기간 밖"))</f>
        <v/>
      </c>
      <c r="BB358" s="2">
        <f>IF($AS358="","",IF(OR($AT358&lt;0,AND($I$6&lt;&gt;"",ISNUMBER(FIND("수정",INDEX($A:$AP,ROW(),IF($I$6="",1,$I$6))&amp;"")))),"수정","일반"))</f>
        <v/>
      </c>
      <c r="BC358" s="2">
        <f>IF($AS358="","",MID(IF($BA358="기간 밖"," / 기간 밖(신고기간 아님)","")&amp;IF(AND($AW358&lt;&gt;"",COUNTIF($AW$8:$AW$1007,$AW358)&gt;1)," / 승인번호 중복(두 번 붙여넣기?)","")&amp;IF(ABS($AU358-ROUND($AT358*0.1,0))&gt;설정!$B$8,IF($AU358=0," / 세액 0원(영세율·면세 여부 확인)"," / 세액이 공급가액 10%와 다름"),"")&amp;IF($BB358="수정"," / 수정세금계산서(합계에서 자동 가감)",""),4,200))</f>
        <v/>
      </c>
      <c r="BD358" s="2">
        <f>IF($BA358&lt;&gt;"포함","",IF(COUNTIFS($AX$8:$AX358,$AX358,$BA$8:$BA358,"포함")=1,MAX($BD$7:BD357)+1,""))</f>
        <v/>
      </c>
      <c r="BE358" s="2">
        <f>IF($BC358="","",MAX($BE$7:BE357)+1)</f>
        <v/>
      </c>
    </row>
    <row r="359">
      <c r="AR359" s="2">
        <f>IF(OR($A$5="",$B$6="",ROW()&lt;$A$5),"",IF(INDEX($A:$AP,ROW(),$B$6)="","",INDEX($A:$AP,ROW(),$B$6)))</f>
        <v/>
      </c>
      <c r="AS359" s="22">
        <f>IF($AR359="","",IF(ISNUMBER($AR359),IF($AR359&gt;=10000000,IFERROR(DATE(INT($AR359/10000),MOD(INT($AR359/100),100),MOD($AR359,100)),""),INT($AR359)),IFERROR(DATE(--LEFT(LEFT(SUBSTITUTE(SUBSTITUTE(SUBSTITUTE(SUBSTITUTE(TRIM($AR359),"-",""),".",""),"/","")," ",""),8),4),--MID(LEFT(SUBSTITUTE(SUBSTITUTE(SUBSTITUTE(SUBSTITUTE(TRIM($AR359),"-",""),".",""),"/","")," ",""),8),5,2),--MID(LEFT(SUBSTITUTE(SUBSTITUTE(SUBSTITUTE(SUBSTITUTE(TRIM($AR359),"-",""),".",""),"/","")," ",""),8),7,2)),"")))</f>
        <v/>
      </c>
      <c r="AT359" s="23">
        <f>IF($AS359="","",IF($F$6="",0,IF(ISNUMBER(INDEX($A:$AP,ROW(),$F$6)),INDEX($A:$AP,ROW(),$F$6),IFERROR(--SUBSTITUTE(SUBSTITUTE(TRIM(INDEX($A:$AP,ROW(),$F$6)),",",""),"원",""),0))))</f>
        <v/>
      </c>
      <c r="AU359" s="23">
        <f>IF($AS359="","",IF($G$6="",0,IF(ISNUMBER(INDEX($A:$AP,ROW(),$G$6)),INDEX($A:$AP,ROW(),$G$6),IFERROR(--SUBSTITUTE(SUBSTITUTE(TRIM(INDEX($A:$AP,ROW(),$G$6)),",",""),"원",""),0))))</f>
        <v/>
      </c>
      <c r="AV359" s="23">
        <f>IF($AS359="","",IF($H$6="",$AT359+$AU359,IF($H$6="",0,IF(ISNUMBER(INDEX($A:$AP,ROW(),$H$6)),INDEX($A:$AP,ROW(),$H$6),IFERROR(--SUBSTITUTE(SUBSTITUTE(TRIM(INDEX($A:$AP,ROW(),$H$6)),",",""),"원",""),0)))))</f>
        <v/>
      </c>
      <c r="AW359" s="2">
        <f>IF(OR($AS359="",$C$6=""),"",TRIM(INDEX($A:$AP,ROW(),$C$6)&amp;""))</f>
        <v/>
      </c>
      <c r="AX359" s="2">
        <f>IF($AS359="","",IF($AZ359&lt;&gt;"",SUBSTITUTE(SUBSTITUTE($AZ359,"-","")," ",""),$AY359))</f>
        <v/>
      </c>
      <c r="AY359" s="2">
        <f>IF(OR($AS359="",$E$6=""),"",TRIM(INDEX($A:$AP,ROW(),$E$6)&amp;""))</f>
        <v/>
      </c>
      <c r="AZ359" s="2">
        <f>IF(OR($AS359="",$D$6=""),"",TRIM(INDEX($A:$AP,ROW(),$D$6)&amp;""))</f>
        <v/>
      </c>
      <c r="BA359" s="2">
        <f>IF($AS359="","",IF(AND($AS359&gt;=설정!$B$10,$AS359&lt;=설정!$B$11),"포함","기간 밖"))</f>
        <v/>
      </c>
      <c r="BB359" s="2">
        <f>IF($AS359="","",IF(OR($AT359&lt;0,AND($I$6&lt;&gt;"",ISNUMBER(FIND("수정",INDEX($A:$AP,ROW(),IF($I$6="",1,$I$6))&amp;"")))),"수정","일반"))</f>
        <v/>
      </c>
      <c r="BC359" s="2">
        <f>IF($AS359="","",MID(IF($BA359="기간 밖"," / 기간 밖(신고기간 아님)","")&amp;IF(AND($AW359&lt;&gt;"",COUNTIF($AW$8:$AW$1007,$AW359)&gt;1)," / 승인번호 중복(두 번 붙여넣기?)","")&amp;IF(ABS($AU359-ROUND($AT359*0.1,0))&gt;설정!$B$8,IF($AU359=0," / 세액 0원(영세율·면세 여부 확인)"," / 세액이 공급가액 10%와 다름"),"")&amp;IF($BB359="수정"," / 수정세금계산서(합계에서 자동 가감)",""),4,200))</f>
        <v/>
      </c>
      <c r="BD359" s="2">
        <f>IF($BA359&lt;&gt;"포함","",IF(COUNTIFS($AX$8:$AX359,$AX359,$BA$8:$BA359,"포함")=1,MAX($BD$7:BD358)+1,""))</f>
        <v/>
      </c>
      <c r="BE359" s="2">
        <f>IF($BC359="","",MAX($BE$7:BE358)+1)</f>
        <v/>
      </c>
    </row>
    <row r="360">
      <c r="AR360" s="2">
        <f>IF(OR($A$5="",$B$6="",ROW()&lt;$A$5),"",IF(INDEX($A:$AP,ROW(),$B$6)="","",INDEX($A:$AP,ROW(),$B$6)))</f>
        <v/>
      </c>
      <c r="AS360" s="22">
        <f>IF($AR360="","",IF(ISNUMBER($AR360),IF($AR360&gt;=10000000,IFERROR(DATE(INT($AR360/10000),MOD(INT($AR360/100),100),MOD($AR360,100)),""),INT($AR360)),IFERROR(DATE(--LEFT(LEFT(SUBSTITUTE(SUBSTITUTE(SUBSTITUTE(SUBSTITUTE(TRIM($AR360),"-",""),".",""),"/","")," ",""),8),4),--MID(LEFT(SUBSTITUTE(SUBSTITUTE(SUBSTITUTE(SUBSTITUTE(TRIM($AR360),"-",""),".",""),"/","")," ",""),8),5,2),--MID(LEFT(SUBSTITUTE(SUBSTITUTE(SUBSTITUTE(SUBSTITUTE(TRIM($AR360),"-",""),".",""),"/","")," ",""),8),7,2)),"")))</f>
        <v/>
      </c>
      <c r="AT360" s="23">
        <f>IF($AS360="","",IF($F$6="",0,IF(ISNUMBER(INDEX($A:$AP,ROW(),$F$6)),INDEX($A:$AP,ROW(),$F$6),IFERROR(--SUBSTITUTE(SUBSTITUTE(TRIM(INDEX($A:$AP,ROW(),$F$6)),",",""),"원",""),0))))</f>
        <v/>
      </c>
      <c r="AU360" s="23">
        <f>IF($AS360="","",IF($G$6="",0,IF(ISNUMBER(INDEX($A:$AP,ROW(),$G$6)),INDEX($A:$AP,ROW(),$G$6),IFERROR(--SUBSTITUTE(SUBSTITUTE(TRIM(INDEX($A:$AP,ROW(),$G$6)),",",""),"원",""),0))))</f>
        <v/>
      </c>
      <c r="AV360" s="23">
        <f>IF($AS360="","",IF($H$6="",$AT360+$AU360,IF($H$6="",0,IF(ISNUMBER(INDEX($A:$AP,ROW(),$H$6)),INDEX($A:$AP,ROW(),$H$6),IFERROR(--SUBSTITUTE(SUBSTITUTE(TRIM(INDEX($A:$AP,ROW(),$H$6)),",",""),"원",""),0)))))</f>
        <v/>
      </c>
      <c r="AW360" s="2">
        <f>IF(OR($AS360="",$C$6=""),"",TRIM(INDEX($A:$AP,ROW(),$C$6)&amp;""))</f>
        <v/>
      </c>
      <c r="AX360" s="2">
        <f>IF($AS360="","",IF($AZ360&lt;&gt;"",SUBSTITUTE(SUBSTITUTE($AZ360,"-","")," ",""),$AY360))</f>
        <v/>
      </c>
      <c r="AY360" s="2">
        <f>IF(OR($AS360="",$E$6=""),"",TRIM(INDEX($A:$AP,ROW(),$E$6)&amp;""))</f>
        <v/>
      </c>
      <c r="AZ360" s="2">
        <f>IF(OR($AS360="",$D$6=""),"",TRIM(INDEX($A:$AP,ROW(),$D$6)&amp;""))</f>
        <v/>
      </c>
      <c r="BA360" s="2">
        <f>IF($AS360="","",IF(AND($AS360&gt;=설정!$B$10,$AS360&lt;=설정!$B$11),"포함","기간 밖"))</f>
        <v/>
      </c>
      <c r="BB360" s="2">
        <f>IF($AS360="","",IF(OR($AT360&lt;0,AND($I$6&lt;&gt;"",ISNUMBER(FIND("수정",INDEX($A:$AP,ROW(),IF($I$6="",1,$I$6))&amp;"")))),"수정","일반"))</f>
        <v/>
      </c>
      <c r="BC360" s="2">
        <f>IF($AS360="","",MID(IF($BA360="기간 밖"," / 기간 밖(신고기간 아님)","")&amp;IF(AND($AW360&lt;&gt;"",COUNTIF($AW$8:$AW$1007,$AW360)&gt;1)," / 승인번호 중복(두 번 붙여넣기?)","")&amp;IF(ABS($AU360-ROUND($AT360*0.1,0))&gt;설정!$B$8,IF($AU360=0," / 세액 0원(영세율·면세 여부 확인)"," / 세액이 공급가액 10%와 다름"),"")&amp;IF($BB360="수정"," / 수정세금계산서(합계에서 자동 가감)",""),4,200))</f>
        <v/>
      </c>
      <c r="BD360" s="2">
        <f>IF($BA360&lt;&gt;"포함","",IF(COUNTIFS($AX$8:$AX360,$AX360,$BA$8:$BA360,"포함")=1,MAX($BD$7:BD359)+1,""))</f>
        <v/>
      </c>
      <c r="BE360" s="2">
        <f>IF($BC360="","",MAX($BE$7:BE359)+1)</f>
        <v/>
      </c>
    </row>
    <row r="361">
      <c r="AR361" s="2">
        <f>IF(OR($A$5="",$B$6="",ROW()&lt;$A$5),"",IF(INDEX($A:$AP,ROW(),$B$6)="","",INDEX($A:$AP,ROW(),$B$6)))</f>
        <v/>
      </c>
      <c r="AS361" s="22">
        <f>IF($AR361="","",IF(ISNUMBER($AR361),IF($AR361&gt;=10000000,IFERROR(DATE(INT($AR361/10000),MOD(INT($AR361/100),100),MOD($AR361,100)),""),INT($AR361)),IFERROR(DATE(--LEFT(LEFT(SUBSTITUTE(SUBSTITUTE(SUBSTITUTE(SUBSTITUTE(TRIM($AR361),"-",""),".",""),"/","")," ",""),8),4),--MID(LEFT(SUBSTITUTE(SUBSTITUTE(SUBSTITUTE(SUBSTITUTE(TRIM($AR361),"-",""),".",""),"/","")," ",""),8),5,2),--MID(LEFT(SUBSTITUTE(SUBSTITUTE(SUBSTITUTE(SUBSTITUTE(TRIM($AR361),"-",""),".",""),"/","")," ",""),8),7,2)),"")))</f>
        <v/>
      </c>
      <c r="AT361" s="23">
        <f>IF($AS361="","",IF($F$6="",0,IF(ISNUMBER(INDEX($A:$AP,ROW(),$F$6)),INDEX($A:$AP,ROW(),$F$6),IFERROR(--SUBSTITUTE(SUBSTITUTE(TRIM(INDEX($A:$AP,ROW(),$F$6)),",",""),"원",""),0))))</f>
        <v/>
      </c>
      <c r="AU361" s="23">
        <f>IF($AS361="","",IF($G$6="",0,IF(ISNUMBER(INDEX($A:$AP,ROW(),$G$6)),INDEX($A:$AP,ROW(),$G$6),IFERROR(--SUBSTITUTE(SUBSTITUTE(TRIM(INDEX($A:$AP,ROW(),$G$6)),",",""),"원",""),0))))</f>
        <v/>
      </c>
      <c r="AV361" s="23">
        <f>IF($AS361="","",IF($H$6="",$AT361+$AU361,IF($H$6="",0,IF(ISNUMBER(INDEX($A:$AP,ROW(),$H$6)),INDEX($A:$AP,ROW(),$H$6),IFERROR(--SUBSTITUTE(SUBSTITUTE(TRIM(INDEX($A:$AP,ROW(),$H$6)),",",""),"원",""),0)))))</f>
        <v/>
      </c>
      <c r="AW361" s="2">
        <f>IF(OR($AS361="",$C$6=""),"",TRIM(INDEX($A:$AP,ROW(),$C$6)&amp;""))</f>
        <v/>
      </c>
      <c r="AX361" s="2">
        <f>IF($AS361="","",IF($AZ361&lt;&gt;"",SUBSTITUTE(SUBSTITUTE($AZ361,"-","")," ",""),$AY361))</f>
        <v/>
      </c>
      <c r="AY361" s="2">
        <f>IF(OR($AS361="",$E$6=""),"",TRIM(INDEX($A:$AP,ROW(),$E$6)&amp;""))</f>
        <v/>
      </c>
      <c r="AZ361" s="2">
        <f>IF(OR($AS361="",$D$6=""),"",TRIM(INDEX($A:$AP,ROW(),$D$6)&amp;""))</f>
        <v/>
      </c>
      <c r="BA361" s="2">
        <f>IF($AS361="","",IF(AND($AS361&gt;=설정!$B$10,$AS361&lt;=설정!$B$11),"포함","기간 밖"))</f>
        <v/>
      </c>
      <c r="BB361" s="2">
        <f>IF($AS361="","",IF(OR($AT361&lt;0,AND($I$6&lt;&gt;"",ISNUMBER(FIND("수정",INDEX($A:$AP,ROW(),IF($I$6="",1,$I$6))&amp;"")))),"수정","일반"))</f>
        <v/>
      </c>
      <c r="BC361" s="2">
        <f>IF($AS361="","",MID(IF($BA361="기간 밖"," / 기간 밖(신고기간 아님)","")&amp;IF(AND($AW361&lt;&gt;"",COUNTIF($AW$8:$AW$1007,$AW361)&gt;1)," / 승인번호 중복(두 번 붙여넣기?)","")&amp;IF(ABS($AU361-ROUND($AT361*0.1,0))&gt;설정!$B$8,IF($AU361=0," / 세액 0원(영세율·면세 여부 확인)"," / 세액이 공급가액 10%와 다름"),"")&amp;IF($BB361="수정"," / 수정세금계산서(합계에서 자동 가감)",""),4,200))</f>
        <v/>
      </c>
      <c r="BD361" s="2">
        <f>IF($BA361&lt;&gt;"포함","",IF(COUNTIFS($AX$8:$AX361,$AX361,$BA$8:$BA361,"포함")=1,MAX($BD$7:BD360)+1,""))</f>
        <v/>
      </c>
      <c r="BE361" s="2">
        <f>IF($BC361="","",MAX($BE$7:BE360)+1)</f>
        <v/>
      </c>
    </row>
    <row r="362">
      <c r="AR362" s="2">
        <f>IF(OR($A$5="",$B$6="",ROW()&lt;$A$5),"",IF(INDEX($A:$AP,ROW(),$B$6)="","",INDEX($A:$AP,ROW(),$B$6)))</f>
        <v/>
      </c>
      <c r="AS362" s="22">
        <f>IF($AR362="","",IF(ISNUMBER($AR362),IF($AR362&gt;=10000000,IFERROR(DATE(INT($AR362/10000),MOD(INT($AR362/100),100),MOD($AR362,100)),""),INT($AR362)),IFERROR(DATE(--LEFT(LEFT(SUBSTITUTE(SUBSTITUTE(SUBSTITUTE(SUBSTITUTE(TRIM($AR362),"-",""),".",""),"/","")," ",""),8),4),--MID(LEFT(SUBSTITUTE(SUBSTITUTE(SUBSTITUTE(SUBSTITUTE(TRIM($AR362),"-",""),".",""),"/","")," ",""),8),5,2),--MID(LEFT(SUBSTITUTE(SUBSTITUTE(SUBSTITUTE(SUBSTITUTE(TRIM($AR362),"-",""),".",""),"/","")," ",""),8),7,2)),"")))</f>
        <v/>
      </c>
      <c r="AT362" s="23">
        <f>IF($AS362="","",IF($F$6="",0,IF(ISNUMBER(INDEX($A:$AP,ROW(),$F$6)),INDEX($A:$AP,ROW(),$F$6),IFERROR(--SUBSTITUTE(SUBSTITUTE(TRIM(INDEX($A:$AP,ROW(),$F$6)),",",""),"원",""),0))))</f>
        <v/>
      </c>
      <c r="AU362" s="23">
        <f>IF($AS362="","",IF($G$6="",0,IF(ISNUMBER(INDEX($A:$AP,ROW(),$G$6)),INDEX($A:$AP,ROW(),$G$6),IFERROR(--SUBSTITUTE(SUBSTITUTE(TRIM(INDEX($A:$AP,ROW(),$G$6)),",",""),"원",""),0))))</f>
        <v/>
      </c>
      <c r="AV362" s="23">
        <f>IF($AS362="","",IF($H$6="",$AT362+$AU362,IF($H$6="",0,IF(ISNUMBER(INDEX($A:$AP,ROW(),$H$6)),INDEX($A:$AP,ROW(),$H$6),IFERROR(--SUBSTITUTE(SUBSTITUTE(TRIM(INDEX($A:$AP,ROW(),$H$6)),",",""),"원",""),0)))))</f>
        <v/>
      </c>
      <c r="AW362" s="2">
        <f>IF(OR($AS362="",$C$6=""),"",TRIM(INDEX($A:$AP,ROW(),$C$6)&amp;""))</f>
        <v/>
      </c>
      <c r="AX362" s="2">
        <f>IF($AS362="","",IF($AZ362&lt;&gt;"",SUBSTITUTE(SUBSTITUTE($AZ362,"-","")," ",""),$AY362))</f>
        <v/>
      </c>
      <c r="AY362" s="2">
        <f>IF(OR($AS362="",$E$6=""),"",TRIM(INDEX($A:$AP,ROW(),$E$6)&amp;""))</f>
        <v/>
      </c>
      <c r="AZ362" s="2">
        <f>IF(OR($AS362="",$D$6=""),"",TRIM(INDEX($A:$AP,ROW(),$D$6)&amp;""))</f>
        <v/>
      </c>
      <c r="BA362" s="2">
        <f>IF($AS362="","",IF(AND($AS362&gt;=설정!$B$10,$AS362&lt;=설정!$B$11),"포함","기간 밖"))</f>
        <v/>
      </c>
      <c r="BB362" s="2">
        <f>IF($AS362="","",IF(OR($AT362&lt;0,AND($I$6&lt;&gt;"",ISNUMBER(FIND("수정",INDEX($A:$AP,ROW(),IF($I$6="",1,$I$6))&amp;"")))),"수정","일반"))</f>
        <v/>
      </c>
      <c r="BC362" s="2">
        <f>IF($AS362="","",MID(IF($BA362="기간 밖"," / 기간 밖(신고기간 아님)","")&amp;IF(AND($AW362&lt;&gt;"",COUNTIF($AW$8:$AW$1007,$AW362)&gt;1)," / 승인번호 중복(두 번 붙여넣기?)","")&amp;IF(ABS($AU362-ROUND($AT362*0.1,0))&gt;설정!$B$8,IF($AU362=0," / 세액 0원(영세율·면세 여부 확인)"," / 세액이 공급가액 10%와 다름"),"")&amp;IF($BB362="수정"," / 수정세금계산서(합계에서 자동 가감)",""),4,200))</f>
        <v/>
      </c>
      <c r="BD362" s="2">
        <f>IF($BA362&lt;&gt;"포함","",IF(COUNTIFS($AX$8:$AX362,$AX362,$BA$8:$BA362,"포함")=1,MAX($BD$7:BD361)+1,""))</f>
        <v/>
      </c>
      <c r="BE362" s="2">
        <f>IF($BC362="","",MAX($BE$7:BE361)+1)</f>
        <v/>
      </c>
    </row>
    <row r="363">
      <c r="AR363" s="2">
        <f>IF(OR($A$5="",$B$6="",ROW()&lt;$A$5),"",IF(INDEX($A:$AP,ROW(),$B$6)="","",INDEX($A:$AP,ROW(),$B$6)))</f>
        <v/>
      </c>
      <c r="AS363" s="22">
        <f>IF($AR363="","",IF(ISNUMBER($AR363),IF($AR363&gt;=10000000,IFERROR(DATE(INT($AR363/10000),MOD(INT($AR363/100),100),MOD($AR363,100)),""),INT($AR363)),IFERROR(DATE(--LEFT(LEFT(SUBSTITUTE(SUBSTITUTE(SUBSTITUTE(SUBSTITUTE(TRIM($AR363),"-",""),".",""),"/","")," ",""),8),4),--MID(LEFT(SUBSTITUTE(SUBSTITUTE(SUBSTITUTE(SUBSTITUTE(TRIM($AR363),"-",""),".",""),"/","")," ",""),8),5,2),--MID(LEFT(SUBSTITUTE(SUBSTITUTE(SUBSTITUTE(SUBSTITUTE(TRIM($AR363),"-",""),".",""),"/","")," ",""),8),7,2)),"")))</f>
        <v/>
      </c>
      <c r="AT363" s="23">
        <f>IF($AS363="","",IF($F$6="",0,IF(ISNUMBER(INDEX($A:$AP,ROW(),$F$6)),INDEX($A:$AP,ROW(),$F$6),IFERROR(--SUBSTITUTE(SUBSTITUTE(TRIM(INDEX($A:$AP,ROW(),$F$6)),",",""),"원",""),0))))</f>
        <v/>
      </c>
      <c r="AU363" s="23">
        <f>IF($AS363="","",IF($G$6="",0,IF(ISNUMBER(INDEX($A:$AP,ROW(),$G$6)),INDEX($A:$AP,ROW(),$G$6),IFERROR(--SUBSTITUTE(SUBSTITUTE(TRIM(INDEX($A:$AP,ROW(),$G$6)),",",""),"원",""),0))))</f>
        <v/>
      </c>
      <c r="AV363" s="23">
        <f>IF($AS363="","",IF($H$6="",$AT363+$AU363,IF($H$6="",0,IF(ISNUMBER(INDEX($A:$AP,ROW(),$H$6)),INDEX($A:$AP,ROW(),$H$6),IFERROR(--SUBSTITUTE(SUBSTITUTE(TRIM(INDEX($A:$AP,ROW(),$H$6)),",",""),"원",""),0)))))</f>
        <v/>
      </c>
      <c r="AW363" s="2">
        <f>IF(OR($AS363="",$C$6=""),"",TRIM(INDEX($A:$AP,ROW(),$C$6)&amp;""))</f>
        <v/>
      </c>
      <c r="AX363" s="2">
        <f>IF($AS363="","",IF($AZ363&lt;&gt;"",SUBSTITUTE(SUBSTITUTE($AZ363,"-","")," ",""),$AY363))</f>
        <v/>
      </c>
      <c r="AY363" s="2">
        <f>IF(OR($AS363="",$E$6=""),"",TRIM(INDEX($A:$AP,ROW(),$E$6)&amp;""))</f>
        <v/>
      </c>
      <c r="AZ363" s="2">
        <f>IF(OR($AS363="",$D$6=""),"",TRIM(INDEX($A:$AP,ROW(),$D$6)&amp;""))</f>
        <v/>
      </c>
      <c r="BA363" s="2">
        <f>IF($AS363="","",IF(AND($AS363&gt;=설정!$B$10,$AS363&lt;=설정!$B$11),"포함","기간 밖"))</f>
        <v/>
      </c>
      <c r="BB363" s="2">
        <f>IF($AS363="","",IF(OR($AT363&lt;0,AND($I$6&lt;&gt;"",ISNUMBER(FIND("수정",INDEX($A:$AP,ROW(),IF($I$6="",1,$I$6))&amp;"")))),"수정","일반"))</f>
        <v/>
      </c>
      <c r="BC363" s="2">
        <f>IF($AS363="","",MID(IF($BA363="기간 밖"," / 기간 밖(신고기간 아님)","")&amp;IF(AND($AW363&lt;&gt;"",COUNTIF($AW$8:$AW$1007,$AW363)&gt;1)," / 승인번호 중복(두 번 붙여넣기?)","")&amp;IF(ABS($AU363-ROUND($AT363*0.1,0))&gt;설정!$B$8,IF($AU363=0," / 세액 0원(영세율·면세 여부 확인)"," / 세액이 공급가액 10%와 다름"),"")&amp;IF($BB363="수정"," / 수정세금계산서(합계에서 자동 가감)",""),4,200))</f>
        <v/>
      </c>
      <c r="BD363" s="2">
        <f>IF($BA363&lt;&gt;"포함","",IF(COUNTIFS($AX$8:$AX363,$AX363,$BA$8:$BA363,"포함")=1,MAX($BD$7:BD362)+1,""))</f>
        <v/>
      </c>
      <c r="BE363" s="2">
        <f>IF($BC363="","",MAX($BE$7:BE362)+1)</f>
        <v/>
      </c>
    </row>
    <row r="364">
      <c r="AR364" s="2">
        <f>IF(OR($A$5="",$B$6="",ROW()&lt;$A$5),"",IF(INDEX($A:$AP,ROW(),$B$6)="","",INDEX($A:$AP,ROW(),$B$6)))</f>
        <v/>
      </c>
      <c r="AS364" s="22">
        <f>IF($AR364="","",IF(ISNUMBER($AR364),IF($AR364&gt;=10000000,IFERROR(DATE(INT($AR364/10000),MOD(INT($AR364/100),100),MOD($AR364,100)),""),INT($AR364)),IFERROR(DATE(--LEFT(LEFT(SUBSTITUTE(SUBSTITUTE(SUBSTITUTE(SUBSTITUTE(TRIM($AR364),"-",""),".",""),"/","")," ",""),8),4),--MID(LEFT(SUBSTITUTE(SUBSTITUTE(SUBSTITUTE(SUBSTITUTE(TRIM($AR364),"-",""),".",""),"/","")," ",""),8),5,2),--MID(LEFT(SUBSTITUTE(SUBSTITUTE(SUBSTITUTE(SUBSTITUTE(TRIM($AR364),"-",""),".",""),"/","")," ",""),8),7,2)),"")))</f>
        <v/>
      </c>
      <c r="AT364" s="23">
        <f>IF($AS364="","",IF($F$6="",0,IF(ISNUMBER(INDEX($A:$AP,ROW(),$F$6)),INDEX($A:$AP,ROW(),$F$6),IFERROR(--SUBSTITUTE(SUBSTITUTE(TRIM(INDEX($A:$AP,ROW(),$F$6)),",",""),"원",""),0))))</f>
        <v/>
      </c>
      <c r="AU364" s="23">
        <f>IF($AS364="","",IF($G$6="",0,IF(ISNUMBER(INDEX($A:$AP,ROW(),$G$6)),INDEX($A:$AP,ROW(),$G$6),IFERROR(--SUBSTITUTE(SUBSTITUTE(TRIM(INDEX($A:$AP,ROW(),$G$6)),",",""),"원",""),0))))</f>
        <v/>
      </c>
      <c r="AV364" s="23">
        <f>IF($AS364="","",IF($H$6="",$AT364+$AU364,IF($H$6="",0,IF(ISNUMBER(INDEX($A:$AP,ROW(),$H$6)),INDEX($A:$AP,ROW(),$H$6),IFERROR(--SUBSTITUTE(SUBSTITUTE(TRIM(INDEX($A:$AP,ROW(),$H$6)),",",""),"원",""),0)))))</f>
        <v/>
      </c>
      <c r="AW364" s="2">
        <f>IF(OR($AS364="",$C$6=""),"",TRIM(INDEX($A:$AP,ROW(),$C$6)&amp;""))</f>
        <v/>
      </c>
      <c r="AX364" s="2">
        <f>IF($AS364="","",IF($AZ364&lt;&gt;"",SUBSTITUTE(SUBSTITUTE($AZ364,"-","")," ",""),$AY364))</f>
        <v/>
      </c>
      <c r="AY364" s="2">
        <f>IF(OR($AS364="",$E$6=""),"",TRIM(INDEX($A:$AP,ROW(),$E$6)&amp;""))</f>
        <v/>
      </c>
      <c r="AZ364" s="2">
        <f>IF(OR($AS364="",$D$6=""),"",TRIM(INDEX($A:$AP,ROW(),$D$6)&amp;""))</f>
        <v/>
      </c>
      <c r="BA364" s="2">
        <f>IF($AS364="","",IF(AND($AS364&gt;=설정!$B$10,$AS364&lt;=설정!$B$11),"포함","기간 밖"))</f>
        <v/>
      </c>
      <c r="BB364" s="2">
        <f>IF($AS364="","",IF(OR($AT364&lt;0,AND($I$6&lt;&gt;"",ISNUMBER(FIND("수정",INDEX($A:$AP,ROW(),IF($I$6="",1,$I$6))&amp;"")))),"수정","일반"))</f>
        <v/>
      </c>
      <c r="BC364" s="2">
        <f>IF($AS364="","",MID(IF($BA364="기간 밖"," / 기간 밖(신고기간 아님)","")&amp;IF(AND($AW364&lt;&gt;"",COUNTIF($AW$8:$AW$1007,$AW364)&gt;1)," / 승인번호 중복(두 번 붙여넣기?)","")&amp;IF(ABS($AU364-ROUND($AT364*0.1,0))&gt;설정!$B$8,IF($AU364=0," / 세액 0원(영세율·면세 여부 확인)"," / 세액이 공급가액 10%와 다름"),"")&amp;IF($BB364="수정"," / 수정세금계산서(합계에서 자동 가감)",""),4,200))</f>
        <v/>
      </c>
      <c r="BD364" s="2">
        <f>IF($BA364&lt;&gt;"포함","",IF(COUNTIFS($AX$8:$AX364,$AX364,$BA$8:$BA364,"포함")=1,MAX($BD$7:BD363)+1,""))</f>
        <v/>
      </c>
      <c r="BE364" s="2">
        <f>IF($BC364="","",MAX($BE$7:BE363)+1)</f>
        <v/>
      </c>
    </row>
    <row r="365">
      <c r="AR365" s="2">
        <f>IF(OR($A$5="",$B$6="",ROW()&lt;$A$5),"",IF(INDEX($A:$AP,ROW(),$B$6)="","",INDEX($A:$AP,ROW(),$B$6)))</f>
        <v/>
      </c>
      <c r="AS365" s="22">
        <f>IF($AR365="","",IF(ISNUMBER($AR365),IF($AR365&gt;=10000000,IFERROR(DATE(INT($AR365/10000),MOD(INT($AR365/100),100),MOD($AR365,100)),""),INT($AR365)),IFERROR(DATE(--LEFT(LEFT(SUBSTITUTE(SUBSTITUTE(SUBSTITUTE(SUBSTITUTE(TRIM($AR365),"-",""),".",""),"/","")," ",""),8),4),--MID(LEFT(SUBSTITUTE(SUBSTITUTE(SUBSTITUTE(SUBSTITUTE(TRIM($AR365),"-",""),".",""),"/","")," ",""),8),5,2),--MID(LEFT(SUBSTITUTE(SUBSTITUTE(SUBSTITUTE(SUBSTITUTE(TRIM($AR365),"-",""),".",""),"/","")," ",""),8),7,2)),"")))</f>
        <v/>
      </c>
      <c r="AT365" s="23">
        <f>IF($AS365="","",IF($F$6="",0,IF(ISNUMBER(INDEX($A:$AP,ROW(),$F$6)),INDEX($A:$AP,ROW(),$F$6),IFERROR(--SUBSTITUTE(SUBSTITUTE(TRIM(INDEX($A:$AP,ROW(),$F$6)),",",""),"원",""),0))))</f>
        <v/>
      </c>
      <c r="AU365" s="23">
        <f>IF($AS365="","",IF($G$6="",0,IF(ISNUMBER(INDEX($A:$AP,ROW(),$G$6)),INDEX($A:$AP,ROW(),$G$6),IFERROR(--SUBSTITUTE(SUBSTITUTE(TRIM(INDEX($A:$AP,ROW(),$G$6)),",",""),"원",""),0))))</f>
        <v/>
      </c>
      <c r="AV365" s="23">
        <f>IF($AS365="","",IF($H$6="",$AT365+$AU365,IF($H$6="",0,IF(ISNUMBER(INDEX($A:$AP,ROW(),$H$6)),INDEX($A:$AP,ROW(),$H$6),IFERROR(--SUBSTITUTE(SUBSTITUTE(TRIM(INDEX($A:$AP,ROW(),$H$6)),",",""),"원",""),0)))))</f>
        <v/>
      </c>
      <c r="AW365" s="2">
        <f>IF(OR($AS365="",$C$6=""),"",TRIM(INDEX($A:$AP,ROW(),$C$6)&amp;""))</f>
        <v/>
      </c>
      <c r="AX365" s="2">
        <f>IF($AS365="","",IF($AZ365&lt;&gt;"",SUBSTITUTE(SUBSTITUTE($AZ365,"-","")," ",""),$AY365))</f>
        <v/>
      </c>
      <c r="AY365" s="2">
        <f>IF(OR($AS365="",$E$6=""),"",TRIM(INDEX($A:$AP,ROW(),$E$6)&amp;""))</f>
        <v/>
      </c>
      <c r="AZ365" s="2">
        <f>IF(OR($AS365="",$D$6=""),"",TRIM(INDEX($A:$AP,ROW(),$D$6)&amp;""))</f>
        <v/>
      </c>
      <c r="BA365" s="2">
        <f>IF($AS365="","",IF(AND($AS365&gt;=설정!$B$10,$AS365&lt;=설정!$B$11),"포함","기간 밖"))</f>
        <v/>
      </c>
      <c r="BB365" s="2">
        <f>IF($AS365="","",IF(OR($AT365&lt;0,AND($I$6&lt;&gt;"",ISNUMBER(FIND("수정",INDEX($A:$AP,ROW(),IF($I$6="",1,$I$6))&amp;"")))),"수정","일반"))</f>
        <v/>
      </c>
      <c r="BC365" s="2">
        <f>IF($AS365="","",MID(IF($BA365="기간 밖"," / 기간 밖(신고기간 아님)","")&amp;IF(AND($AW365&lt;&gt;"",COUNTIF($AW$8:$AW$1007,$AW365)&gt;1)," / 승인번호 중복(두 번 붙여넣기?)","")&amp;IF(ABS($AU365-ROUND($AT365*0.1,0))&gt;설정!$B$8,IF($AU365=0," / 세액 0원(영세율·면세 여부 확인)"," / 세액이 공급가액 10%와 다름"),"")&amp;IF($BB365="수정"," / 수정세금계산서(합계에서 자동 가감)",""),4,200))</f>
        <v/>
      </c>
      <c r="BD365" s="2">
        <f>IF($BA365&lt;&gt;"포함","",IF(COUNTIFS($AX$8:$AX365,$AX365,$BA$8:$BA365,"포함")=1,MAX($BD$7:BD364)+1,""))</f>
        <v/>
      </c>
      <c r="BE365" s="2">
        <f>IF($BC365="","",MAX($BE$7:BE364)+1)</f>
        <v/>
      </c>
    </row>
    <row r="366">
      <c r="AR366" s="2">
        <f>IF(OR($A$5="",$B$6="",ROW()&lt;$A$5),"",IF(INDEX($A:$AP,ROW(),$B$6)="","",INDEX($A:$AP,ROW(),$B$6)))</f>
        <v/>
      </c>
      <c r="AS366" s="22">
        <f>IF($AR366="","",IF(ISNUMBER($AR366),IF($AR366&gt;=10000000,IFERROR(DATE(INT($AR366/10000),MOD(INT($AR366/100),100),MOD($AR366,100)),""),INT($AR366)),IFERROR(DATE(--LEFT(LEFT(SUBSTITUTE(SUBSTITUTE(SUBSTITUTE(SUBSTITUTE(TRIM($AR366),"-",""),".",""),"/","")," ",""),8),4),--MID(LEFT(SUBSTITUTE(SUBSTITUTE(SUBSTITUTE(SUBSTITUTE(TRIM($AR366),"-",""),".",""),"/","")," ",""),8),5,2),--MID(LEFT(SUBSTITUTE(SUBSTITUTE(SUBSTITUTE(SUBSTITUTE(TRIM($AR366),"-",""),".",""),"/","")," ",""),8),7,2)),"")))</f>
        <v/>
      </c>
      <c r="AT366" s="23">
        <f>IF($AS366="","",IF($F$6="",0,IF(ISNUMBER(INDEX($A:$AP,ROW(),$F$6)),INDEX($A:$AP,ROW(),$F$6),IFERROR(--SUBSTITUTE(SUBSTITUTE(TRIM(INDEX($A:$AP,ROW(),$F$6)),",",""),"원",""),0))))</f>
        <v/>
      </c>
      <c r="AU366" s="23">
        <f>IF($AS366="","",IF($G$6="",0,IF(ISNUMBER(INDEX($A:$AP,ROW(),$G$6)),INDEX($A:$AP,ROW(),$G$6),IFERROR(--SUBSTITUTE(SUBSTITUTE(TRIM(INDEX($A:$AP,ROW(),$G$6)),",",""),"원",""),0))))</f>
        <v/>
      </c>
      <c r="AV366" s="23">
        <f>IF($AS366="","",IF($H$6="",$AT366+$AU366,IF($H$6="",0,IF(ISNUMBER(INDEX($A:$AP,ROW(),$H$6)),INDEX($A:$AP,ROW(),$H$6),IFERROR(--SUBSTITUTE(SUBSTITUTE(TRIM(INDEX($A:$AP,ROW(),$H$6)),",",""),"원",""),0)))))</f>
        <v/>
      </c>
      <c r="AW366" s="2">
        <f>IF(OR($AS366="",$C$6=""),"",TRIM(INDEX($A:$AP,ROW(),$C$6)&amp;""))</f>
        <v/>
      </c>
      <c r="AX366" s="2">
        <f>IF($AS366="","",IF($AZ366&lt;&gt;"",SUBSTITUTE(SUBSTITUTE($AZ366,"-","")," ",""),$AY366))</f>
        <v/>
      </c>
      <c r="AY366" s="2">
        <f>IF(OR($AS366="",$E$6=""),"",TRIM(INDEX($A:$AP,ROW(),$E$6)&amp;""))</f>
        <v/>
      </c>
      <c r="AZ366" s="2">
        <f>IF(OR($AS366="",$D$6=""),"",TRIM(INDEX($A:$AP,ROW(),$D$6)&amp;""))</f>
        <v/>
      </c>
      <c r="BA366" s="2">
        <f>IF($AS366="","",IF(AND($AS366&gt;=설정!$B$10,$AS366&lt;=설정!$B$11),"포함","기간 밖"))</f>
        <v/>
      </c>
      <c r="BB366" s="2">
        <f>IF($AS366="","",IF(OR($AT366&lt;0,AND($I$6&lt;&gt;"",ISNUMBER(FIND("수정",INDEX($A:$AP,ROW(),IF($I$6="",1,$I$6))&amp;"")))),"수정","일반"))</f>
        <v/>
      </c>
      <c r="BC366" s="2">
        <f>IF($AS366="","",MID(IF($BA366="기간 밖"," / 기간 밖(신고기간 아님)","")&amp;IF(AND($AW366&lt;&gt;"",COUNTIF($AW$8:$AW$1007,$AW366)&gt;1)," / 승인번호 중복(두 번 붙여넣기?)","")&amp;IF(ABS($AU366-ROUND($AT366*0.1,0))&gt;설정!$B$8,IF($AU366=0," / 세액 0원(영세율·면세 여부 확인)"," / 세액이 공급가액 10%와 다름"),"")&amp;IF($BB366="수정"," / 수정세금계산서(합계에서 자동 가감)",""),4,200))</f>
        <v/>
      </c>
      <c r="BD366" s="2">
        <f>IF($BA366&lt;&gt;"포함","",IF(COUNTIFS($AX$8:$AX366,$AX366,$BA$8:$BA366,"포함")=1,MAX($BD$7:BD365)+1,""))</f>
        <v/>
      </c>
      <c r="BE366" s="2">
        <f>IF($BC366="","",MAX($BE$7:BE365)+1)</f>
        <v/>
      </c>
    </row>
    <row r="367">
      <c r="AR367" s="2">
        <f>IF(OR($A$5="",$B$6="",ROW()&lt;$A$5),"",IF(INDEX($A:$AP,ROW(),$B$6)="","",INDEX($A:$AP,ROW(),$B$6)))</f>
        <v/>
      </c>
      <c r="AS367" s="22">
        <f>IF($AR367="","",IF(ISNUMBER($AR367),IF($AR367&gt;=10000000,IFERROR(DATE(INT($AR367/10000),MOD(INT($AR367/100),100),MOD($AR367,100)),""),INT($AR367)),IFERROR(DATE(--LEFT(LEFT(SUBSTITUTE(SUBSTITUTE(SUBSTITUTE(SUBSTITUTE(TRIM($AR367),"-",""),".",""),"/","")," ",""),8),4),--MID(LEFT(SUBSTITUTE(SUBSTITUTE(SUBSTITUTE(SUBSTITUTE(TRIM($AR367),"-",""),".",""),"/","")," ",""),8),5,2),--MID(LEFT(SUBSTITUTE(SUBSTITUTE(SUBSTITUTE(SUBSTITUTE(TRIM($AR367),"-",""),".",""),"/","")," ",""),8),7,2)),"")))</f>
        <v/>
      </c>
      <c r="AT367" s="23">
        <f>IF($AS367="","",IF($F$6="",0,IF(ISNUMBER(INDEX($A:$AP,ROW(),$F$6)),INDEX($A:$AP,ROW(),$F$6),IFERROR(--SUBSTITUTE(SUBSTITUTE(TRIM(INDEX($A:$AP,ROW(),$F$6)),",",""),"원",""),0))))</f>
        <v/>
      </c>
      <c r="AU367" s="23">
        <f>IF($AS367="","",IF($G$6="",0,IF(ISNUMBER(INDEX($A:$AP,ROW(),$G$6)),INDEX($A:$AP,ROW(),$G$6),IFERROR(--SUBSTITUTE(SUBSTITUTE(TRIM(INDEX($A:$AP,ROW(),$G$6)),",",""),"원",""),0))))</f>
        <v/>
      </c>
      <c r="AV367" s="23">
        <f>IF($AS367="","",IF($H$6="",$AT367+$AU367,IF($H$6="",0,IF(ISNUMBER(INDEX($A:$AP,ROW(),$H$6)),INDEX($A:$AP,ROW(),$H$6),IFERROR(--SUBSTITUTE(SUBSTITUTE(TRIM(INDEX($A:$AP,ROW(),$H$6)),",",""),"원",""),0)))))</f>
        <v/>
      </c>
      <c r="AW367" s="2">
        <f>IF(OR($AS367="",$C$6=""),"",TRIM(INDEX($A:$AP,ROW(),$C$6)&amp;""))</f>
        <v/>
      </c>
      <c r="AX367" s="2">
        <f>IF($AS367="","",IF($AZ367&lt;&gt;"",SUBSTITUTE(SUBSTITUTE($AZ367,"-","")," ",""),$AY367))</f>
        <v/>
      </c>
      <c r="AY367" s="2">
        <f>IF(OR($AS367="",$E$6=""),"",TRIM(INDEX($A:$AP,ROW(),$E$6)&amp;""))</f>
        <v/>
      </c>
      <c r="AZ367" s="2">
        <f>IF(OR($AS367="",$D$6=""),"",TRIM(INDEX($A:$AP,ROW(),$D$6)&amp;""))</f>
        <v/>
      </c>
      <c r="BA367" s="2">
        <f>IF($AS367="","",IF(AND($AS367&gt;=설정!$B$10,$AS367&lt;=설정!$B$11),"포함","기간 밖"))</f>
        <v/>
      </c>
      <c r="BB367" s="2">
        <f>IF($AS367="","",IF(OR($AT367&lt;0,AND($I$6&lt;&gt;"",ISNUMBER(FIND("수정",INDEX($A:$AP,ROW(),IF($I$6="",1,$I$6))&amp;"")))),"수정","일반"))</f>
        <v/>
      </c>
      <c r="BC367" s="2">
        <f>IF($AS367="","",MID(IF($BA367="기간 밖"," / 기간 밖(신고기간 아님)","")&amp;IF(AND($AW367&lt;&gt;"",COUNTIF($AW$8:$AW$1007,$AW367)&gt;1)," / 승인번호 중복(두 번 붙여넣기?)","")&amp;IF(ABS($AU367-ROUND($AT367*0.1,0))&gt;설정!$B$8,IF($AU367=0," / 세액 0원(영세율·면세 여부 확인)"," / 세액이 공급가액 10%와 다름"),"")&amp;IF($BB367="수정"," / 수정세금계산서(합계에서 자동 가감)",""),4,200))</f>
        <v/>
      </c>
      <c r="BD367" s="2">
        <f>IF($BA367&lt;&gt;"포함","",IF(COUNTIFS($AX$8:$AX367,$AX367,$BA$8:$BA367,"포함")=1,MAX($BD$7:BD366)+1,""))</f>
        <v/>
      </c>
      <c r="BE367" s="2">
        <f>IF($BC367="","",MAX($BE$7:BE366)+1)</f>
        <v/>
      </c>
    </row>
    <row r="368">
      <c r="AR368" s="2">
        <f>IF(OR($A$5="",$B$6="",ROW()&lt;$A$5),"",IF(INDEX($A:$AP,ROW(),$B$6)="","",INDEX($A:$AP,ROW(),$B$6)))</f>
        <v/>
      </c>
      <c r="AS368" s="22">
        <f>IF($AR368="","",IF(ISNUMBER($AR368),IF($AR368&gt;=10000000,IFERROR(DATE(INT($AR368/10000),MOD(INT($AR368/100),100),MOD($AR368,100)),""),INT($AR368)),IFERROR(DATE(--LEFT(LEFT(SUBSTITUTE(SUBSTITUTE(SUBSTITUTE(SUBSTITUTE(TRIM($AR368),"-",""),".",""),"/","")," ",""),8),4),--MID(LEFT(SUBSTITUTE(SUBSTITUTE(SUBSTITUTE(SUBSTITUTE(TRIM($AR368),"-",""),".",""),"/","")," ",""),8),5,2),--MID(LEFT(SUBSTITUTE(SUBSTITUTE(SUBSTITUTE(SUBSTITUTE(TRIM($AR368),"-",""),".",""),"/","")," ",""),8),7,2)),"")))</f>
        <v/>
      </c>
      <c r="AT368" s="23">
        <f>IF($AS368="","",IF($F$6="",0,IF(ISNUMBER(INDEX($A:$AP,ROW(),$F$6)),INDEX($A:$AP,ROW(),$F$6),IFERROR(--SUBSTITUTE(SUBSTITUTE(TRIM(INDEX($A:$AP,ROW(),$F$6)),",",""),"원",""),0))))</f>
        <v/>
      </c>
      <c r="AU368" s="23">
        <f>IF($AS368="","",IF($G$6="",0,IF(ISNUMBER(INDEX($A:$AP,ROW(),$G$6)),INDEX($A:$AP,ROW(),$G$6),IFERROR(--SUBSTITUTE(SUBSTITUTE(TRIM(INDEX($A:$AP,ROW(),$G$6)),",",""),"원",""),0))))</f>
        <v/>
      </c>
      <c r="AV368" s="23">
        <f>IF($AS368="","",IF($H$6="",$AT368+$AU368,IF($H$6="",0,IF(ISNUMBER(INDEX($A:$AP,ROW(),$H$6)),INDEX($A:$AP,ROW(),$H$6),IFERROR(--SUBSTITUTE(SUBSTITUTE(TRIM(INDEX($A:$AP,ROW(),$H$6)),",",""),"원",""),0)))))</f>
        <v/>
      </c>
      <c r="AW368" s="2">
        <f>IF(OR($AS368="",$C$6=""),"",TRIM(INDEX($A:$AP,ROW(),$C$6)&amp;""))</f>
        <v/>
      </c>
      <c r="AX368" s="2">
        <f>IF($AS368="","",IF($AZ368&lt;&gt;"",SUBSTITUTE(SUBSTITUTE($AZ368,"-","")," ",""),$AY368))</f>
        <v/>
      </c>
      <c r="AY368" s="2">
        <f>IF(OR($AS368="",$E$6=""),"",TRIM(INDEX($A:$AP,ROW(),$E$6)&amp;""))</f>
        <v/>
      </c>
      <c r="AZ368" s="2">
        <f>IF(OR($AS368="",$D$6=""),"",TRIM(INDEX($A:$AP,ROW(),$D$6)&amp;""))</f>
        <v/>
      </c>
      <c r="BA368" s="2">
        <f>IF($AS368="","",IF(AND($AS368&gt;=설정!$B$10,$AS368&lt;=설정!$B$11),"포함","기간 밖"))</f>
        <v/>
      </c>
      <c r="BB368" s="2">
        <f>IF($AS368="","",IF(OR($AT368&lt;0,AND($I$6&lt;&gt;"",ISNUMBER(FIND("수정",INDEX($A:$AP,ROW(),IF($I$6="",1,$I$6))&amp;"")))),"수정","일반"))</f>
        <v/>
      </c>
      <c r="BC368" s="2">
        <f>IF($AS368="","",MID(IF($BA368="기간 밖"," / 기간 밖(신고기간 아님)","")&amp;IF(AND($AW368&lt;&gt;"",COUNTIF($AW$8:$AW$1007,$AW368)&gt;1)," / 승인번호 중복(두 번 붙여넣기?)","")&amp;IF(ABS($AU368-ROUND($AT368*0.1,0))&gt;설정!$B$8,IF($AU368=0," / 세액 0원(영세율·면세 여부 확인)"," / 세액이 공급가액 10%와 다름"),"")&amp;IF($BB368="수정"," / 수정세금계산서(합계에서 자동 가감)",""),4,200))</f>
        <v/>
      </c>
      <c r="BD368" s="2">
        <f>IF($BA368&lt;&gt;"포함","",IF(COUNTIFS($AX$8:$AX368,$AX368,$BA$8:$BA368,"포함")=1,MAX($BD$7:BD367)+1,""))</f>
        <v/>
      </c>
      <c r="BE368" s="2">
        <f>IF($BC368="","",MAX($BE$7:BE367)+1)</f>
        <v/>
      </c>
    </row>
    <row r="369">
      <c r="AR369" s="2">
        <f>IF(OR($A$5="",$B$6="",ROW()&lt;$A$5),"",IF(INDEX($A:$AP,ROW(),$B$6)="","",INDEX($A:$AP,ROW(),$B$6)))</f>
        <v/>
      </c>
      <c r="AS369" s="22">
        <f>IF($AR369="","",IF(ISNUMBER($AR369),IF($AR369&gt;=10000000,IFERROR(DATE(INT($AR369/10000),MOD(INT($AR369/100),100),MOD($AR369,100)),""),INT($AR369)),IFERROR(DATE(--LEFT(LEFT(SUBSTITUTE(SUBSTITUTE(SUBSTITUTE(SUBSTITUTE(TRIM($AR369),"-",""),".",""),"/","")," ",""),8),4),--MID(LEFT(SUBSTITUTE(SUBSTITUTE(SUBSTITUTE(SUBSTITUTE(TRIM($AR369),"-",""),".",""),"/","")," ",""),8),5,2),--MID(LEFT(SUBSTITUTE(SUBSTITUTE(SUBSTITUTE(SUBSTITUTE(TRIM($AR369),"-",""),".",""),"/","")," ",""),8),7,2)),"")))</f>
        <v/>
      </c>
      <c r="AT369" s="23">
        <f>IF($AS369="","",IF($F$6="",0,IF(ISNUMBER(INDEX($A:$AP,ROW(),$F$6)),INDEX($A:$AP,ROW(),$F$6),IFERROR(--SUBSTITUTE(SUBSTITUTE(TRIM(INDEX($A:$AP,ROW(),$F$6)),",",""),"원",""),0))))</f>
        <v/>
      </c>
      <c r="AU369" s="23">
        <f>IF($AS369="","",IF($G$6="",0,IF(ISNUMBER(INDEX($A:$AP,ROW(),$G$6)),INDEX($A:$AP,ROW(),$G$6),IFERROR(--SUBSTITUTE(SUBSTITUTE(TRIM(INDEX($A:$AP,ROW(),$G$6)),",",""),"원",""),0))))</f>
        <v/>
      </c>
      <c r="AV369" s="23">
        <f>IF($AS369="","",IF($H$6="",$AT369+$AU369,IF($H$6="",0,IF(ISNUMBER(INDEX($A:$AP,ROW(),$H$6)),INDEX($A:$AP,ROW(),$H$6),IFERROR(--SUBSTITUTE(SUBSTITUTE(TRIM(INDEX($A:$AP,ROW(),$H$6)),",",""),"원",""),0)))))</f>
        <v/>
      </c>
      <c r="AW369" s="2">
        <f>IF(OR($AS369="",$C$6=""),"",TRIM(INDEX($A:$AP,ROW(),$C$6)&amp;""))</f>
        <v/>
      </c>
      <c r="AX369" s="2">
        <f>IF($AS369="","",IF($AZ369&lt;&gt;"",SUBSTITUTE(SUBSTITUTE($AZ369,"-","")," ",""),$AY369))</f>
        <v/>
      </c>
      <c r="AY369" s="2">
        <f>IF(OR($AS369="",$E$6=""),"",TRIM(INDEX($A:$AP,ROW(),$E$6)&amp;""))</f>
        <v/>
      </c>
      <c r="AZ369" s="2">
        <f>IF(OR($AS369="",$D$6=""),"",TRIM(INDEX($A:$AP,ROW(),$D$6)&amp;""))</f>
        <v/>
      </c>
      <c r="BA369" s="2">
        <f>IF($AS369="","",IF(AND($AS369&gt;=설정!$B$10,$AS369&lt;=설정!$B$11),"포함","기간 밖"))</f>
        <v/>
      </c>
      <c r="BB369" s="2">
        <f>IF($AS369="","",IF(OR($AT369&lt;0,AND($I$6&lt;&gt;"",ISNUMBER(FIND("수정",INDEX($A:$AP,ROW(),IF($I$6="",1,$I$6))&amp;"")))),"수정","일반"))</f>
        <v/>
      </c>
      <c r="BC369" s="2">
        <f>IF($AS369="","",MID(IF($BA369="기간 밖"," / 기간 밖(신고기간 아님)","")&amp;IF(AND($AW369&lt;&gt;"",COUNTIF($AW$8:$AW$1007,$AW369)&gt;1)," / 승인번호 중복(두 번 붙여넣기?)","")&amp;IF(ABS($AU369-ROUND($AT369*0.1,0))&gt;설정!$B$8,IF($AU369=0," / 세액 0원(영세율·면세 여부 확인)"," / 세액이 공급가액 10%와 다름"),"")&amp;IF($BB369="수정"," / 수정세금계산서(합계에서 자동 가감)",""),4,200))</f>
        <v/>
      </c>
      <c r="BD369" s="2">
        <f>IF($BA369&lt;&gt;"포함","",IF(COUNTIFS($AX$8:$AX369,$AX369,$BA$8:$BA369,"포함")=1,MAX($BD$7:BD368)+1,""))</f>
        <v/>
      </c>
      <c r="BE369" s="2">
        <f>IF($BC369="","",MAX($BE$7:BE368)+1)</f>
        <v/>
      </c>
    </row>
    <row r="370">
      <c r="AR370" s="2">
        <f>IF(OR($A$5="",$B$6="",ROW()&lt;$A$5),"",IF(INDEX($A:$AP,ROW(),$B$6)="","",INDEX($A:$AP,ROW(),$B$6)))</f>
        <v/>
      </c>
      <c r="AS370" s="22">
        <f>IF($AR370="","",IF(ISNUMBER($AR370),IF($AR370&gt;=10000000,IFERROR(DATE(INT($AR370/10000),MOD(INT($AR370/100),100),MOD($AR370,100)),""),INT($AR370)),IFERROR(DATE(--LEFT(LEFT(SUBSTITUTE(SUBSTITUTE(SUBSTITUTE(SUBSTITUTE(TRIM($AR370),"-",""),".",""),"/","")," ",""),8),4),--MID(LEFT(SUBSTITUTE(SUBSTITUTE(SUBSTITUTE(SUBSTITUTE(TRIM($AR370),"-",""),".",""),"/","")," ",""),8),5,2),--MID(LEFT(SUBSTITUTE(SUBSTITUTE(SUBSTITUTE(SUBSTITUTE(TRIM($AR370),"-",""),".",""),"/","")," ",""),8),7,2)),"")))</f>
        <v/>
      </c>
      <c r="AT370" s="23">
        <f>IF($AS370="","",IF($F$6="",0,IF(ISNUMBER(INDEX($A:$AP,ROW(),$F$6)),INDEX($A:$AP,ROW(),$F$6),IFERROR(--SUBSTITUTE(SUBSTITUTE(TRIM(INDEX($A:$AP,ROW(),$F$6)),",",""),"원",""),0))))</f>
        <v/>
      </c>
      <c r="AU370" s="23">
        <f>IF($AS370="","",IF($G$6="",0,IF(ISNUMBER(INDEX($A:$AP,ROW(),$G$6)),INDEX($A:$AP,ROW(),$G$6),IFERROR(--SUBSTITUTE(SUBSTITUTE(TRIM(INDEX($A:$AP,ROW(),$G$6)),",",""),"원",""),0))))</f>
        <v/>
      </c>
      <c r="AV370" s="23">
        <f>IF($AS370="","",IF($H$6="",$AT370+$AU370,IF($H$6="",0,IF(ISNUMBER(INDEX($A:$AP,ROW(),$H$6)),INDEX($A:$AP,ROW(),$H$6),IFERROR(--SUBSTITUTE(SUBSTITUTE(TRIM(INDEX($A:$AP,ROW(),$H$6)),",",""),"원",""),0)))))</f>
        <v/>
      </c>
      <c r="AW370" s="2">
        <f>IF(OR($AS370="",$C$6=""),"",TRIM(INDEX($A:$AP,ROW(),$C$6)&amp;""))</f>
        <v/>
      </c>
      <c r="AX370" s="2">
        <f>IF($AS370="","",IF($AZ370&lt;&gt;"",SUBSTITUTE(SUBSTITUTE($AZ370,"-","")," ",""),$AY370))</f>
        <v/>
      </c>
      <c r="AY370" s="2">
        <f>IF(OR($AS370="",$E$6=""),"",TRIM(INDEX($A:$AP,ROW(),$E$6)&amp;""))</f>
        <v/>
      </c>
      <c r="AZ370" s="2">
        <f>IF(OR($AS370="",$D$6=""),"",TRIM(INDEX($A:$AP,ROW(),$D$6)&amp;""))</f>
        <v/>
      </c>
      <c r="BA370" s="2">
        <f>IF($AS370="","",IF(AND($AS370&gt;=설정!$B$10,$AS370&lt;=설정!$B$11),"포함","기간 밖"))</f>
        <v/>
      </c>
      <c r="BB370" s="2">
        <f>IF($AS370="","",IF(OR($AT370&lt;0,AND($I$6&lt;&gt;"",ISNUMBER(FIND("수정",INDEX($A:$AP,ROW(),IF($I$6="",1,$I$6))&amp;"")))),"수정","일반"))</f>
        <v/>
      </c>
      <c r="BC370" s="2">
        <f>IF($AS370="","",MID(IF($BA370="기간 밖"," / 기간 밖(신고기간 아님)","")&amp;IF(AND($AW370&lt;&gt;"",COUNTIF($AW$8:$AW$1007,$AW370)&gt;1)," / 승인번호 중복(두 번 붙여넣기?)","")&amp;IF(ABS($AU370-ROUND($AT370*0.1,0))&gt;설정!$B$8,IF($AU370=0," / 세액 0원(영세율·면세 여부 확인)"," / 세액이 공급가액 10%와 다름"),"")&amp;IF($BB370="수정"," / 수정세금계산서(합계에서 자동 가감)",""),4,200))</f>
        <v/>
      </c>
      <c r="BD370" s="2">
        <f>IF($BA370&lt;&gt;"포함","",IF(COUNTIFS($AX$8:$AX370,$AX370,$BA$8:$BA370,"포함")=1,MAX($BD$7:BD369)+1,""))</f>
        <v/>
      </c>
      <c r="BE370" s="2">
        <f>IF($BC370="","",MAX($BE$7:BE369)+1)</f>
        <v/>
      </c>
    </row>
    <row r="371">
      <c r="AR371" s="2">
        <f>IF(OR($A$5="",$B$6="",ROW()&lt;$A$5),"",IF(INDEX($A:$AP,ROW(),$B$6)="","",INDEX($A:$AP,ROW(),$B$6)))</f>
        <v/>
      </c>
      <c r="AS371" s="22">
        <f>IF($AR371="","",IF(ISNUMBER($AR371),IF($AR371&gt;=10000000,IFERROR(DATE(INT($AR371/10000),MOD(INT($AR371/100),100),MOD($AR371,100)),""),INT($AR371)),IFERROR(DATE(--LEFT(LEFT(SUBSTITUTE(SUBSTITUTE(SUBSTITUTE(SUBSTITUTE(TRIM($AR371),"-",""),".",""),"/","")," ",""),8),4),--MID(LEFT(SUBSTITUTE(SUBSTITUTE(SUBSTITUTE(SUBSTITUTE(TRIM($AR371),"-",""),".",""),"/","")," ",""),8),5,2),--MID(LEFT(SUBSTITUTE(SUBSTITUTE(SUBSTITUTE(SUBSTITUTE(TRIM($AR371),"-",""),".",""),"/","")," ",""),8),7,2)),"")))</f>
        <v/>
      </c>
      <c r="AT371" s="23">
        <f>IF($AS371="","",IF($F$6="",0,IF(ISNUMBER(INDEX($A:$AP,ROW(),$F$6)),INDEX($A:$AP,ROW(),$F$6),IFERROR(--SUBSTITUTE(SUBSTITUTE(TRIM(INDEX($A:$AP,ROW(),$F$6)),",",""),"원",""),0))))</f>
        <v/>
      </c>
      <c r="AU371" s="23">
        <f>IF($AS371="","",IF($G$6="",0,IF(ISNUMBER(INDEX($A:$AP,ROW(),$G$6)),INDEX($A:$AP,ROW(),$G$6),IFERROR(--SUBSTITUTE(SUBSTITUTE(TRIM(INDEX($A:$AP,ROW(),$G$6)),",",""),"원",""),0))))</f>
        <v/>
      </c>
      <c r="AV371" s="23">
        <f>IF($AS371="","",IF($H$6="",$AT371+$AU371,IF($H$6="",0,IF(ISNUMBER(INDEX($A:$AP,ROW(),$H$6)),INDEX($A:$AP,ROW(),$H$6),IFERROR(--SUBSTITUTE(SUBSTITUTE(TRIM(INDEX($A:$AP,ROW(),$H$6)),",",""),"원",""),0)))))</f>
        <v/>
      </c>
      <c r="AW371" s="2">
        <f>IF(OR($AS371="",$C$6=""),"",TRIM(INDEX($A:$AP,ROW(),$C$6)&amp;""))</f>
        <v/>
      </c>
      <c r="AX371" s="2">
        <f>IF($AS371="","",IF($AZ371&lt;&gt;"",SUBSTITUTE(SUBSTITUTE($AZ371,"-","")," ",""),$AY371))</f>
        <v/>
      </c>
      <c r="AY371" s="2">
        <f>IF(OR($AS371="",$E$6=""),"",TRIM(INDEX($A:$AP,ROW(),$E$6)&amp;""))</f>
        <v/>
      </c>
      <c r="AZ371" s="2">
        <f>IF(OR($AS371="",$D$6=""),"",TRIM(INDEX($A:$AP,ROW(),$D$6)&amp;""))</f>
        <v/>
      </c>
      <c r="BA371" s="2">
        <f>IF($AS371="","",IF(AND($AS371&gt;=설정!$B$10,$AS371&lt;=설정!$B$11),"포함","기간 밖"))</f>
        <v/>
      </c>
      <c r="BB371" s="2">
        <f>IF($AS371="","",IF(OR($AT371&lt;0,AND($I$6&lt;&gt;"",ISNUMBER(FIND("수정",INDEX($A:$AP,ROW(),IF($I$6="",1,$I$6))&amp;"")))),"수정","일반"))</f>
        <v/>
      </c>
      <c r="BC371" s="2">
        <f>IF($AS371="","",MID(IF($BA371="기간 밖"," / 기간 밖(신고기간 아님)","")&amp;IF(AND($AW371&lt;&gt;"",COUNTIF($AW$8:$AW$1007,$AW371)&gt;1)," / 승인번호 중복(두 번 붙여넣기?)","")&amp;IF(ABS($AU371-ROUND($AT371*0.1,0))&gt;설정!$B$8,IF($AU371=0," / 세액 0원(영세율·면세 여부 확인)"," / 세액이 공급가액 10%와 다름"),"")&amp;IF($BB371="수정"," / 수정세금계산서(합계에서 자동 가감)",""),4,200))</f>
        <v/>
      </c>
      <c r="BD371" s="2">
        <f>IF($BA371&lt;&gt;"포함","",IF(COUNTIFS($AX$8:$AX371,$AX371,$BA$8:$BA371,"포함")=1,MAX($BD$7:BD370)+1,""))</f>
        <v/>
      </c>
      <c r="BE371" s="2">
        <f>IF($BC371="","",MAX($BE$7:BE370)+1)</f>
        <v/>
      </c>
    </row>
    <row r="372">
      <c r="AR372" s="2">
        <f>IF(OR($A$5="",$B$6="",ROW()&lt;$A$5),"",IF(INDEX($A:$AP,ROW(),$B$6)="","",INDEX($A:$AP,ROW(),$B$6)))</f>
        <v/>
      </c>
      <c r="AS372" s="22">
        <f>IF($AR372="","",IF(ISNUMBER($AR372),IF($AR372&gt;=10000000,IFERROR(DATE(INT($AR372/10000),MOD(INT($AR372/100),100),MOD($AR372,100)),""),INT($AR372)),IFERROR(DATE(--LEFT(LEFT(SUBSTITUTE(SUBSTITUTE(SUBSTITUTE(SUBSTITUTE(TRIM($AR372),"-",""),".",""),"/","")," ",""),8),4),--MID(LEFT(SUBSTITUTE(SUBSTITUTE(SUBSTITUTE(SUBSTITUTE(TRIM($AR372),"-",""),".",""),"/","")," ",""),8),5,2),--MID(LEFT(SUBSTITUTE(SUBSTITUTE(SUBSTITUTE(SUBSTITUTE(TRIM($AR372),"-",""),".",""),"/","")," ",""),8),7,2)),"")))</f>
        <v/>
      </c>
      <c r="AT372" s="23">
        <f>IF($AS372="","",IF($F$6="",0,IF(ISNUMBER(INDEX($A:$AP,ROW(),$F$6)),INDEX($A:$AP,ROW(),$F$6),IFERROR(--SUBSTITUTE(SUBSTITUTE(TRIM(INDEX($A:$AP,ROW(),$F$6)),",",""),"원",""),0))))</f>
        <v/>
      </c>
      <c r="AU372" s="23">
        <f>IF($AS372="","",IF($G$6="",0,IF(ISNUMBER(INDEX($A:$AP,ROW(),$G$6)),INDEX($A:$AP,ROW(),$G$6),IFERROR(--SUBSTITUTE(SUBSTITUTE(TRIM(INDEX($A:$AP,ROW(),$G$6)),",",""),"원",""),0))))</f>
        <v/>
      </c>
      <c r="AV372" s="23">
        <f>IF($AS372="","",IF($H$6="",$AT372+$AU372,IF($H$6="",0,IF(ISNUMBER(INDEX($A:$AP,ROW(),$H$6)),INDEX($A:$AP,ROW(),$H$6),IFERROR(--SUBSTITUTE(SUBSTITUTE(TRIM(INDEX($A:$AP,ROW(),$H$6)),",",""),"원",""),0)))))</f>
        <v/>
      </c>
      <c r="AW372" s="2">
        <f>IF(OR($AS372="",$C$6=""),"",TRIM(INDEX($A:$AP,ROW(),$C$6)&amp;""))</f>
        <v/>
      </c>
      <c r="AX372" s="2">
        <f>IF($AS372="","",IF($AZ372&lt;&gt;"",SUBSTITUTE(SUBSTITUTE($AZ372,"-","")," ",""),$AY372))</f>
        <v/>
      </c>
      <c r="AY372" s="2">
        <f>IF(OR($AS372="",$E$6=""),"",TRIM(INDEX($A:$AP,ROW(),$E$6)&amp;""))</f>
        <v/>
      </c>
      <c r="AZ372" s="2">
        <f>IF(OR($AS372="",$D$6=""),"",TRIM(INDEX($A:$AP,ROW(),$D$6)&amp;""))</f>
        <v/>
      </c>
      <c r="BA372" s="2">
        <f>IF($AS372="","",IF(AND($AS372&gt;=설정!$B$10,$AS372&lt;=설정!$B$11),"포함","기간 밖"))</f>
        <v/>
      </c>
      <c r="BB372" s="2">
        <f>IF($AS372="","",IF(OR($AT372&lt;0,AND($I$6&lt;&gt;"",ISNUMBER(FIND("수정",INDEX($A:$AP,ROW(),IF($I$6="",1,$I$6))&amp;"")))),"수정","일반"))</f>
        <v/>
      </c>
      <c r="BC372" s="2">
        <f>IF($AS372="","",MID(IF($BA372="기간 밖"," / 기간 밖(신고기간 아님)","")&amp;IF(AND($AW372&lt;&gt;"",COUNTIF($AW$8:$AW$1007,$AW372)&gt;1)," / 승인번호 중복(두 번 붙여넣기?)","")&amp;IF(ABS($AU372-ROUND($AT372*0.1,0))&gt;설정!$B$8,IF($AU372=0," / 세액 0원(영세율·면세 여부 확인)"," / 세액이 공급가액 10%와 다름"),"")&amp;IF($BB372="수정"," / 수정세금계산서(합계에서 자동 가감)",""),4,200))</f>
        <v/>
      </c>
      <c r="BD372" s="2">
        <f>IF($BA372&lt;&gt;"포함","",IF(COUNTIFS($AX$8:$AX372,$AX372,$BA$8:$BA372,"포함")=1,MAX($BD$7:BD371)+1,""))</f>
        <v/>
      </c>
      <c r="BE372" s="2">
        <f>IF($BC372="","",MAX($BE$7:BE371)+1)</f>
        <v/>
      </c>
    </row>
    <row r="373">
      <c r="AR373" s="2">
        <f>IF(OR($A$5="",$B$6="",ROW()&lt;$A$5),"",IF(INDEX($A:$AP,ROW(),$B$6)="","",INDEX($A:$AP,ROW(),$B$6)))</f>
        <v/>
      </c>
      <c r="AS373" s="22">
        <f>IF($AR373="","",IF(ISNUMBER($AR373),IF($AR373&gt;=10000000,IFERROR(DATE(INT($AR373/10000),MOD(INT($AR373/100),100),MOD($AR373,100)),""),INT($AR373)),IFERROR(DATE(--LEFT(LEFT(SUBSTITUTE(SUBSTITUTE(SUBSTITUTE(SUBSTITUTE(TRIM($AR373),"-",""),".",""),"/","")," ",""),8),4),--MID(LEFT(SUBSTITUTE(SUBSTITUTE(SUBSTITUTE(SUBSTITUTE(TRIM($AR373),"-",""),".",""),"/","")," ",""),8),5,2),--MID(LEFT(SUBSTITUTE(SUBSTITUTE(SUBSTITUTE(SUBSTITUTE(TRIM($AR373),"-",""),".",""),"/","")," ",""),8),7,2)),"")))</f>
        <v/>
      </c>
      <c r="AT373" s="23">
        <f>IF($AS373="","",IF($F$6="",0,IF(ISNUMBER(INDEX($A:$AP,ROW(),$F$6)),INDEX($A:$AP,ROW(),$F$6),IFERROR(--SUBSTITUTE(SUBSTITUTE(TRIM(INDEX($A:$AP,ROW(),$F$6)),",",""),"원",""),0))))</f>
        <v/>
      </c>
      <c r="AU373" s="23">
        <f>IF($AS373="","",IF($G$6="",0,IF(ISNUMBER(INDEX($A:$AP,ROW(),$G$6)),INDEX($A:$AP,ROW(),$G$6),IFERROR(--SUBSTITUTE(SUBSTITUTE(TRIM(INDEX($A:$AP,ROW(),$G$6)),",",""),"원",""),0))))</f>
        <v/>
      </c>
      <c r="AV373" s="23">
        <f>IF($AS373="","",IF($H$6="",$AT373+$AU373,IF($H$6="",0,IF(ISNUMBER(INDEX($A:$AP,ROW(),$H$6)),INDEX($A:$AP,ROW(),$H$6),IFERROR(--SUBSTITUTE(SUBSTITUTE(TRIM(INDEX($A:$AP,ROW(),$H$6)),",",""),"원",""),0)))))</f>
        <v/>
      </c>
      <c r="AW373" s="2">
        <f>IF(OR($AS373="",$C$6=""),"",TRIM(INDEX($A:$AP,ROW(),$C$6)&amp;""))</f>
        <v/>
      </c>
      <c r="AX373" s="2">
        <f>IF($AS373="","",IF($AZ373&lt;&gt;"",SUBSTITUTE(SUBSTITUTE($AZ373,"-","")," ",""),$AY373))</f>
        <v/>
      </c>
      <c r="AY373" s="2">
        <f>IF(OR($AS373="",$E$6=""),"",TRIM(INDEX($A:$AP,ROW(),$E$6)&amp;""))</f>
        <v/>
      </c>
      <c r="AZ373" s="2">
        <f>IF(OR($AS373="",$D$6=""),"",TRIM(INDEX($A:$AP,ROW(),$D$6)&amp;""))</f>
        <v/>
      </c>
      <c r="BA373" s="2">
        <f>IF($AS373="","",IF(AND($AS373&gt;=설정!$B$10,$AS373&lt;=설정!$B$11),"포함","기간 밖"))</f>
        <v/>
      </c>
      <c r="BB373" s="2">
        <f>IF($AS373="","",IF(OR($AT373&lt;0,AND($I$6&lt;&gt;"",ISNUMBER(FIND("수정",INDEX($A:$AP,ROW(),IF($I$6="",1,$I$6))&amp;"")))),"수정","일반"))</f>
        <v/>
      </c>
      <c r="BC373" s="2">
        <f>IF($AS373="","",MID(IF($BA373="기간 밖"," / 기간 밖(신고기간 아님)","")&amp;IF(AND($AW373&lt;&gt;"",COUNTIF($AW$8:$AW$1007,$AW373)&gt;1)," / 승인번호 중복(두 번 붙여넣기?)","")&amp;IF(ABS($AU373-ROUND($AT373*0.1,0))&gt;설정!$B$8,IF($AU373=0," / 세액 0원(영세율·면세 여부 확인)"," / 세액이 공급가액 10%와 다름"),"")&amp;IF($BB373="수정"," / 수정세금계산서(합계에서 자동 가감)",""),4,200))</f>
        <v/>
      </c>
      <c r="BD373" s="2">
        <f>IF($BA373&lt;&gt;"포함","",IF(COUNTIFS($AX$8:$AX373,$AX373,$BA$8:$BA373,"포함")=1,MAX($BD$7:BD372)+1,""))</f>
        <v/>
      </c>
      <c r="BE373" s="2">
        <f>IF($BC373="","",MAX($BE$7:BE372)+1)</f>
        <v/>
      </c>
    </row>
    <row r="374">
      <c r="AR374" s="2">
        <f>IF(OR($A$5="",$B$6="",ROW()&lt;$A$5),"",IF(INDEX($A:$AP,ROW(),$B$6)="","",INDEX($A:$AP,ROW(),$B$6)))</f>
        <v/>
      </c>
      <c r="AS374" s="22">
        <f>IF($AR374="","",IF(ISNUMBER($AR374),IF($AR374&gt;=10000000,IFERROR(DATE(INT($AR374/10000),MOD(INT($AR374/100),100),MOD($AR374,100)),""),INT($AR374)),IFERROR(DATE(--LEFT(LEFT(SUBSTITUTE(SUBSTITUTE(SUBSTITUTE(SUBSTITUTE(TRIM($AR374),"-",""),".",""),"/","")," ",""),8),4),--MID(LEFT(SUBSTITUTE(SUBSTITUTE(SUBSTITUTE(SUBSTITUTE(TRIM($AR374),"-",""),".",""),"/","")," ",""),8),5,2),--MID(LEFT(SUBSTITUTE(SUBSTITUTE(SUBSTITUTE(SUBSTITUTE(TRIM($AR374),"-",""),".",""),"/","")," ",""),8),7,2)),"")))</f>
        <v/>
      </c>
      <c r="AT374" s="23">
        <f>IF($AS374="","",IF($F$6="",0,IF(ISNUMBER(INDEX($A:$AP,ROW(),$F$6)),INDEX($A:$AP,ROW(),$F$6),IFERROR(--SUBSTITUTE(SUBSTITUTE(TRIM(INDEX($A:$AP,ROW(),$F$6)),",",""),"원",""),0))))</f>
        <v/>
      </c>
      <c r="AU374" s="23">
        <f>IF($AS374="","",IF($G$6="",0,IF(ISNUMBER(INDEX($A:$AP,ROW(),$G$6)),INDEX($A:$AP,ROW(),$G$6),IFERROR(--SUBSTITUTE(SUBSTITUTE(TRIM(INDEX($A:$AP,ROW(),$G$6)),",",""),"원",""),0))))</f>
        <v/>
      </c>
      <c r="AV374" s="23">
        <f>IF($AS374="","",IF($H$6="",$AT374+$AU374,IF($H$6="",0,IF(ISNUMBER(INDEX($A:$AP,ROW(),$H$6)),INDEX($A:$AP,ROW(),$H$6),IFERROR(--SUBSTITUTE(SUBSTITUTE(TRIM(INDEX($A:$AP,ROW(),$H$6)),",",""),"원",""),0)))))</f>
        <v/>
      </c>
      <c r="AW374" s="2">
        <f>IF(OR($AS374="",$C$6=""),"",TRIM(INDEX($A:$AP,ROW(),$C$6)&amp;""))</f>
        <v/>
      </c>
      <c r="AX374" s="2">
        <f>IF($AS374="","",IF($AZ374&lt;&gt;"",SUBSTITUTE(SUBSTITUTE($AZ374,"-","")," ",""),$AY374))</f>
        <v/>
      </c>
      <c r="AY374" s="2">
        <f>IF(OR($AS374="",$E$6=""),"",TRIM(INDEX($A:$AP,ROW(),$E$6)&amp;""))</f>
        <v/>
      </c>
      <c r="AZ374" s="2">
        <f>IF(OR($AS374="",$D$6=""),"",TRIM(INDEX($A:$AP,ROW(),$D$6)&amp;""))</f>
        <v/>
      </c>
      <c r="BA374" s="2">
        <f>IF($AS374="","",IF(AND($AS374&gt;=설정!$B$10,$AS374&lt;=설정!$B$11),"포함","기간 밖"))</f>
        <v/>
      </c>
      <c r="BB374" s="2">
        <f>IF($AS374="","",IF(OR($AT374&lt;0,AND($I$6&lt;&gt;"",ISNUMBER(FIND("수정",INDEX($A:$AP,ROW(),IF($I$6="",1,$I$6))&amp;"")))),"수정","일반"))</f>
        <v/>
      </c>
      <c r="BC374" s="2">
        <f>IF($AS374="","",MID(IF($BA374="기간 밖"," / 기간 밖(신고기간 아님)","")&amp;IF(AND($AW374&lt;&gt;"",COUNTIF($AW$8:$AW$1007,$AW374)&gt;1)," / 승인번호 중복(두 번 붙여넣기?)","")&amp;IF(ABS($AU374-ROUND($AT374*0.1,0))&gt;설정!$B$8,IF($AU374=0," / 세액 0원(영세율·면세 여부 확인)"," / 세액이 공급가액 10%와 다름"),"")&amp;IF($BB374="수정"," / 수정세금계산서(합계에서 자동 가감)",""),4,200))</f>
        <v/>
      </c>
      <c r="BD374" s="2">
        <f>IF($BA374&lt;&gt;"포함","",IF(COUNTIFS($AX$8:$AX374,$AX374,$BA$8:$BA374,"포함")=1,MAX($BD$7:BD373)+1,""))</f>
        <v/>
      </c>
      <c r="BE374" s="2">
        <f>IF($BC374="","",MAX($BE$7:BE373)+1)</f>
        <v/>
      </c>
    </row>
    <row r="375">
      <c r="AR375" s="2">
        <f>IF(OR($A$5="",$B$6="",ROW()&lt;$A$5),"",IF(INDEX($A:$AP,ROW(),$B$6)="","",INDEX($A:$AP,ROW(),$B$6)))</f>
        <v/>
      </c>
      <c r="AS375" s="22">
        <f>IF($AR375="","",IF(ISNUMBER($AR375),IF($AR375&gt;=10000000,IFERROR(DATE(INT($AR375/10000),MOD(INT($AR375/100),100),MOD($AR375,100)),""),INT($AR375)),IFERROR(DATE(--LEFT(LEFT(SUBSTITUTE(SUBSTITUTE(SUBSTITUTE(SUBSTITUTE(TRIM($AR375),"-",""),".",""),"/","")," ",""),8),4),--MID(LEFT(SUBSTITUTE(SUBSTITUTE(SUBSTITUTE(SUBSTITUTE(TRIM($AR375),"-",""),".",""),"/","")," ",""),8),5,2),--MID(LEFT(SUBSTITUTE(SUBSTITUTE(SUBSTITUTE(SUBSTITUTE(TRIM($AR375),"-",""),".",""),"/","")," ",""),8),7,2)),"")))</f>
        <v/>
      </c>
      <c r="AT375" s="23">
        <f>IF($AS375="","",IF($F$6="",0,IF(ISNUMBER(INDEX($A:$AP,ROW(),$F$6)),INDEX($A:$AP,ROW(),$F$6),IFERROR(--SUBSTITUTE(SUBSTITUTE(TRIM(INDEX($A:$AP,ROW(),$F$6)),",",""),"원",""),0))))</f>
        <v/>
      </c>
      <c r="AU375" s="23">
        <f>IF($AS375="","",IF($G$6="",0,IF(ISNUMBER(INDEX($A:$AP,ROW(),$G$6)),INDEX($A:$AP,ROW(),$G$6),IFERROR(--SUBSTITUTE(SUBSTITUTE(TRIM(INDEX($A:$AP,ROW(),$G$6)),",",""),"원",""),0))))</f>
        <v/>
      </c>
      <c r="AV375" s="23">
        <f>IF($AS375="","",IF($H$6="",$AT375+$AU375,IF($H$6="",0,IF(ISNUMBER(INDEX($A:$AP,ROW(),$H$6)),INDEX($A:$AP,ROW(),$H$6),IFERROR(--SUBSTITUTE(SUBSTITUTE(TRIM(INDEX($A:$AP,ROW(),$H$6)),",",""),"원",""),0)))))</f>
        <v/>
      </c>
      <c r="AW375" s="2">
        <f>IF(OR($AS375="",$C$6=""),"",TRIM(INDEX($A:$AP,ROW(),$C$6)&amp;""))</f>
        <v/>
      </c>
      <c r="AX375" s="2">
        <f>IF($AS375="","",IF($AZ375&lt;&gt;"",SUBSTITUTE(SUBSTITUTE($AZ375,"-","")," ",""),$AY375))</f>
        <v/>
      </c>
      <c r="AY375" s="2">
        <f>IF(OR($AS375="",$E$6=""),"",TRIM(INDEX($A:$AP,ROW(),$E$6)&amp;""))</f>
        <v/>
      </c>
      <c r="AZ375" s="2">
        <f>IF(OR($AS375="",$D$6=""),"",TRIM(INDEX($A:$AP,ROW(),$D$6)&amp;""))</f>
        <v/>
      </c>
      <c r="BA375" s="2">
        <f>IF($AS375="","",IF(AND($AS375&gt;=설정!$B$10,$AS375&lt;=설정!$B$11),"포함","기간 밖"))</f>
        <v/>
      </c>
      <c r="BB375" s="2">
        <f>IF($AS375="","",IF(OR($AT375&lt;0,AND($I$6&lt;&gt;"",ISNUMBER(FIND("수정",INDEX($A:$AP,ROW(),IF($I$6="",1,$I$6))&amp;"")))),"수정","일반"))</f>
        <v/>
      </c>
      <c r="BC375" s="2">
        <f>IF($AS375="","",MID(IF($BA375="기간 밖"," / 기간 밖(신고기간 아님)","")&amp;IF(AND($AW375&lt;&gt;"",COUNTIF($AW$8:$AW$1007,$AW375)&gt;1)," / 승인번호 중복(두 번 붙여넣기?)","")&amp;IF(ABS($AU375-ROUND($AT375*0.1,0))&gt;설정!$B$8,IF($AU375=0," / 세액 0원(영세율·면세 여부 확인)"," / 세액이 공급가액 10%와 다름"),"")&amp;IF($BB375="수정"," / 수정세금계산서(합계에서 자동 가감)",""),4,200))</f>
        <v/>
      </c>
      <c r="BD375" s="2">
        <f>IF($BA375&lt;&gt;"포함","",IF(COUNTIFS($AX$8:$AX375,$AX375,$BA$8:$BA375,"포함")=1,MAX($BD$7:BD374)+1,""))</f>
        <v/>
      </c>
      <c r="BE375" s="2">
        <f>IF($BC375="","",MAX($BE$7:BE374)+1)</f>
        <v/>
      </c>
    </row>
    <row r="376">
      <c r="AR376" s="2">
        <f>IF(OR($A$5="",$B$6="",ROW()&lt;$A$5),"",IF(INDEX($A:$AP,ROW(),$B$6)="","",INDEX($A:$AP,ROW(),$B$6)))</f>
        <v/>
      </c>
      <c r="AS376" s="22">
        <f>IF($AR376="","",IF(ISNUMBER($AR376),IF($AR376&gt;=10000000,IFERROR(DATE(INT($AR376/10000),MOD(INT($AR376/100),100),MOD($AR376,100)),""),INT($AR376)),IFERROR(DATE(--LEFT(LEFT(SUBSTITUTE(SUBSTITUTE(SUBSTITUTE(SUBSTITUTE(TRIM($AR376),"-",""),".",""),"/","")," ",""),8),4),--MID(LEFT(SUBSTITUTE(SUBSTITUTE(SUBSTITUTE(SUBSTITUTE(TRIM($AR376),"-",""),".",""),"/","")," ",""),8),5,2),--MID(LEFT(SUBSTITUTE(SUBSTITUTE(SUBSTITUTE(SUBSTITUTE(TRIM($AR376),"-",""),".",""),"/","")," ",""),8),7,2)),"")))</f>
        <v/>
      </c>
      <c r="AT376" s="23">
        <f>IF($AS376="","",IF($F$6="",0,IF(ISNUMBER(INDEX($A:$AP,ROW(),$F$6)),INDEX($A:$AP,ROW(),$F$6),IFERROR(--SUBSTITUTE(SUBSTITUTE(TRIM(INDEX($A:$AP,ROW(),$F$6)),",",""),"원",""),0))))</f>
        <v/>
      </c>
      <c r="AU376" s="23">
        <f>IF($AS376="","",IF($G$6="",0,IF(ISNUMBER(INDEX($A:$AP,ROW(),$G$6)),INDEX($A:$AP,ROW(),$G$6),IFERROR(--SUBSTITUTE(SUBSTITUTE(TRIM(INDEX($A:$AP,ROW(),$G$6)),",",""),"원",""),0))))</f>
        <v/>
      </c>
      <c r="AV376" s="23">
        <f>IF($AS376="","",IF($H$6="",$AT376+$AU376,IF($H$6="",0,IF(ISNUMBER(INDEX($A:$AP,ROW(),$H$6)),INDEX($A:$AP,ROW(),$H$6),IFERROR(--SUBSTITUTE(SUBSTITUTE(TRIM(INDEX($A:$AP,ROW(),$H$6)),",",""),"원",""),0)))))</f>
        <v/>
      </c>
      <c r="AW376" s="2">
        <f>IF(OR($AS376="",$C$6=""),"",TRIM(INDEX($A:$AP,ROW(),$C$6)&amp;""))</f>
        <v/>
      </c>
      <c r="AX376" s="2">
        <f>IF($AS376="","",IF($AZ376&lt;&gt;"",SUBSTITUTE(SUBSTITUTE($AZ376,"-","")," ",""),$AY376))</f>
        <v/>
      </c>
      <c r="AY376" s="2">
        <f>IF(OR($AS376="",$E$6=""),"",TRIM(INDEX($A:$AP,ROW(),$E$6)&amp;""))</f>
        <v/>
      </c>
      <c r="AZ376" s="2">
        <f>IF(OR($AS376="",$D$6=""),"",TRIM(INDEX($A:$AP,ROW(),$D$6)&amp;""))</f>
        <v/>
      </c>
      <c r="BA376" s="2">
        <f>IF($AS376="","",IF(AND($AS376&gt;=설정!$B$10,$AS376&lt;=설정!$B$11),"포함","기간 밖"))</f>
        <v/>
      </c>
      <c r="BB376" s="2">
        <f>IF($AS376="","",IF(OR($AT376&lt;0,AND($I$6&lt;&gt;"",ISNUMBER(FIND("수정",INDEX($A:$AP,ROW(),IF($I$6="",1,$I$6))&amp;"")))),"수정","일반"))</f>
        <v/>
      </c>
      <c r="BC376" s="2">
        <f>IF($AS376="","",MID(IF($BA376="기간 밖"," / 기간 밖(신고기간 아님)","")&amp;IF(AND($AW376&lt;&gt;"",COUNTIF($AW$8:$AW$1007,$AW376)&gt;1)," / 승인번호 중복(두 번 붙여넣기?)","")&amp;IF(ABS($AU376-ROUND($AT376*0.1,0))&gt;설정!$B$8,IF($AU376=0," / 세액 0원(영세율·면세 여부 확인)"," / 세액이 공급가액 10%와 다름"),"")&amp;IF($BB376="수정"," / 수정세금계산서(합계에서 자동 가감)",""),4,200))</f>
        <v/>
      </c>
      <c r="BD376" s="2">
        <f>IF($BA376&lt;&gt;"포함","",IF(COUNTIFS($AX$8:$AX376,$AX376,$BA$8:$BA376,"포함")=1,MAX($BD$7:BD375)+1,""))</f>
        <v/>
      </c>
      <c r="BE376" s="2">
        <f>IF($BC376="","",MAX($BE$7:BE375)+1)</f>
        <v/>
      </c>
    </row>
    <row r="377">
      <c r="AR377" s="2">
        <f>IF(OR($A$5="",$B$6="",ROW()&lt;$A$5),"",IF(INDEX($A:$AP,ROW(),$B$6)="","",INDEX($A:$AP,ROW(),$B$6)))</f>
        <v/>
      </c>
      <c r="AS377" s="22">
        <f>IF($AR377="","",IF(ISNUMBER($AR377),IF($AR377&gt;=10000000,IFERROR(DATE(INT($AR377/10000),MOD(INT($AR377/100),100),MOD($AR377,100)),""),INT($AR377)),IFERROR(DATE(--LEFT(LEFT(SUBSTITUTE(SUBSTITUTE(SUBSTITUTE(SUBSTITUTE(TRIM($AR377),"-",""),".",""),"/","")," ",""),8),4),--MID(LEFT(SUBSTITUTE(SUBSTITUTE(SUBSTITUTE(SUBSTITUTE(TRIM($AR377),"-",""),".",""),"/","")," ",""),8),5,2),--MID(LEFT(SUBSTITUTE(SUBSTITUTE(SUBSTITUTE(SUBSTITUTE(TRIM($AR377),"-",""),".",""),"/","")," ",""),8),7,2)),"")))</f>
        <v/>
      </c>
      <c r="AT377" s="23">
        <f>IF($AS377="","",IF($F$6="",0,IF(ISNUMBER(INDEX($A:$AP,ROW(),$F$6)),INDEX($A:$AP,ROW(),$F$6),IFERROR(--SUBSTITUTE(SUBSTITUTE(TRIM(INDEX($A:$AP,ROW(),$F$6)),",",""),"원",""),0))))</f>
        <v/>
      </c>
      <c r="AU377" s="23">
        <f>IF($AS377="","",IF($G$6="",0,IF(ISNUMBER(INDEX($A:$AP,ROW(),$G$6)),INDEX($A:$AP,ROW(),$G$6),IFERROR(--SUBSTITUTE(SUBSTITUTE(TRIM(INDEX($A:$AP,ROW(),$G$6)),",",""),"원",""),0))))</f>
        <v/>
      </c>
      <c r="AV377" s="23">
        <f>IF($AS377="","",IF($H$6="",$AT377+$AU377,IF($H$6="",0,IF(ISNUMBER(INDEX($A:$AP,ROW(),$H$6)),INDEX($A:$AP,ROW(),$H$6),IFERROR(--SUBSTITUTE(SUBSTITUTE(TRIM(INDEX($A:$AP,ROW(),$H$6)),",",""),"원",""),0)))))</f>
        <v/>
      </c>
      <c r="AW377" s="2">
        <f>IF(OR($AS377="",$C$6=""),"",TRIM(INDEX($A:$AP,ROW(),$C$6)&amp;""))</f>
        <v/>
      </c>
      <c r="AX377" s="2">
        <f>IF($AS377="","",IF($AZ377&lt;&gt;"",SUBSTITUTE(SUBSTITUTE($AZ377,"-","")," ",""),$AY377))</f>
        <v/>
      </c>
      <c r="AY377" s="2">
        <f>IF(OR($AS377="",$E$6=""),"",TRIM(INDEX($A:$AP,ROW(),$E$6)&amp;""))</f>
        <v/>
      </c>
      <c r="AZ377" s="2">
        <f>IF(OR($AS377="",$D$6=""),"",TRIM(INDEX($A:$AP,ROW(),$D$6)&amp;""))</f>
        <v/>
      </c>
      <c r="BA377" s="2">
        <f>IF($AS377="","",IF(AND($AS377&gt;=설정!$B$10,$AS377&lt;=설정!$B$11),"포함","기간 밖"))</f>
        <v/>
      </c>
      <c r="BB377" s="2">
        <f>IF($AS377="","",IF(OR($AT377&lt;0,AND($I$6&lt;&gt;"",ISNUMBER(FIND("수정",INDEX($A:$AP,ROW(),IF($I$6="",1,$I$6))&amp;"")))),"수정","일반"))</f>
        <v/>
      </c>
      <c r="BC377" s="2">
        <f>IF($AS377="","",MID(IF($BA377="기간 밖"," / 기간 밖(신고기간 아님)","")&amp;IF(AND($AW377&lt;&gt;"",COUNTIF($AW$8:$AW$1007,$AW377)&gt;1)," / 승인번호 중복(두 번 붙여넣기?)","")&amp;IF(ABS($AU377-ROUND($AT377*0.1,0))&gt;설정!$B$8,IF($AU377=0," / 세액 0원(영세율·면세 여부 확인)"," / 세액이 공급가액 10%와 다름"),"")&amp;IF($BB377="수정"," / 수정세금계산서(합계에서 자동 가감)",""),4,200))</f>
        <v/>
      </c>
      <c r="BD377" s="2">
        <f>IF($BA377&lt;&gt;"포함","",IF(COUNTIFS($AX$8:$AX377,$AX377,$BA$8:$BA377,"포함")=1,MAX($BD$7:BD376)+1,""))</f>
        <v/>
      </c>
      <c r="BE377" s="2">
        <f>IF($BC377="","",MAX($BE$7:BE376)+1)</f>
        <v/>
      </c>
    </row>
    <row r="378">
      <c r="AR378" s="2">
        <f>IF(OR($A$5="",$B$6="",ROW()&lt;$A$5),"",IF(INDEX($A:$AP,ROW(),$B$6)="","",INDEX($A:$AP,ROW(),$B$6)))</f>
        <v/>
      </c>
      <c r="AS378" s="22">
        <f>IF($AR378="","",IF(ISNUMBER($AR378),IF($AR378&gt;=10000000,IFERROR(DATE(INT($AR378/10000),MOD(INT($AR378/100),100),MOD($AR378,100)),""),INT($AR378)),IFERROR(DATE(--LEFT(LEFT(SUBSTITUTE(SUBSTITUTE(SUBSTITUTE(SUBSTITUTE(TRIM($AR378),"-",""),".",""),"/","")," ",""),8),4),--MID(LEFT(SUBSTITUTE(SUBSTITUTE(SUBSTITUTE(SUBSTITUTE(TRIM($AR378),"-",""),".",""),"/","")," ",""),8),5,2),--MID(LEFT(SUBSTITUTE(SUBSTITUTE(SUBSTITUTE(SUBSTITUTE(TRIM($AR378),"-",""),".",""),"/","")," ",""),8),7,2)),"")))</f>
        <v/>
      </c>
      <c r="AT378" s="23">
        <f>IF($AS378="","",IF($F$6="",0,IF(ISNUMBER(INDEX($A:$AP,ROW(),$F$6)),INDEX($A:$AP,ROW(),$F$6),IFERROR(--SUBSTITUTE(SUBSTITUTE(TRIM(INDEX($A:$AP,ROW(),$F$6)),",",""),"원",""),0))))</f>
        <v/>
      </c>
      <c r="AU378" s="23">
        <f>IF($AS378="","",IF($G$6="",0,IF(ISNUMBER(INDEX($A:$AP,ROW(),$G$6)),INDEX($A:$AP,ROW(),$G$6),IFERROR(--SUBSTITUTE(SUBSTITUTE(TRIM(INDEX($A:$AP,ROW(),$G$6)),",",""),"원",""),0))))</f>
        <v/>
      </c>
      <c r="AV378" s="23">
        <f>IF($AS378="","",IF($H$6="",$AT378+$AU378,IF($H$6="",0,IF(ISNUMBER(INDEX($A:$AP,ROW(),$H$6)),INDEX($A:$AP,ROW(),$H$6),IFERROR(--SUBSTITUTE(SUBSTITUTE(TRIM(INDEX($A:$AP,ROW(),$H$6)),",",""),"원",""),0)))))</f>
        <v/>
      </c>
      <c r="AW378" s="2">
        <f>IF(OR($AS378="",$C$6=""),"",TRIM(INDEX($A:$AP,ROW(),$C$6)&amp;""))</f>
        <v/>
      </c>
      <c r="AX378" s="2">
        <f>IF($AS378="","",IF($AZ378&lt;&gt;"",SUBSTITUTE(SUBSTITUTE($AZ378,"-","")," ",""),$AY378))</f>
        <v/>
      </c>
      <c r="AY378" s="2">
        <f>IF(OR($AS378="",$E$6=""),"",TRIM(INDEX($A:$AP,ROW(),$E$6)&amp;""))</f>
        <v/>
      </c>
      <c r="AZ378" s="2">
        <f>IF(OR($AS378="",$D$6=""),"",TRIM(INDEX($A:$AP,ROW(),$D$6)&amp;""))</f>
        <v/>
      </c>
      <c r="BA378" s="2">
        <f>IF($AS378="","",IF(AND($AS378&gt;=설정!$B$10,$AS378&lt;=설정!$B$11),"포함","기간 밖"))</f>
        <v/>
      </c>
      <c r="BB378" s="2">
        <f>IF($AS378="","",IF(OR($AT378&lt;0,AND($I$6&lt;&gt;"",ISNUMBER(FIND("수정",INDEX($A:$AP,ROW(),IF($I$6="",1,$I$6))&amp;"")))),"수정","일반"))</f>
        <v/>
      </c>
      <c r="BC378" s="2">
        <f>IF($AS378="","",MID(IF($BA378="기간 밖"," / 기간 밖(신고기간 아님)","")&amp;IF(AND($AW378&lt;&gt;"",COUNTIF($AW$8:$AW$1007,$AW378)&gt;1)," / 승인번호 중복(두 번 붙여넣기?)","")&amp;IF(ABS($AU378-ROUND($AT378*0.1,0))&gt;설정!$B$8,IF($AU378=0," / 세액 0원(영세율·면세 여부 확인)"," / 세액이 공급가액 10%와 다름"),"")&amp;IF($BB378="수정"," / 수정세금계산서(합계에서 자동 가감)",""),4,200))</f>
        <v/>
      </c>
      <c r="BD378" s="2">
        <f>IF($BA378&lt;&gt;"포함","",IF(COUNTIFS($AX$8:$AX378,$AX378,$BA$8:$BA378,"포함")=1,MAX($BD$7:BD377)+1,""))</f>
        <v/>
      </c>
      <c r="BE378" s="2">
        <f>IF($BC378="","",MAX($BE$7:BE377)+1)</f>
        <v/>
      </c>
    </row>
    <row r="379">
      <c r="AR379" s="2">
        <f>IF(OR($A$5="",$B$6="",ROW()&lt;$A$5),"",IF(INDEX($A:$AP,ROW(),$B$6)="","",INDEX($A:$AP,ROW(),$B$6)))</f>
        <v/>
      </c>
      <c r="AS379" s="22">
        <f>IF($AR379="","",IF(ISNUMBER($AR379),IF($AR379&gt;=10000000,IFERROR(DATE(INT($AR379/10000),MOD(INT($AR379/100),100),MOD($AR379,100)),""),INT($AR379)),IFERROR(DATE(--LEFT(LEFT(SUBSTITUTE(SUBSTITUTE(SUBSTITUTE(SUBSTITUTE(TRIM($AR379),"-",""),".",""),"/","")," ",""),8),4),--MID(LEFT(SUBSTITUTE(SUBSTITUTE(SUBSTITUTE(SUBSTITUTE(TRIM($AR379),"-",""),".",""),"/","")," ",""),8),5,2),--MID(LEFT(SUBSTITUTE(SUBSTITUTE(SUBSTITUTE(SUBSTITUTE(TRIM($AR379),"-",""),".",""),"/","")," ",""),8),7,2)),"")))</f>
        <v/>
      </c>
      <c r="AT379" s="23">
        <f>IF($AS379="","",IF($F$6="",0,IF(ISNUMBER(INDEX($A:$AP,ROW(),$F$6)),INDEX($A:$AP,ROW(),$F$6),IFERROR(--SUBSTITUTE(SUBSTITUTE(TRIM(INDEX($A:$AP,ROW(),$F$6)),",",""),"원",""),0))))</f>
        <v/>
      </c>
      <c r="AU379" s="23">
        <f>IF($AS379="","",IF($G$6="",0,IF(ISNUMBER(INDEX($A:$AP,ROW(),$G$6)),INDEX($A:$AP,ROW(),$G$6),IFERROR(--SUBSTITUTE(SUBSTITUTE(TRIM(INDEX($A:$AP,ROW(),$G$6)),",",""),"원",""),0))))</f>
        <v/>
      </c>
      <c r="AV379" s="23">
        <f>IF($AS379="","",IF($H$6="",$AT379+$AU379,IF($H$6="",0,IF(ISNUMBER(INDEX($A:$AP,ROW(),$H$6)),INDEX($A:$AP,ROW(),$H$6),IFERROR(--SUBSTITUTE(SUBSTITUTE(TRIM(INDEX($A:$AP,ROW(),$H$6)),",",""),"원",""),0)))))</f>
        <v/>
      </c>
      <c r="AW379" s="2">
        <f>IF(OR($AS379="",$C$6=""),"",TRIM(INDEX($A:$AP,ROW(),$C$6)&amp;""))</f>
        <v/>
      </c>
      <c r="AX379" s="2">
        <f>IF($AS379="","",IF($AZ379&lt;&gt;"",SUBSTITUTE(SUBSTITUTE($AZ379,"-","")," ",""),$AY379))</f>
        <v/>
      </c>
      <c r="AY379" s="2">
        <f>IF(OR($AS379="",$E$6=""),"",TRIM(INDEX($A:$AP,ROW(),$E$6)&amp;""))</f>
        <v/>
      </c>
      <c r="AZ379" s="2">
        <f>IF(OR($AS379="",$D$6=""),"",TRIM(INDEX($A:$AP,ROW(),$D$6)&amp;""))</f>
        <v/>
      </c>
      <c r="BA379" s="2">
        <f>IF($AS379="","",IF(AND($AS379&gt;=설정!$B$10,$AS379&lt;=설정!$B$11),"포함","기간 밖"))</f>
        <v/>
      </c>
      <c r="BB379" s="2">
        <f>IF($AS379="","",IF(OR($AT379&lt;0,AND($I$6&lt;&gt;"",ISNUMBER(FIND("수정",INDEX($A:$AP,ROW(),IF($I$6="",1,$I$6))&amp;"")))),"수정","일반"))</f>
        <v/>
      </c>
      <c r="BC379" s="2">
        <f>IF($AS379="","",MID(IF($BA379="기간 밖"," / 기간 밖(신고기간 아님)","")&amp;IF(AND($AW379&lt;&gt;"",COUNTIF($AW$8:$AW$1007,$AW379)&gt;1)," / 승인번호 중복(두 번 붙여넣기?)","")&amp;IF(ABS($AU379-ROUND($AT379*0.1,0))&gt;설정!$B$8,IF($AU379=0," / 세액 0원(영세율·면세 여부 확인)"," / 세액이 공급가액 10%와 다름"),"")&amp;IF($BB379="수정"," / 수정세금계산서(합계에서 자동 가감)",""),4,200))</f>
        <v/>
      </c>
      <c r="BD379" s="2">
        <f>IF($BA379&lt;&gt;"포함","",IF(COUNTIFS($AX$8:$AX379,$AX379,$BA$8:$BA379,"포함")=1,MAX($BD$7:BD378)+1,""))</f>
        <v/>
      </c>
      <c r="BE379" s="2">
        <f>IF($BC379="","",MAX($BE$7:BE378)+1)</f>
        <v/>
      </c>
    </row>
    <row r="380">
      <c r="AR380" s="2">
        <f>IF(OR($A$5="",$B$6="",ROW()&lt;$A$5),"",IF(INDEX($A:$AP,ROW(),$B$6)="","",INDEX($A:$AP,ROW(),$B$6)))</f>
        <v/>
      </c>
      <c r="AS380" s="22">
        <f>IF($AR380="","",IF(ISNUMBER($AR380),IF($AR380&gt;=10000000,IFERROR(DATE(INT($AR380/10000),MOD(INT($AR380/100),100),MOD($AR380,100)),""),INT($AR380)),IFERROR(DATE(--LEFT(LEFT(SUBSTITUTE(SUBSTITUTE(SUBSTITUTE(SUBSTITUTE(TRIM($AR380),"-",""),".",""),"/","")," ",""),8),4),--MID(LEFT(SUBSTITUTE(SUBSTITUTE(SUBSTITUTE(SUBSTITUTE(TRIM($AR380),"-",""),".",""),"/","")," ",""),8),5,2),--MID(LEFT(SUBSTITUTE(SUBSTITUTE(SUBSTITUTE(SUBSTITUTE(TRIM($AR380),"-",""),".",""),"/","")," ",""),8),7,2)),"")))</f>
        <v/>
      </c>
      <c r="AT380" s="23">
        <f>IF($AS380="","",IF($F$6="",0,IF(ISNUMBER(INDEX($A:$AP,ROW(),$F$6)),INDEX($A:$AP,ROW(),$F$6),IFERROR(--SUBSTITUTE(SUBSTITUTE(TRIM(INDEX($A:$AP,ROW(),$F$6)),",",""),"원",""),0))))</f>
        <v/>
      </c>
      <c r="AU380" s="23">
        <f>IF($AS380="","",IF($G$6="",0,IF(ISNUMBER(INDEX($A:$AP,ROW(),$G$6)),INDEX($A:$AP,ROW(),$G$6),IFERROR(--SUBSTITUTE(SUBSTITUTE(TRIM(INDEX($A:$AP,ROW(),$G$6)),",",""),"원",""),0))))</f>
        <v/>
      </c>
      <c r="AV380" s="23">
        <f>IF($AS380="","",IF($H$6="",$AT380+$AU380,IF($H$6="",0,IF(ISNUMBER(INDEX($A:$AP,ROW(),$H$6)),INDEX($A:$AP,ROW(),$H$6),IFERROR(--SUBSTITUTE(SUBSTITUTE(TRIM(INDEX($A:$AP,ROW(),$H$6)),",",""),"원",""),0)))))</f>
        <v/>
      </c>
      <c r="AW380" s="2">
        <f>IF(OR($AS380="",$C$6=""),"",TRIM(INDEX($A:$AP,ROW(),$C$6)&amp;""))</f>
        <v/>
      </c>
      <c r="AX380" s="2">
        <f>IF($AS380="","",IF($AZ380&lt;&gt;"",SUBSTITUTE(SUBSTITUTE($AZ380,"-","")," ",""),$AY380))</f>
        <v/>
      </c>
      <c r="AY380" s="2">
        <f>IF(OR($AS380="",$E$6=""),"",TRIM(INDEX($A:$AP,ROW(),$E$6)&amp;""))</f>
        <v/>
      </c>
      <c r="AZ380" s="2">
        <f>IF(OR($AS380="",$D$6=""),"",TRIM(INDEX($A:$AP,ROW(),$D$6)&amp;""))</f>
        <v/>
      </c>
      <c r="BA380" s="2">
        <f>IF($AS380="","",IF(AND($AS380&gt;=설정!$B$10,$AS380&lt;=설정!$B$11),"포함","기간 밖"))</f>
        <v/>
      </c>
      <c r="BB380" s="2">
        <f>IF($AS380="","",IF(OR($AT380&lt;0,AND($I$6&lt;&gt;"",ISNUMBER(FIND("수정",INDEX($A:$AP,ROW(),IF($I$6="",1,$I$6))&amp;"")))),"수정","일반"))</f>
        <v/>
      </c>
      <c r="BC380" s="2">
        <f>IF($AS380="","",MID(IF($BA380="기간 밖"," / 기간 밖(신고기간 아님)","")&amp;IF(AND($AW380&lt;&gt;"",COUNTIF($AW$8:$AW$1007,$AW380)&gt;1)," / 승인번호 중복(두 번 붙여넣기?)","")&amp;IF(ABS($AU380-ROUND($AT380*0.1,0))&gt;설정!$B$8,IF($AU380=0," / 세액 0원(영세율·면세 여부 확인)"," / 세액이 공급가액 10%와 다름"),"")&amp;IF($BB380="수정"," / 수정세금계산서(합계에서 자동 가감)",""),4,200))</f>
        <v/>
      </c>
      <c r="BD380" s="2">
        <f>IF($BA380&lt;&gt;"포함","",IF(COUNTIFS($AX$8:$AX380,$AX380,$BA$8:$BA380,"포함")=1,MAX($BD$7:BD379)+1,""))</f>
        <v/>
      </c>
      <c r="BE380" s="2">
        <f>IF($BC380="","",MAX($BE$7:BE379)+1)</f>
        <v/>
      </c>
    </row>
    <row r="381">
      <c r="AR381" s="2">
        <f>IF(OR($A$5="",$B$6="",ROW()&lt;$A$5),"",IF(INDEX($A:$AP,ROW(),$B$6)="","",INDEX($A:$AP,ROW(),$B$6)))</f>
        <v/>
      </c>
      <c r="AS381" s="22">
        <f>IF($AR381="","",IF(ISNUMBER($AR381),IF($AR381&gt;=10000000,IFERROR(DATE(INT($AR381/10000),MOD(INT($AR381/100),100),MOD($AR381,100)),""),INT($AR381)),IFERROR(DATE(--LEFT(LEFT(SUBSTITUTE(SUBSTITUTE(SUBSTITUTE(SUBSTITUTE(TRIM($AR381),"-",""),".",""),"/","")," ",""),8),4),--MID(LEFT(SUBSTITUTE(SUBSTITUTE(SUBSTITUTE(SUBSTITUTE(TRIM($AR381),"-",""),".",""),"/","")," ",""),8),5,2),--MID(LEFT(SUBSTITUTE(SUBSTITUTE(SUBSTITUTE(SUBSTITUTE(TRIM($AR381),"-",""),".",""),"/","")," ",""),8),7,2)),"")))</f>
        <v/>
      </c>
      <c r="AT381" s="23">
        <f>IF($AS381="","",IF($F$6="",0,IF(ISNUMBER(INDEX($A:$AP,ROW(),$F$6)),INDEX($A:$AP,ROW(),$F$6),IFERROR(--SUBSTITUTE(SUBSTITUTE(TRIM(INDEX($A:$AP,ROW(),$F$6)),",",""),"원",""),0))))</f>
        <v/>
      </c>
      <c r="AU381" s="23">
        <f>IF($AS381="","",IF($G$6="",0,IF(ISNUMBER(INDEX($A:$AP,ROW(),$G$6)),INDEX($A:$AP,ROW(),$G$6),IFERROR(--SUBSTITUTE(SUBSTITUTE(TRIM(INDEX($A:$AP,ROW(),$G$6)),",",""),"원",""),0))))</f>
        <v/>
      </c>
      <c r="AV381" s="23">
        <f>IF($AS381="","",IF($H$6="",$AT381+$AU381,IF($H$6="",0,IF(ISNUMBER(INDEX($A:$AP,ROW(),$H$6)),INDEX($A:$AP,ROW(),$H$6),IFERROR(--SUBSTITUTE(SUBSTITUTE(TRIM(INDEX($A:$AP,ROW(),$H$6)),",",""),"원",""),0)))))</f>
        <v/>
      </c>
      <c r="AW381" s="2">
        <f>IF(OR($AS381="",$C$6=""),"",TRIM(INDEX($A:$AP,ROW(),$C$6)&amp;""))</f>
        <v/>
      </c>
      <c r="AX381" s="2">
        <f>IF($AS381="","",IF($AZ381&lt;&gt;"",SUBSTITUTE(SUBSTITUTE($AZ381,"-","")," ",""),$AY381))</f>
        <v/>
      </c>
      <c r="AY381" s="2">
        <f>IF(OR($AS381="",$E$6=""),"",TRIM(INDEX($A:$AP,ROW(),$E$6)&amp;""))</f>
        <v/>
      </c>
      <c r="AZ381" s="2">
        <f>IF(OR($AS381="",$D$6=""),"",TRIM(INDEX($A:$AP,ROW(),$D$6)&amp;""))</f>
        <v/>
      </c>
      <c r="BA381" s="2">
        <f>IF($AS381="","",IF(AND($AS381&gt;=설정!$B$10,$AS381&lt;=설정!$B$11),"포함","기간 밖"))</f>
        <v/>
      </c>
      <c r="BB381" s="2">
        <f>IF($AS381="","",IF(OR($AT381&lt;0,AND($I$6&lt;&gt;"",ISNUMBER(FIND("수정",INDEX($A:$AP,ROW(),IF($I$6="",1,$I$6))&amp;"")))),"수정","일반"))</f>
        <v/>
      </c>
      <c r="BC381" s="2">
        <f>IF($AS381="","",MID(IF($BA381="기간 밖"," / 기간 밖(신고기간 아님)","")&amp;IF(AND($AW381&lt;&gt;"",COUNTIF($AW$8:$AW$1007,$AW381)&gt;1)," / 승인번호 중복(두 번 붙여넣기?)","")&amp;IF(ABS($AU381-ROUND($AT381*0.1,0))&gt;설정!$B$8,IF($AU381=0," / 세액 0원(영세율·면세 여부 확인)"," / 세액이 공급가액 10%와 다름"),"")&amp;IF($BB381="수정"," / 수정세금계산서(합계에서 자동 가감)",""),4,200))</f>
        <v/>
      </c>
      <c r="BD381" s="2">
        <f>IF($BA381&lt;&gt;"포함","",IF(COUNTIFS($AX$8:$AX381,$AX381,$BA$8:$BA381,"포함")=1,MAX($BD$7:BD380)+1,""))</f>
        <v/>
      </c>
      <c r="BE381" s="2">
        <f>IF($BC381="","",MAX($BE$7:BE380)+1)</f>
        <v/>
      </c>
    </row>
    <row r="382">
      <c r="AR382" s="2">
        <f>IF(OR($A$5="",$B$6="",ROW()&lt;$A$5),"",IF(INDEX($A:$AP,ROW(),$B$6)="","",INDEX($A:$AP,ROW(),$B$6)))</f>
        <v/>
      </c>
      <c r="AS382" s="22">
        <f>IF($AR382="","",IF(ISNUMBER($AR382),IF($AR382&gt;=10000000,IFERROR(DATE(INT($AR382/10000),MOD(INT($AR382/100),100),MOD($AR382,100)),""),INT($AR382)),IFERROR(DATE(--LEFT(LEFT(SUBSTITUTE(SUBSTITUTE(SUBSTITUTE(SUBSTITUTE(TRIM($AR382),"-",""),".",""),"/","")," ",""),8),4),--MID(LEFT(SUBSTITUTE(SUBSTITUTE(SUBSTITUTE(SUBSTITUTE(TRIM($AR382),"-",""),".",""),"/","")," ",""),8),5,2),--MID(LEFT(SUBSTITUTE(SUBSTITUTE(SUBSTITUTE(SUBSTITUTE(TRIM($AR382),"-",""),".",""),"/","")," ",""),8),7,2)),"")))</f>
        <v/>
      </c>
      <c r="AT382" s="23">
        <f>IF($AS382="","",IF($F$6="",0,IF(ISNUMBER(INDEX($A:$AP,ROW(),$F$6)),INDEX($A:$AP,ROW(),$F$6),IFERROR(--SUBSTITUTE(SUBSTITUTE(TRIM(INDEX($A:$AP,ROW(),$F$6)),",",""),"원",""),0))))</f>
        <v/>
      </c>
      <c r="AU382" s="23">
        <f>IF($AS382="","",IF($G$6="",0,IF(ISNUMBER(INDEX($A:$AP,ROW(),$G$6)),INDEX($A:$AP,ROW(),$G$6),IFERROR(--SUBSTITUTE(SUBSTITUTE(TRIM(INDEX($A:$AP,ROW(),$G$6)),",",""),"원",""),0))))</f>
        <v/>
      </c>
      <c r="AV382" s="23">
        <f>IF($AS382="","",IF($H$6="",$AT382+$AU382,IF($H$6="",0,IF(ISNUMBER(INDEX($A:$AP,ROW(),$H$6)),INDEX($A:$AP,ROW(),$H$6),IFERROR(--SUBSTITUTE(SUBSTITUTE(TRIM(INDEX($A:$AP,ROW(),$H$6)),",",""),"원",""),0)))))</f>
        <v/>
      </c>
      <c r="AW382" s="2">
        <f>IF(OR($AS382="",$C$6=""),"",TRIM(INDEX($A:$AP,ROW(),$C$6)&amp;""))</f>
        <v/>
      </c>
      <c r="AX382" s="2">
        <f>IF($AS382="","",IF($AZ382&lt;&gt;"",SUBSTITUTE(SUBSTITUTE($AZ382,"-","")," ",""),$AY382))</f>
        <v/>
      </c>
      <c r="AY382" s="2">
        <f>IF(OR($AS382="",$E$6=""),"",TRIM(INDEX($A:$AP,ROW(),$E$6)&amp;""))</f>
        <v/>
      </c>
      <c r="AZ382" s="2">
        <f>IF(OR($AS382="",$D$6=""),"",TRIM(INDEX($A:$AP,ROW(),$D$6)&amp;""))</f>
        <v/>
      </c>
      <c r="BA382" s="2">
        <f>IF($AS382="","",IF(AND($AS382&gt;=설정!$B$10,$AS382&lt;=설정!$B$11),"포함","기간 밖"))</f>
        <v/>
      </c>
      <c r="BB382" s="2">
        <f>IF($AS382="","",IF(OR($AT382&lt;0,AND($I$6&lt;&gt;"",ISNUMBER(FIND("수정",INDEX($A:$AP,ROW(),IF($I$6="",1,$I$6))&amp;"")))),"수정","일반"))</f>
        <v/>
      </c>
      <c r="BC382" s="2">
        <f>IF($AS382="","",MID(IF($BA382="기간 밖"," / 기간 밖(신고기간 아님)","")&amp;IF(AND($AW382&lt;&gt;"",COUNTIF($AW$8:$AW$1007,$AW382)&gt;1)," / 승인번호 중복(두 번 붙여넣기?)","")&amp;IF(ABS($AU382-ROUND($AT382*0.1,0))&gt;설정!$B$8,IF($AU382=0," / 세액 0원(영세율·면세 여부 확인)"," / 세액이 공급가액 10%와 다름"),"")&amp;IF($BB382="수정"," / 수정세금계산서(합계에서 자동 가감)",""),4,200))</f>
        <v/>
      </c>
      <c r="BD382" s="2">
        <f>IF($BA382&lt;&gt;"포함","",IF(COUNTIFS($AX$8:$AX382,$AX382,$BA$8:$BA382,"포함")=1,MAX($BD$7:BD381)+1,""))</f>
        <v/>
      </c>
      <c r="BE382" s="2">
        <f>IF($BC382="","",MAX($BE$7:BE381)+1)</f>
        <v/>
      </c>
    </row>
    <row r="383">
      <c r="AR383" s="2">
        <f>IF(OR($A$5="",$B$6="",ROW()&lt;$A$5),"",IF(INDEX($A:$AP,ROW(),$B$6)="","",INDEX($A:$AP,ROW(),$B$6)))</f>
        <v/>
      </c>
      <c r="AS383" s="22">
        <f>IF($AR383="","",IF(ISNUMBER($AR383),IF($AR383&gt;=10000000,IFERROR(DATE(INT($AR383/10000),MOD(INT($AR383/100),100),MOD($AR383,100)),""),INT($AR383)),IFERROR(DATE(--LEFT(LEFT(SUBSTITUTE(SUBSTITUTE(SUBSTITUTE(SUBSTITUTE(TRIM($AR383),"-",""),".",""),"/","")," ",""),8),4),--MID(LEFT(SUBSTITUTE(SUBSTITUTE(SUBSTITUTE(SUBSTITUTE(TRIM($AR383),"-",""),".",""),"/","")," ",""),8),5,2),--MID(LEFT(SUBSTITUTE(SUBSTITUTE(SUBSTITUTE(SUBSTITUTE(TRIM($AR383),"-",""),".",""),"/","")," ",""),8),7,2)),"")))</f>
        <v/>
      </c>
      <c r="AT383" s="23">
        <f>IF($AS383="","",IF($F$6="",0,IF(ISNUMBER(INDEX($A:$AP,ROW(),$F$6)),INDEX($A:$AP,ROW(),$F$6),IFERROR(--SUBSTITUTE(SUBSTITUTE(TRIM(INDEX($A:$AP,ROW(),$F$6)),",",""),"원",""),0))))</f>
        <v/>
      </c>
      <c r="AU383" s="23">
        <f>IF($AS383="","",IF($G$6="",0,IF(ISNUMBER(INDEX($A:$AP,ROW(),$G$6)),INDEX($A:$AP,ROW(),$G$6),IFERROR(--SUBSTITUTE(SUBSTITUTE(TRIM(INDEX($A:$AP,ROW(),$G$6)),",",""),"원",""),0))))</f>
        <v/>
      </c>
      <c r="AV383" s="23">
        <f>IF($AS383="","",IF($H$6="",$AT383+$AU383,IF($H$6="",0,IF(ISNUMBER(INDEX($A:$AP,ROW(),$H$6)),INDEX($A:$AP,ROW(),$H$6),IFERROR(--SUBSTITUTE(SUBSTITUTE(TRIM(INDEX($A:$AP,ROW(),$H$6)),",",""),"원",""),0)))))</f>
        <v/>
      </c>
      <c r="AW383" s="2">
        <f>IF(OR($AS383="",$C$6=""),"",TRIM(INDEX($A:$AP,ROW(),$C$6)&amp;""))</f>
        <v/>
      </c>
      <c r="AX383" s="2">
        <f>IF($AS383="","",IF($AZ383&lt;&gt;"",SUBSTITUTE(SUBSTITUTE($AZ383,"-","")," ",""),$AY383))</f>
        <v/>
      </c>
      <c r="AY383" s="2">
        <f>IF(OR($AS383="",$E$6=""),"",TRIM(INDEX($A:$AP,ROW(),$E$6)&amp;""))</f>
        <v/>
      </c>
      <c r="AZ383" s="2">
        <f>IF(OR($AS383="",$D$6=""),"",TRIM(INDEX($A:$AP,ROW(),$D$6)&amp;""))</f>
        <v/>
      </c>
      <c r="BA383" s="2">
        <f>IF($AS383="","",IF(AND($AS383&gt;=설정!$B$10,$AS383&lt;=설정!$B$11),"포함","기간 밖"))</f>
        <v/>
      </c>
      <c r="BB383" s="2">
        <f>IF($AS383="","",IF(OR($AT383&lt;0,AND($I$6&lt;&gt;"",ISNUMBER(FIND("수정",INDEX($A:$AP,ROW(),IF($I$6="",1,$I$6))&amp;"")))),"수정","일반"))</f>
        <v/>
      </c>
      <c r="BC383" s="2">
        <f>IF($AS383="","",MID(IF($BA383="기간 밖"," / 기간 밖(신고기간 아님)","")&amp;IF(AND($AW383&lt;&gt;"",COUNTIF($AW$8:$AW$1007,$AW383)&gt;1)," / 승인번호 중복(두 번 붙여넣기?)","")&amp;IF(ABS($AU383-ROUND($AT383*0.1,0))&gt;설정!$B$8,IF($AU383=0," / 세액 0원(영세율·면세 여부 확인)"," / 세액이 공급가액 10%와 다름"),"")&amp;IF($BB383="수정"," / 수정세금계산서(합계에서 자동 가감)",""),4,200))</f>
        <v/>
      </c>
      <c r="BD383" s="2">
        <f>IF($BA383&lt;&gt;"포함","",IF(COUNTIFS($AX$8:$AX383,$AX383,$BA$8:$BA383,"포함")=1,MAX($BD$7:BD382)+1,""))</f>
        <v/>
      </c>
      <c r="BE383" s="2">
        <f>IF($BC383="","",MAX($BE$7:BE382)+1)</f>
        <v/>
      </c>
    </row>
    <row r="384">
      <c r="AR384" s="2">
        <f>IF(OR($A$5="",$B$6="",ROW()&lt;$A$5),"",IF(INDEX($A:$AP,ROW(),$B$6)="","",INDEX($A:$AP,ROW(),$B$6)))</f>
        <v/>
      </c>
      <c r="AS384" s="22">
        <f>IF($AR384="","",IF(ISNUMBER($AR384),IF($AR384&gt;=10000000,IFERROR(DATE(INT($AR384/10000),MOD(INT($AR384/100),100),MOD($AR384,100)),""),INT($AR384)),IFERROR(DATE(--LEFT(LEFT(SUBSTITUTE(SUBSTITUTE(SUBSTITUTE(SUBSTITUTE(TRIM($AR384),"-",""),".",""),"/","")," ",""),8),4),--MID(LEFT(SUBSTITUTE(SUBSTITUTE(SUBSTITUTE(SUBSTITUTE(TRIM($AR384),"-",""),".",""),"/","")," ",""),8),5,2),--MID(LEFT(SUBSTITUTE(SUBSTITUTE(SUBSTITUTE(SUBSTITUTE(TRIM($AR384),"-",""),".",""),"/","")," ",""),8),7,2)),"")))</f>
        <v/>
      </c>
      <c r="AT384" s="23">
        <f>IF($AS384="","",IF($F$6="",0,IF(ISNUMBER(INDEX($A:$AP,ROW(),$F$6)),INDEX($A:$AP,ROW(),$F$6),IFERROR(--SUBSTITUTE(SUBSTITUTE(TRIM(INDEX($A:$AP,ROW(),$F$6)),",",""),"원",""),0))))</f>
        <v/>
      </c>
      <c r="AU384" s="23">
        <f>IF($AS384="","",IF($G$6="",0,IF(ISNUMBER(INDEX($A:$AP,ROW(),$G$6)),INDEX($A:$AP,ROW(),$G$6),IFERROR(--SUBSTITUTE(SUBSTITUTE(TRIM(INDEX($A:$AP,ROW(),$G$6)),",",""),"원",""),0))))</f>
        <v/>
      </c>
      <c r="AV384" s="23">
        <f>IF($AS384="","",IF($H$6="",$AT384+$AU384,IF($H$6="",0,IF(ISNUMBER(INDEX($A:$AP,ROW(),$H$6)),INDEX($A:$AP,ROW(),$H$6),IFERROR(--SUBSTITUTE(SUBSTITUTE(TRIM(INDEX($A:$AP,ROW(),$H$6)),",",""),"원",""),0)))))</f>
        <v/>
      </c>
      <c r="AW384" s="2">
        <f>IF(OR($AS384="",$C$6=""),"",TRIM(INDEX($A:$AP,ROW(),$C$6)&amp;""))</f>
        <v/>
      </c>
      <c r="AX384" s="2">
        <f>IF($AS384="","",IF($AZ384&lt;&gt;"",SUBSTITUTE(SUBSTITUTE($AZ384,"-","")," ",""),$AY384))</f>
        <v/>
      </c>
      <c r="AY384" s="2">
        <f>IF(OR($AS384="",$E$6=""),"",TRIM(INDEX($A:$AP,ROW(),$E$6)&amp;""))</f>
        <v/>
      </c>
      <c r="AZ384" s="2">
        <f>IF(OR($AS384="",$D$6=""),"",TRIM(INDEX($A:$AP,ROW(),$D$6)&amp;""))</f>
        <v/>
      </c>
      <c r="BA384" s="2">
        <f>IF($AS384="","",IF(AND($AS384&gt;=설정!$B$10,$AS384&lt;=설정!$B$11),"포함","기간 밖"))</f>
        <v/>
      </c>
      <c r="BB384" s="2">
        <f>IF($AS384="","",IF(OR($AT384&lt;0,AND($I$6&lt;&gt;"",ISNUMBER(FIND("수정",INDEX($A:$AP,ROW(),IF($I$6="",1,$I$6))&amp;"")))),"수정","일반"))</f>
        <v/>
      </c>
      <c r="BC384" s="2">
        <f>IF($AS384="","",MID(IF($BA384="기간 밖"," / 기간 밖(신고기간 아님)","")&amp;IF(AND($AW384&lt;&gt;"",COUNTIF($AW$8:$AW$1007,$AW384)&gt;1)," / 승인번호 중복(두 번 붙여넣기?)","")&amp;IF(ABS($AU384-ROUND($AT384*0.1,0))&gt;설정!$B$8,IF($AU384=0," / 세액 0원(영세율·면세 여부 확인)"," / 세액이 공급가액 10%와 다름"),"")&amp;IF($BB384="수정"," / 수정세금계산서(합계에서 자동 가감)",""),4,200))</f>
        <v/>
      </c>
      <c r="BD384" s="2">
        <f>IF($BA384&lt;&gt;"포함","",IF(COUNTIFS($AX$8:$AX384,$AX384,$BA$8:$BA384,"포함")=1,MAX($BD$7:BD383)+1,""))</f>
        <v/>
      </c>
      <c r="BE384" s="2">
        <f>IF($BC384="","",MAX($BE$7:BE383)+1)</f>
        <v/>
      </c>
    </row>
    <row r="385">
      <c r="AR385" s="2">
        <f>IF(OR($A$5="",$B$6="",ROW()&lt;$A$5),"",IF(INDEX($A:$AP,ROW(),$B$6)="","",INDEX($A:$AP,ROW(),$B$6)))</f>
        <v/>
      </c>
      <c r="AS385" s="22">
        <f>IF($AR385="","",IF(ISNUMBER($AR385),IF($AR385&gt;=10000000,IFERROR(DATE(INT($AR385/10000),MOD(INT($AR385/100),100),MOD($AR385,100)),""),INT($AR385)),IFERROR(DATE(--LEFT(LEFT(SUBSTITUTE(SUBSTITUTE(SUBSTITUTE(SUBSTITUTE(TRIM($AR385),"-",""),".",""),"/","")," ",""),8),4),--MID(LEFT(SUBSTITUTE(SUBSTITUTE(SUBSTITUTE(SUBSTITUTE(TRIM($AR385),"-",""),".",""),"/","")," ",""),8),5,2),--MID(LEFT(SUBSTITUTE(SUBSTITUTE(SUBSTITUTE(SUBSTITUTE(TRIM($AR385),"-",""),".",""),"/","")," ",""),8),7,2)),"")))</f>
        <v/>
      </c>
      <c r="AT385" s="23">
        <f>IF($AS385="","",IF($F$6="",0,IF(ISNUMBER(INDEX($A:$AP,ROW(),$F$6)),INDEX($A:$AP,ROW(),$F$6),IFERROR(--SUBSTITUTE(SUBSTITUTE(TRIM(INDEX($A:$AP,ROW(),$F$6)),",",""),"원",""),0))))</f>
        <v/>
      </c>
      <c r="AU385" s="23">
        <f>IF($AS385="","",IF($G$6="",0,IF(ISNUMBER(INDEX($A:$AP,ROW(),$G$6)),INDEX($A:$AP,ROW(),$G$6),IFERROR(--SUBSTITUTE(SUBSTITUTE(TRIM(INDEX($A:$AP,ROW(),$G$6)),",",""),"원",""),0))))</f>
        <v/>
      </c>
      <c r="AV385" s="23">
        <f>IF($AS385="","",IF($H$6="",$AT385+$AU385,IF($H$6="",0,IF(ISNUMBER(INDEX($A:$AP,ROW(),$H$6)),INDEX($A:$AP,ROW(),$H$6),IFERROR(--SUBSTITUTE(SUBSTITUTE(TRIM(INDEX($A:$AP,ROW(),$H$6)),",",""),"원",""),0)))))</f>
        <v/>
      </c>
      <c r="AW385" s="2">
        <f>IF(OR($AS385="",$C$6=""),"",TRIM(INDEX($A:$AP,ROW(),$C$6)&amp;""))</f>
        <v/>
      </c>
      <c r="AX385" s="2">
        <f>IF($AS385="","",IF($AZ385&lt;&gt;"",SUBSTITUTE(SUBSTITUTE($AZ385,"-","")," ",""),$AY385))</f>
        <v/>
      </c>
      <c r="AY385" s="2">
        <f>IF(OR($AS385="",$E$6=""),"",TRIM(INDEX($A:$AP,ROW(),$E$6)&amp;""))</f>
        <v/>
      </c>
      <c r="AZ385" s="2">
        <f>IF(OR($AS385="",$D$6=""),"",TRIM(INDEX($A:$AP,ROW(),$D$6)&amp;""))</f>
        <v/>
      </c>
      <c r="BA385" s="2">
        <f>IF($AS385="","",IF(AND($AS385&gt;=설정!$B$10,$AS385&lt;=설정!$B$11),"포함","기간 밖"))</f>
        <v/>
      </c>
      <c r="BB385" s="2">
        <f>IF($AS385="","",IF(OR($AT385&lt;0,AND($I$6&lt;&gt;"",ISNUMBER(FIND("수정",INDEX($A:$AP,ROW(),IF($I$6="",1,$I$6))&amp;"")))),"수정","일반"))</f>
        <v/>
      </c>
      <c r="BC385" s="2">
        <f>IF($AS385="","",MID(IF($BA385="기간 밖"," / 기간 밖(신고기간 아님)","")&amp;IF(AND($AW385&lt;&gt;"",COUNTIF($AW$8:$AW$1007,$AW385)&gt;1)," / 승인번호 중복(두 번 붙여넣기?)","")&amp;IF(ABS($AU385-ROUND($AT385*0.1,0))&gt;설정!$B$8,IF($AU385=0," / 세액 0원(영세율·면세 여부 확인)"," / 세액이 공급가액 10%와 다름"),"")&amp;IF($BB385="수정"," / 수정세금계산서(합계에서 자동 가감)",""),4,200))</f>
        <v/>
      </c>
      <c r="BD385" s="2">
        <f>IF($BA385&lt;&gt;"포함","",IF(COUNTIFS($AX$8:$AX385,$AX385,$BA$8:$BA385,"포함")=1,MAX($BD$7:BD384)+1,""))</f>
        <v/>
      </c>
      <c r="BE385" s="2">
        <f>IF($BC385="","",MAX($BE$7:BE384)+1)</f>
        <v/>
      </c>
    </row>
    <row r="386">
      <c r="AR386" s="2">
        <f>IF(OR($A$5="",$B$6="",ROW()&lt;$A$5),"",IF(INDEX($A:$AP,ROW(),$B$6)="","",INDEX($A:$AP,ROW(),$B$6)))</f>
        <v/>
      </c>
      <c r="AS386" s="22">
        <f>IF($AR386="","",IF(ISNUMBER($AR386),IF($AR386&gt;=10000000,IFERROR(DATE(INT($AR386/10000),MOD(INT($AR386/100),100),MOD($AR386,100)),""),INT($AR386)),IFERROR(DATE(--LEFT(LEFT(SUBSTITUTE(SUBSTITUTE(SUBSTITUTE(SUBSTITUTE(TRIM($AR386),"-",""),".",""),"/","")," ",""),8),4),--MID(LEFT(SUBSTITUTE(SUBSTITUTE(SUBSTITUTE(SUBSTITUTE(TRIM($AR386),"-",""),".",""),"/","")," ",""),8),5,2),--MID(LEFT(SUBSTITUTE(SUBSTITUTE(SUBSTITUTE(SUBSTITUTE(TRIM($AR386),"-",""),".",""),"/","")," ",""),8),7,2)),"")))</f>
        <v/>
      </c>
      <c r="AT386" s="23">
        <f>IF($AS386="","",IF($F$6="",0,IF(ISNUMBER(INDEX($A:$AP,ROW(),$F$6)),INDEX($A:$AP,ROW(),$F$6),IFERROR(--SUBSTITUTE(SUBSTITUTE(TRIM(INDEX($A:$AP,ROW(),$F$6)),",",""),"원",""),0))))</f>
        <v/>
      </c>
      <c r="AU386" s="23">
        <f>IF($AS386="","",IF($G$6="",0,IF(ISNUMBER(INDEX($A:$AP,ROW(),$G$6)),INDEX($A:$AP,ROW(),$G$6),IFERROR(--SUBSTITUTE(SUBSTITUTE(TRIM(INDEX($A:$AP,ROW(),$G$6)),",",""),"원",""),0))))</f>
        <v/>
      </c>
      <c r="AV386" s="23">
        <f>IF($AS386="","",IF($H$6="",$AT386+$AU386,IF($H$6="",0,IF(ISNUMBER(INDEX($A:$AP,ROW(),$H$6)),INDEX($A:$AP,ROW(),$H$6),IFERROR(--SUBSTITUTE(SUBSTITUTE(TRIM(INDEX($A:$AP,ROW(),$H$6)),",",""),"원",""),0)))))</f>
        <v/>
      </c>
      <c r="AW386" s="2">
        <f>IF(OR($AS386="",$C$6=""),"",TRIM(INDEX($A:$AP,ROW(),$C$6)&amp;""))</f>
        <v/>
      </c>
      <c r="AX386" s="2">
        <f>IF($AS386="","",IF($AZ386&lt;&gt;"",SUBSTITUTE(SUBSTITUTE($AZ386,"-","")," ",""),$AY386))</f>
        <v/>
      </c>
      <c r="AY386" s="2">
        <f>IF(OR($AS386="",$E$6=""),"",TRIM(INDEX($A:$AP,ROW(),$E$6)&amp;""))</f>
        <v/>
      </c>
      <c r="AZ386" s="2">
        <f>IF(OR($AS386="",$D$6=""),"",TRIM(INDEX($A:$AP,ROW(),$D$6)&amp;""))</f>
        <v/>
      </c>
      <c r="BA386" s="2">
        <f>IF($AS386="","",IF(AND($AS386&gt;=설정!$B$10,$AS386&lt;=설정!$B$11),"포함","기간 밖"))</f>
        <v/>
      </c>
      <c r="BB386" s="2">
        <f>IF($AS386="","",IF(OR($AT386&lt;0,AND($I$6&lt;&gt;"",ISNUMBER(FIND("수정",INDEX($A:$AP,ROW(),IF($I$6="",1,$I$6))&amp;"")))),"수정","일반"))</f>
        <v/>
      </c>
      <c r="BC386" s="2">
        <f>IF($AS386="","",MID(IF($BA386="기간 밖"," / 기간 밖(신고기간 아님)","")&amp;IF(AND($AW386&lt;&gt;"",COUNTIF($AW$8:$AW$1007,$AW386)&gt;1)," / 승인번호 중복(두 번 붙여넣기?)","")&amp;IF(ABS($AU386-ROUND($AT386*0.1,0))&gt;설정!$B$8,IF($AU386=0," / 세액 0원(영세율·면세 여부 확인)"," / 세액이 공급가액 10%와 다름"),"")&amp;IF($BB386="수정"," / 수정세금계산서(합계에서 자동 가감)",""),4,200))</f>
        <v/>
      </c>
      <c r="BD386" s="2">
        <f>IF($BA386&lt;&gt;"포함","",IF(COUNTIFS($AX$8:$AX386,$AX386,$BA$8:$BA386,"포함")=1,MAX($BD$7:BD385)+1,""))</f>
        <v/>
      </c>
      <c r="BE386" s="2">
        <f>IF($BC386="","",MAX($BE$7:BE385)+1)</f>
        <v/>
      </c>
    </row>
    <row r="387">
      <c r="AR387" s="2">
        <f>IF(OR($A$5="",$B$6="",ROW()&lt;$A$5),"",IF(INDEX($A:$AP,ROW(),$B$6)="","",INDEX($A:$AP,ROW(),$B$6)))</f>
        <v/>
      </c>
      <c r="AS387" s="22">
        <f>IF($AR387="","",IF(ISNUMBER($AR387),IF($AR387&gt;=10000000,IFERROR(DATE(INT($AR387/10000),MOD(INT($AR387/100),100),MOD($AR387,100)),""),INT($AR387)),IFERROR(DATE(--LEFT(LEFT(SUBSTITUTE(SUBSTITUTE(SUBSTITUTE(SUBSTITUTE(TRIM($AR387),"-",""),".",""),"/","")," ",""),8),4),--MID(LEFT(SUBSTITUTE(SUBSTITUTE(SUBSTITUTE(SUBSTITUTE(TRIM($AR387),"-",""),".",""),"/","")," ",""),8),5,2),--MID(LEFT(SUBSTITUTE(SUBSTITUTE(SUBSTITUTE(SUBSTITUTE(TRIM($AR387),"-",""),".",""),"/","")," ",""),8),7,2)),"")))</f>
        <v/>
      </c>
      <c r="AT387" s="23">
        <f>IF($AS387="","",IF($F$6="",0,IF(ISNUMBER(INDEX($A:$AP,ROW(),$F$6)),INDEX($A:$AP,ROW(),$F$6),IFERROR(--SUBSTITUTE(SUBSTITUTE(TRIM(INDEX($A:$AP,ROW(),$F$6)),",",""),"원",""),0))))</f>
        <v/>
      </c>
      <c r="AU387" s="23">
        <f>IF($AS387="","",IF($G$6="",0,IF(ISNUMBER(INDEX($A:$AP,ROW(),$G$6)),INDEX($A:$AP,ROW(),$G$6),IFERROR(--SUBSTITUTE(SUBSTITUTE(TRIM(INDEX($A:$AP,ROW(),$G$6)),",",""),"원",""),0))))</f>
        <v/>
      </c>
      <c r="AV387" s="23">
        <f>IF($AS387="","",IF($H$6="",$AT387+$AU387,IF($H$6="",0,IF(ISNUMBER(INDEX($A:$AP,ROW(),$H$6)),INDEX($A:$AP,ROW(),$H$6),IFERROR(--SUBSTITUTE(SUBSTITUTE(TRIM(INDEX($A:$AP,ROW(),$H$6)),",",""),"원",""),0)))))</f>
        <v/>
      </c>
      <c r="AW387" s="2">
        <f>IF(OR($AS387="",$C$6=""),"",TRIM(INDEX($A:$AP,ROW(),$C$6)&amp;""))</f>
        <v/>
      </c>
      <c r="AX387" s="2">
        <f>IF($AS387="","",IF($AZ387&lt;&gt;"",SUBSTITUTE(SUBSTITUTE($AZ387,"-","")," ",""),$AY387))</f>
        <v/>
      </c>
      <c r="AY387" s="2">
        <f>IF(OR($AS387="",$E$6=""),"",TRIM(INDEX($A:$AP,ROW(),$E$6)&amp;""))</f>
        <v/>
      </c>
      <c r="AZ387" s="2">
        <f>IF(OR($AS387="",$D$6=""),"",TRIM(INDEX($A:$AP,ROW(),$D$6)&amp;""))</f>
        <v/>
      </c>
      <c r="BA387" s="2">
        <f>IF($AS387="","",IF(AND($AS387&gt;=설정!$B$10,$AS387&lt;=설정!$B$11),"포함","기간 밖"))</f>
        <v/>
      </c>
      <c r="BB387" s="2">
        <f>IF($AS387="","",IF(OR($AT387&lt;0,AND($I$6&lt;&gt;"",ISNUMBER(FIND("수정",INDEX($A:$AP,ROW(),IF($I$6="",1,$I$6))&amp;"")))),"수정","일반"))</f>
        <v/>
      </c>
      <c r="BC387" s="2">
        <f>IF($AS387="","",MID(IF($BA387="기간 밖"," / 기간 밖(신고기간 아님)","")&amp;IF(AND($AW387&lt;&gt;"",COUNTIF($AW$8:$AW$1007,$AW387)&gt;1)," / 승인번호 중복(두 번 붙여넣기?)","")&amp;IF(ABS($AU387-ROUND($AT387*0.1,0))&gt;설정!$B$8,IF($AU387=0," / 세액 0원(영세율·면세 여부 확인)"," / 세액이 공급가액 10%와 다름"),"")&amp;IF($BB387="수정"," / 수정세금계산서(합계에서 자동 가감)",""),4,200))</f>
        <v/>
      </c>
      <c r="BD387" s="2">
        <f>IF($BA387&lt;&gt;"포함","",IF(COUNTIFS($AX$8:$AX387,$AX387,$BA$8:$BA387,"포함")=1,MAX($BD$7:BD386)+1,""))</f>
        <v/>
      </c>
      <c r="BE387" s="2">
        <f>IF($BC387="","",MAX($BE$7:BE386)+1)</f>
        <v/>
      </c>
    </row>
    <row r="388">
      <c r="AR388" s="2">
        <f>IF(OR($A$5="",$B$6="",ROW()&lt;$A$5),"",IF(INDEX($A:$AP,ROW(),$B$6)="","",INDEX($A:$AP,ROW(),$B$6)))</f>
        <v/>
      </c>
      <c r="AS388" s="22">
        <f>IF($AR388="","",IF(ISNUMBER($AR388),IF($AR388&gt;=10000000,IFERROR(DATE(INT($AR388/10000),MOD(INT($AR388/100),100),MOD($AR388,100)),""),INT($AR388)),IFERROR(DATE(--LEFT(LEFT(SUBSTITUTE(SUBSTITUTE(SUBSTITUTE(SUBSTITUTE(TRIM($AR388),"-",""),".",""),"/","")," ",""),8),4),--MID(LEFT(SUBSTITUTE(SUBSTITUTE(SUBSTITUTE(SUBSTITUTE(TRIM($AR388),"-",""),".",""),"/","")," ",""),8),5,2),--MID(LEFT(SUBSTITUTE(SUBSTITUTE(SUBSTITUTE(SUBSTITUTE(TRIM($AR388),"-",""),".",""),"/","")," ",""),8),7,2)),"")))</f>
        <v/>
      </c>
      <c r="AT388" s="23">
        <f>IF($AS388="","",IF($F$6="",0,IF(ISNUMBER(INDEX($A:$AP,ROW(),$F$6)),INDEX($A:$AP,ROW(),$F$6),IFERROR(--SUBSTITUTE(SUBSTITUTE(TRIM(INDEX($A:$AP,ROW(),$F$6)),",",""),"원",""),0))))</f>
        <v/>
      </c>
      <c r="AU388" s="23">
        <f>IF($AS388="","",IF($G$6="",0,IF(ISNUMBER(INDEX($A:$AP,ROW(),$G$6)),INDEX($A:$AP,ROW(),$G$6),IFERROR(--SUBSTITUTE(SUBSTITUTE(TRIM(INDEX($A:$AP,ROW(),$G$6)),",",""),"원",""),0))))</f>
        <v/>
      </c>
      <c r="AV388" s="23">
        <f>IF($AS388="","",IF($H$6="",$AT388+$AU388,IF($H$6="",0,IF(ISNUMBER(INDEX($A:$AP,ROW(),$H$6)),INDEX($A:$AP,ROW(),$H$6),IFERROR(--SUBSTITUTE(SUBSTITUTE(TRIM(INDEX($A:$AP,ROW(),$H$6)),",",""),"원",""),0)))))</f>
        <v/>
      </c>
      <c r="AW388" s="2">
        <f>IF(OR($AS388="",$C$6=""),"",TRIM(INDEX($A:$AP,ROW(),$C$6)&amp;""))</f>
        <v/>
      </c>
      <c r="AX388" s="2">
        <f>IF($AS388="","",IF($AZ388&lt;&gt;"",SUBSTITUTE(SUBSTITUTE($AZ388,"-","")," ",""),$AY388))</f>
        <v/>
      </c>
      <c r="AY388" s="2">
        <f>IF(OR($AS388="",$E$6=""),"",TRIM(INDEX($A:$AP,ROW(),$E$6)&amp;""))</f>
        <v/>
      </c>
      <c r="AZ388" s="2">
        <f>IF(OR($AS388="",$D$6=""),"",TRIM(INDEX($A:$AP,ROW(),$D$6)&amp;""))</f>
        <v/>
      </c>
      <c r="BA388" s="2">
        <f>IF($AS388="","",IF(AND($AS388&gt;=설정!$B$10,$AS388&lt;=설정!$B$11),"포함","기간 밖"))</f>
        <v/>
      </c>
      <c r="BB388" s="2">
        <f>IF($AS388="","",IF(OR($AT388&lt;0,AND($I$6&lt;&gt;"",ISNUMBER(FIND("수정",INDEX($A:$AP,ROW(),IF($I$6="",1,$I$6))&amp;"")))),"수정","일반"))</f>
        <v/>
      </c>
      <c r="BC388" s="2">
        <f>IF($AS388="","",MID(IF($BA388="기간 밖"," / 기간 밖(신고기간 아님)","")&amp;IF(AND($AW388&lt;&gt;"",COUNTIF($AW$8:$AW$1007,$AW388)&gt;1)," / 승인번호 중복(두 번 붙여넣기?)","")&amp;IF(ABS($AU388-ROUND($AT388*0.1,0))&gt;설정!$B$8,IF($AU388=0," / 세액 0원(영세율·면세 여부 확인)"," / 세액이 공급가액 10%와 다름"),"")&amp;IF($BB388="수정"," / 수정세금계산서(합계에서 자동 가감)",""),4,200))</f>
        <v/>
      </c>
      <c r="BD388" s="2">
        <f>IF($BA388&lt;&gt;"포함","",IF(COUNTIFS($AX$8:$AX388,$AX388,$BA$8:$BA388,"포함")=1,MAX($BD$7:BD387)+1,""))</f>
        <v/>
      </c>
      <c r="BE388" s="2">
        <f>IF($BC388="","",MAX($BE$7:BE387)+1)</f>
        <v/>
      </c>
    </row>
    <row r="389">
      <c r="AR389" s="2">
        <f>IF(OR($A$5="",$B$6="",ROW()&lt;$A$5),"",IF(INDEX($A:$AP,ROW(),$B$6)="","",INDEX($A:$AP,ROW(),$B$6)))</f>
        <v/>
      </c>
      <c r="AS389" s="22">
        <f>IF($AR389="","",IF(ISNUMBER($AR389),IF($AR389&gt;=10000000,IFERROR(DATE(INT($AR389/10000),MOD(INT($AR389/100),100),MOD($AR389,100)),""),INT($AR389)),IFERROR(DATE(--LEFT(LEFT(SUBSTITUTE(SUBSTITUTE(SUBSTITUTE(SUBSTITUTE(TRIM($AR389),"-",""),".",""),"/","")," ",""),8),4),--MID(LEFT(SUBSTITUTE(SUBSTITUTE(SUBSTITUTE(SUBSTITUTE(TRIM($AR389),"-",""),".",""),"/","")," ",""),8),5,2),--MID(LEFT(SUBSTITUTE(SUBSTITUTE(SUBSTITUTE(SUBSTITUTE(TRIM($AR389),"-",""),".",""),"/","")," ",""),8),7,2)),"")))</f>
        <v/>
      </c>
      <c r="AT389" s="23">
        <f>IF($AS389="","",IF($F$6="",0,IF(ISNUMBER(INDEX($A:$AP,ROW(),$F$6)),INDEX($A:$AP,ROW(),$F$6),IFERROR(--SUBSTITUTE(SUBSTITUTE(TRIM(INDEX($A:$AP,ROW(),$F$6)),",",""),"원",""),0))))</f>
        <v/>
      </c>
      <c r="AU389" s="23">
        <f>IF($AS389="","",IF($G$6="",0,IF(ISNUMBER(INDEX($A:$AP,ROW(),$G$6)),INDEX($A:$AP,ROW(),$G$6),IFERROR(--SUBSTITUTE(SUBSTITUTE(TRIM(INDEX($A:$AP,ROW(),$G$6)),",",""),"원",""),0))))</f>
        <v/>
      </c>
      <c r="AV389" s="23">
        <f>IF($AS389="","",IF($H$6="",$AT389+$AU389,IF($H$6="",0,IF(ISNUMBER(INDEX($A:$AP,ROW(),$H$6)),INDEX($A:$AP,ROW(),$H$6),IFERROR(--SUBSTITUTE(SUBSTITUTE(TRIM(INDEX($A:$AP,ROW(),$H$6)),",",""),"원",""),0)))))</f>
        <v/>
      </c>
      <c r="AW389" s="2">
        <f>IF(OR($AS389="",$C$6=""),"",TRIM(INDEX($A:$AP,ROW(),$C$6)&amp;""))</f>
        <v/>
      </c>
      <c r="AX389" s="2">
        <f>IF($AS389="","",IF($AZ389&lt;&gt;"",SUBSTITUTE(SUBSTITUTE($AZ389,"-","")," ",""),$AY389))</f>
        <v/>
      </c>
      <c r="AY389" s="2">
        <f>IF(OR($AS389="",$E$6=""),"",TRIM(INDEX($A:$AP,ROW(),$E$6)&amp;""))</f>
        <v/>
      </c>
      <c r="AZ389" s="2">
        <f>IF(OR($AS389="",$D$6=""),"",TRIM(INDEX($A:$AP,ROW(),$D$6)&amp;""))</f>
        <v/>
      </c>
      <c r="BA389" s="2">
        <f>IF($AS389="","",IF(AND($AS389&gt;=설정!$B$10,$AS389&lt;=설정!$B$11),"포함","기간 밖"))</f>
        <v/>
      </c>
      <c r="BB389" s="2">
        <f>IF($AS389="","",IF(OR($AT389&lt;0,AND($I$6&lt;&gt;"",ISNUMBER(FIND("수정",INDEX($A:$AP,ROW(),IF($I$6="",1,$I$6))&amp;"")))),"수정","일반"))</f>
        <v/>
      </c>
      <c r="BC389" s="2">
        <f>IF($AS389="","",MID(IF($BA389="기간 밖"," / 기간 밖(신고기간 아님)","")&amp;IF(AND($AW389&lt;&gt;"",COUNTIF($AW$8:$AW$1007,$AW389)&gt;1)," / 승인번호 중복(두 번 붙여넣기?)","")&amp;IF(ABS($AU389-ROUND($AT389*0.1,0))&gt;설정!$B$8,IF($AU389=0," / 세액 0원(영세율·면세 여부 확인)"," / 세액이 공급가액 10%와 다름"),"")&amp;IF($BB389="수정"," / 수정세금계산서(합계에서 자동 가감)",""),4,200))</f>
        <v/>
      </c>
      <c r="BD389" s="2">
        <f>IF($BA389&lt;&gt;"포함","",IF(COUNTIFS($AX$8:$AX389,$AX389,$BA$8:$BA389,"포함")=1,MAX($BD$7:BD388)+1,""))</f>
        <v/>
      </c>
      <c r="BE389" s="2">
        <f>IF($BC389="","",MAX($BE$7:BE388)+1)</f>
        <v/>
      </c>
    </row>
    <row r="390">
      <c r="AR390" s="2">
        <f>IF(OR($A$5="",$B$6="",ROW()&lt;$A$5),"",IF(INDEX($A:$AP,ROW(),$B$6)="","",INDEX($A:$AP,ROW(),$B$6)))</f>
        <v/>
      </c>
      <c r="AS390" s="22">
        <f>IF($AR390="","",IF(ISNUMBER($AR390),IF($AR390&gt;=10000000,IFERROR(DATE(INT($AR390/10000),MOD(INT($AR390/100),100),MOD($AR390,100)),""),INT($AR390)),IFERROR(DATE(--LEFT(LEFT(SUBSTITUTE(SUBSTITUTE(SUBSTITUTE(SUBSTITUTE(TRIM($AR390),"-",""),".",""),"/","")," ",""),8),4),--MID(LEFT(SUBSTITUTE(SUBSTITUTE(SUBSTITUTE(SUBSTITUTE(TRIM($AR390),"-",""),".",""),"/","")," ",""),8),5,2),--MID(LEFT(SUBSTITUTE(SUBSTITUTE(SUBSTITUTE(SUBSTITUTE(TRIM($AR390),"-",""),".",""),"/","")," ",""),8),7,2)),"")))</f>
        <v/>
      </c>
      <c r="AT390" s="23">
        <f>IF($AS390="","",IF($F$6="",0,IF(ISNUMBER(INDEX($A:$AP,ROW(),$F$6)),INDEX($A:$AP,ROW(),$F$6),IFERROR(--SUBSTITUTE(SUBSTITUTE(TRIM(INDEX($A:$AP,ROW(),$F$6)),",",""),"원",""),0))))</f>
        <v/>
      </c>
      <c r="AU390" s="23">
        <f>IF($AS390="","",IF($G$6="",0,IF(ISNUMBER(INDEX($A:$AP,ROW(),$G$6)),INDEX($A:$AP,ROW(),$G$6),IFERROR(--SUBSTITUTE(SUBSTITUTE(TRIM(INDEX($A:$AP,ROW(),$G$6)),",",""),"원",""),0))))</f>
        <v/>
      </c>
      <c r="AV390" s="23">
        <f>IF($AS390="","",IF($H$6="",$AT390+$AU390,IF($H$6="",0,IF(ISNUMBER(INDEX($A:$AP,ROW(),$H$6)),INDEX($A:$AP,ROW(),$H$6),IFERROR(--SUBSTITUTE(SUBSTITUTE(TRIM(INDEX($A:$AP,ROW(),$H$6)),",",""),"원",""),0)))))</f>
        <v/>
      </c>
      <c r="AW390" s="2">
        <f>IF(OR($AS390="",$C$6=""),"",TRIM(INDEX($A:$AP,ROW(),$C$6)&amp;""))</f>
        <v/>
      </c>
      <c r="AX390" s="2">
        <f>IF($AS390="","",IF($AZ390&lt;&gt;"",SUBSTITUTE(SUBSTITUTE($AZ390,"-","")," ",""),$AY390))</f>
        <v/>
      </c>
      <c r="AY390" s="2">
        <f>IF(OR($AS390="",$E$6=""),"",TRIM(INDEX($A:$AP,ROW(),$E$6)&amp;""))</f>
        <v/>
      </c>
      <c r="AZ390" s="2">
        <f>IF(OR($AS390="",$D$6=""),"",TRIM(INDEX($A:$AP,ROW(),$D$6)&amp;""))</f>
        <v/>
      </c>
      <c r="BA390" s="2">
        <f>IF($AS390="","",IF(AND($AS390&gt;=설정!$B$10,$AS390&lt;=설정!$B$11),"포함","기간 밖"))</f>
        <v/>
      </c>
      <c r="BB390" s="2">
        <f>IF($AS390="","",IF(OR($AT390&lt;0,AND($I$6&lt;&gt;"",ISNUMBER(FIND("수정",INDEX($A:$AP,ROW(),IF($I$6="",1,$I$6))&amp;"")))),"수정","일반"))</f>
        <v/>
      </c>
      <c r="BC390" s="2">
        <f>IF($AS390="","",MID(IF($BA390="기간 밖"," / 기간 밖(신고기간 아님)","")&amp;IF(AND($AW390&lt;&gt;"",COUNTIF($AW$8:$AW$1007,$AW390)&gt;1)," / 승인번호 중복(두 번 붙여넣기?)","")&amp;IF(ABS($AU390-ROUND($AT390*0.1,0))&gt;설정!$B$8,IF($AU390=0," / 세액 0원(영세율·면세 여부 확인)"," / 세액이 공급가액 10%와 다름"),"")&amp;IF($BB390="수정"," / 수정세금계산서(합계에서 자동 가감)",""),4,200))</f>
        <v/>
      </c>
      <c r="BD390" s="2">
        <f>IF($BA390&lt;&gt;"포함","",IF(COUNTIFS($AX$8:$AX390,$AX390,$BA$8:$BA390,"포함")=1,MAX($BD$7:BD389)+1,""))</f>
        <v/>
      </c>
      <c r="BE390" s="2">
        <f>IF($BC390="","",MAX($BE$7:BE389)+1)</f>
        <v/>
      </c>
    </row>
    <row r="391">
      <c r="AR391" s="2">
        <f>IF(OR($A$5="",$B$6="",ROW()&lt;$A$5),"",IF(INDEX($A:$AP,ROW(),$B$6)="","",INDEX($A:$AP,ROW(),$B$6)))</f>
        <v/>
      </c>
      <c r="AS391" s="22">
        <f>IF($AR391="","",IF(ISNUMBER($AR391),IF($AR391&gt;=10000000,IFERROR(DATE(INT($AR391/10000),MOD(INT($AR391/100),100),MOD($AR391,100)),""),INT($AR391)),IFERROR(DATE(--LEFT(LEFT(SUBSTITUTE(SUBSTITUTE(SUBSTITUTE(SUBSTITUTE(TRIM($AR391),"-",""),".",""),"/","")," ",""),8),4),--MID(LEFT(SUBSTITUTE(SUBSTITUTE(SUBSTITUTE(SUBSTITUTE(TRIM($AR391),"-",""),".",""),"/","")," ",""),8),5,2),--MID(LEFT(SUBSTITUTE(SUBSTITUTE(SUBSTITUTE(SUBSTITUTE(TRIM($AR391),"-",""),".",""),"/","")," ",""),8),7,2)),"")))</f>
        <v/>
      </c>
      <c r="AT391" s="23">
        <f>IF($AS391="","",IF($F$6="",0,IF(ISNUMBER(INDEX($A:$AP,ROW(),$F$6)),INDEX($A:$AP,ROW(),$F$6),IFERROR(--SUBSTITUTE(SUBSTITUTE(TRIM(INDEX($A:$AP,ROW(),$F$6)),",",""),"원",""),0))))</f>
        <v/>
      </c>
      <c r="AU391" s="23">
        <f>IF($AS391="","",IF($G$6="",0,IF(ISNUMBER(INDEX($A:$AP,ROW(),$G$6)),INDEX($A:$AP,ROW(),$G$6),IFERROR(--SUBSTITUTE(SUBSTITUTE(TRIM(INDEX($A:$AP,ROW(),$G$6)),",",""),"원",""),0))))</f>
        <v/>
      </c>
      <c r="AV391" s="23">
        <f>IF($AS391="","",IF($H$6="",$AT391+$AU391,IF($H$6="",0,IF(ISNUMBER(INDEX($A:$AP,ROW(),$H$6)),INDEX($A:$AP,ROW(),$H$6),IFERROR(--SUBSTITUTE(SUBSTITUTE(TRIM(INDEX($A:$AP,ROW(),$H$6)),",",""),"원",""),0)))))</f>
        <v/>
      </c>
      <c r="AW391" s="2">
        <f>IF(OR($AS391="",$C$6=""),"",TRIM(INDEX($A:$AP,ROW(),$C$6)&amp;""))</f>
        <v/>
      </c>
      <c r="AX391" s="2">
        <f>IF($AS391="","",IF($AZ391&lt;&gt;"",SUBSTITUTE(SUBSTITUTE($AZ391,"-","")," ",""),$AY391))</f>
        <v/>
      </c>
      <c r="AY391" s="2">
        <f>IF(OR($AS391="",$E$6=""),"",TRIM(INDEX($A:$AP,ROW(),$E$6)&amp;""))</f>
        <v/>
      </c>
      <c r="AZ391" s="2">
        <f>IF(OR($AS391="",$D$6=""),"",TRIM(INDEX($A:$AP,ROW(),$D$6)&amp;""))</f>
        <v/>
      </c>
      <c r="BA391" s="2">
        <f>IF($AS391="","",IF(AND($AS391&gt;=설정!$B$10,$AS391&lt;=설정!$B$11),"포함","기간 밖"))</f>
        <v/>
      </c>
      <c r="BB391" s="2">
        <f>IF($AS391="","",IF(OR($AT391&lt;0,AND($I$6&lt;&gt;"",ISNUMBER(FIND("수정",INDEX($A:$AP,ROW(),IF($I$6="",1,$I$6))&amp;"")))),"수정","일반"))</f>
        <v/>
      </c>
      <c r="BC391" s="2">
        <f>IF($AS391="","",MID(IF($BA391="기간 밖"," / 기간 밖(신고기간 아님)","")&amp;IF(AND($AW391&lt;&gt;"",COUNTIF($AW$8:$AW$1007,$AW391)&gt;1)," / 승인번호 중복(두 번 붙여넣기?)","")&amp;IF(ABS($AU391-ROUND($AT391*0.1,0))&gt;설정!$B$8,IF($AU391=0," / 세액 0원(영세율·면세 여부 확인)"," / 세액이 공급가액 10%와 다름"),"")&amp;IF($BB391="수정"," / 수정세금계산서(합계에서 자동 가감)",""),4,200))</f>
        <v/>
      </c>
      <c r="BD391" s="2">
        <f>IF($BA391&lt;&gt;"포함","",IF(COUNTIFS($AX$8:$AX391,$AX391,$BA$8:$BA391,"포함")=1,MAX($BD$7:BD390)+1,""))</f>
        <v/>
      </c>
      <c r="BE391" s="2">
        <f>IF($BC391="","",MAX($BE$7:BE390)+1)</f>
        <v/>
      </c>
    </row>
    <row r="392">
      <c r="AR392" s="2">
        <f>IF(OR($A$5="",$B$6="",ROW()&lt;$A$5),"",IF(INDEX($A:$AP,ROW(),$B$6)="","",INDEX($A:$AP,ROW(),$B$6)))</f>
        <v/>
      </c>
      <c r="AS392" s="22">
        <f>IF($AR392="","",IF(ISNUMBER($AR392),IF($AR392&gt;=10000000,IFERROR(DATE(INT($AR392/10000),MOD(INT($AR392/100),100),MOD($AR392,100)),""),INT($AR392)),IFERROR(DATE(--LEFT(LEFT(SUBSTITUTE(SUBSTITUTE(SUBSTITUTE(SUBSTITUTE(TRIM($AR392),"-",""),".",""),"/","")," ",""),8),4),--MID(LEFT(SUBSTITUTE(SUBSTITUTE(SUBSTITUTE(SUBSTITUTE(TRIM($AR392),"-",""),".",""),"/","")," ",""),8),5,2),--MID(LEFT(SUBSTITUTE(SUBSTITUTE(SUBSTITUTE(SUBSTITUTE(TRIM($AR392),"-",""),".",""),"/","")," ",""),8),7,2)),"")))</f>
        <v/>
      </c>
      <c r="AT392" s="23">
        <f>IF($AS392="","",IF($F$6="",0,IF(ISNUMBER(INDEX($A:$AP,ROW(),$F$6)),INDEX($A:$AP,ROW(),$F$6),IFERROR(--SUBSTITUTE(SUBSTITUTE(TRIM(INDEX($A:$AP,ROW(),$F$6)),",",""),"원",""),0))))</f>
        <v/>
      </c>
      <c r="AU392" s="23">
        <f>IF($AS392="","",IF($G$6="",0,IF(ISNUMBER(INDEX($A:$AP,ROW(),$G$6)),INDEX($A:$AP,ROW(),$G$6),IFERROR(--SUBSTITUTE(SUBSTITUTE(TRIM(INDEX($A:$AP,ROW(),$G$6)),",",""),"원",""),0))))</f>
        <v/>
      </c>
      <c r="AV392" s="23">
        <f>IF($AS392="","",IF($H$6="",$AT392+$AU392,IF($H$6="",0,IF(ISNUMBER(INDEX($A:$AP,ROW(),$H$6)),INDEX($A:$AP,ROW(),$H$6),IFERROR(--SUBSTITUTE(SUBSTITUTE(TRIM(INDEX($A:$AP,ROW(),$H$6)),",",""),"원",""),0)))))</f>
        <v/>
      </c>
      <c r="AW392" s="2">
        <f>IF(OR($AS392="",$C$6=""),"",TRIM(INDEX($A:$AP,ROW(),$C$6)&amp;""))</f>
        <v/>
      </c>
      <c r="AX392" s="2">
        <f>IF($AS392="","",IF($AZ392&lt;&gt;"",SUBSTITUTE(SUBSTITUTE($AZ392,"-","")," ",""),$AY392))</f>
        <v/>
      </c>
      <c r="AY392" s="2">
        <f>IF(OR($AS392="",$E$6=""),"",TRIM(INDEX($A:$AP,ROW(),$E$6)&amp;""))</f>
        <v/>
      </c>
      <c r="AZ392" s="2">
        <f>IF(OR($AS392="",$D$6=""),"",TRIM(INDEX($A:$AP,ROW(),$D$6)&amp;""))</f>
        <v/>
      </c>
      <c r="BA392" s="2">
        <f>IF($AS392="","",IF(AND($AS392&gt;=설정!$B$10,$AS392&lt;=설정!$B$11),"포함","기간 밖"))</f>
        <v/>
      </c>
      <c r="BB392" s="2">
        <f>IF($AS392="","",IF(OR($AT392&lt;0,AND($I$6&lt;&gt;"",ISNUMBER(FIND("수정",INDEX($A:$AP,ROW(),IF($I$6="",1,$I$6))&amp;"")))),"수정","일반"))</f>
        <v/>
      </c>
      <c r="BC392" s="2">
        <f>IF($AS392="","",MID(IF($BA392="기간 밖"," / 기간 밖(신고기간 아님)","")&amp;IF(AND($AW392&lt;&gt;"",COUNTIF($AW$8:$AW$1007,$AW392)&gt;1)," / 승인번호 중복(두 번 붙여넣기?)","")&amp;IF(ABS($AU392-ROUND($AT392*0.1,0))&gt;설정!$B$8,IF($AU392=0," / 세액 0원(영세율·면세 여부 확인)"," / 세액이 공급가액 10%와 다름"),"")&amp;IF($BB392="수정"," / 수정세금계산서(합계에서 자동 가감)",""),4,200))</f>
        <v/>
      </c>
      <c r="BD392" s="2">
        <f>IF($BA392&lt;&gt;"포함","",IF(COUNTIFS($AX$8:$AX392,$AX392,$BA$8:$BA392,"포함")=1,MAX($BD$7:BD391)+1,""))</f>
        <v/>
      </c>
      <c r="BE392" s="2">
        <f>IF($BC392="","",MAX($BE$7:BE391)+1)</f>
        <v/>
      </c>
    </row>
    <row r="393">
      <c r="AR393" s="2">
        <f>IF(OR($A$5="",$B$6="",ROW()&lt;$A$5),"",IF(INDEX($A:$AP,ROW(),$B$6)="","",INDEX($A:$AP,ROW(),$B$6)))</f>
        <v/>
      </c>
      <c r="AS393" s="22">
        <f>IF($AR393="","",IF(ISNUMBER($AR393),IF($AR393&gt;=10000000,IFERROR(DATE(INT($AR393/10000),MOD(INT($AR393/100),100),MOD($AR393,100)),""),INT($AR393)),IFERROR(DATE(--LEFT(LEFT(SUBSTITUTE(SUBSTITUTE(SUBSTITUTE(SUBSTITUTE(TRIM($AR393),"-",""),".",""),"/","")," ",""),8),4),--MID(LEFT(SUBSTITUTE(SUBSTITUTE(SUBSTITUTE(SUBSTITUTE(TRIM($AR393),"-",""),".",""),"/","")," ",""),8),5,2),--MID(LEFT(SUBSTITUTE(SUBSTITUTE(SUBSTITUTE(SUBSTITUTE(TRIM($AR393),"-",""),".",""),"/","")," ",""),8),7,2)),"")))</f>
        <v/>
      </c>
      <c r="AT393" s="23">
        <f>IF($AS393="","",IF($F$6="",0,IF(ISNUMBER(INDEX($A:$AP,ROW(),$F$6)),INDEX($A:$AP,ROW(),$F$6),IFERROR(--SUBSTITUTE(SUBSTITUTE(TRIM(INDEX($A:$AP,ROW(),$F$6)),",",""),"원",""),0))))</f>
        <v/>
      </c>
      <c r="AU393" s="23">
        <f>IF($AS393="","",IF($G$6="",0,IF(ISNUMBER(INDEX($A:$AP,ROW(),$G$6)),INDEX($A:$AP,ROW(),$G$6),IFERROR(--SUBSTITUTE(SUBSTITUTE(TRIM(INDEX($A:$AP,ROW(),$G$6)),",",""),"원",""),0))))</f>
        <v/>
      </c>
      <c r="AV393" s="23">
        <f>IF($AS393="","",IF($H$6="",$AT393+$AU393,IF($H$6="",0,IF(ISNUMBER(INDEX($A:$AP,ROW(),$H$6)),INDEX($A:$AP,ROW(),$H$6),IFERROR(--SUBSTITUTE(SUBSTITUTE(TRIM(INDEX($A:$AP,ROW(),$H$6)),",",""),"원",""),0)))))</f>
        <v/>
      </c>
      <c r="AW393" s="2">
        <f>IF(OR($AS393="",$C$6=""),"",TRIM(INDEX($A:$AP,ROW(),$C$6)&amp;""))</f>
        <v/>
      </c>
      <c r="AX393" s="2">
        <f>IF($AS393="","",IF($AZ393&lt;&gt;"",SUBSTITUTE(SUBSTITUTE($AZ393,"-","")," ",""),$AY393))</f>
        <v/>
      </c>
      <c r="AY393" s="2">
        <f>IF(OR($AS393="",$E$6=""),"",TRIM(INDEX($A:$AP,ROW(),$E$6)&amp;""))</f>
        <v/>
      </c>
      <c r="AZ393" s="2">
        <f>IF(OR($AS393="",$D$6=""),"",TRIM(INDEX($A:$AP,ROW(),$D$6)&amp;""))</f>
        <v/>
      </c>
      <c r="BA393" s="2">
        <f>IF($AS393="","",IF(AND($AS393&gt;=설정!$B$10,$AS393&lt;=설정!$B$11),"포함","기간 밖"))</f>
        <v/>
      </c>
      <c r="BB393" s="2">
        <f>IF($AS393="","",IF(OR($AT393&lt;0,AND($I$6&lt;&gt;"",ISNUMBER(FIND("수정",INDEX($A:$AP,ROW(),IF($I$6="",1,$I$6))&amp;"")))),"수정","일반"))</f>
        <v/>
      </c>
      <c r="BC393" s="2">
        <f>IF($AS393="","",MID(IF($BA393="기간 밖"," / 기간 밖(신고기간 아님)","")&amp;IF(AND($AW393&lt;&gt;"",COUNTIF($AW$8:$AW$1007,$AW393)&gt;1)," / 승인번호 중복(두 번 붙여넣기?)","")&amp;IF(ABS($AU393-ROUND($AT393*0.1,0))&gt;설정!$B$8,IF($AU393=0," / 세액 0원(영세율·면세 여부 확인)"," / 세액이 공급가액 10%와 다름"),"")&amp;IF($BB393="수정"," / 수정세금계산서(합계에서 자동 가감)",""),4,200))</f>
        <v/>
      </c>
      <c r="BD393" s="2">
        <f>IF($BA393&lt;&gt;"포함","",IF(COUNTIFS($AX$8:$AX393,$AX393,$BA$8:$BA393,"포함")=1,MAX($BD$7:BD392)+1,""))</f>
        <v/>
      </c>
      <c r="BE393" s="2">
        <f>IF($BC393="","",MAX($BE$7:BE392)+1)</f>
        <v/>
      </c>
    </row>
    <row r="394">
      <c r="AR394" s="2">
        <f>IF(OR($A$5="",$B$6="",ROW()&lt;$A$5),"",IF(INDEX($A:$AP,ROW(),$B$6)="","",INDEX($A:$AP,ROW(),$B$6)))</f>
        <v/>
      </c>
      <c r="AS394" s="22">
        <f>IF($AR394="","",IF(ISNUMBER($AR394),IF($AR394&gt;=10000000,IFERROR(DATE(INT($AR394/10000),MOD(INT($AR394/100),100),MOD($AR394,100)),""),INT($AR394)),IFERROR(DATE(--LEFT(LEFT(SUBSTITUTE(SUBSTITUTE(SUBSTITUTE(SUBSTITUTE(TRIM($AR394),"-",""),".",""),"/","")," ",""),8),4),--MID(LEFT(SUBSTITUTE(SUBSTITUTE(SUBSTITUTE(SUBSTITUTE(TRIM($AR394),"-",""),".",""),"/","")," ",""),8),5,2),--MID(LEFT(SUBSTITUTE(SUBSTITUTE(SUBSTITUTE(SUBSTITUTE(TRIM($AR394),"-",""),".",""),"/","")," ",""),8),7,2)),"")))</f>
        <v/>
      </c>
      <c r="AT394" s="23">
        <f>IF($AS394="","",IF($F$6="",0,IF(ISNUMBER(INDEX($A:$AP,ROW(),$F$6)),INDEX($A:$AP,ROW(),$F$6),IFERROR(--SUBSTITUTE(SUBSTITUTE(TRIM(INDEX($A:$AP,ROW(),$F$6)),",",""),"원",""),0))))</f>
        <v/>
      </c>
      <c r="AU394" s="23">
        <f>IF($AS394="","",IF($G$6="",0,IF(ISNUMBER(INDEX($A:$AP,ROW(),$G$6)),INDEX($A:$AP,ROW(),$G$6),IFERROR(--SUBSTITUTE(SUBSTITUTE(TRIM(INDEX($A:$AP,ROW(),$G$6)),",",""),"원",""),0))))</f>
        <v/>
      </c>
      <c r="AV394" s="23">
        <f>IF($AS394="","",IF($H$6="",$AT394+$AU394,IF($H$6="",0,IF(ISNUMBER(INDEX($A:$AP,ROW(),$H$6)),INDEX($A:$AP,ROW(),$H$6),IFERROR(--SUBSTITUTE(SUBSTITUTE(TRIM(INDEX($A:$AP,ROW(),$H$6)),",",""),"원",""),0)))))</f>
        <v/>
      </c>
      <c r="AW394" s="2">
        <f>IF(OR($AS394="",$C$6=""),"",TRIM(INDEX($A:$AP,ROW(),$C$6)&amp;""))</f>
        <v/>
      </c>
      <c r="AX394" s="2">
        <f>IF($AS394="","",IF($AZ394&lt;&gt;"",SUBSTITUTE(SUBSTITUTE($AZ394,"-","")," ",""),$AY394))</f>
        <v/>
      </c>
      <c r="AY394" s="2">
        <f>IF(OR($AS394="",$E$6=""),"",TRIM(INDEX($A:$AP,ROW(),$E$6)&amp;""))</f>
        <v/>
      </c>
      <c r="AZ394" s="2">
        <f>IF(OR($AS394="",$D$6=""),"",TRIM(INDEX($A:$AP,ROW(),$D$6)&amp;""))</f>
        <v/>
      </c>
      <c r="BA394" s="2">
        <f>IF($AS394="","",IF(AND($AS394&gt;=설정!$B$10,$AS394&lt;=설정!$B$11),"포함","기간 밖"))</f>
        <v/>
      </c>
      <c r="BB394" s="2">
        <f>IF($AS394="","",IF(OR($AT394&lt;0,AND($I$6&lt;&gt;"",ISNUMBER(FIND("수정",INDEX($A:$AP,ROW(),IF($I$6="",1,$I$6))&amp;"")))),"수정","일반"))</f>
        <v/>
      </c>
      <c r="BC394" s="2">
        <f>IF($AS394="","",MID(IF($BA394="기간 밖"," / 기간 밖(신고기간 아님)","")&amp;IF(AND($AW394&lt;&gt;"",COUNTIF($AW$8:$AW$1007,$AW394)&gt;1)," / 승인번호 중복(두 번 붙여넣기?)","")&amp;IF(ABS($AU394-ROUND($AT394*0.1,0))&gt;설정!$B$8,IF($AU394=0," / 세액 0원(영세율·면세 여부 확인)"," / 세액이 공급가액 10%와 다름"),"")&amp;IF($BB394="수정"," / 수정세금계산서(합계에서 자동 가감)",""),4,200))</f>
        <v/>
      </c>
      <c r="BD394" s="2">
        <f>IF($BA394&lt;&gt;"포함","",IF(COUNTIFS($AX$8:$AX394,$AX394,$BA$8:$BA394,"포함")=1,MAX($BD$7:BD393)+1,""))</f>
        <v/>
      </c>
      <c r="BE394" s="2">
        <f>IF($BC394="","",MAX($BE$7:BE393)+1)</f>
        <v/>
      </c>
    </row>
    <row r="395">
      <c r="AR395" s="2">
        <f>IF(OR($A$5="",$B$6="",ROW()&lt;$A$5),"",IF(INDEX($A:$AP,ROW(),$B$6)="","",INDEX($A:$AP,ROW(),$B$6)))</f>
        <v/>
      </c>
      <c r="AS395" s="22">
        <f>IF($AR395="","",IF(ISNUMBER($AR395),IF($AR395&gt;=10000000,IFERROR(DATE(INT($AR395/10000),MOD(INT($AR395/100),100),MOD($AR395,100)),""),INT($AR395)),IFERROR(DATE(--LEFT(LEFT(SUBSTITUTE(SUBSTITUTE(SUBSTITUTE(SUBSTITUTE(TRIM($AR395),"-",""),".",""),"/","")," ",""),8),4),--MID(LEFT(SUBSTITUTE(SUBSTITUTE(SUBSTITUTE(SUBSTITUTE(TRIM($AR395),"-",""),".",""),"/","")," ",""),8),5,2),--MID(LEFT(SUBSTITUTE(SUBSTITUTE(SUBSTITUTE(SUBSTITUTE(TRIM($AR395),"-",""),".",""),"/","")," ",""),8),7,2)),"")))</f>
        <v/>
      </c>
      <c r="AT395" s="23">
        <f>IF($AS395="","",IF($F$6="",0,IF(ISNUMBER(INDEX($A:$AP,ROW(),$F$6)),INDEX($A:$AP,ROW(),$F$6),IFERROR(--SUBSTITUTE(SUBSTITUTE(TRIM(INDEX($A:$AP,ROW(),$F$6)),",",""),"원",""),0))))</f>
        <v/>
      </c>
      <c r="AU395" s="23">
        <f>IF($AS395="","",IF($G$6="",0,IF(ISNUMBER(INDEX($A:$AP,ROW(),$G$6)),INDEX($A:$AP,ROW(),$G$6),IFERROR(--SUBSTITUTE(SUBSTITUTE(TRIM(INDEX($A:$AP,ROW(),$G$6)),",",""),"원",""),0))))</f>
        <v/>
      </c>
      <c r="AV395" s="23">
        <f>IF($AS395="","",IF($H$6="",$AT395+$AU395,IF($H$6="",0,IF(ISNUMBER(INDEX($A:$AP,ROW(),$H$6)),INDEX($A:$AP,ROW(),$H$6),IFERROR(--SUBSTITUTE(SUBSTITUTE(TRIM(INDEX($A:$AP,ROW(),$H$6)),",",""),"원",""),0)))))</f>
        <v/>
      </c>
      <c r="AW395" s="2">
        <f>IF(OR($AS395="",$C$6=""),"",TRIM(INDEX($A:$AP,ROW(),$C$6)&amp;""))</f>
        <v/>
      </c>
      <c r="AX395" s="2">
        <f>IF($AS395="","",IF($AZ395&lt;&gt;"",SUBSTITUTE(SUBSTITUTE($AZ395,"-","")," ",""),$AY395))</f>
        <v/>
      </c>
      <c r="AY395" s="2">
        <f>IF(OR($AS395="",$E$6=""),"",TRIM(INDEX($A:$AP,ROW(),$E$6)&amp;""))</f>
        <v/>
      </c>
      <c r="AZ395" s="2">
        <f>IF(OR($AS395="",$D$6=""),"",TRIM(INDEX($A:$AP,ROW(),$D$6)&amp;""))</f>
        <v/>
      </c>
      <c r="BA395" s="2">
        <f>IF($AS395="","",IF(AND($AS395&gt;=설정!$B$10,$AS395&lt;=설정!$B$11),"포함","기간 밖"))</f>
        <v/>
      </c>
      <c r="BB395" s="2">
        <f>IF($AS395="","",IF(OR($AT395&lt;0,AND($I$6&lt;&gt;"",ISNUMBER(FIND("수정",INDEX($A:$AP,ROW(),IF($I$6="",1,$I$6))&amp;"")))),"수정","일반"))</f>
        <v/>
      </c>
      <c r="BC395" s="2">
        <f>IF($AS395="","",MID(IF($BA395="기간 밖"," / 기간 밖(신고기간 아님)","")&amp;IF(AND($AW395&lt;&gt;"",COUNTIF($AW$8:$AW$1007,$AW395)&gt;1)," / 승인번호 중복(두 번 붙여넣기?)","")&amp;IF(ABS($AU395-ROUND($AT395*0.1,0))&gt;설정!$B$8,IF($AU395=0," / 세액 0원(영세율·면세 여부 확인)"," / 세액이 공급가액 10%와 다름"),"")&amp;IF($BB395="수정"," / 수정세금계산서(합계에서 자동 가감)",""),4,200))</f>
        <v/>
      </c>
      <c r="BD395" s="2">
        <f>IF($BA395&lt;&gt;"포함","",IF(COUNTIFS($AX$8:$AX395,$AX395,$BA$8:$BA395,"포함")=1,MAX($BD$7:BD394)+1,""))</f>
        <v/>
      </c>
      <c r="BE395" s="2">
        <f>IF($BC395="","",MAX($BE$7:BE394)+1)</f>
        <v/>
      </c>
    </row>
    <row r="396">
      <c r="AR396" s="2">
        <f>IF(OR($A$5="",$B$6="",ROW()&lt;$A$5),"",IF(INDEX($A:$AP,ROW(),$B$6)="","",INDEX($A:$AP,ROW(),$B$6)))</f>
        <v/>
      </c>
      <c r="AS396" s="22">
        <f>IF($AR396="","",IF(ISNUMBER($AR396),IF($AR396&gt;=10000000,IFERROR(DATE(INT($AR396/10000),MOD(INT($AR396/100),100),MOD($AR396,100)),""),INT($AR396)),IFERROR(DATE(--LEFT(LEFT(SUBSTITUTE(SUBSTITUTE(SUBSTITUTE(SUBSTITUTE(TRIM($AR396),"-",""),".",""),"/","")," ",""),8),4),--MID(LEFT(SUBSTITUTE(SUBSTITUTE(SUBSTITUTE(SUBSTITUTE(TRIM($AR396),"-",""),".",""),"/","")," ",""),8),5,2),--MID(LEFT(SUBSTITUTE(SUBSTITUTE(SUBSTITUTE(SUBSTITUTE(TRIM($AR396),"-",""),".",""),"/","")," ",""),8),7,2)),"")))</f>
        <v/>
      </c>
      <c r="AT396" s="23">
        <f>IF($AS396="","",IF($F$6="",0,IF(ISNUMBER(INDEX($A:$AP,ROW(),$F$6)),INDEX($A:$AP,ROW(),$F$6),IFERROR(--SUBSTITUTE(SUBSTITUTE(TRIM(INDEX($A:$AP,ROW(),$F$6)),",",""),"원",""),0))))</f>
        <v/>
      </c>
      <c r="AU396" s="23">
        <f>IF($AS396="","",IF($G$6="",0,IF(ISNUMBER(INDEX($A:$AP,ROW(),$G$6)),INDEX($A:$AP,ROW(),$G$6),IFERROR(--SUBSTITUTE(SUBSTITUTE(TRIM(INDEX($A:$AP,ROW(),$G$6)),",",""),"원",""),0))))</f>
        <v/>
      </c>
      <c r="AV396" s="23">
        <f>IF($AS396="","",IF($H$6="",$AT396+$AU396,IF($H$6="",0,IF(ISNUMBER(INDEX($A:$AP,ROW(),$H$6)),INDEX($A:$AP,ROW(),$H$6),IFERROR(--SUBSTITUTE(SUBSTITUTE(TRIM(INDEX($A:$AP,ROW(),$H$6)),",",""),"원",""),0)))))</f>
        <v/>
      </c>
      <c r="AW396" s="2">
        <f>IF(OR($AS396="",$C$6=""),"",TRIM(INDEX($A:$AP,ROW(),$C$6)&amp;""))</f>
        <v/>
      </c>
      <c r="AX396" s="2">
        <f>IF($AS396="","",IF($AZ396&lt;&gt;"",SUBSTITUTE(SUBSTITUTE($AZ396,"-","")," ",""),$AY396))</f>
        <v/>
      </c>
      <c r="AY396" s="2">
        <f>IF(OR($AS396="",$E$6=""),"",TRIM(INDEX($A:$AP,ROW(),$E$6)&amp;""))</f>
        <v/>
      </c>
      <c r="AZ396" s="2">
        <f>IF(OR($AS396="",$D$6=""),"",TRIM(INDEX($A:$AP,ROW(),$D$6)&amp;""))</f>
        <v/>
      </c>
      <c r="BA396" s="2">
        <f>IF($AS396="","",IF(AND($AS396&gt;=설정!$B$10,$AS396&lt;=설정!$B$11),"포함","기간 밖"))</f>
        <v/>
      </c>
      <c r="BB396" s="2">
        <f>IF($AS396="","",IF(OR($AT396&lt;0,AND($I$6&lt;&gt;"",ISNUMBER(FIND("수정",INDEX($A:$AP,ROW(),IF($I$6="",1,$I$6))&amp;"")))),"수정","일반"))</f>
        <v/>
      </c>
      <c r="BC396" s="2">
        <f>IF($AS396="","",MID(IF($BA396="기간 밖"," / 기간 밖(신고기간 아님)","")&amp;IF(AND($AW396&lt;&gt;"",COUNTIF($AW$8:$AW$1007,$AW396)&gt;1)," / 승인번호 중복(두 번 붙여넣기?)","")&amp;IF(ABS($AU396-ROUND($AT396*0.1,0))&gt;설정!$B$8,IF($AU396=0," / 세액 0원(영세율·면세 여부 확인)"," / 세액이 공급가액 10%와 다름"),"")&amp;IF($BB396="수정"," / 수정세금계산서(합계에서 자동 가감)",""),4,200))</f>
        <v/>
      </c>
      <c r="BD396" s="2">
        <f>IF($BA396&lt;&gt;"포함","",IF(COUNTIFS($AX$8:$AX396,$AX396,$BA$8:$BA396,"포함")=1,MAX($BD$7:BD395)+1,""))</f>
        <v/>
      </c>
      <c r="BE396" s="2">
        <f>IF($BC396="","",MAX($BE$7:BE395)+1)</f>
        <v/>
      </c>
    </row>
    <row r="397">
      <c r="AR397" s="2">
        <f>IF(OR($A$5="",$B$6="",ROW()&lt;$A$5),"",IF(INDEX($A:$AP,ROW(),$B$6)="","",INDEX($A:$AP,ROW(),$B$6)))</f>
        <v/>
      </c>
      <c r="AS397" s="22">
        <f>IF($AR397="","",IF(ISNUMBER($AR397),IF($AR397&gt;=10000000,IFERROR(DATE(INT($AR397/10000),MOD(INT($AR397/100),100),MOD($AR397,100)),""),INT($AR397)),IFERROR(DATE(--LEFT(LEFT(SUBSTITUTE(SUBSTITUTE(SUBSTITUTE(SUBSTITUTE(TRIM($AR397),"-",""),".",""),"/","")," ",""),8),4),--MID(LEFT(SUBSTITUTE(SUBSTITUTE(SUBSTITUTE(SUBSTITUTE(TRIM($AR397),"-",""),".",""),"/","")," ",""),8),5,2),--MID(LEFT(SUBSTITUTE(SUBSTITUTE(SUBSTITUTE(SUBSTITUTE(TRIM($AR397),"-",""),".",""),"/","")," ",""),8),7,2)),"")))</f>
        <v/>
      </c>
      <c r="AT397" s="23">
        <f>IF($AS397="","",IF($F$6="",0,IF(ISNUMBER(INDEX($A:$AP,ROW(),$F$6)),INDEX($A:$AP,ROW(),$F$6),IFERROR(--SUBSTITUTE(SUBSTITUTE(TRIM(INDEX($A:$AP,ROW(),$F$6)),",",""),"원",""),0))))</f>
        <v/>
      </c>
      <c r="AU397" s="23">
        <f>IF($AS397="","",IF($G$6="",0,IF(ISNUMBER(INDEX($A:$AP,ROW(),$G$6)),INDEX($A:$AP,ROW(),$G$6),IFERROR(--SUBSTITUTE(SUBSTITUTE(TRIM(INDEX($A:$AP,ROW(),$G$6)),",",""),"원",""),0))))</f>
        <v/>
      </c>
      <c r="AV397" s="23">
        <f>IF($AS397="","",IF($H$6="",$AT397+$AU397,IF($H$6="",0,IF(ISNUMBER(INDEX($A:$AP,ROW(),$H$6)),INDEX($A:$AP,ROW(),$H$6),IFERROR(--SUBSTITUTE(SUBSTITUTE(TRIM(INDEX($A:$AP,ROW(),$H$6)),",",""),"원",""),0)))))</f>
        <v/>
      </c>
      <c r="AW397" s="2">
        <f>IF(OR($AS397="",$C$6=""),"",TRIM(INDEX($A:$AP,ROW(),$C$6)&amp;""))</f>
        <v/>
      </c>
      <c r="AX397" s="2">
        <f>IF($AS397="","",IF($AZ397&lt;&gt;"",SUBSTITUTE(SUBSTITUTE($AZ397,"-","")," ",""),$AY397))</f>
        <v/>
      </c>
      <c r="AY397" s="2">
        <f>IF(OR($AS397="",$E$6=""),"",TRIM(INDEX($A:$AP,ROW(),$E$6)&amp;""))</f>
        <v/>
      </c>
      <c r="AZ397" s="2">
        <f>IF(OR($AS397="",$D$6=""),"",TRIM(INDEX($A:$AP,ROW(),$D$6)&amp;""))</f>
        <v/>
      </c>
      <c r="BA397" s="2">
        <f>IF($AS397="","",IF(AND($AS397&gt;=설정!$B$10,$AS397&lt;=설정!$B$11),"포함","기간 밖"))</f>
        <v/>
      </c>
      <c r="BB397" s="2">
        <f>IF($AS397="","",IF(OR($AT397&lt;0,AND($I$6&lt;&gt;"",ISNUMBER(FIND("수정",INDEX($A:$AP,ROW(),IF($I$6="",1,$I$6))&amp;"")))),"수정","일반"))</f>
        <v/>
      </c>
      <c r="BC397" s="2">
        <f>IF($AS397="","",MID(IF($BA397="기간 밖"," / 기간 밖(신고기간 아님)","")&amp;IF(AND($AW397&lt;&gt;"",COUNTIF($AW$8:$AW$1007,$AW397)&gt;1)," / 승인번호 중복(두 번 붙여넣기?)","")&amp;IF(ABS($AU397-ROUND($AT397*0.1,0))&gt;설정!$B$8,IF($AU397=0," / 세액 0원(영세율·면세 여부 확인)"," / 세액이 공급가액 10%와 다름"),"")&amp;IF($BB397="수정"," / 수정세금계산서(합계에서 자동 가감)",""),4,200))</f>
        <v/>
      </c>
      <c r="BD397" s="2">
        <f>IF($BA397&lt;&gt;"포함","",IF(COUNTIFS($AX$8:$AX397,$AX397,$BA$8:$BA397,"포함")=1,MAX($BD$7:BD396)+1,""))</f>
        <v/>
      </c>
      <c r="BE397" s="2">
        <f>IF($BC397="","",MAX($BE$7:BE396)+1)</f>
        <v/>
      </c>
    </row>
    <row r="398">
      <c r="AR398" s="2">
        <f>IF(OR($A$5="",$B$6="",ROW()&lt;$A$5),"",IF(INDEX($A:$AP,ROW(),$B$6)="","",INDEX($A:$AP,ROW(),$B$6)))</f>
        <v/>
      </c>
      <c r="AS398" s="22">
        <f>IF($AR398="","",IF(ISNUMBER($AR398),IF($AR398&gt;=10000000,IFERROR(DATE(INT($AR398/10000),MOD(INT($AR398/100),100),MOD($AR398,100)),""),INT($AR398)),IFERROR(DATE(--LEFT(LEFT(SUBSTITUTE(SUBSTITUTE(SUBSTITUTE(SUBSTITUTE(TRIM($AR398),"-",""),".",""),"/","")," ",""),8),4),--MID(LEFT(SUBSTITUTE(SUBSTITUTE(SUBSTITUTE(SUBSTITUTE(TRIM($AR398),"-",""),".",""),"/","")," ",""),8),5,2),--MID(LEFT(SUBSTITUTE(SUBSTITUTE(SUBSTITUTE(SUBSTITUTE(TRIM($AR398),"-",""),".",""),"/","")," ",""),8),7,2)),"")))</f>
        <v/>
      </c>
      <c r="AT398" s="23">
        <f>IF($AS398="","",IF($F$6="",0,IF(ISNUMBER(INDEX($A:$AP,ROW(),$F$6)),INDEX($A:$AP,ROW(),$F$6),IFERROR(--SUBSTITUTE(SUBSTITUTE(TRIM(INDEX($A:$AP,ROW(),$F$6)),",",""),"원",""),0))))</f>
        <v/>
      </c>
      <c r="AU398" s="23">
        <f>IF($AS398="","",IF($G$6="",0,IF(ISNUMBER(INDEX($A:$AP,ROW(),$G$6)),INDEX($A:$AP,ROW(),$G$6),IFERROR(--SUBSTITUTE(SUBSTITUTE(TRIM(INDEX($A:$AP,ROW(),$G$6)),",",""),"원",""),0))))</f>
        <v/>
      </c>
      <c r="AV398" s="23">
        <f>IF($AS398="","",IF($H$6="",$AT398+$AU398,IF($H$6="",0,IF(ISNUMBER(INDEX($A:$AP,ROW(),$H$6)),INDEX($A:$AP,ROW(),$H$6),IFERROR(--SUBSTITUTE(SUBSTITUTE(TRIM(INDEX($A:$AP,ROW(),$H$6)),",",""),"원",""),0)))))</f>
        <v/>
      </c>
      <c r="AW398" s="2">
        <f>IF(OR($AS398="",$C$6=""),"",TRIM(INDEX($A:$AP,ROW(),$C$6)&amp;""))</f>
        <v/>
      </c>
      <c r="AX398" s="2">
        <f>IF($AS398="","",IF($AZ398&lt;&gt;"",SUBSTITUTE(SUBSTITUTE($AZ398,"-","")," ",""),$AY398))</f>
        <v/>
      </c>
      <c r="AY398" s="2">
        <f>IF(OR($AS398="",$E$6=""),"",TRIM(INDEX($A:$AP,ROW(),$E$6)&amp;""))</f>
        <v/>
      </c>
      <c r="AZ398" s="2">
        <f>IF(OR($AS398="",$D$6=""),"",TRIM(INDEX($A:$AP,ROW(),$D$6)&amp;""))</f>
        <v/>
      </c>
      <c r="BA398" s="2">
        <f>IF($AS398="","",IF(AND($AS398&gt;=설정!$B$10,$AS398&lt;=설정!$B$11),"포함","기간 밖"))</f>
        <v/>
      </c>
      <c r="BB398" s="2">
        <f>IF($AS398="","",IF(OR($AT398&lt;0,AND($I$6&lt;&gt;"",ISNUMBER(FIND("수정",INDEX($A:$AP,ROW(),IF($I$6="",1,$I$6))&amp;"")))),"수정","일반"))</f>
        <v/>
      </c>
      <c r="BC398" s="2">
        <f>IF($AS398="","",MID(IF($BA398="기간 밖"," / 기간 밖(신고기간 아님)","")&amp;IF(AND($AW398&lt;&gt;"",COUNTIF($AW$8:$AW$1007,$AW398)&gt;1)," / 승인번호 중복(두 번 붙여넣기?)","")&amp;IF(ABS($AU398-ROUND($AT398*0.1,0))&gt;설정!$B$8,IF($AU398=0," / 세액 0원(영세율·면세 여부 확인)"," / 세액이 공급가액 10%와 다름"),"")&amp;IF($BB398="수정"," / 수정세금계산서(합계에서 자동 가감)",""),4,200))</f>
        <v/>
      </c>
      <c r="BD398" s="2">
        <f>IF($BA398&lt;&gt;"포함","",IF(COUNTIFS($AX$8:$AX398,$AX398,$BA$8:$BA398,"포함")=1,MAX($BD$7:BD397)+1,""))</f>
        <v/>
      </c>
      <c r="BE398" s="2">
        <f>IF($BC398="","",MAX($BE$7:BE397)+1)</f>
        <v/>
      </c>
    </row>
    <row r="399">
      <c r="AR399" s="2">
        <f>IF(OR($A$5="",$B$6="",ROW()&lt;$A$5),"",IF(INDEX($A:$AP,ROW(),$B$6)="","",INDEX($A:$AP,ROW(),$B$6)))</f>
        <v/>
      </c>
      <c r="AS399" s="22">
        <f>IF($AR399="","",IF(ISNUMBER($AR399),IF($AR399&gt;=10000000,IFERROR(DATE(INT($AR399/10000),MOD(INT($AR399/100),100),MOD($AR399,100)),""),INT($AR399)),IFERROR(DATE(--LEFT(LEFT(SUBSTITUTE(SUBSTITUTE(SUBSTITUTE(SUBSTITUTE(TRIM($AR399),"-",""),".",""),"/","")," ",""),8),4),--MID(LEFT(SUBSTITUTE(SUBSTITUTE(SUBSTITUTE(SUBSTITUTE(TRIM($AR399),"-",""),".",""),"/","")," ",""),8),5,2),--MID(LEFT(SUBSTITUTE(SUBSTITUTE(SUBSTITUTE(SUBSTITUTE(TRIM($AR399),"-",""),".",""),"/","")," ",""),8),7,2)),"")))</f>
        <v/>
      </c>
      <c r="AT399" s="23">
        <f>IF($AS399="","",IF($F$6="",0,IF(ISNUMBER(INDEX($A:$AP,ROW(),$F$6)),INDEX($A:$AP,ROW(),$F$6),IFERROR(--SUBSTITUTE(SUBSTITUTE(TRIM(INDEX($A:$AP,ROW(),$F$6)),",",""),"원",""),0))))</f>
        <v/>
      </c>
      <c r="AU399" s="23">
        <f>IF($AS399="","",IF($G$6="",0,IF(ISNUMBER(INDEX($A:$AP,ROW(),$G$6)),INDEX($A:$AP,ROW(),$G$6),IFERROR(--SUBSTITUTE(SUBSTITUTE(TRIM(INDEX($A:$AP,ROW(),$G$6)),",",""),"원",""),0))))</f>
        <v/>
      </c>
      <c r="AV399" s="23">
        <f>IF($AS399="","",IF($H$6="",$AT399+$AU399,IF($H$6="",0,IF(ISNUMBER(INDEX($A:$AP,ROW(),$H$6)),INDEX($A:$AP,ROW(),$H$6),IFERROR(--SUBSTITUTE(SUBSTITUTE(TRIM(INDEX($A:$AP,ROW(),$H$6)),",",""),"원",""),0)))))</f>
        <v/>
      </c>
      <c r="AW399" s="2">
        <f>IF(OR($AS399="",$C$6=""),"",TRIM(INDEX($A:$AP,ROW(),$C$6)&amp;""))</f>
        <v/>
      </c>
      <c r="AX399" s="2">
        <f>IF($AS399="","",IF($AZ399&lt;&gt;"",SUBSTITUTE(SUBSTITUTE($AZ399,"-","")," ",""),$AY399))</f>
        <v/>
      </c>
      <c r="AY399" s="2">
        <f>IF(OR($AS399="",$E$6=""),"",TRIM(INDEX($A:$AP,ROW(),$E$6)&amp;""))</f>
        <v/>
      </c>
      <c r="AZ399" s="2">
        <f>IF(OR($AS399="",$D$6=""),"",TRIM(INDEX($A:$AP,ROW(),$D$6)&amp;""))</f>
        <v/>
      </c>
      <c r="BA399" s="2">
        <f>IF($AS399="","",IF(AND($AS399&gt;=설정!$B$10,$AS399&lt;=설정!$B$11),"포함","기간 밖"))</f>
        <v/>
      </c>
      <c r="BB399" s="2">
        <f>IF($AS399="","",IF(OR($AT399&lt;0,AND($I$6&lt;&gt;"",ISNUMBER(FIND("수정",INDEX($A:$AP,ROW(),IF($I$6="",1,$I$6))&amp;"")))),"수정","일반"))</f>
        <v/>
      </c>
      <c r="BC399" s="2">
        <f>IF($AS399="","",MID(IF($BA399="기간 밖"," / 기간 밖(신고기간 아님)","")&amp;IF(AND($AW399&lt;&gt;"",COUNTIF($AW$8:$AW$1007,$AW399)&gt;1)," / 승인번호 중복(두 번 붙여넣기?)","")&amp;IF(ABS($AU399-ROUND($AT399*0.1,0))&gt;설정!$B$8,IF($AU399=0," / 세액 0원(영세율·면세 여부 확인)"," / 세액이 공급가액 10%와 다름"),"")&amp;IF($BB399="수정"," / 수정세금계산서(합계에서 자동 가감)",""),4,200))</f>
        <v/>
      </c>
      <c r="BD399" s="2">
        <f>IF($BA399&lt;&gt;"포함","",IF(COUNTIFS($AX$8:$AX399,$AX399,$BA$8:$BA399,"포함")=1,MAX($BD$7:BD398)+1,""))</f>
        <v/>
      </c>
      <c r="BE399" s="2">
        <f>IF($BC399="","",MAX($BE$7:BE398)+1)</f>
        <v/>
      </c>
    </row>
    <row r="400">
      <c r="AR400" s="2">
        <f>IF(OR($A$5="",$B$6="",ROW()&lt;$A$5),"",IF(INDEX($A:$AP,ROW(),$B$6)="","",INDEX($A:$AP,ROW(),$B$6)))</f>
        <v/>
      </c>
      <c r="AS400" s="22">
        <f>IF($AR400="","",IF(ISNUMBER($AR400),IF($AR400&gt;=10000000,IFERROR(DATE(INT($AR400/10000),MOD(INT($AR400/100),100),MOD($AR400,100)),""),INT($AR400)),IFERROR(DATE(--LEFT(LEFT(SUBSTITUTE(SUBSTITUTE(SUBSTITUTE(SUBSTITUTE(TRIM($AR400),"-",""),".",""),"/","")," ",""),8),4),--MID(LEFT(SUBSTITUTE(SUBSTITUTE(SUBSTITUTE(SUBSTITUTE(TRIM($AR400),"-",""),".",""),"/","")," ",""),8),5,2),--MID(LEFT(SUBSTITUTE(SUBSTITUTE(SUBSTITUTE(SUBSTITUTE(TRIM($AR400),"-",""),".",""),"/","")," ",""),8),7,2)),"")))</f>
        <v/>
      </c>
      <c r="AT400" s="23">
        <f>IF($AS400="","",IF($F$6="",0,IF(ISNUMBER(INDEX($A:$AP,ROW(),$F$6)),INDEX($A:$AP,ROW(),$F$6),IFERROR(--SUBSTITUTE(SUBSTITUTE(TRIM(INDEX($A:$AP,ROW(),$F$6)),",",""),"원",""),0))))</f>
        <v/>
      </c>
      <c r="AU400" s="23">
        <f>IF($AS400="","",IF($G$6="",0,IF(ISNUMBER(INDEX($A:$AP,ROW(),$G$6)),INDEX($A:$AP,ROW(),$G$6),IFERROR(--SUBSTITUTE(SUBSTITUTE(TRIM(INDEX($A:$AP,ROW(),$G$6)),",",""),"원",""),0))))</f>
        <v/>
      </c>
      <c r="AV400" s="23">
        <f>IF($AS400="","",IF($H$6="",$AT400+$AU400,IF($H$6="",0,IF(ISNUMBER(INDEX($A:$AP,ROW(),$H$6)),INDEX($A:$AP,ROW(),$H$6),IFERROR(--SUBSTITUTE(SUBSTITUTE(TRIM(INDEX($A:$AP,ROW(),$H$6)),",",""),"원",""),0)))))</f>
        <v/>
      </c>
      <c r="AW400" s="2">
        <f>IF(OR($AS400="",$C$6=""),"",TRIM(INDEX($A:$AP,ROW(),$C$6)&amp;""))</f>
        <v/>
      </c>
      <c r="AX400" s="2">
        <f>IF($AS400="","",IF($AZ400&lt;&gt;"",SUBSTITUTE(SUBSTITUTE($AZ400,"-","")," ",""),$AY400))</f>
        <v/>
      </c>
      <c r="AY400" s="2">
        <f>IF(OR($AS400="",$E$6=""),"",TRIM(INDEX($A:$AP,ROW(),$E$6)&amp;""))</f>
        <v/>
      </c>
      <c r="AZ400" s="2">
        <f>IF(OR($AS400="",$D$6=""),"",TRIM(INDEX($A:$AP,ROW(),$D$6)&amp;""))</f>
        <v/>
      </c>
      <c r="BA400" s="2">
        <f>IF($AS400="","",IF(AND($AS400&gt;=설정!$B$10,$AS400&lt;=설정!$B$11),"포함","기간 밖"))</f>
        <v/>
      </c>
      <c r="BB400" s="2">
        <f>IF($AS400="","",IF(OR($AT400&lt;0,AND($I$6&lt;&gt;"",ISNUMBER(FIND("수정",INDEX($A:$AP,ROW(),IF($I$6="",1,$I$6))&amp;"")))),"수정","일반"))</f>
        <v/>
      </c>
      <c r="BC400" s="2">
        <f>IF($AS400="","",MID(IF($BA400="기간 밖"," / 기간 밖(신고기간 아님)","")&amp;IF(AND($AW400&lt;&gt;"",COUNTIF($AW$8:$AW$1007,$AW400)&gt;1)," / 승인번호 중복(두 번 붙여넣기?)","")&amp;IF(ABS($AU400-ROUND($AT400*0.1,0))&gt;설정!$B$8,IF($AU400=0," / 세액 0원(영세율·면세 여부 확인)"," / 세액이 공급가액 10%와 다름"),"")&amp;IF($BB400="수정"," / 수정세금계산서(합계에서 자동 가감)",""),4,200))</f>
        <v/>
      </c>
      <c r="BD400" s="2">
        <f>IF($BA400&lt;&gt;"포함","",IF(COUNTIFS($AX$8:$AX400,$AX400,$BA$8:$BA400,"포함")=1,MAX($BD$7:BD399)+1,""))</f>
        <v/>
      </c>
      <c r="BE400" s="2">
        <f>IF($BC400="","",MAX($BE$7:BE399)+1)</f>
        <v/>
      </c>
    </row>
    <row r="401">
      <c r="AR401" s="2">
        <f>IF(OR($A$5="",$B$6="",ROW()&lt;$A$5),"",IF(INDEX($A:$AP,ROW(),$B$6)="","",INDEX($A:$AP,ROW(),$B$6)))</f>
        <v/>
      </c>
      <c r="AS401" s="22">
        <f>IF($AR401="","",IF(ISNUMBER($AR401),IF($AR401&gt;=10000000,IFERROR(DATE(INT($AR401/10000),MOD(INT($AR401/100),100),MOD($AR401,100)),""),INT($AR401)),IFERROR(DATE(--LEFT(LEFT(SUBSTITUTE(SUBSTITUTE(SUBSTITUTE(SUBSTITUTE(TRIM($AR401),"-",""),".",""),"/","")," ",""),8),4),--MID(LEFT(SUBSTITUTE(SUBSTITUTE(SUBSTITUTE(SUBSTITUTE(TRIM($AR401),"-",""),".",""),"/","")," ",""),8),5,2),--MID(LEFT(SUBSTITUTE(SUBSTITUTE(SUBSTITUTE(SUBSTITUTE(TRIM($AR401),"-",""),".",""),"/","")," ",""),8),7,2)),"")))</f>
        <v/>
      </c>
      <c r="AT401" s="23">
        <f>IF($AS401="","",IF($F$6="",0,IF(ISNUMBER(INDEX($A:$AP,ROW(),$F$6)),INDEX($A:$AP,ROW(),$F$6),IFERROR(--SUBSTITUTE(SUBSTITUTE(TRIM(INDEX($A:$AP,ROW(),$F$6)),",",""),"원",""),0))))</f>
        <v/>
      </c>
      <c r="AU401" s="23">
        <f>IF($AS401="","",IF($G$6="",0,IF(ISNUMBER(INDEX($A:$AP,ROW(),$G$6)),INDEX($A:$AP,ROW(),$G$6),IFERROR(--SUBSTITUTE(SUBSTITUTE(TRIM(INDEX($A:$AP,ROW(),$G$6)),",",""),"원",""),0))))</f>
        <v/>
      </c>
      <c r="AV401" s="23">
        <f>IF($AS401="","",IF($H$6="",$AT401+$AU401,IF($H$6="",0,IF(ISNUMBER(INDEX($A:$AP,ROW(),$H$6)),INDEX($A:$AP,ROW(),$H$6),IFERROR(--SUBSTITUTE(SUBSTITUTE(TRIM(INDEX($A:$AP,ROW(),$H$6)),",",""),"원",""),0)))))</f>
        <v/>
      </c>
      <c r="AW401" s="2">
        <f>IF(OR($AS401="",$C$6=""),"",TRIM(INDEX($A:$AP,ROW(),$C$6)&amp;""))</f>
        <v/>
      </c>
      <c r="AX401" s="2">
        <f>IF($AS401="","",IF($AZ401&lt;&gt;"",SUBSTITUTE(SUBSTITUTE($AZ401,"-","")," ",""),$AY401))</f>
        <v/>
      </c>
      <c r="AY401" s="2">
        <f>IF(OR($AS401="",$E$6=""),"",TRIM(INDEX($A:$AP,ROW(),$E$6)&amp;""))</f>
        <v/>
      </c>
      <c r="AZ401" s="2">
        <f>IF(OR($AS401="",$D$6=""),"",TRIM(INDEX($A:$AP,ROW(),$D$6)&amp;""))</f>
        <v/>
      </c>
      <c r="BA401" s="2">
        <f>IF($AS401="","",IF(AND($AS401&gt;=설정!$B$10,$AS401&lt;=설정!$B$11),"포함","기간 밖"))</f>
        <v/>
      </c>
      <c r="BB401" s="2">
        <f>IF($AS401="","",IF(OR($AT401&lt;0,AND($I$6&lt;&gt;"",ISNUMBER(FIND("수정",INDEX($A:$AP,ROW(),IF($I$6="",1,$I$6))&amp;"")))),"수정","일반"))</f>
        <v/>
      </c>
      <c r="BC401" s="2">
        <f>IF($AS401="","",MID(IF($BA401="기간 밖"," / 기간 밖(신고기간 아님)","")&amp;IF(AND($AW401&lt;&gt;"",COUNTIF($AW$8:$AW$1007,$AW401)&gt;1)," / 승인번호 중복(두 번 붙여넣기?)","")&amp;IF(ABS($AU401-ROUND($AT401*0.1,0))&gt;설정!$B$8,IF($AU401=0," / 세액 0원(영세율·면세 여부 확인)"," / 세액이 공급가액 10%와 다름"),"")&amp;IF($BB401="수정"," / 수정세금계산서(합계에서 자동 가감)",""),4,200))</f>
        <v/>
      </c>
      <c r="BD401" s="2">
        <f>IF($BA401&lt;&gt;"포함","",IF(COUNTIFS($AX$8:$AX401,$AX401,$BA$8:$BA401,"포함")=1,MAX($BD$7:BD400)+1,""))</f>
        <v/>
      </c>
      <c r="BE401" s="2">
        <f>IF($BC401="","",MAX($BE$7:BE400)+1)</f>
        <v/>
      </c>
    </row>
    <row r="402">
      <c r="AR402" s="2">
        <f>IF(OR($A$5="",$B$6="",ROW()&lt;$A$5),"",IF(INDEX($A:$AP,ROW(),$B$6)="","",INDEX($A:$AP,ROW(),$B$6)))</f>
        <v/>
      </c>
      <c r="AS402" s="22">
        <f>IF($AR402="","",IF(ISNUMBER($AR402),IF($AR402&gt;=10000000,IFERROR(DATE(INT($AR402/10000),MOD(INT($AR402/100),100),MOD($AR402,100)),""),INT($AR402)),IFERROR(DATE(--LEFT(LEFT(SUBSTITUTE(SUBSTITUTE(SUBSTITUTE(SUBSTITUTE(TRIM($AR402),"-",""),".",""),"/","")," ",""),8),4),--MID(LEFT(SUBSTITUTE(SUBSTITUTE(SUBSTITUTE(SUBSTITUTE(TRIM($AR402),"-",""),".",""),"/","")," ",""),8),5,2),--MID(LEFT(SUBSTITUTE(SUBSTITUTE(SUBSTITUTE(SUBSTITUTE(TRIM($AR402),"-",""),".",""),"/","")," ",""),8),7,2)),"")))</f>
        <v/>
      </c>
      <c r="AT402" s="23">
        <f>IF($AS402="","",IF($F$6="",0,IF(ISNUMBER(INDEX($A:$AP,ROW(),$F$6)),INDEX($A:$AP,ROW(),$F$6),IFERROR(--SUBSTITUTE(SUBSTITUTE(TRIM(INDEX($A:$AP,ROW(),$F$6)),",",""),"원",""),0))))</f>
        <v/>
      </c>
      <c r="AU402" s="23">
        <f>IF($AS402="","",IF($G$6="",0,IF(ISNUMBER(INDEX($A:$AP,ROW(),$G$6)),INDEX($A:$AP,ROW(),$G$6),IFERROR(--SUBSTITUTE(SUBSTITUTE(TRIM(INDEX($A:$AP,ROW(),$G$6)),",",""),"원",""),0))))</f>
        <v/>
      </c>
      <c r="AV402" s="23">
        <f>IF($AS402="","",IF($H$6="",$AT402+$AU402,IF($H$6="",0,IF(ISNUMBER(INDEX($A:$AP,ROW(),$H$6)),INDEX($A:$AP,ROW(),$H$6),IFERROR(--SUBSTITUTE(SUBSTITUTE(TRIM(INDEX($A:$AP,ROW(),$H$6)),",",""),"원",""),0)))))</f>
        <v/>
      </c>
      <c r="AW402" s="2">
        <f>IF(OR($AS402="",$C$6=""),"",TRIM(INDEX($A:$AP,ROW(),$C$6)&amp;""))</f>
        <v/>
      </c>
      <c r="AX402" s="2">
        <f>IF($AS402="","",IF($AZ402&lt;&gt;"",SUBSTITUTE(SUBSTITUTE($AZ402,"-","")," ",""),$AY402))</f>
        <v/>
      </c>
      <c r="AY402" s="2">
        <f>IF(OR($AS402="",$E$6=""),"",TRIM(INDEX($A:$AP,ROW(),$E$6)&amp;""))</f>
        <v/>
      </c>
      <c r="AZ402" s="2">
        <f>IF(OR($AS402="",$D$6=""),"",TRIM(INDEX($A:$AP,ROW(),$D$6)&amp;""))</f>
        <v/>
      </c>
      <c r="BA402" s="2">
        <f>IF($AS402="","",IF(AND($AS402&gt;=설정!$B$10,$AS402&lt;=설정!$B$11),"포함","기간 밖"))</f>
        <v/>
      </c>
      <c r="BB402" s="2">
        <f>IF($AS402="","",IF(OR($AT402&lt;0,AND($I$6&lt;&gt;"",ISNUMBER(FIND("수정",INDEX($A:$AP,ROW(),IF($I$6="",1,$I$6))&amp;"")))),"수정","일반"))</f>
        <v/>
      </c>
      <c r="BC402" s="2">
        <f>IF($AS402="","",MID(IF($BA402="기간 밖"," / 기간 밖(신고기간 아님)","")&amp;IF(AND($AW402&lt;&gt;"",COUNTIF($AW$8:$AW$1007,$AW402)&gt;1)," / 승인번호 중복(두 번 붙여넣기?)","")&amp;IF(ABS($AU402-ROUND($AT402*0.1,0))&gt;설정!$B$8,IF($AU402=0," / 세액 0원(영세율·면세 여부 확인)"," / 세액이 공급가액 10%와 다름"),"")&amp;IF($BB402="수정"," / 수정세금계산서(합계에서 자동 가감)",""),4,200))</f>
        <v/>
      </c>
      <c r="BD402" s="2">
        <f>IF($BA402&lt;&gt;"포함","",IF(COUNTIFS($AX$8:$AX402,$AX402,$BA$8:$BA402,"포함")=1,MAX($BD$7:BD401)+1,""))</f>
        <v/>
      </c>
      <c r="BE402" s="2">
        <f>IF($BC402="","",MAX($BE$7:BE401)+1)</f>
        <v/>
      </c>
    </row>
    <row r="403">
      <c r="AR403" s="2">
        <f>IF(OR($A$5="",$B$6="",ROW()&lt;$A$5),"",IF(INDEX($A:$AP,ROW(),$B$6)="","",INDEX($A:$AP,ROW(),$B$6)))</f>
        <v/>
      </c>
      <c r="AS403" s="22">
        <f>IF($AR403="","",IF(ISNUMBER($AR403),IF($AR403&gt;=10000000,IFERROR(DATE(INT($AR403/10000),MOD(INT($AR403/100),100),MOD($AR403,100)),""),INT($AR403)),IFERROR(DATE(--LEFT(LEFT(SUBSTITUTE(SUBSTITUTE(SUBSTITUTE(SUBSTITUTE(TRIM($AR403),"-",""),".",""),"/","")," ",""),8),4),--MID(LEFT(SUBSTITUTE(SUBSTITUTE(SUBSTITUTE(SUBSTITUTE(TRIM($AR403),"-",""),".",""),"/","")," ",""),8),5,2),--MID(LEFT(SUBSTITUTE(SUBSTITUTE(SUBSTITUTE(SUBSTITUTE(TRIM($AR403),"-",""),".",""),"/","")," ",""),8),7,2)),"")))</f>
        <v/>
      </c>
      <c r="AT403" s="23">
        <f>IF($AS403="","",IF($F$6="",0,IF(ISNUMBER(INDEX($A:$AP,ROW(),$F$6)),INDEX($A:$AP,ROW(),$F$6),IFERROR(--SUBSTITUTE(SUBSTITUTE(TRIM(INDEX($A:$AP,ROW(),$F$6)),",",""),"원",""),0))))</f>
        <v/>
      </c>
      <c r="AU403" s="23">
        <f>IF($AS403="","",IF($G$6="",0,IF(ISNUMBER(INDEX($A:$AP,ROW(),$G$6)),INDEX($A:$AP,ROW(),$G$6),IFERROR(--SUBSTITUTE(SUBSTITUTE(TRIM(INDEX($A:$AP,ROW(),$G$6)),",",""),"원",""),0))))</f>
        <v/>
      </c>
      <c r="AV403" s="23">
        <f>IF($AS403="","",IF($H$6="",$AT403+$AU403,IF($H$6="",0,IF(ISNUMBER(INDEX($A:$AP,ROW(),$H$6)),INDEX($A:$AP,ROW(),$H$6),IFERROR(--SUBSTITUTE(SUBSTITUTE(TRIM(INDEX($A:$AP,ROW(),$H$6)),",",""),"원",""),0)))))</f>
        <v/>
      </c>
      <c r="AW403" s="2">
        <f>IF(OR($AS403="",$C$6=""),"",TRIM(INDEX($A:$AP,ROW(),$C$6)&amp;""))</f>
        <v/>
      </c>
      <c r="AX403" s="2">
        <f>IF($AS403="","",IF($AZ403&lt;&gt;"",SUBSTITUTE(SUBSTITUTE($AZ403,"-","")," ",""),$AY403))</f>
        <v/>
      </c>
      <c r="AY403" s="2">
        <f>IF(OR($AS403="",$E$6=""),"",TRIM(INDEX($A:$AP,ROW(),$E$6)&amp;""))</f>
        <v/>
      </c>
      <c r="AZ403" s="2">
        <f>IF(OR($AS403="",$D$6=""),"",TRIM(INDEX($A:$AP,ROW(),$D$6)&amp;""))</f>
        <v/>
      </c>
      <c r="BA403" s="2">
        <f>IF($AS403="","",IF(AND($AS403&gt;=설정!$B$10,$AS403&lt;=설정!$B$11),"포함","기간 밖"))</f>
        <v/>
      </c>
      <c r="BB403" s="2">
        <f>IF($AS403="","",IF(OR($AT403&lt;0,AND($I$6&lt;&gt;"",ISNUMBER(FIND("수정",INDEX($A:$AP,ROW(),IF($I$6="",1,$I$6))&amp;"")))),"수정","일반"))</f>
        <v/>
      </c>
      <c r="BC403" s="2">
        <f>IF($AS403="","",MID(IF($BA403="기간 밖"," / 기간 밖(신고기간 아님)","")&amp;IF(AND($AW403&lt;&gt;"",COUNTIF($AW$8:$AW$1007,$AW403)&gt;1)," / 승인번호 중복(두 번 붙여넣기?)","")&amp;IF(ABS($AU403-ROUND($AT403*0.1,0))&gt;설정!$B$8,IF($AU403=0," / 세액 0원(영세율·면세 여부 확인)"," / 세액이 공급가액 10%와 다름"),"")&amp;IF($BB403="수정"," / 수정세금계산서(합계에서 자동 가감)",""),4,200))</f>
        <v/>
      </c>
      <c r="BD403" s="2">
        <f>IF($BA403&lt;&gt;"포함","",IF(COUNTIFS($AX$8:$AX403,$AX403,$BA$8:$BA403,"포함")=1,MAX($BD$7:BD402)+1,""))</f>
        <v/>
      </c>
      <c r="BE403" s="2">
        <f>IF($BC403="","",MAX($BE$7:BE402)+1)</f>
        <v/>
      </c>
    </row>
    <row r="404">
      <c r="AR404" s="2">
        <f>IF(OR($A$5="",$B$6="",ROW()&lt;$A$5),"",IF(INDEX($A:$AP,ROW(),$B$6)="","",INDEX($A:$AP,ROW(),$B$6)))</f>
        <v/>
      </c>
      <c r="AS404" s="22">
        <f>IF($AR404="","",IF(ISNUMBER($AR404),IF($AR404&gt;=10000000,IFERROR(DATE(INT($AR404/10000),MOD(INT($AR404/100),100),MOD($AR404,100)),""),INT($AR404)),IFERROR(DATE(--LEFT(LEFT(SUBSTITUTE(SUBSTITUTE(SUBSTITUTE(SUBSTITUTE(TRIM($AR404),"-",""),".",""),"/","")," ",""),8),4),--MID(LEFT(SUBSTITUTE(SUBSTITUTE(SUBSTITUTE(SUBSTITUTE(TRIM($AR404),"-",""),".",""),"/","")," ",""),8),5,2),--MID(LEFT(SUBSTITUTE(SUBSTITUTE(SUBSTITUTE(SUBSTITUTE(TRIM($AR404),"-",""),".",""),"/","")," ",""),8),7,2)),"")))</f>
        <v/>
      </c>
      <c r="AT404" s="23">
        <f>IF($AS404="","",IF($F$6="",0,IF(ISNUMBER(INDEX($A:$AP,ROW(),$F$6)),INDEX($A:$AP,ROW(),$F$6),IFERROR(--SUBSTITUTE(SUBSTITUTE(TRIM(INDEX($A:$AP,ROW(),$F$6)),",",""),"원",""),0))))</f>
        <v/>
      </c>
      <c r="AU404" s="23">
        <f>IF($AS404="","",IF($G$6="",0,IF(ISNUMBER(INDEX($A:$AP,ROW(),$G$6)),INDEX($A:$AP,ROW(),$G$6),IFERROR(--SUBSTITUTE(SUBSTITUTE(TRIM(INDEX($A:$AP,ROW(),$G$6)),",",""),"원",""),0))))</f>
        <v/>
      </c>
      <c r="AV404" s="23">
        <f>IF($AS404="","",IF($H$6="",$AT404+$AU404,IF($H$6="",0,IF(ISNUMBER(INDEX($A:$AP,ROW(),$H$6)),INDEX($A:$AP,ROW(),$H$6),IFERROR(--SUBSTITUTE(SUBSTITUTE(TRIM(INDEX($A:$AP,ROW(),$H$6)),",",""),"원",""),0)))))</f>
        <v/>
      </c>
      <c r="AW404" s="2">
        <f>IF(OR($AS404="",$C$6=""),"",TRIM(INDEX($A:$AP,ROW(),$C$6)&amp;""))</f>
        <v/>
      </c>
      <c r="AX404" s="2">
        <f>IF($AS404="","",IF($AZ404&lt;&gt;"",SUBSTITUTE(SUBSTITUTE($AZ404,"-","")," ",""),$AY404))</f>
        <v/>
      </c>
      <c r="AY404" s="2">
        <f>IF(OR($AS404="",$E$6=""),"",TRIM(INDEX($A:$AP,ROW(),$E$6)&amp;""))</f>
        <v/>
      </c>
      <c r="AZ404" s="2">
        <f>IF(OR($AS404="",$D$6=""),"",TRIM(INDEX($A:$AP,ROW(),$D$6)&amp;""))</f>
        <v/>
      </c>
      <c r="BA404" s="2">
        <f>IF($AS404="","",IF(AND($AS404&gt;=설정!$B$10,$AS404&lt;=설정!$B$11),"포함","기간 밖"))</f>
        <v/>
      </c>
      <c r="BB404" s="2">
        <f>IF($AS404="","",IF(OR($AT404&lt;0,AND($I$6&lt;&gt;"",ISNUMBER(FIND("수정",INDEX($A:$AP,ROW(),IF($I$6="",1,$I$6))&amp;"")))),"수정","일반"))</f>
        <v/>
      </c>
      <c r="BC404" s="2">
        <f>IF($AS404="","",MID(IF($BA404="기간 밖"," / 기간 밖(신고기간 아님)","")&amp;IF(AND($AW404&lt;&gt;"",COUNTIF($AW$8:$AW$1007,$AW404)&gt;1)," / 승인번호 중복(두 번 붙여넣기?)","")&amp;IF(ABS($AU404-ROUND($AT404*0.1,0))&gt;설정!$B$8,IF($AU404=0," / 세액 0원(영세율·면세 여부 확인)"," / 세액이 공급가액 10%와 다름"),"")&amp;IF($BB404="수정"," / 수정세금계산서(합계에서 자동 가감)",""),4,200))</f>
        <v/>
      </c>
      <c r="BD404" s="2">
        <f>IF($BA404&lt;&gt;"포함","",IF(COUNTIFS($AX$8:$AX404,$AX404,$BA$8:$BA404,"포함")=1,MAX($BD$7:BD403)+1,""))</f>
        <v/>
      </c>
      <c r="BE404" s="2">
        <f>IF($BC404="","",MAX($BE$7:BE403)+1)</f>
        <v/>
      </c>
    </row>
    <row r="405">
      <c r="AR405" s="2">
        <f>IF(OR($A$5="",$B$6="",ROW()&lt;$A$5),"",IF(INDEX($A:$AP,ROW(),$B$6)="","",INDEX($A:$AP,ROW(),$B$6)))</f>
        <v/>
      </c>
      <c r="AS405" s="22">
        <f>IF($AR405="","",IF(ISNUMBER($AR405),IF($AR405&gt;=10000000,IFERROR(DATE(INT($AR405/10000),MOD(INT($AR405/100),100),MOD($AR405,100)),""),INT($AR405)),IFERROR(DATE(--LEFT(LEFT(SUBSTITUTE(SUBSTITUTE(SUBSTITUTE(SUBSTITUTE(TRIM($AR405),"-",""),".",""),"/","")," ",""),8),4),--MID(LEFT(SUBSTITUTE(SUBSTITUTE(SUBSTITUTE(SUBSTITUTE(TRIM($AR405),"-",""),".",""),"/","")," ",""),8),5,2),--MID(LEFT(SUBSTITUTE(SUBSTITUTE(SUBSTITUTE(SUBSTITUTE(TRIM($AR405),"-",""),".",""),"/","")," ",""),8),7,2)),"")))</f>
        <v/>
      </c>
      <c r="AT405" s="23">
        <f>IF($AS405="","",IF($F$6="",0,IF(ISNUMBER(INDEX($A:$AP,ROW(),$F$6)),INDEX($A:$AP,ROW(),$F$6),IFERROR(--SUBSTITUTE(SUBSTITUTE(TRIM(INDEX($A:$AP,ROW(),$F$6)),",",""),"원",""),0))))</f>
        <v/>
      </c>
      <c r="AU405" s="23">
        <f>IF($AS405="","",IF($G$6="",0,IF(ISNUMBER(INDEX($A:$AP,ROW(),$G$6)),INDEX($A:$AP,ROW(),$G$6),IFERROR(--SUBSTITUTE(SUBSTITUTE(TRIM(INDEX($A:$AP,ROW(),$G$6)),",",""),"원",""),0))))</f>
        <v/>
      </c>
      <c r="AV405" s="23">
        <f>IF($AS405="","",IF($H$6="",$AT405+$AU405,IF($H$6="",0,IF(ISNUMBER(INDEX($A:$AP,ROW(),$H$6)),INDEX($A:$AP,ROW(),$H$6),IFERROR(--SUBSTITUTE(SUBSTITUTE(TRIM(INDEX($A:$AP,ROW(),$H$6)),",",""),"원",""),0)))))</f>
        <v/>
      </c>
      <c r="AW405" s="2">
        <f>IF(OR($AS405="",$C$6=""),"",TRIM(INDEX($A:$AP,ROW(),$C$6)&amp;""))</f>
        <v/>
      </c>
      <c r="AX405" s="2">
        <f>IF($AS405="","",IF($AZ405&lt;&gt;"",SUBSTITUTE(SUBSTITUTE($AZ405,"-","")," ",""),$AY405))</f>
        <v/>
      </c>
      <c r="AY405" s="2">
        <f>IF(OR($AS405="",$E$6=""),"",TRIM(INDEX($A:$AP,ROW(),$E$6)&amp;""))</f>
        <v/>
      </c>
      <c r="AZ405" s="2">
        <f>IF(OR($AS405="",$D$6=""),"",TRIM(INDEX($A:$AP,ROW(),$D$6)&amp;""))</f>
        <v/>
      </c>
      <c r="BA405" s="2">
        <f>IF($AS405="","",IF(AND($AS405&gt;=설정!$B$10,$AS405&lt;=설정!$B$11),"포함","기간 밖"))</f>
        <v/>
      </c>
      <c r="BB405" s="2">
        <f>IF($AS405="","",IF(OR($AT405&lt;0,AND($I$6&lt;&gt;"",ISNUMBER(FIND("수정",INDEX($A:$AP,ROW(),IF($I$6="",1,$I$6))&amp;"")))),"수정","일반"))</f>
        <v/>
      </c>
      <c r="BC405" s="2">
        <f>IF($AS405="","",MID(IF($BA405="기간 밖"," / 기간 밖(신고기간 아님)","")&amp;IF(AND($AW405&lt;&gt;"",COUNTIF($AW$8:$AW$1007,$AW405)&gt;1)," / 승인번호 중복(두 번 붙여넣기?)","")&amp;IF(ABS($AU405-ROUND($AT405*0.1,0))&gt;설정!$B$8,IF($AU405=0," / 세액 0원(영세율·면세 여부 확인)"," / 세액이 공급가액 10%와 다름"),"")&amp;IF($BB405="수정"," / 수정세금계산서(합계에서 자동 가감)",""),4,200))</f>
        <v/>
      </c>
      <c r="BD405" s="2">
        <f>IF($BA405&lt;&gt;"포함","",IF(COUNTIFS($AX$8:$AX405,$AX405,$BA$8:$BA405,"포함")=1,MAX($BD$7:BD404)+1,""))</f>
        <v/>
      </c>
      <c r="BE405" s="2">
        <f>IF($BC405="","",MAX($BE$7:BE404)+1)</f>
        <v/>
      </c>
    </row>
    <row r="406">
      <c r="AR406" s="2">
        <f>IF(OR($A$5="",$B$6="",ROW()&lt;$A$5),"",IF(INDEX($A:$AP,ROW(),$B$6)="","",INDEX($A:$AP,ROW(),$B$6)))</f>
        <v/>
      </c>
      <c r="AS406" s="22">
        <f>IF($AR406="","",IF(ISNUMBER($AR406),IF($AR406&gt;=10000000,IFERROR(DATE(INT($AR406/10000),MOD(INT($AR406/100),100),MOD($AR406,100)),""),INT($AR406)),IFERROR(DATE(--LEFT(LEFT(SUBSTITUTE(SUBSTITUTE(SUBSTITUTE(SUBSTITUTE(TRIM($AR406),"-",""),".",""),"/","")," ",""),8),4),--MID(LEFT(SUBSTITUTE(SUBSTITUTE(SUBSTITUTE(SUBSTITUTE(TRIM($AR406),"-",""),".",""),"/","")," ",""),8),5,2),--MID(LEFT(SUBSTITUTE(SUBSTITUTE(SUBSTITUTE(SUBSTITUTE(TRIM($AR406),"-",""),".",""),"/","")," ",""),8),7,2)),"")))</f>
        <v/>
      </c>
      <c r="AT406" s="23">
        <f>IF($AS406="","",IF($F$6="",0,IF(ISNUMBER(INDEX($A:$AP,ROW(),$F$6)),INDEX($A:$AP,ROW(),$F$6),IFERROR(--SUBSTITUTE(SUBSTITUTE(TRIM(INDEX($A:$AP,ROW(),$F$6)),",",""),"원",""),0))))</f>
        <v/>
      </c>
      <c r="AU406" s="23">
        <f>IF($AS406="","",IF($G$6="",0,IF(ISNUMBER(INDEX($A:$AP,ROW(),$G$6)),INDEX($A:$AP,ROW(),$G$6),IFERROR(--SUBSTITUTE(SUBSTITUTE(TRIM(INDEX($A:$AP,ROW(),$G$6)),",",""),"원",""),0))))</f>
        <v/>
      </c>
      <c r="AV406" s="23">
        <f>IF($AS406="","",IF($H$6="",$AT406+$AU406,IF($H$6="",0,IF(ISNUMBER(INDEX($A:$AP,ROW(),$H$6)),INDEX($A:$AP,ROW(),$H$6),IFERROR(--SUBSTITUTE(SUBSTITUTE(TRIM(INDEX($A:$AP,ROW(),$H$6)),",",""),"원",""),0)))))</f>
        <v/>
      </c>
      <c r="AW406" s="2">
        <f>IF(OR($AS406="",$C$6=""),"",TRIM(INDEX($A:$AP,ROW(),$C$6)&amp;""))</f>
        <v/>
      </c>
      <c r="AX406" s="2">
        <f>IF($AS406="","",IF($AZ406&lt;&gt;"",SUBSTITUTE(SUBSTITUTE($AZ406,"-","")," ",""),$AY406))</f>
        <v/>
      </c>
      <c r="AY406" s="2">
        <f>IF(OR($AS406="",$E$6=""),"",TRIM(INDEX($A:$AP,ROW(),$E$6)&amp;""))</f>
        <v/>
      </c>
      <c r="AZ406" s="2">
        <f>IF(OR($AS406="",$D$6=""),"",TRIM(INDEX($A:$AP,ROW(),$D$6)&amp;""))</f>
        <v/>
      </c>
      <c r="BA406" s="2">
        <f>IF($AS406="","",IF(AND($AS406&gt;=설정!$B$10,$AS406&lt;=설정!$B$11),"포함","기간 밖"))</f>
        <v/>
      </c>
      <c r="BB406" s="2">
        <f>IF($AS406="","",IF(OR($AT406&lt;0,AND($I$6&lt;&gt;"",ISNUMBER(FIND("수정",INDEX($A:$AP,ROW(),IF($I$6="",1,$I$6))&amp;"")))),"수정","일반"))</f>
        <v/>
      </c>
      <c r="BC406" s="2">
        <f>IF($AS406="","",MID(IF($BA406="기간 밖"," / 기간 밖(신고기간 아님)","")&amp;IF(AND($AW406&lt;&gt;"",COUNTIF($AW$8:$AW$1007,$AW406)&gt;1)," / 승인번호 중복(두 번 붙여넣기?)","")&amp;IF(ABS($AU406-ROUND($AT406*0.1,0))&gt;설정!$B$8,IF($AU406=0," / 세액 0원(영세율·면세 여부 확인)"," / 세액이 공급가액 10%와 다름"),"")&amp;IF($BB406="수정"," / 수정세금계산서(합계에서 자동 가감)",""),4,200))</f>
        <v/>
      </c>
      <c r="BD406" s="2">
        <f>IF($BA406&lt;&gt;"포함","",IF(COUNTIFS($AX$8:$AX406,$AX406,$BA$8:$BA406,"포함")=1,MAX($BD$7:BD405)+1,""))</f>
        <v/>
      </c>
      <c r="BE406" s="2">
        <f>IF($BC406="","",MAX($BE$7:BE405)+1)</f>
        <v/>
      </c>
    </row>
    <row r="407">
      <c r="AR407" s="2">
        <f>IF(OR($A$5="",$B$6="",ROW()&lt;$A$5),"",IF(INDEX($A:$AP,ROW(),$B$6)="","",INDEX($A:$AP,ROW(),$B$6)))</f>
        <v/>
      </c>
      <c r="AS407" s="22">
        <f>IF($AR407="","",IF(ISNUMBER($AR407),IF($AR407&gt;=10000000,IFERROR(DATE(INT($AR407/10000),MOD(INT($AR407/100),100),MOD($AR407,100)),""),INT($AR407)),IFERROR(DATE(--LEFT(LEFT(SUBSTITUTE(SUBSTITUTE(SUBSTITUTE(SUBSTITUTE(TRIM($AR407),"-",""),".",""),"/","")," ",""),8),4),--MID(LEFT(SUBSTITUTE(SUBSTITUTE(SUBSTITUTE(SUBSTITUTE(TRIM($AR407),"-",""),".",""),"/","")," ",""),8),5,2),--MID(LEFT(SUBSTITUTE(SUBSTITUTE(SUBSTITUTE(SUBSTITUTE(TRIM($AR407),"-",""),".",""),"/","")," ",""),8),7,2)),"")))</f>
        <v/>
      </c>
      <c r="AT407" s="23">
        <f>IF($AS407="","",IF($F$6="",0,IF(ISNUMBER(INDEX($A:$AP,ROW(),$F$6)),INDEX($A:$AP,ROW(),$F$6),IFERROR(--SUBSTITUTE(SUBSTITUTE(TRIM(INDEX($A:$AP,ROW(),$F$6)),",",""),"원",""),0))))</f>
        <v/>
      </c>
      <c r="AU407" s="23">
        <f>IF($AS407="","",IF($G$6="",0,IF(ISNUMBER(INDEX($A:$AP,ROW(),$G$6)),INDEX($A:$AP,ROW(),$G$6),IFERROR(--SUBSTITUTE(SUBSTITUTE(TRIM(INDEX($A:$AP,ROW(),$G$6)),",",""),"원",""),0))))</f>
        <v/>
      </c>
      <c r="AV407" s="23">
        <f>IF($AS407="","",IF($H$6="",$AT407+$AU407,IF($H$6="",0,IF(ISNUMBER(INDEX($A:$AP,ROW(),$H$6)),INDEX($A:$AP,ROW(),$H$6),IFERROR(--SUBSTITUTE(SUBSTITUTE(TRIM(INDEX($A:$AP,ROW(),$H$6)),",",""),"원",""),0)))))</f>
        <v/>
      </c>
      <c r="AW407" s="2">
        <f>IF(OR($AS407="",$C$6=""),"",TRIM(INDEX($A:$AP,ROW(),$C$6)&amp;""))</f>
        <v/>
      </c>
      <c r="AX407" s="2">
        <f>IF($AS407="","",IF($AZ407&lt;&gt;"",SUBSTITUTE(SUBSTITUTE($AZ407,"-","")," ",""),$AY407))</f>
        <v/>
      </c>
      <c r="AY407" s="2">
        <f>IF(OR($AS407="",$E$6=""),"",TRIM(INDEX($A:$AP,ROW(),$E$6)&amp;""))</f>
        <v/>
      </c>
      <c r="AZ407" s="2">
        <f>IF(OR($AS407="",$D$6=""),"",TRIM(INDEX($A:$AP,ROW(),$D$6)&amp;""))</f>
        <v/>
      </c>
      <c r="BA407" s="2">
        <f>IF($AS407="","",IF(AND($AS407&gt;=설정!$B$10,$AS407&lt;=설정!$B$11),"포함","기간 밖"))</f>
        <v/>
      </c>
      <c r="BB407" s="2">
        <f>IF($AS407="","",IF(OR($AT407&lt;0,AND($I$6&lt;&gt;"",ISNUMBER(FIND("수정",INDEX($A:$AP,ROW(),IF($I$6="",1,$I$6))&amp;"")))),"수정","일반"))</f>
        <v/>
      </c>
      <c r="BC407" s="2">
        <f>IF($AS407="","",MID(IF($BA407="기간 밖"," / 기간 밖(신고기간 아님)","")&amp;IF(AND($AW407&lt;&gt;"",COUNTIF($AW$8:$AW$1007,$AW407)&gt;1)," / 승인번호 중복(두 번 붙여넣기?)","")&amp;IF(ABS($AU407-ROUND($AT407*0.1,0))&gt;설정!$B$8,IF($AU407=0," / 세액 0원(영세율·면세 여부 확인)"," / 세액이 공급가액 10%와 다름"),"")&amp;IF($BB407="수정"," / 수정세금계산서(합계에서 자동 가감)",""),4,200))</f>
        <v/>
      </c>
      <c r="BD407" s="2">
        <f>IF($BA407&lt;&gt;"포함","",IF(COUNTIFS($AX$8:$AX407,$AX407,$BA$8:$BA407,"포함")=1,MAX($BD$7:BD406)+1,""))</f>
        <v/>
      </c>
      <c r="BE407" s="2">
        <f>IF($BC407="","",MAX($BE$7:BE406)+1)</f>
        <v/>
      </c>
    </row>
    <row r="408">
      <c r="AR408" s="2">
        <f>IF(OR($A$5="",$B$6="",ROW()&lt;$A$5),"",IF(INDEX($A:$AP,ROW(),$B$6)="","",INDEX($A:$AP,ROW(),$B$6)))</f>
        <v/>
      </c>
      <c r="AS408" s="22">
        <f>IF($AR408="","",IF(ISNUMBER($AR408),IF($AR408&gt;=10000000,IFERROR(DATE(INT($AR408/10000),MOD(INT($AR408/100),100),MOD($AR408,100)),""),INT($AR408)),IFERROR(DATE(--LEFT(LEFT(SUBSTITUTE(SUBSTITUTE(SUBSTITUTE(SUBSTITUTE(TRIM($AR408),"-",""),".",""),"/","")," ",""),8),4),--MID(LEFT(SUBSTITUTE(SUBSTITUTE(SUBSTITUTE(SUBSTITUTE(TRIM($AR408),"-",""),".",""),"/","")," ",""),8),5,2),--MID(LEFT(SUBSTITUTE(SUBSTITUTE(SUBSTITUTE(SUBSTITUTE(TRIM($AR408),"-",""),".",""),"/","")," ",""),8),7,2)),"")))</f>
        <v/>
      </c>
      <c r="AT408" s="23">
        <f>IF($AS408="","",IF($F$6="",0,IF(ISNUMBER(INDEX($A:$AP,ROW(),$F$6)),INDEX($A:$AP,ROW(),$F$6),IFERROR(--SUBSTITUTE(SUBSTITUTE(TRIM(INDEX($A:$AP,ROW(),$F$6)),",",""),"원",""),0))))</f>
        <v/>
      </c>
      <c r="AU408" s="23">
        <f>IF($AS408="","",IF($G$6="",0,IF(ISNUMBER(INDEX($A:$AP,ROW(),$G$6)),INDEX($A:$AP,ROW(),$G$6),IFERROR(--SUBSTITUTE(SUBSTITUTE(TRIM(INDEX($A:$AP,ROW(),$G$6)),",",""),"원",""),0))))</f>
        <v/>
      </c>
      <c r="AV408" s="23">
        <f>IF($AS408="","",IF($H$6="",$AT408+$AU408,IF($H$6="",0,IF(ISNUMBER(INDEX($A:$AP,ROW(),$H$6)),INDEX($A:$AP,ROW(),$H$6),IFERROR(--SUBSTITUTE(SUBSTITUTE(TRIM(INDEX($A:$AP,ROW(),$H$6)),",",""),"원",""),0)))))</f>
        <v/>
      </c>
      <c r="AW408" s="2">
        <f>IF(OR($AS408="",$C$6=""),"",TRIM(INDEX($A:$AP,ROW(),$C$6)&amp;""))</f>
        <v/>
      </c>
      <c r="AX408" s="2">
        <f>IF($AS408="","",IF($AZ408&lt;&gt;"",SUBSTITUTE(SUBSTITUTE($AZ408,"-","")," ",""),$AY408))</f>
        <v/>
      </c>
      <c r="AY408" s="2">
        <f>IF(OR($AS408="",$E$6=""),"",TRIM(INDEX($A:$AP,ROW(),$E$6)&amp;""))</f>
        <v/>
      </c>
      <c r="AZ408" s="2">
        <f>IF(OR($AS408="",$D$6=""),"",TRIM(INDEX($A:$AP,ROW(),$D$6)&amp;""))</f>
        <v/>
      </c>
      <c r="BA408" s="2">
        <f>IF($AS408="","",IF(AND($AS408&gt;=설정!$B$10,$AS408&lt;=설정!$B$11),"포함","기간 밖"))</f>
        <v/>
      </c>
      <c r="BB408" s="2">
        <f>IF($AS408="","",IF(OR($AT408&lt;0,AND($I$6&lt;&gt;"",ISNUMBER(FIND("수정",INDEX($A:$AP,ROW(),IF($I$6="",1,$I$6))&amp;"")))),"수정","일반"))</f>
        <v/>
      </c>
      <c r="BC408" s="2">
        <f>IF($AS408="","",MID(IF($BA408="기간 밖"," / 기간 밖(신고기간 아님)","")&amp;IF(AND($AW408&lt;&gt;"",COUNTIF($AW$8:$AW$1007,$AW408)&gt;1)," / 승인번호 중복(두 번 붙여넣기?)","")&amp;IF(ABS($AU408-ROUND($AT408*0.1,0))&gt;설정!$B$8,IF($AU408=0," / 세액 0원(영세율·면세 여부 확인)"," / 세액이 공급가액 10%와 다름"),"")&amp;IF($BB408="수정"," / 수정세금계산서(합계에서 자동 가감)",""),4,200))</f>
        <v/>
      </c>
      <c r="BD408" s="2">
        <f>IF($BA408&lt;&gt;"포함","",IF(COUNTIFS($AX$8:$AX408,$AX408,$BA$8:$BA408,"포함")=1,MAX($BD$7:BD407)+1,""))</f>
        <v/>
      </c>
      <c r="BE408" s="2">
        <f>IF($BC408="","",MAX($BE$7:BE407)+1)</f>
        <v/>
      </c>
    </row>
    <row r="409">
      <c r="AR409" s="2">
        <f>IF(OR($A$5="",$B$6="",ROW()&lt;$A$5),"",IF(INDEX($A:$AP,ROW(),$B$6)="","",INDEX($A:$AP,ROW(),$B$6)))</f>
        <v/>
      </c>
      <c r="AS409" s="22">
        <f>IF($AR409="","",IF(ISNUMBER($AR409),IF($AR409&gt;=10000000,IFERROR(DATE(INT($AR409/10000),MOD(INT($AR409/100),100),MOD($AR409,100)),""),INT($AR409)),IFERROR(DATE(--LEFT(LEFT(SUBSTITUTE(SUBSTITUTE(SUBSTITUTE(SUBSTITUTE(TRIM($AR409),"-",""),".",""),"/","")," ",""),8),4),--MID(LEFT(SUBSTITUTE(SUBSTITUTE(SUBSTITUTE(SUBSTITUTE(TRIM($AR409),"-",""),".",""),"/","")," ",""),8),5,2),--MID(LEFT(SUBSTITUTE(SUBSTITUTE(SUBSTITUTE(SUBSTITUTE(TRIM($AR409),"-",""),".",""),"/","")," ",""),8),7,2)),"")))</f>
        <v/>
      </c>
      <c r="AT409" s="23">
        <f>IF($AS409="","",IF($F$6="",0,IF(ISNUMBER(INDEX($A:$AP,ROW(),$F$6)),INDEX($A:$AP,ROW(),$F$6),IFERROR(--SUBSTITUTE(SUBSTITUTE(TRIM(INDEX($A:$AP,ROW(),$F$6)),",",""),"원",""),0))))</f>
        <v/>
      </c>
      <c r="AU409" s="23">
        <f>IF($AS409="","",IF($G$6="",0,IF(ISNUMBER(INDEX($A:$AP,ROW(),$G$6)),INDEX($A:$AP,ROW(),$G$6),IFERROR(--SUBSTITUTE(SUBSTITUTE(TRIM(INDEX($A:$AP,ROW(),$G$6)),",",""),"원",""),0))))</f>
        <v/>
      </c>
      <c r="AV409" s="23">
        <f>IF($AS409="","",IF($H$6="",$AT409+$AU409,IF($H$6="",0,IF(ISNUMBER(INDEX($A:$AP,ROW(),$H$6)),INDEX($A:$AP,ROW(),$H$6),IFERROR(--SUBSTITUTE(SUBSTITUTE(TRIM(INDEX($A:$AP,ROW(),$H$6)),",",""),"원",""),0)))))</f>
        <v/>
      </c>
      <c r="AW409" s="2">
        <f>IF(OR($AS409="",$C$6=""),"",TRIM(INDEX($A:$AP,ROW(),$C$6)&amp;""))</f>
        <v/>
      </c>
      <c r="AX409" s="2">
        <f>IF($AS409="","",IF($AZ409&lt;&gt;"",SUBSTITUTE(SUBSTITUTE($AZ409,"-","")," ",""),$AY409))</f>
        <v/>
      </c>
      <c r="AY409" s="2">
        <f>IF(OR($AS409="",$E$6=""),"",TRIM(INDEX($A:$AP,ROW(),$E$6)&amp;""))</f>
        <v/>
      </c>
      <c r="AZ409" s="2">
        <f>IF(OR($AS409="",$D$6=""),"",TRIM(INDEX($A:$AP,ROW(),$D$6)&amp;""))</f>
        <v/>
      </c>
      <c r="BA409" s="2">
        <f>IF($AS409="","",IF(AND($AS409&gt;=설정!$B$10,$AS409&lt;=설정!$B$11),"포함","기간 밖"))</f>
        <v/>
      </c>
      <c r="BB409" s="2">
        <f>IF($AS409="","",IF(OR($AT409&lt;0,AND($I$6&lt;&gt;"",ISNUMBER(FIND("수정",INDEX($A:$AP,ROW(),IF($I$6="",1,$I$6))&amp;"")))),"수정","일반"))</f>
        <v/>
      </c>
      <c r="BC409" s="2">
        <f>IF($AS409="","",MID(IF($BA409="기간 밖"," / 기간 밖(신고기간 아님)","")&amp;IF(AND($AW409&lt;&gt;"",COUNTIF($AW$8:$AW$1007,$AW409)&gt;1)," / 승인번호 중복(두 번 붙여넣기?)","")&amp;IF(ABS($AU409-ROUND($AT409*0.1,0))&gt;설정!$B$8,IF($AU409=0," / 세액 0원(영세율·면세 여부 확인)"," / 세액이 공급가액 10%와 다름"),"")&amp;IF($BB409="수정"," / 수정세금계산서(합계에서 자동 가감)",""),4,200))</f>
        <v/>
      </c>
      <c r="BD409" s="2">
        <f>IF($BA409&lt;&gt;"포함","",IF(COUNTIFS($AX$8:$AX409,$AX409,$BA$8:$BA409,"포함")=1,MAX($BD$7:BD408)+1,""))</f>
        <v/>
      </c>
      <c r="BE409" s="2">
        <f>IF($BC409="","",MAX($BE$7:BE408)+1)</f>
        <v/>
      </c>
    </row>
    <row r="410">
      <c r="AR410" s="2">
        <f>IF(OR($A$5="",$B$6="",ROW()&lt;$A$5),"",IF(INDEX($A:$AP,ROW(),$B$6)="","",INDEX($A:$AP,ROW(),$B$6)))</f>
        <v/>
      </c>
      <c r="AS410" s="22">
        <f>IF($AR410="","",IF(ISNUMBER($AR410),IF($AR410&gt;=10000000,IFERROR(DATE(INT($AR410/10000),MOD(INT($AR410/100),100),MOD($AR410,100)),""),INT($AR410)),IFERROR(DATE(--LEFT(LEFT(SUBSTITUTE(SUBSTITUTE(SUBSTITUTE(SUBSTITUTE(TRIM($AR410),"-",""),".",""),"/","")," ",""),8),4),--MID(LEFT(SUBSTITUTE(SUBSTITUTE(SUBSTITUTE(SUBSTITUTE(TRIM($AR410),"-",""),".",""),"/","")," ",""),8),5,2),--MID(LEFT(SUBSTITUTE(SUBSTITUTE(SUBSTITUTE(SUBSTITUTE(TRIM($AR410),"-",""),".",""),"/","")," ",""),8),7,2)),"")))</f>
        <v/>
      </c>
      <c r="AT410" s="23">
        <f>IF($AS410="","",IF($F$6="",0,IF(ISNUMBER(INDEX($A:$AP,ROW(),$F$6)),INDEX($A:$AP,ROW(),$F$6),IFERROR(--SUBSTITUTE(SUBSTITUTE(TRIM(INDEX($A:$AP,ROW(),$F$6)),",",""),"원",""),0))))</f>
        <v/>
      </c>
      <c r="AU410" s="23">
        <f>IF($AS410="","",IF($G$6="",0,IF(ISNUMBER(INDEX($A:$AP,ROW(),$G$6)),INDEX($A:$AP,ROW(),$G$6),IFERROR(--SUBSTITUTE(SUBSTITUTE(TRIM(INDEX($A:$AP,ROW(),$G$6)),",",""),"원",""),0))))</f>
        <v/>
      </c>
      <c r="AV410" s="23">
        <f>IF($AS410="","",IF($H$6="",$AT410+$AU410,IF($H$6="",0,IF(ISNUMBER(INDEX($A:$AP,ROW(),$H$6)),INDEX($A:$AP,ROW(),$H$6),IFERROR(--SUBSTITUTE(SUBSTITUTE(TRIM(INDEX($A:$AP,ROW(),$H$6)),",",""),"원",""),0)))))</f>
        <v/>
      </c>
      <c r="AW410" s="2">
        <f>IF(OR($AS410="",$C$6=""),"",TRIM(INDEX($A:$AP,ROW(),$C$6)&amp;""))</f>
        <v/>
      </c>
      <c r="AX410" s="2">
        <f>IF($AS410="","",IF($AZ410&lt;&gt;"",SUBSTITUTE(SUBSTITUTE($AZ410,"-","")," ",""),$AY410))</f>
        <v/>
      </c>
      <c r="AY410" s="2">
        <f>IF(OR($AS410="",$E$6=""),"",TRIM(INDEX($A:$AP,ROW(),$E$6)&amp;""))</f>
        <v/>
      </c>
      <c r="AZ410" s="2">
        <f>IF(OR($AS410="",$D$6=""),"",TRIM(INDEX($A:$AP,ROW(),$D$6)&amp;""))</f>
        <v/>
      </c>
      <c r="BA410" s="2">
        <f>IF($AS410="","",IF(AND($AS410&gt;=설정!$B$10,$AS410&lt;=설정!$B$11),"포함","기간 밖"))</f>
        <v/>
      </c>
      <c r="BB410" s="2">
        <f>IF($AS410="","",IF(OR($AT410&lt;0,AND($I$6&lt;&gt;"",ISNUMBER(FIND("수정",INDEX($A:$AP,ROW(),IF($I$6="",1,$I$6))&amp;"")))),"수정","일반"))</f>
        <v/>
      </c>
      <c r="BC410" s="2">
        <f>IF($AS410="","",MID(IF($BA410="기간 밖"," / 기간 밖(신고기간 아님)","")&amp;IF(AND($AW410&lt;&gt;"",COUNTIF($AW$8:$AW$1007,$AW410)&gt;1)," / 승인번호 중복(두 번 붙여넣기?)","")&amp;IF(ABS($AU410-ROUND($AT410*0.1,0))&gt;설정!$B$8,IF($AU410=0," / 세액 0원(영세율·면세 여부 확인)"," / 세액이 공급가액 10%와 다름"),"")&amp;IF($BB410="수정"," / 수정세금계산서(합계에서 자동 가감)",""),4,200))</f>
        <v/>
      </c>
      <c r="BD410" s="2">
        <f>IF($BA410&lt;&gt;"포함","",IF(COUNTIFS($AX$8:$AX410,$AX410,$BA$8:$BA410,"포함")=1,MAX($BD$7:BD409)+1,""))</f>
        <v/>
      </c>
      <c r="BE410" s="2">
        <f>IF($BC410="","",MAX($BE$7:BE409)+1)</f>
        <v/>
      </c>
    </row>
    <row r="411">
      <c r="AR411" s="2">
        <f>IF(OR($A$5="",$B$6="",ROW()&lt;$A$5),"",IF(INDEX($A:$AP,ROW(),$B$6)="","",INDEX($A:$AP,ROW(),$B$6)))</f>
        <v/>
      </c>
      <c r="AS411" s="22">
        <f>IF($AR411="","",IF(ISNUMBER($AR411),IF($AR411&gt;=10000000,IFERROR(DATE(INT($AR411/10000),MOD(INT($AR411/100),100),MOD($AR411,100)),""),INT($AR411)),IFERROR(DATE(--LEFT(LEFT(SUBSTITUTE(SUBSTITUTE(SUBSTITUTE(SUBSTITUTE(TRIM($AR411),"-",""),".",""),"/","")," ",""),8),4),--MID(LEFT(SUBSTITUTE(SUBSTITUTE(SUBSTITUTE(SUBSTITUTE(TRIM($AR411),"-",""),".",""),"/","")," ",""),8),5,2),--MID(LEFT(SUBSTITUTE(SUBSTITUTE(SUBSTITUTE(SUBSTITUTE(TRIM($AR411),"-",""),".",""),"/","")," ",""),8),7,2)),"")))</f>
        <v/>
      </c>
      <c r="AT411" s="23">
        <f>IF($AS411="","",IF($F$6="",0,IF(ISNUMBER(INDEX($A:$AP,ROW(),$F$6)),INDEX($A:$AP,ROW(),$F$6),IFERROR(--SUBSTITUTE(SUBSTITUTE(TRIM(INDEX($A:$AP,ROW(),$F$6)),",",""),"원",""),0))))</f>
        <v/>
      </c>
      <c r="AU411" s="23">
        <f>IF($AS411="","",IF($G$6="",0,IF(ISNUMBER(INDEX($A:$AP,ROW(),$G$6)),INDEX($A:$AP,ROW(),$G$6),IFERROR(--SUBSTITUTE(SUBSTITUTE(TRIM(INDEX($A:$AP,ROW(),$G$6)),",",""),"원",""),0))))</f>
        <v/>
      </c>
      <c r="AV411" s="23">
        <f>IF($AS411="","",IF($H$6="",$AT411+$AU411,IF($H$6="",0,IF(ISNUMBER(INDEX($A:$AP,ROW(),$H$6)),INDEX($A:$AP,ROW(),$H$6),IFERROR(--SUBSTITUTE(SUBSTITUTE(TRIM(INDEX($A:$AP,ROW(),$H$6)),",",""),"원",""),0)))))</f>
        <v/>
      </c>
      <c r="AW411" s="2">
        <f>IF(OR($AS411="",$C$6=""),"",TRIM(INDEX($A:$AP,ROW(),$C$6)&amp;""))</f>
        <v/>
      </c>
      <c r="AX411" s="2">
        <f>IF($AS411="","",IF($AZ411&lt;&gt;"",SUBSTITUTE(SUBSTITUTE($AZ411,"-","")," ",""),$AY411))</f>
        <v/>
      </c>
      <c r="AY411" s="2">
        <f>IF(OR($AS411="",$E$6=""),"",TRIM(INDEX($A:$AP,ROW(),$E$6)&amp;""))</f>
        <v/>
      </c>
      <c r="AZ411" s="2">
        <f>IF(OR($AS411="",$D$6=""),"",TRIM(INDEX($A:$AP,ROW(),$D$6)&amp;""))</f>
        <v/>
      </c>
      <c r="BA411" s="2">
        <f>IF($AS411="","",IF(AND($AS411&gt;=설정!$B$10,$AS411&lt;=설정!$B$11),"포함","기간 밖"))</f>
        <v/>
      </c>
      <c r="BB411" s="2">
        <f>IF($AS411="","",IF(OR($AT411&lt;0,AND($I$6&lt;&gt;"",ISNUMBER(FIND("수정",INDEX($A:$AP,ROW(),IF($I$6="",1,$I$6))&amp;"")))),"수정","일반"))</f>
        <v/>
      </c>
      <c r="BC411" s="2">
        <f>IF($AS411="","",MID(IF($BA411="기간 밖"," / 기간 밖(신고기간 아님)","")&amp;IF(AND($AW411&lt;&gt;"",COUNTIF($AW$8:$AW$1007,$AW411)&gt;1)," / 승인번호 중복(두 번 붙여넣기?)","")&amp;IF(ABS($AU411-ROUND($AT411*0.1,0))&gt;설정!$B$8,IF($AU411=0," / 세액 0원(영세율·면세 여부 확인)"," / 세액이 공급가액 10%와 다름"),"")&amp;IF($BB411="수정"," / 수정세금계산서(합계에서 자동 가감)",""),4,200))</f>
        <v/>
      </c>
      <c r="BD411" s="2">
        <f>IF($BA411&lt;&gt;"포함","",IF(COUNTIFS($AX$8:$AX411,$AX411,$BA$8:$BA411,"포함")=1,MAX($BD$7:BD410)+1,""))</f>
        <v/>
      </c>
      <c r="BE411" s="2">
        <f>IF($BC411="","",MAX($BE$7:BE410)+1)</f>
        <v/>
      </c>
    </row>
    <row r="412">
      <c r="AR412" s="2">
        <f>IF(OR($A$5="",$B$6="",ROW()&lt;$A$5),"",IF(INDEX($A:$AP,ROW(),$B$6)="","",INDEX($A:$AP,ROW(),$B$6)))</f>
        <v/>
      </c>
      <c r="AS412" s="22">
        <f>IF($AR412="","",IF(ISNUMBER($AR412),IF($AR412&gt;=10000000,IFERROR(DATE(INT($AR412/10000),MOD(INT($AR412/100),100),MOD($AR412,100)),""),INT($AR412)),IFERROR(DATE(--LEFT(LEFT(SUBSTITUTE(SUBSTITUTE(SUBSTITUTE(SUBSTITUTE(TRIM($AR412),"-",""),".",""),"/","")," ",""),8),4),--MID(LEFT(SUBSTITUTE(SUBSTITUTE(SUBSTITUTE(SUBSTITUTE(TRIM($AR412),"-",""),".",""),"/","")," ",""),8),5,2),--MID(LEFT(SUBSTITUTE(SUBSTITUTE(SUBSTITUTE(SUBSTITUTE(TRIM($AR412),"-",""),".",""),"/","")," ",""),8),7,2)),"")))</f>
        <v/>
      </c>
      <c r="AT412" s="23">
        <f>IF($AS412="","",IF($F$6="",0,IF(ISNUMBER(INDEX($A:$AP,ROW(),$F$6)),INDEX($A:$AP,ROW(),$F$6),IFERROR(--SUBSTITUTE(SUBSTITUTE(TRIM(INDEX($A:$AP,ROW(),$F$6)),",",""),"원",""),0))))</f>
        <v/>
      </c>
      <c r="AU412" s="23">
        <f>IF($AS412="","",IF($G$6="",0,IF(ISNUMBER(INDEX($A:$AP,ROW(),$G$6)),INDEX($A:$AP,ROW(),$G$6),IFERROR(--SUBSTITUTE(SUBSTITUTE(TRIM(INDEX($A:$AP,ROW(),$G$6)),",",""),"원",""),0))))</f>
        <v/>
      </c>
      <c r="AV412" s="23">
        <f>IF($AS412="","",IF($H$6="",$AT412+$AU412,IF($H$6="",0,IF(ISNUMBER(INDEX($A:$AP,ROW(),$H$6)),INDEX($A:$AP,ROW(),$H$6),IFERROR(--SUBSTITUTE(SUBSTITUTE(TRIM(INDEX($A:$AP,ROW(),$H$6)),",",""),"원",""),0)))))</f>
        <v/>
      </c>
      <c r="AW412" s="2">
        <f>IF(OR($AS412="",$C$6=""),"",TRIM(INDEX($A:$AP,ROW(),$C$6)&amp;""))</f>
        <v/>
      </c>
      <c r="AX412" s="2">
        <f>IF($AS412="","",IF($AZ412&lt;&gt;"",SUBSTITUTE(SUBSTITUTE($AZ412,"-","")," ",""),$AY412))</f>
        <v/>
      </c>
      <c r="AY412" s="2">
        <f>IF(OR($AS412="",$E$6=""),"",TRIM(INDEX($A:$AP,ROW(),$E$6)&amp;""))</f>
        <v/>
      </c>
      <c r="AZ412" s="2">
        <f>IF(OR($AS412="",$D$6=""),"",TRIM(INDEX($A:$AP,ROW(),$D$6)&amp;""))</f>
        <v/>
      </c>
      <c r="BA412" s="2">
        <f>IF($AS412="","",IF(AND($AS412&gt;=설정!$B$10,$AS412&lt;=설정!$B$11),"포함","기간 밖"))</f>
        <v/>
      </c>
      <c r="BB412" s="2">
        <f>IF($AS412="","",IF(OR($AT412&lt;0,AND($I$6&lt;&gt;"",ISNUMBER(FIND("수정",INDEX($A:$AP,ROW(),IF($I$6="",1,$I$6))&amp;"")))),"수정","일반"))</f>
        <v/>
      </c>
      <c r="BC412" s="2">
        <f>IF($AS412="","",MID(IF($BA412="기간 밖"," / 기간 밖(신고기간 아님)","")&amp;IF(AND($AW412&lt;&gt;"",COUNTIF($AW$8:$AW$1007,$AW412)&gt;1)," / 승인번호 중복(두 번 붙여넣기?)","")&amp;IF(ABS($AU412-ROUND($AT412*0.1,0))&gt;설정!$B$8,IF($AU412=0," / 세액 0원(영세율·면세 여부 확인)"," / 세액이 공급가액 10%와 다름"),"")&amp;IF($BB412="수정"," / 수정세금계산서(합계에서 자동 가감)",""),4,200))</f>
        <v/>
      </c>
      <c r="BD412" s="2">
        <f>IF($BA412&lt;&gt;"포함","",IF(COUNTIFS($AX$8:$AX412,$AX412,$BA$8:$BA412,"포함")=1,MAX($BD$7:BD411)+1,""))</f>
        <v/>
      </c>
      <c r="BE412" s="2">
        <f>IF($BC412="","",MAX($BE$7:BE411)+1)</f>
        <v/>
      </c>
    </row>
    <row r="413">
      <c r="AR413" s="2">
        <f>IF(OR($A$5="",$B$6="",ROW()&lt;$A$5),"",IF(INDEX($A:$AP,ROW(),$B$6)="","",INDEX($A:$AP,ROW(),$B$6)))</f>
        <v/>
      </c>
      <c r="AS413" s="22">
        <f>IF($AR413="","",IF(ISNUMBER($AR413),IF($AR413&gt;=10000000,IFERROR(DATE(INT($AR413/10000),MOD(INT($AR413/100),100),MOD($AR413,100)),""),INT($AR413)),IFERROR(DATE(--LEFT(LEFT(SUBSTITUTE(SUBSTITUTE(SUBSTITUTE(SUBSTITUTE(TRIM($AR413),"-",""),".",""),"/","")," ",""),8),4),--MID(LEFT(SUBSTITUTE(SUBSTITUTE(SUBSTITUTE(SUBSTITUTE(TRIM($AR413),"-",""),".",""),"/","")," ",""),8),5,2),--MID(LEFT(SUBSTITUTE(SUBSTITUTE(SUBSTITUTE(SUBSTITUTE(TRIM($AR413),"-",""),".",""),"/","")," ",""),8),7,2)),"")))</f>
        <v/>
      </c>
      <c r="AT413" s="23">
        <f>IF($AS413="","",IF($F$6="",0,IF(ISNUMBER(INDEX($A:$AP,ROW(),$F$6)),INDEX($A:$AP,ROW(),$F$6),IFERROR(--SUBSTITUTE(SUBSTITUTE(TRIM(INDEX($A:$AP,ROW(),$F$6)),",",""),"원",""),0))))</f>
        <v/>
      </c>
      <c r="AU413" s="23">
        <f>IF($AS413="","",IF($G$6="",0,IF(ISNUMBER(INDEX($A:$AP,ROW(),$G$6)),INDEX($A:$AP,ROW(),$G$6),IFERROR(--SUBSTITUTE(SUBSTITUTE(TRIM(INDEX($A:$AP,ROW(),$G$6)),",",""),"원",""),0))))</f>
        <v/>
      </c>
      <c r="AV413" s="23">
        <f>IF($AS413="","",IF($H$6="",$AT413+$AU413,IF($H$6="",0,IF(ISNUMBER(INDEX($A:$AP,ROW(),$H$6)),INDEX($A:$AP,ROW(),$H$6),IFERROR(--SUBSTITUTE(SUBSTITUTE(TRIM(INDEX($A:$AP,ROW(),$H$6)),",",""),"원",""),0)))))</f>
        <v/>
      </c>
      <c r="AW413" s="2">
        <f>IF(OR($AS413="",$C$6=""),"",TRIM(INDEX($A:$AP,ROW(),$C$6)&amp;""))</f>
        <v/>
      </c>
      <c r="AX413" s="2">
        <f>IF($AS413="","",IF($AZ413&lt;&gt;"",SUBSTITUTE(SUBSTITUTE($AZ413,"-","")," ",""),$AY413))</f>
        <v/>
      </c>
      <c r="AY413" s="2">
        <f>IF(OR($AS413="",$E$6=""),"",TRIM(INDEX($A:$AP,ROW(),$E$6)&amp;""))</f>
        <v/>
      </c>
      <c r="AZ413" s="2">
        <f>IF(OR($AS413="",$D$6=""),"",TRIM(INDEX($A:$AP,ROW(),$D$6)&amp;""))</f>
        <v/>
      </c>
      <c r="BA413" s="2">
        <f>IF($AS413="","",IF(AND($AS413&gt;=설정!$B$10,$AS413&lt;=설정!$B$11),"포함","기간 밖"))</f>
        <v/>
      </c>
      <c r="BB413" s="2">
        <f>IF($AS413="","",IF(OR($AT413&lt;0,AND($I$6&lt;&gt;"",ISNUMBER(FIND("수정",INDEX($A:$AP,ROW(),IF($I$6="",1,$I$6))&amp;"")))),"수정","일반"))</f>
        <v/>
      </c>
      <c r="BC413" s="2">
        <f>IF($AS413="","",MID(IF($BA413="기간 밖"," / 기간 밖(신고기간 아님)","")&amp;IF(AND($AW413&lt;&gt;"",COUNTIF($AW$8:$AW$1007,$AW413)&gt;1)," / 승인번호 중복(두 번 붙여넣기?)","")&amp;IF(ABS($AU413-ROUND($AT413*0.1,0))&gt;설정!$B$8,IF($AU413=0," / 세액 0원(영세율·면세 여부 확인)"," / 세액이 공급가액 10%와 다름"),"")&amp;IF($BB413="수정"," / 수정세금계산서(합계에서 자동 가감)",""),4,200))</f>
        <v/>
      </c>
      <c r="BD413" s="2">
        <f>IF($BA413&lt;&gt;"포함","",IF(COUNTIFS($AX$8:$AX413,$AX413,$BA$8:$BA413,"포함")=1,MAX($BD$7:BD412)+1,""))</f>
        <v/>
      </c>
      <c r="BE413" s="2">
        <f>IF($BC413="","",MAX($BE$7:BE412)+1)</f>
        <v/>
      </c>
    </row>
    <row r="414">
      <c r="AR414" s="2">
        <f>IF(OR($A$5="",$B$6="",ROW()&lt;$A$5),"",IF(INDEX($A:$AP,ROW(),$B$6)="","",INDEX($A:$AP,ROW(),$B$6)))</f>
        <v/>
      </c>
      <c r="AS414" s="22">
        <f>IF($AR414="","",IF(ISNUMBER($AR414),IF($AR414&gt;=10000000,IFERROR(DATE(INT($AR414/10000),MOD(INT($AR414/100),100),MOD($AR414,100)),""),INT($AR414)),IFERROR(DATE(--LEFT(LEFT(SUBSTITUTE(SUBSTITUTE(SUBSTITUTE(SUBSTITUTE(TRIM($AR414),"-",""),".",""),"/","")," ",""),8),4),--MID(LEFT(SUBSTITUTE(SUBSTITUTE(SUBSTITUTE(SUBSTITUTE(TRIM($AR414),"-",""),".",""),"/","")," ",""),8),5,2),--MID(LEFT(SUBSTITUTE(SUBSTITUTE(SUBSTITUTE(SUBSTITUTE(TRIM($AR414),"-",""),".",""),"/","")," ",""),8),7,2)),"")))</f>
        <v/>
      </c>
      <c r="AT414" s="23">
        <f>IF($AS414="","",IF($F$6="",0,IF(ISNUMBER(INDEX($A:$AP,ROW(),$F$6)),INDEX($A:$AP,ROW(),$F$6),IFERROR(--SUBSTITUTE(SUBSTITUTE(TRIM(INDEX($A:$AP,ROW(),$F$6)),",",""),"원",""),0))))</f>
        <v/>
      </c>
      <c r="AU414" s="23">
        <f>IF($AS414="","",IF($G$6="",0,IF(ISNUMBER(INDEX($A:$AP,ROW(),$G$6)),INDEX($A:$AP,ROW(),$G$6),IFERROR(--SUBSTITUTE(SUBSTITUTE(TRIM(INDEX($A:$AP,ROW(),$G$6)),",",""),"원",""),0))))</f>
        <v/>
      </c>
      <c r="AV414" s="23">
        <f>IF($AS414="","",IF($H$6="",$AT414+$AU414,IF($H$6="",0,IF(ISNUMBER(INDEX($A:$AP,ROW(),$H$6)),INDEX($A:$AP,ROW(),$H$6),IFERROR(--SUBSTITUTE(SUBSTITUTE(TRIM(INDEX($A:$AP,ROW(),$H$6)),",",""),"원",""),0)))))</f>
        <v/>
      </c>
      <c r="AW414" s="2">
        <f>IF(OR($AS414="",$C$6=""),"",TRIM(INDEX($A:$AP,ROW(),$C$6)&amp;""))</f>
        <v/>
      </c>
      <c r="AX414" s="2">
        <f>IF($AS414="","",IF($AZ414&lt;&gt;"",SUBSTITUTE(SUBSTITUTE($AZ414,"-","")," ",""),$AY414))</f>
        <v/>
      </c>
      <c r="AY414" s="2">
        <f>IF(OR($AS414="",$E$6=""),"",TRIM(INDEX($A:$AP,ROW(),$E$6)&amp;""))</f>
        <v/>
      </c>
      <c r="AZ414" s="2">
        <f>IF(OR($AS414="",$D$6=""),"",TRIM(INDEX($A:$AP,ROW(),$D$6)&amp;""))</f>
        <v/>
      </c>
      <c r="BA414" s="2">
        <f>IF($AS414="","",IF(AND($AS414&gt;=설정!$B$10,$AS414&lt;=설정!$B$11),"포함","기간 밖"))</f>
        <v/>
      </c>
      <c r="BB414" s="2">
        <f>IF($AS414="","",IF(OR($AT414&lt;0,AND($I$6&lt;&gt;"",ISNUMBER(FIND("수정",INDEX($A:$AP,ROW(),IF($I$6="",1,$I$6))&amp;"")))),"수정","일반"))</f>
        <v/>
      </c>
      <c r="BC414" s="2">
        <f>IF($AS414="","",MID(IF($BA414="기간 밖"," / 기간 밖(신고기간 아님)","")&amp;IF(AND($AW414&lt;&gt;"",COUNTIF($AW$8:$AW$1007,$AW414)&gt;1)," / 승인번호 중복(두 번 붙여넣기?)","")&amp;IF(ABS($AU414-ROUND($AT414*0.1,0))&gt;설정!$B$8,IF($AU414=0," / 세액 0원(영세율·면세 여부 확인)"," / 세액이 공급가액 10%와 다름"),"")&amp;IF($BB414="수정"," / 수정세금계산서(합계에서 자동 가감)",""),4,200))</f>
        <v/>
      </c>
      <c r="BD414" s="2">
        <f>IF($BA414&lt;&gt;"포함","",IF(COUNTIFS($AX$8:$AX414,$AX414,$BA$8:$BA414,"포함")=1,MAX($BD$7:BD413)+1,""))</f>
        <v/>
      </c>
      <c r="BE414" s="2">
        <f>IF($BC414="","",MAX($BE$7:BE413)+1)</f>
        <v/>
      </c>
    </row>
    <row r="415">
      <c r="AR415" s="2">
        <f>IF(OR($A$5="",$B$6="",ROW()&lt;$A$5),"",IF(INDEX($A:$AP,ROW(),$B$6)="","",INDEX($A:$AP,ROW(),$B$6)))</f>
        <v/>
      </c>
      <c r="AS415" s="22">
        <f>IF($AR415="","",IF(ISNUMBER($AR415),IF($AR415&gt;=10000000,IFERROR(DATE(INT($AR415/10000),MOD(INT($AR415/100),100),MOD($AR415,100)),""),INT($AR415)),IFERROR(DATE(--LEFT(LEFT(SUBSTITUTE(SUBSTITUTE(SUBSTITUTE(SUBSTITUTE(TRIM($AR415),"-",""),".",""),"/","")," ",""),8),4),--MID(LEFT(SUBSTITUTE(SUBSTITUTE(SUBSTITUTE(SUBSTITUTE(TRIM($AR415),"-",""),".",""),"/","")," ",""),8),5,2),--MID(LEFT(SUBSTITUTE(SUBSTITUTE(SUBSTITUTE(SUBSTITUTE(TRIM($AR415),"-",""),".",""),"/","")," ",""),8),7,2)),"")))</f>
        <v/>
      </c>
      <c r="AT415" s="23">
        <f>IF($AS415="","",IF($F$6="",0,IF(ISNUMBER(INDEX($A:$AP,ROW(),$F$6)),INDEX($A:$AP,ROW(),$F$6),IFERROR(--SUBSTITUTE(SUBSTITUTE(TRIM(INDEX($A:$AP,ROW(),$F$6)),",",""),"원",""),0))))</f>
        <v/>
      </c>
      <c r="AU415" s="23">
        <f>IF($AS415="","",IF($G$6="",0,IF(ISNUMBER(INDEX($A:$AP,ROW(),$G$6)),INDEX($A:$AP,ROW(),$G$6),IFERROR(--SUBSTITUTE(SUBSTITUTE(TRIM(INDEX($A:$AP,ROW(),$G$6)),",",""),"원",""),0))))</f>
        <v/>
      </c>
      <c r="AV415" s="23">
        <f>IF($AS415="","",IF($H$6="",$AT415+$AU415,IF($H$6="",0,IF(ISNUMBER(INDEX($A:$AP,ROW(),$H$6)),INDEX($A:$AP,ROW(),$H$6),IFERROR(--SUBSTITUTE(SUBSTITUTE(TRIM(INDEX($A:$AP,ROW(),$H$6)),",",""),"원",""),0)))))</f>
        <v/>
      </c>
      <c r="AW415" s="2">
        <f>IF(OR($AS415="",$C$6=""),"",TRIM(INDEX($A:$AP,ROW(),$C$6)&amp;""))</f>
        <v/>
      </c>
      <c r="AX415" s="2">
        <f>IF($AS415="","",IF($AZ415&lt;&gt;"",SUBSTITUTE(SUBSTITUTE($AZ415,"-","")," ",""),$AY415))</f>
        <v/>
      </c>
      <c r="AY415" s="2">
        <f>IF(OR($AS415="",$E$6=""),"",TRIM(INDEX($A:$AP,ROW(),$E$6)&amp;""))</f>
        <v/>
      </c>
      <c r="AZ415" s="2">
        <f>IF(OR($AS415="",$D$6=""),"",TRIM(INDEX($A:$AP,ROW(),$D$6)&amp;""))</f>
        <v/>
      </c>
      <c r="BA415" s="2">
        <f>IF($AS415="","",IF(AND($AS415&gt;=설정!$B$10,$AS415&lt;=설정!$B$11),"포함","기간 밖"))</f>
        <v/>
      </c>
      <c r="BB415" s="2">
        <f>IF($AS415="","",IF(OR($AT415&lt;0,AND($I$6&lt;&gt;"",ISNUMBER(FIND("수정",INDEX($A:$AP,ROW(),IF($I$6="",1,$I$6))&amp;"")))),"수정","일반"))</f>
        <v/>
      </c>
      <c r="BC415" s="2">
        <f>IF($AS415="","",MID(IF($BA415="기간 밖"," / 기간 밖(신고기간 아님)","")&amp;IF(AND($AW415&lt;&gt;"",COUNTIF($AW$8:$AW$1007,$AW415)&gt;1)," / 승인번호 중복(두 번 붙여넣기?)","")&amp;IF(ABS($AU415-ROUND($AT415*0.1,0))&gt;설정!$B$8,IF($AU415=0," / 세액 0원(영세율·면세 여부 확인)"," / 세액이 공급가액 10%와 다름"),"")&amp;IF($BB415="수정"," / 수정세금계산서(합계에서 자동 가감)",""),4,200))</f>
        <v/>
      </c>
      <c r="BD415" s="2">
        <f>IF($BA415&lt;&gt;"포함","",IF(COUNTIFS($AX$8:$AX415,$AX415,$BA$8:$BA415,"포함")=1,MAX($BD$7:BD414)+1,""))</f>
        <v/>
      </c>
      <c r="BE415" s="2">
        <f>IF($BC415="","",MAX($BE$7:BE414)+1)</f>
        <v/>
      </c>
    </row>
    <row r="416">
      <c r="AR416" s="2">
        <f>IF(OR($A$5="",$B$6="",ROW()&lt;$A$5),"",IF(INDEX($A:$AP,ROW(),$B$6)="","",INDEX($A:$AP,ROW(),$B$6)))</f>
        <v/>
      </c>
      <c r="AS416" s="22">
        <f>IF($AR416="","",IF(ISNUMBER($AR416),IF($AR416&gt;=10000000,IFERROR(DATE(INT($AR416/10000),MOD(INT($AR416/100),100),MOD($AR416,100)),""),INT($AR416)),IFERROR(DATE(--LEFT(LEFT(SUBSTITUTE(SUBSTITUTE(SUBSTITUTE(SUBSTITUTE(TRIM($AR416),"-",""),".",""),"/","")," ",""),8),4),--MID(LEFT(SUBSTITUTE(SUBSTITUTE(SUBSTITUTE(SUBSTITUTE(TRIM($AR416),"-",""),".",""),"/","")," ",""),8),5,2),--MID(LEFT(SUBSTITUTE(SUBSTITUTE(SUBSTITUTE(SUBSTITUTE(TRIM($AR416),"-",""),".",""),"/","")," ",""),8),7,2)),"")))</f>
        <v/>
      </c>
      <c r="AT416" s="23">
        <f>IF($AS416="","",IF($F$6="",0,IF(ISNUMBER(INDEX($A:$AP,ROW(),$F$6)),INDEX($A:$AP,ROW(),$F$6),IFERROR(--SUBSTITUTE(SUBSTITUTE(TRIM(INDEX($A:$AP,ROW(),$F$6)),",",""),"원",""),0))))</f>
        <v/>
      </c>
      <c r="AU416" s="23">
        <f>IF($AS416="","",IF($G$6="",0,IF(ISNUMBER(INDEX($A:$AP,ROW(),$G$6)),INDEX($A:$AP,ROW(),$G$6),IFERROR(--SUBSTITUTE(SUBSTITUTE(TRIM(INDEX($A:$AP,ROW(),$G$6)),",",""),"원",""),0))))</f>
        <v/>
      </c>
      <c r="AV416" s="23">
        <f>IF($AS416="","",IF($H$6="",$AT416+$AU416,IF($H$6="",0,IF(ISNUMBER(INDEX($A:$AP,ROW(),$H$6)),INDEX($A:$AP,ROW(),$H$6),IFERROR(--SUBSTITUTE(SUBSTITUTE(TRIM(INDEX($A:$AP,ROW(),$H$6)),",",""),"원",""),0)))))</f>
        <v/>
      </c>
      <c r="AW416" s="2">
        <f>IF(OR($AS416="",$C$6=""),"",TRIM(INDEX($A:$AP,ROW(),$C$6)&amp;""))</f>
        <v/>
      </c>
      <c r="AX416" s="2">
        <f>IF($AS416="","",IF($AZ416&lt;&gt;"",SUBSTITUTE(SUBSTITUTE($AZ416,"-","")," ",""),$AY416))</f>
        <v/>
      </c>
      <c r="AY416" s="2">
        <f>IF(OR($AS416="",$E$6=""),"",TRIM(INDEX($A:$AP,ROW(),$E$6)&amp;""))</f>
        <v/>
      </c>
      <c r="AZ416" s="2">
        <f>IF(OR($AS416="",$D$6=""),"",TRIM(INDEX($A:$AP,ROW(),$D$6)&amp;""))</f>
        <v/>
      </c>
      <c r="BA416" s="2">
        <f>IF($AS416="","",IF(AND($AS416&gt;=설정!$B$10,$AS416&lt;=설정!$B$11),"포함","기간 밖"))</f>
        <v/>
      </c>
      <c r="BB416" s="2">
        <f>IF($AS416="","",IF(OR($AT416&lt;0,AND($I$6&lt;&gt;"",ISNUMBER(FIND("수정",INDEX($A:$AP,ROW(),IF($I$6="",1,$I$6))&amp;"")))),"수정","일반"))</f>
        <v/>
      </c>
      <c r="BC416" s="2">
        <f>IF($AS416="","",MID(IF($BA416="기간 밖"," / 기간 밖(신고기간 아님)","")&amp;IF(AND($AW416&lt;&gt;"",COUNTIF($AW$8:$AW$1007,$AW416)&gt;1)," / 승인번호 중복(두 번 붙여넣기?)","")&amp;IF(ABS($AU416-ROUND($AT416*0.1,0))&gt;설정!$B$8,IF($AU416=0," / 세액 0원(영세율·면세 여부 확인)"," / 세액이 공급가액 10%와 다름"),"")&amp;IF($BB416="수정"," / 수정세금계산서(합계에서 자동 가감)",""),4,200))</f>
        <v/>
      </c>
      <c r="BD416" s="2">
        <f>IF($BA416&lt;&gt;"포함","",IF(COUNTIFS($AX$8:$AX416,$AX416,$BA$8:$BA416,"포함")=1,MAX($BD$7:BD415)+1,""))</f>
        <v/>
      </c>
      <c r="BE416" s="2">
        <f>IF($BC416="","",MAX($BE$7:BE415)+1)</f>
        <v/>
      </c>
    </row>
    <row r="417">
      <c r="AR417" s="2">
        <f>IF(OR($A$5="",$B$6="",ROW()&lt;$A$5),"",IF(INDEX($A:$AP,ROW(),$B$6)="","",INDEX($A:$AP,ROW(),$B$6)))</f>
        <v/>
      </c>
      <c r="AS417" s="22">
        <f>IF($AR417="","",IF(ISNUMBER($AR417),IF($AR417&gt;=10000000,IFERROR(DATE(INT($AR417/10000),MOD(INT($AR417/100),100),MOD($AR417,100)),""),INT($AR417)),IFERROR(DATE(--LEFT(LEFT(SUBSTITUTE(SUBSTITUTE(SUBSTITUTE(SUBSTITUTE(TRIM($AR417),"-",""),".",""),"/","")," ",""),8),4),--MID(LEFT(SUBSTITUTE(SUBSTITUTE(SUBSTITUTE(SUBSTITUTE(TRIM($AR417),"-",""),".",""),"/","")," ",""),8),5,2),--MID(LEFT(SUBSTITUTE(SUBSTITUTE(SUBSTITUTE(SUBSTITUTE(TRIM($AR417),"-",""),".",""),"/","")," ",""),8),7,2)),"")))</f>
        <v/>
      </c>
      <c r="AT417" s="23">
        <f>IF($AS417="","",IF($F$6="",0,IF(ISNUMBER(INDEX($A:$AP,ROW(),$F$6)),INDEX($A:$AP,ROW(),$F$6),IFERROR(--SUBSTITUTE(SUBSTITUTE(TRIM(INDEX($A:$AP,ROW(),$F$6)),",",""),"원",""),0))))</f>
        <v/>
      </c>
      <c r="AU417" s="23">
        <f>IF($AS417="","",IF($G$6="",0,IF(ISNUMBER(INDEX($A:$AP,ROW(),$G$6)),INDEX($A:$AP,ROW(),$G$6),IFERROR(--SUBSTITUTE(SUBSTITUTE(TRIM(INDEX($A:$AP,ROW(),$G$6)),",",""),"원",""),0))))</f>
        <v/>
      </c>
      <c r="AV417" s="23">
        <f>IF($AS417="","",IF($H$6="",$AT417+$AU417,IF($H$6="",0,IF(ISNUMBER(INDEX($A:$AP,ROW(),$H$6)),INDEX($A:$AP,ROW(),$H$6),IFERROR(--SUBSTITUTE(SUBSTITUTE(TRIM(INDEX($A:$AP,ROW(),$H$6)),",",""),"원",""),0)))))</f>
        <v/>
      </c>
      <c r="AW417" s="2">
        <f>IF(OR($AS417="",$C$6=""),"",TRIM(INDEX($A:$AP,ROW(),$C$6)&amp;""))</f>
        <v/>
      </c>
      <c r="AX417" s="2">
        <f>IF($AS417="","",IF($AZ417&lt;&gt;"",SUBSTITUTE(SUBSTITUTE($AZ417,"-","")," ",""),$AY417))</f>
        <v/>
      </c>
      <c r="AY417" s="2">
        <f>IF(OR($AS417="",$E$6=""),"",TRIM(INDEX($A:$AP,ROW(),$E$6)&amp;""))</f>
        <v/>
      </c>
      <c r="AZ417" s="2">
        <f>IF(OR($AS417="",$D$6=""),"",TRIM(INDEX($A:$AP,ROW(),$D$6)&amp;""))</f>
        <v/>
      </c>
      <c r="BA417" s="2">
        <f>IF($AS417="","",IF(AND($AS417&gt;=설정!$B$10,$AS417&lt;=설정!$B$11),"포함","기간 밖"))</f>
        <v/>
      </c>
      <c r="BB417" s="2">
        <f>IF($AS417="","",IF(OR($AT417&lt;0,AND($I$6&lt;&gt;"",ISNUMBER(FIND("수정",INDEX($A:$AP,ROW(),IF($I$6="",1,$I$6))&amp;"")))),"수정","일반"))</f>
        <v/>
      </c>
      <c r="BC417" s="2">
        <f>IF($AS417="","",MID(IF($BA417="기간 밖"," / 기간 밖(신고기간 아님)","")&amp;IF(AND($AW417&lt;&gt;"",COUNTIF($AW$8:$AW$1007,$AW417)&gt;1)," / 승인번호 중복(두 번 붙여넣기?)","")&amp;IF(ABS($AU417-ROUND($AT417*0.1,0))&gt;설정!$B$8,IF($AU417=0," / 세액 0원(영세율·면세 여부 확인)"," / 세액이 공급가액 10%와 다름"),"")&amp;IF($BB417="수정"," / 수정세금계산서(합계에서 자동 가감)",""),4,200))</f>
        <v/>
      </c>
      <c r="BD417" s="2">
        <f>IF($BA417&lt;&gt;"포함","",IF(COUNTIFS($AX$8:$AX417,$AX417,$BA$8:$BA417,"포함")=1,MAX($BD$7:BD416)+1,""))</f>
        <v/>
      </c>
      <c r="BE417" s="2">
        <f>IF($BC417="","",MAX($BE$7:BE416)+1)</f>
        <v/>
      </c>
    </row>
    <row r="418">
      <c r="AR418" s="2">
        <f>IF(OR($A$5="",$B$6="",ROW()&lt;$A$5),"",IF(INDEX($A:$AP,ROW(),$B$6)="","",INDEX($A:$AP,ROW(),$B$6)))</f>
        <v/>
      </c>
      <c r="AS418" s="22">
        <f>IF($AR418="","",IF(ISNUMBER($AR418),IF($AR418&gt;=10000000,IFERROR(DATE(INT($AR418/10000),MOD(INT($AR418/100),100),MOD($AR418,100)),""),INT($AR418)),IFERROR(DATE(--LEFT(LEFT(SUBSTITUTE(SUBSTITUTE(SUBSTITUTE(SUBSTITUTE(TRIM($AR418),"-",""),".",""),"/","")," ",""),8),4),--MID(LEFT(SUBSTITUTE(SUBSTITUTE(SUBSTITUTE(SUBSTITUTE(TRIM($AR418),"-",""),".",""),"/","")," ",""),8),5,2),--MID(LEFT(SUBSTITUTE(SUBSTITUTE(SUBSTITUTE(SUBSTITUTE(TRIM($AR418),"-",""),".",""),"/","")," ",""),8),7,2)),"")))</f>
        <v/>
      </c>
      <c r="AT418" s="23">
        <f>IF($AS418="","",IF($F$6="",0,IF(ISNUMBER(INDEX($A:$AP,ROW(),$F$6)),INDEX($A:$AP,ROW(),$F$6),IFERROR(--SUBSTITUTE(SUBSTITUTE(TRIM(INDEX($A:$AP,ROW(),$F$6)),",",""),"원",""),0))))</f>
        <v/>
      </c>
      <c r="AU418" s="23">
        <f>IF($AS418="","",IF($G$6="",0,IF(ISNUMBER(INDEX($A:$AP,ROW(),$G$6)),INDEX($A:$AP,ROW(),$G$6),IFERROR(--SUBSTITUTE(SUBSTITUTE(TRIM(INDEX($A:$AP,ROW(),$G$6)),",",""),"원",""),0))))</f>
        <v/>
      </c>
      <c r="AV418" s="23">
        <f>IF($AS418="","",IF($H$6="",$AT418+$AU418,IF($H$6="",0,IF(ISNUMBER(INDEX($A:$AP,ROW(),$H$6)),INDEX($A:$AP,ROW(),$H$6),IFERROR(--SUBSTITUTE(SUBSTITUTE(TRIM(INDEX($A:$AP,ROW(),$H$6)),",",""),"원",""),0)))))</f>
        <v/>
      </c>
      <c r="AW418" s="2">
        <f>IF(OR($AS418="",$C$6=""),"",TRIM(INDEX($A:$AP,ROW(),$C$6)&amp;""))</f>
        <v/>
      </c>
      <c r="AX418" s="2">
        <f>IF($AS418="","",IF($AZ418&lt;&gt;"",SUBSTITUTE(SUBSTITUTE($AZ418,"-","")," ",""),$AY418))</f>
        <v/>
      </c>
      <c r="AY418" s="2">
        <f>IF(OR($AS418="",$E$6=""),"",TRIM(INDEX($A:$AP,ROW(),$E$6)&amp;""))</f>
        <v/>
      </c>
      <c r="AZ418" s="2">
        <f>IF(OR($AS418="",$D$6=""),"",TRIM(INDEX($A:$AP,ROW(),$D$6)&amp;""))</f>
        <v/>
      </c>
      <c r="BA418" s="2">
        <f>IF($AS418="","",IF(AND($AS418&gt;=설정!$B$10,$AS418&lt;=설정!$B$11),"포함","기간 밖"))</f>
        <v/>
      </c>
      <c r="BB418" s="2">
        <f>IF($AS418="","",IF(OR($AT418&lt;0,AND($I$6&lt;&gt;"",ISNUMBER(FIND("수정",INDEX($A:$AP,ROW(),IF($I$6="",1,$I$6))&amp;"")))),"수정","일반"))</f>
        <v/>
      </c>
      <c r="BC418" s="2">
        <f>IF($AS418="","",MID(IF($BA418="기간 밖"," / 기간 밖(신고기간 아님)","")&amp;IF(AND($AW418&lt;&gt;"",COUNTIF($AW$8:$AW$1007,$AW418)&gt;1)," / 승인번호 중복(두 번 붙여넣기?)","")&amp;IF(ABS($AU418-ROUND($AT418*0.1,0))&gt;설정!$B$8,IF($AU418=0," / 세액 0원(영세율·면세 여부 확인)"," / 세액이 공급가액 10%와 다름"),"")&amp;IF($BB418="수정"," / 수정세금계산서(합계에서 자동 가감)",""),4,200))</f>
        <v/>
      </c>
      <c r="BD418" s="2">
        <f>IF($BA418&lt;&gt;"포함","",IF(COUNTIFS($AX$8:$AX418,$AX418,$BA$8:$BA418,"포함")=1,MAX($BD$7:BD417)+1,""))</f>
        <v/>
      </c>
      <c r="BE418" s="2">
        <f>IF($BC418="","",MAX($BE$7:BE417)+1)</f>
        <v/>
      </c>
    </row>
    <row r="419">
      <c r="AR419" s="2">
        <f>IF(OR($A$5="",$B$6="",ROW()&lt;$A$5),"",IF(INDEX($A:$AP,ROW(),$B$6)="","",INDEX($A:$AP,ROW(),$B$6)))</f>
        <v/>
      </c>
      <c r="AS419" s="22">
        <f>IF($AR419="","",IF(ISNUMBER($AR419),IF($AR419&gt;=10000000,IFERROR(DATE(INT($AR419/10000),MOD(INT($AR419/100),100),MOD($AR419,100)),""),INT($AR419)),IFERROR(DATE(--LEFT(LEFT(SUBSTITUTE(SUBSTITUTE(SUBSTITUTE(SUBSTITUTE(TRIM($AR419),"-",""),".",""),"/","")," ",""),8),4),--MID(LEFT(SUBSTITUTE(SUBSTITUTE(SUBSTITUTE(SUBSTITUTE(TRIM($AR419),"-",""),".",""),"/","")," ",""),8),5,2),--MID(LEFT(SUBSTITUTE(SUBSTITUTE(SUBSTITUTE(SUBSTITUTE(TRIM($AR419),"-",""),".",""),"/","")," ",""),8),7,2)),"")))</f>
        <v/>
      </c>
      <c r="AT419" s="23">
        <f>IF($AS419="","",IF($F$6="",0,IF(ISNUMBER(INDEX($A:$AP,ROW(),$F$6)),INDEX($A:$AP,ROW(),$F$6),IFERROR(--SUBSTITUTE(SUBSTITUTE(TRIM(INDEX($A:$AP,ROW(),$F$6)),",",""),"원",""),0))))</f>
        <v/>
      </c>
      <c r="AU419" s="23">
        <f>IF($AS419="","",IF($G$6="",0,IF(ISNUMBER(INDEX($A:$AP,ROW(),$G$6)),INDEX($A:$AP,ROW(),$G$6),IFERROR(--SUBSTITUTE(SUBSTITUTE(TRIM(INDEX($A:$AP,ROW(),$G$6)),",",""),"원",""),0))))</f>
        <v/>
      </c>
      <c r="AV419" s="23">
        <f>IF($AS419="","",IF($H$6="",$AT419+$AU419,IF($H$6="",0,IF(ISNUMBER(INDEX($A:$AP,ROW(),$H$6)),INDEX($A:$AP,ROW(),$H$6),IFERROR(--SUBSTITUTE(SUBSTITUTE(TRIM(INDEX($A:$AP,ROW(),$H$6)),",",""),"원",""),0)))))</f>
        <v/>
      </c>
      <c r="AW419" s="2">
        <f>IF(OR($AS419="",$C$6=""),"",TRIM(INDEX($A:$AP,ROW(),$C$6)&amp;""))</f>
        <v/>
      </c>
      <c r="AX419" s="2">
        <f>IF($AS419="","",IF($AZ419&lt;&gt;"",SUBSTITUTE(SUBSTITUTE($AZ419,"-","")," ",""),$AY419))</f>
        <v/>
      </c>
      <c r="AY419" s="2">
        <f>IF(OR($AS419="",$E$6=""),"",TRIM(INDEX($A:$AP,ROW(),$E$6)&amp;""))</f>
        <v/>
      </c>
      <c r="AZ419" s="2">
        <f>IF(OR($AS419="",$D$6=""),"",TRIM(INDEX($A:$AP,ROW(),$D$6)&amp;""))</f>
        <v/>
      </c>
      <c r="BA419" s="2">
        <f>IF($AS419="","",IF(AND($AS419&gt;=설정!$B$10,$AS419&lt;=설정!$B$11),"포함","기간 밖"))</f>
        <v/>
      </c>
      <c r="BB419" s="2">
        <f>IF($AS419="","",IF(OR($AT419&lt;0,AND($I$6&lt;&gt;"",ISNUMBER(FIND("수정",INDEX($A:$AP,ROW(),IF($I$6="",1,$I$6))&amp;"")))),"수정","일반"))</f>
        <v/>
      </c>
      <c r="BC419" s="2">
        <f>IF($AS419="","",MID(IF($BA419="기간 밖"," / 기간 밖(신고기간 아님)","")&amp;IF(AND($AW419&lt;&gt;"",COUNTIF($AW$8:$AW$1007,$AW419)&gt;1)," / 승인번호 중복(두 번 붙여넣기?)","")&amp;IF(ABS($AU419-ROUND($AT419*0.1,0))&gt;설정!$B$8,IF($AU419=0," / 세액 0원(영세율·면세 여부 확인)"," / 세액이 공급가액 10%와 다름"),"")&amp;IF($BB419="수정"," / 수정세금계산서(합계에서 자동 가감)",""),4,200))</f>
        <v/>
      </c>
      <c r="BD419" s="2">
        <f>IF($BA419&lt;&gt;"포함","",IF(COUNTIFS($AX$8:$AX419,$AX419,$BA$8:$BA419,"포함")=1,MAX($BD$7:BD418)+1,""))</f>
        <v/>
      </c>
      <c r="BE419" s="2">
        <f>IF($BC419="","",MAX($BE$7:BE418)+1)</f>
        <v/>
      </c>
    </row>
    <row r="420">
      <c r="AR420" s="2">
        <f>IF(OR($A$5="",$B$6="",ROW()&lt;$A$5),"",IF(INDEX($A:$AP,ROW(),$B$6)="","",INDEX($A:$AP,ROW(),$B$6)))</f>
        <v/>
      </c>
      <c r="AS420" s="22">
        <f>IF($AR420="","",IF(ISNUMBER($AR420),IF($AR420&gt;=10000000,IFERROR(DATE(INT($AR420/10000),MOD(INT($AR420/100),100),MOD($AR420,100)),""),INT($AR420)),IFERROR(DATE(--LEFT(LEFT(SUBSTITUTE(SUBSTITUTE(SUBSTITUTE(SUBSTITUTE(TRIM($AR420),"-",""),".",""),"/","")," ",""),8),4),--MID(LEFT(SUBSTITUTE(SUBSTITUTE(SUBSTITUTE(SUBSTITUTE(TRIM($AR420),"-",""),".",""),"/","")," ",""),8),5,2),--MID(LEFT(SUBSTITUTE(SUBSTITUTE(SUBSTITUTE(SUBSTITUTE(TRIM($AR420),"-",""),".",""),"/","")," ",""),8),7,2)),"")))</f>
        <v/>
      </c>
      <c r="AT420" s="23">
        <f>IF($AS420="","",IF($F$6="",0,IF(ISNUMBER(INDEX($A:$AP,ROW(),$F$6)),INDEX($A:$AP,ROW(),$F$6),IFERROR(--SUBSTITUTE(SUBSTITUTE(TRIM(INDEX($A:$AP,ROW(),$F$6)),",",""),"원",""),0))))</f>
        <v/>
      </c>
      <c r="AU420" s="23">
        <f>IF($AS420="","",IF($G$6="",0,IF(ISNUMBER(INDEX($A:$AP,ROW(),$G$6)),INDEX($A:$AP,ROW(),$G$6),IFERROR(--SUBSTITUTE(SUBSTITUTE(TRIM(INDEX($A:$AP,ROW(),$G$6)),",",""),"원",""),0))))</f>
        <v/>
      </c>
      <c r="AV420" s="23">
        <f>IF($AS420="","",IF($H$6="",$AT420+$AU420,IF($H$6="",0,IF(ISNUMBER(INDEX($A:$AP,ROW(),$H$6)),INDEX($A:$AP,ROW(),$H$6),IFERROR(--SUBSTITUTE(SUBSTITUTE(TRIM(INDEX($A:$AP,ROW(),$H$6)),",",""),"원",""),0)))))</f>
        <v/>
      </c>
      <c r="AW420" s="2">
        <f>IF(OR($AS420="",$C$6=""),"",TRIM(INDEX($A:$AP,ROW(),$C$6)&amp;""))</f>
        <v/>
      </c>
      <c r="AX420" s="2">
        <f>IF($AS420="","",IF($AZ420&lt;&gt;"",SUBSTITUTE(SUBSTITUTE($AZ420,"-","")," ",""),$AY420))</f>
        <v/>
      </c>
      <c r="AY420" s="2">
        <f>IF(OR($AS420="",$E$6=""),"",TRIM(INDEX($A:$AP,ROW(),$E$6)&amp;""))</f>
        <v/>
      </c>
      <c r="AZ420" s="2">
        <f>IF(OR($AS420="",$D$6=""),"",TRIM(INDEX($A:$AP,ROW(),$D$6)&amp;""))</f>
        <v/>
      </c>
      <c r="BA420" s="2">
        <f>IF($AS420="","",IF(AND($AS420&gt;=설정!$B$10,$AS420&lt;=설정!$B$11),"포함","기간 밖"))</f>
        <v/>
      </c>
      <c r="BB420" s="2">
        <f>IF($AS420="","",IF(OR($AT420&lt;0,AND($I$6&lt;&gt;"",ISNUMBER(FIND("수정",INDEX($A:$AP,ROW(),IF($I$6="",1,$I$6))&amp;"")))),"수정","일반"))</f>
        <v/>
      </c>
      <c r="BC420" s="2">
        <f>IF($AS420="","",MID(IF($BA420="기간 밖"," / 기간 밖(신고기간 아님)","")&amp;IF(AND($AW420&lt;&gt;"",COUNTIF($AW$8:$AW$1007,$AW420)&gt;1)," / 승인번호 중복(두 번 붙여넣기?)","")&amp;IF(ABS($AU420-ROUND($AT420*0.1,0))&gt;설정!$B$8,IF($AU420=0," / 세액 0원(영세율·면세 여부 확인)"," / 세액이 공급가액 10%와 다름"),"")&amp;IF($BB420="수정"," / 수정세금계산서(합계에서 자동 가감)",""),4,200))</f>
        <v/>
      </c>
      <c r="BD420" s="2">
        <f>IF($BA420&lt;&gt;"포함","",IF(COUNTIFS($AX$8:$AX420,$AX420,$BA$8:$BA420,"포함")=1,MAX($BD$7:BD419)+1,""))</f>
        <v/>
      </c>
      <c r="BE420" s="2">
        <f>IF($BC420="","",MAX($BE$7:BE419)+1)</f>
        <v/>
      </c>
    </row>
    <row r="421">
      <c r="AR421" s="2">
        <f>IF(OR($A$5="",$B$6="",ROW()&lt;$A$5),"",IF(INDEX($A:$AP,ROW(),$B$6)="","",INDEX($A:$AP,ROW(),$B$6)))</f>
        <v/>
      </c>
      <c r="AS421" s="22">
        <f>IF($AR421="","",IF(ISNUMBER($AR421),IF($AR421&gt;=10000000,IFERROR(DATE(INT($AR421/10000),MOD(INT($AR421/100),100),MOD($AR421,100)),""),INT($AR421)),IFERROR(DATE(--LEFT(LEFT(SUBSTITUTE(SUBSTITUTE(SUBSTITUTE(SUBSTITUTE(TRIM($AR421),"-",""),".",""),"/","")," ",""),8),4),--MID(LEFT(SUBSTITUTE(SUBSTITUTE(SUBSTITUTE(SUBSTITUTE(TRIM($AR421),"-",""),".",""),"/","")," ",""),8),5,2),--MID(LEFT(SUBSTITUTE(SUBSTITUTE(SUBSTITUTE(SUBSTITUTE(TRIM($AR421),"-",""),".",""),"/","")," ",""),8),7,2)),"")))</f>
        <v/>
      </c>
      <c r="AT421" s="23">
        <f>IF($AS421="","",IF($F$6="",0,IF(ISNUMBER(INDEX($A:$AP,ROW(),$F$6)),INDEX($A:$AP,ROW(),$F$6),IFERROR(--SUBSTITUTE(SUBSTITUTE(TRIM(INDEX($A:$AP,ROW(),$F$6)),",",""),"원",""),0))))</f>
        <v/>
      </c>
      <c r="AU421" s="23">
        <f>IF($AS421="","",IF($G$6="",0,IF(ISNUMBER(INDEX($A:$AP,ROW(),$G$6)),INDEX($A:$AP,ROW(),$G$6),IFERROR(--SUBSTITUTE(SUBSTITUTE(TRIM(INDEX($A:$AP,ROW(),$G$6)),",",""),"원",""),0))))</f>
        <v/>
      </c>
      <c r="AV421" s="23">
        <f>IF($AS421="","",IF($H$6="",$AT421+$AU421,IF($H$6="",0,IF(ISNUMBER(INDEX($A:$AP,ROW(),$H$6)),INDEX($A:$AP,ROW(),$H$6),IFERROR(--SUBSTITUTE(SUBSTITUTE(TRIM(INDEX($A:$AP,ROW(),$H$6)),",",""),"원",""),0)))))</f>
        <v/>
      </c>
      <c r="AW421" s="2">
        <f>IF(OR($AS421="",$C$6=""),"",TRIM(INDEX($A:$AP,ROW(),$C$6)&amp;""))</f>
        <v/>
      </c>
      <c r="AX421" s="2">
        <f>IF($AS421="","",IF($AZ421&lt;&gt;"",SUBSTITUTE(SUBSTITUTE($AZ421,"-","")," ",""),$AY421))</f>
        <v/>
      </c>
      <c r="AY421" s="2">
        <f>IF(OR($AS421="",$E$6=""),"",TRIM(INDEX($A:$AP,ROW(),$E$6)&amp;""))</f>
        <v/>
      </c>
      <c r="AZ421" s="2">
        <f>IF(OR($AS421="",$D$6=""),"",TRIM(INDEX($A:$AP,ROW(),$D$6)&amp;""))</f>
        <v/>
      </c>
      <c r="BA421" s="2">
        <f>IF($AS421="","",IF(AND($AS421&gt;=설정!$B$10,$AS421&lt;=설정!$B$11),"포함","기간 밖"))</f>
        <v/>
      </c>
      <c r="BB421" s="2">
        <f>IF($AS421="","",IF(OR($AT421&lt;0,AND($I$6&lt;&gt;"",ISNUMBER(FIND("수정",INDEX($A:$AP,ROW(),IF($I$6="",1,$I$6))&amp;"")))),"수정","일반"))</f>
        <v/>
      </c>
      <c r="BC421" s="2">
        <f>IF($AS421="","",MID(IF($BA421="기간 밖"," / 기간 밖(신고기간 아님)","")&amp;IF(AND($AW421&lt;&gt;"",COUNTIF($AW$8:$AW$1007,$AW421)&gt;1)," / 승인번호 중복(두 번 붙여넣기?)","")&amp;IF(ABS($AU421-ROUND($AT421*0.1,0))&gt;설정!$B$8,IF($AU421=0," / 세액 0원(영세율·면세 여부 확인)"," / 세액이 공급가액 10%와 다름"),"")&amp;IF($BB421="수정"," / 수정세금계산서(합계에서 자동 가감)",""),4,200))</f>
        <v/>
      </c>
      <c r="BD421" s="2">
        <f>IF($BA421&lt;&gt;"포함","",IF(COUNTIFS($AX$8:$AX421,$AX421,$BA$8:$BA421,"포함")=1,MAX($BD$7:BD420)+1,""))</f>
        <v/>
      </c>
      <c r="BE421" s="2">
        <f>IF($BC421="","",MAX($BE$7:BE420)+1)</f>
        <v/>
      </c>
    </row>
    <row r="422">
      <c r="AR422" s="2">
        <f>IF(OR($A$5="",$B$6="",ROW()&lt;$A$5),"",IF(INDEX($A:$AP,ROW(),$B$6)="","",INDEX($A:$AP,ROW(),$B$6)))</f>
        <v/>
      </c>
      <c r="AS422" s="22">
        <f>IF($AR422="","",IF(ISNUMBER($AR422),IF($AR422&gt;=10000000,IFERROR(DATE(INT($AR422/10000),MOD(INT($AR422/100),100),MOD($AR422,100)),""),INT($AR422)),IFERROR(DATE(--LEFT(LEFT(SUBSTITUTE(SUBSTITUTE(SUBSTITUTE(SUBSTITUTE(TRIM($AR422),"-",""),".",""),"/","")," ",""),8),4),--MID(LEFT(SUBSTITUTE(SUBSTITUTE(SUBSTITUTE(SUBSTITUTE(TRIM($AR422),"-",""),".",""),"/","")," ",""),8),5,2),--MID(LEFT(SUBSTITUTE(SUBSTITUTE(SUBSTITUTE(SUBSTITUTE(TRIM($AR422),"-",""),".",""),"/","")," ",""),8),7,2)),"")))</f>
        <v/>
      </c>
      <c r="AT422" s="23">
        <f>IF($AS422="","",IF($F$6="",0,IF(ISNUMBER(INDEX($A:$AP,ROW(),$F$6)),INDEX($A:$AP,ROW(),$F$6),IFERROR(--SUBSTITUTE(SUBSTITUTE(TRIM(INDEX($A:$AP,ROW(),$F$6)),",",""),"원",""),0))))</f>
        <v/>
      </c>
      <c r="AU422" s="23">
        <f>IF($AS422="","",IF($G$6="",0,IF(ISNUMBER(INDEX($A:$AP,ROW(),$G$6)),INDEX($A:$AP,ROW(),$G$6),IFERROR(--SUBSTITUTE(SUBSTITUTE(TRIM(INDEX($A:$AP,ROW(),$G$6)),",",""),"원",""),0))))</f>
        <v/>
      </c>
      <c r="AV422" s="23">
        <f>IF($AS422="","",IF($H$6="",$AT422+$AU422,IF($H$6="",0,IF(ISNUMBER(INDEX($A:$AP,ROW(),$H$6)),INDEX($A:$AP,ROW(),$H$6),IFERROR(--SUBSTITUTE(SUBSTITUTE(TRIM(INDEX($A:$AP,ROW(),$H$6)),",",""),"원",""),0)))))</f>
        <v/>
      </c>
      <c r="AW422" s="2">
        <f>IF(OR($AS422="",$C$6=""),"",TRIM(INDEX($A:$AP,ROW(),$C$6)&amp;""))</f>
        <v/>
      </c>
      <c r="AX422" s="2">
        <f>IF($AS422="","",IF($AZ422&lt;&gt;"",SUBSTITUTE(SUBSTITUTE($AZ422,"-","")," ",""),$AY422))</f>
        <v/>
      </c>
      <c r="AY422" s="2">
        <f>IF(OR($AS422="",$E$6=""),"",TRIM(INDEX($A:$AP,ROW(),$E$6)&amp;""))</f>
        <v/>
      </c>
      <c r="AZ422" s="2">
        <f>IF(OR($AS422="",$D$6=""),"",TRIM(INDEX($A:$AP,ROW(),$D$6)&amp;""))</f>
        <v/>
      </c>
      <c r="BA422" s="2">
        <f>IF($AS422="","",IF(AND($AS422&gt;=설정!$B$10,$AS422&lt;=설정!$B$11),"포함","기간 밖"))</f>
        <v/>
      </c>
      <c r="BB422" s="2">
        <f>IF($AS422="","",IF(OR($AT422&lt;0,AND($I$6&lt;&gt;"",ISNUMBER(FIND("수정",INDEX($A:$AP,ROW(),IF($I$6="",1,$I$6))&amp;"")))),"수정","일반"))</f>
        <v/>
      </c>
      <c r="BC422" s="2">
        <f>IF($AS422="","",MID(IF($BA422="기간 밖"," / 기간 밖(신고기간 아님)","")&amp;IF(AND($AW422&lt;&gt;"",COUNTIF($AW$8:$AW$1007,$AW422)&gt;1)," / 승인번호 중복(두 번 붙여넣기?)","")&amp;IF(ABS($AU422-ROUND($AT422*0.1,0))&gt;설정!$B$8,IF($AU422=0," / 세액 0원(영세율·면세 여부 확인)"," / 세액이 공급가액 10%와 다름"),"")&amp;IF($BB422="수정"," / 수정세금계산서(합계에서 자동 가감)",""),4,200))</f>
        <v/>
      </c>
      <c r="BD422" s="2">
        <f>IF($BA422&lt;&gt;"포함","",IF(COUNTIFS($AX$8:$AX422,$AX422,$BA$8:$BA422,"포함")=1,MAX($BD$7:BD421)+1,""))</f>
        <v/>
      </c>
      <c r="BE422" s="2">
        <f>IF($BC422="","",MAX($BE$7:BE421)+1)</f>
        <v/>
      </c>
    </row>
    <row r="423">
      <c r="AR423" s="2">
        <f>IF(OR($A$5="",$B$6="",ROW()&lt;$A$5),"",IF(INDEX($A:$AP,ROW(),$B$6)="","",INDEX($A:$AP,ROW(),$B$6)))</f>
        <v/>
      </c>
      <c r="AS423" s="22">
        <f>IF($AR423="","",IF(ISNUMBER($AR423),IF($AR423&gt;=10000000,IFERROR(DATE(INT($AR423/10000),MOD(INT($AR423/100),100),MOD($AR423,100)),""),INT($AR423)),IFERROR(DATE(--LEFT(LEFT(SUBSTITUTE(SUBSTITUTE(SUBSTITUTE(SUBSTITUTE(TRIM($AR423),"-",""),".",""),"/","")," ",""),8),4),--MID(LEFT(SUBSTITUTE(SUBSTITUTE(SUBSTITUTE(SUBSTITUTE(TRIM($AR423),"-",""),".",""),"/","")," ",""),8),5,2),--MID(LEFT(SUBSTITUTE(SUBSTITUTE(SUBSTITUTE(SUBSTITUTE(TRIM($AR423),"-",""),".",""),"/","")," ",""),8),7,2)),"")))</f>
        <v/>
      </c>
      <c r="AT423" s="23">
        <f>IF($AS423="","",IF($F$6="",0,IF(ISNUMBER(INDEX($A:$AP,ROW(),$F$6)),INDEX($A:$AP,ROW(),$F$6),IFERROR(--SUBSTITUTE(SUBSTITUTE(TRIM(INDEX($A:$AP,ROW(),$F$6)),",",""),"원",""),0))))</f>
        <v/>
      </c>
      <c r="AU423" s="23">
        <f>IF($AS423="","",IF($G$6="",0,IF(ISNUMBER(INDEX($A:$AP,ROW(),$G$6)),INDEX($A:$AP,ROW(),$G$6),IFERROR(--SUBSTITUTE(SUBSTITUTE(TRIM(INDEX($A:$AP,ROW(),$G$6)),",",""),"원",""),0))))</f>
        <v/>
      </c>
      <c r="AV423" s="23">
        <f>IF($AS423="","",IF($H$6="",$AT423+$AU423,IF($H$6="",0,IF(ISNUMBER(INDEX($A:$AP,ROW(),$H$6)),INDEX($A:$AP,ROW(),$H$6),IFERROR(--SUBSTITUTE(SUBSTITUTE(TRIM(INDEX($A:$AP,ROW(),$H$6)),",",""),"원",""),0)))))</f>
        <v/>
      </c>
      <c r="AW423" s="2">
        <f>IF(OR($AS423="",$C$6=""),"",TRIM(INDEX($A:$AP,ROW(),$C$6)&amp;""))</f>
        <v/>
      </c>
      <c r="AX423" s="2">
        <f>IF($AS423="","",IF($AZ423&lt;&gt;"",SUBSTITUTE(SUBSTITUTE($AZ423,"-","")," ",""),$AY423))</f>
        <v/>
      </c>
      <c r="AY423" s="2">
        <f>IF(OR($AS423="",$E$6=""),"",TRIM(INDEX($A:$AP,ROW(),$E$6)&amp;""))</f>
        <v/>
      </c>
      <c r="AZ423" s="2">
        <f>IF(OR($AS423="",$D$6=""),"",TRIM(INDEX($A:$AP,ROW(),$D$6)&amp;""))</f>
        <v/>
      </c>
      <c r="BA423" s="2">
        <f>IF($AS423="","",IF(AND($AS423&gt;=설정!$B$10,$AS423&lt;=설정!$B$11),"포함","기간 밖"))</f>
        <v/>
      </c>
      <c r="BB423" s="2">
        <f>IF($AS423="","",IF(OR($AT423&lt;0,AND($I$6&lt;&gt;"",ISNUMBER(FIND("수정",INDEX($A:$AP,ROW(),IF($I$6="",1,$I$6))&amp;"")))),"수정","일반"))</f>
        <v/>
      </c>
      <c r="BC423" s="2">
        <f>IF($AS423="","",MID(IF($BA423="기간 밖"," / 기간 밖(신고기간 아님)","")&amp;IF(AND($AW423&lt;&gt;"",COUNTIF($AW$8:$AW$1007,$AW423)&gt;1)," / 승인번호 중복(두 번 붙여넣기?)","")&amp;IF(ABS($AU423-ROUND($AT423*0.1,0))&gt;설정!$B$8,IF($AU423=0," / 세액 0원(영세율·면세 여부 확인)"," / 세액이 공급가액 10%와 다름"),"")&amp;IF($BB423="수정"," / 수정세금계산서(합계에서 자동 가감)",""),4,200))</f>
        <v/>
      </c>
      <c r="BD423" s="2">
        <f>IF($BA423&lt;&gt;"포함","",IF(COUNTIFS($AX$8:$AX423,$AX423,$BA$8:$BA423,"포함")=1,MAX($BD$7:BD422)+1,""))</f>
        <v/>
      </c>
      <c r="BE423" s="2">
        <f>IF($BC423="","",MAX($BE$7:BE422)+1)</f>
        <v/>
      </c>
    </row>
    <row r="424">
      <c r="AR424" s="2">
        <f>IF(OR($A$5="",$B$6="",ROW()&lt;$A$5),"",IF(INDEX($A:$AP,ROW(),$B$6)="","",INDEX($A:$AP,ROW(),$B$6)))</f>
        <v/>
      </c>
      <c r="AS424" s="22">
        <f>IF($AR424="","",IF(ISNUMBER($AR424),IF($AR424&gt;=10000000,IFERROR(DATE(INT($AR424/10000),MOD(INT($AR424/100),100),MOD($AR424,100)),""),INT($AR424)),IFERROR(DATE(--LEFT(LEFT(SUBSTITUTE(SUBSTITUTE(SUBSTITUTE(SUBSTITUTE(TRIM($AR424),"-",""),".",""),"/","")," ",""),8),4),--MID(LEFT(SUBSTITUTE(SUBSTITUTE(SUBSTITUTE(SUBSTITUTE(TRIM($AR424),"-",""),".",""),"/","")," ",""),8),5,2),--MID(LEFT(SUBSTITUTE(SUBSTITUTE(SUBSTITUTE(SUBSTITUTE(TRIM($AR424),"-",""),".",""),"/","")," ",""),8),7,2)),"")))</f>
        <v/>
      </c>
      <c r="AT424" s="23">
        <f>IF($AS424="","",IF($F$6="",0,IF(ISNUMBER(INDEX($A:$AP,ROW(),$F$6)),INDEX($A:$AP,ROW(),$F$6),IFERROR(--SUBSTITUTE(SUBSTITUTE(TRIM(INDEX($A:$AP,ROW(),$F$6)),",",""),"원",""),0))))</f>
        <v/>
      </c>
      <c r="AU424" s="23">
        <f>IF($AS424="","",IF($G$6="",0,IF(ISNUMBER(INDEX($A:$AP,ROW(),$G$6)),INDEX($A:$AP,ROW(),$G$6),IFERROR(--SUBSTITUTE(SUBSTITUTE(TRIM(INDEX($A:$AP,ROW(),$G$6)),",",""),"원",""),0))))</f>
        <v/>
      </c>
      <c r="AV424" s="23">
        <f>IF($AS424="","",IF($H$6="",$AT424+$AU424,IF($H$6="",0,IF(ISNUMBER(INDEX($A:$AP,ROW(),$H$6)),INDEX($A:$AP,ROW(),$H$6),IFERROR(--SUBSTITUTE(SUBSTITUTE(TRIM(INDEX($A:$AP,ROW(),$H$6)),",",""),"원",""),0)))))</f>
        <v/>
      </c>
      <c r="AW424" s="2">
        <f>IF(OR($AS424="",$C$6=""),"",TRIM(INDEX($A:$AP,ROW(),$C$6)&amp;""))</f>
        <v/>
      </c>
      <c r="AX424" s="2">
        <f>IF($AS424="","",IF($AZ424&lt;&gt;"",SUBSTITUTE(SUBSTITUTE($AZ424,"-","")," ",""),$AY424))</f>
        <v/>
      </c>
      <c r="AY424" s="2">
        <f>IF(OR($AS424="",$E$6=""),"",TRIM(INDEX($A:$AP,ROW(),$E$6)&amp;""))</f>
        <v/>
      </c>
      <c r="AZ424" s="2">
        <f>IF(OR($AS424="",$D$6=""),"",TRIM(INDEX($A:$AP,ROW(),$D$6)&amp;""))</f>
        <v/>
      </c>
      <c r="BA424" s="2">
        <f>IF($AS424="","",IF(AND($AS424&gt;=설정!$B$10,$AS424&lt;=설정!$B$11),"포함","기간 밖"))</f>
        <v/>
      </c>
      <c r="BB424" s="2">
        <f>IF($AS424="","",IF(OR($AT424&lt;0,AND($I$6&lt;&gt;"",ISNUMBER(FIND("수정",INDEX($A:$AP,ROW(),IF($I$6="",1,$I$6))&amp;"")))),"수정","일반"))</f>
        <v/>
      </c>
      <c r="BC424" s="2">
        <f>IF($AS424="","",MID(IF($BA424="기간 밖"," / 기간 밖(신고기간 아님)","")&amp;IF(AND($AW424&lt;&gt;"",COUNTIF($AW$8:$AW$1007,$AW424)&gt;1)," / 승인번호 중복(두 번 붙여넣기?)","")&amp;IF(ABS($AU424-ROUND($AT424*0.1,0))&gt;설정!$B$8,IF($AU424=0," / 세액 0원(영세율·면세 여부 확인)"," / 세액이 공급가액 10%와 다름"),"")&amp;IF($BB424="수정"," / 수정세금계산서(합계에서 자동 가감)",""),4,200))</f>
        <v/>
      </c>
      <c r="BD424" s="2">
        <f>IF($BA424&lt;&gt;"포함","",IF(COUNTIFS($AX$8:$AX424,$AX424,$BA$8:$BA424,"포함")=1,MAX($BD$7:BD423)+1,""))</f>
        <v/>
      </c>
      <c r="BE424" s="2">
        <f>IF($BC424="","",MAX($BE$7:BE423)+1)</f>
        <v/>
      </c>
    </row>
    <row r="425">
      <c r="AR425" s="2">
        <f>IF(OR($A$5="",$B$6="",ROW()&lt;$A$5),"",IF(INDEX($A:$AP,ROW(),$B$6)="","",INDEX($A:$AP,ROW(),$B$6)))</f>
        <v/>
      </c>
      <c r="AS425" s="22">
        <f>IF($AR425="","",IF(ISNUMBER($AR425),IF($AR425&gt;=10000000,IFERROR(DATE(INT($AR425/10000),MOD(INT($AR425/100),100),MOD($AR425,100)),""),INT($AR425)),IFERROR(DATE(--LEFT(LEFT(SUBSTITUTE(SUBSTITUTE(SUBSTITUTE(SUBSTITUTE(TRIM($AR425),"-",""),".",""),"/","")," ",""),8),4),--MID(LEFT(SUBSTITUTE(SUBSTITUTE(SUBSTITUTE(SUBSTITUTE(TRIM($AR425),"-",""),".",""),"/","")," ",""),8),5,2),--MID(LEFT(SUBSTITUTE(SUBSTITUTE(SUBSTITUTE(SUBSTITUTE(TRIM($AR425),"-",""),".",""),"/","")," ",""),8),7,2)),"")))</f>
        <v/>
      </c>
      <c r="AT425" s="23">
        <f>IF($AS425="","",IF($F$6="",0,IF(ISNUMBER(INDEX($A:$AP,ROW(),$F$6)),INDEX($A:$AP,ROW(),$F$6),IFERROR(--SUBSTITUTE(SUBSTITUTE(TRIM(INDEX($A:$AP,ROW(),$F$6)),",",""),"원",""),0))))</f>
        <v/>
      </c>
      <c r="AU425" s="23">
        <f>IF($AS425="","",IF($G$6="",0,IF(ISNUMBER(INDEX($A:$AP,ROW(),$G$6)),INDEX($A:$AP,ROW(),$G$6),IFERROR(--SUBSTITUTE(SUBSTITUTE(TRIM(INDEX($A:$AP,ROW(),$G$6)),",",""),"원",""),0))))</f>
        <v/>
      </c>
      <c r="AV425" s="23">
        <f>IF($AS425="","",IF($H$6="",$AT425+$AU425,IF($H$6="",0,IF(ISNUMBER(INDEX($A:$AP,ROW(),$H$6)),INDEX($A:$AP,ROW(),$H$6),IFERROR(--SUBSTITUTE(SUBSTITUTE(TRIM(INDEX($A:$AP,ROW(),$H$6)),",",""),"원",""),0)))))</f>
        <v/>
      </c>
      <c r="AW425" s="2">
        <f>IF(OR($AS425="",$C$6=""),"",TRIM(INDEX($A:$AP,ROW(),$C$6)&amp;""))</f>
        <v/>
      </c>
      <c r="AX425" s="2">
        <f>IF($AS425="","",IF($AZ425&lt;&gt;"",SUBSTITUTE(SUBSTITUTE($AZ425,"-","")," ",""),$AY425))</f>
        <v/>
      </c>
      <c r="AY425" s="2">
        <f>IF(OR($AS425="",$E$6=""),"",TRIM(INDEX($A:$AP,ROW(),$E$6)&amp;""))</f>
        <v/>
      </c>
      <c r="AZ425" s="2">
        <f>IF(OR($AS425="",$D$6=""),"",TRIM(INDEX($A:$AP,ROW(),$D$6)&amp;""))</f>
        <v/>
      </c>
      <c r="BA425" s="2">
        <f>IF($AS425="","",IF(AND($AS425&gt;=설정!$B$10,$AS425&lt;=설정!$B$11),"포함","기간 밖"))</f>
        <v/>
      </c>
      <c r="BB425" s="2">
        <f>IF($AS425="","",IF(OR($AT425&lt;0,AND($I$6&lt;&gt;"",ISNUMBER(FIND("수정",INDEX($A:$AP,ROW(),IF($I$6="",1,$I$6))&amp;"")))),"수정","일반"))</f>
        <v/>
      </c>
      <c r="BC425" s="2">
        <f>IF($AS425="","",MID(IF($BA425="기간 밖"," / 기간 밖(신고기간 아님)","")&amp;IF(AND($AW425&lt;&gt;"",COUNTIF($AW$8:$AW$1007,$AW425)&gt;1)," / 승인번호 중복(두 번 붙여넣기?)","")&amp;IF(ABS($AU425-ROUND($AT425*0.1,0))&gt;설정!$B$8,IF($AU425=0," / 세액 0원(영세율·면세 여부 확인)"," / 세액이 공급가액 10%와 다름"),"")&amp;IF($BB425="수정"," / 수정세금계산서(합계에서 자동 가감)",""),4,200))</f>
        <v/>
      </c>
      <c r="BD425" s="2">
        <f>IF($BA425&lt;&gt;"포함","",IF(COUNTIFS($AX$8:$AX425,$AX425,$BA$8:$BA425,"포함")=1,MAX($BD$7:BD424)+1,""))</f>
        <v/>
      </c>
      <c r="BE425" s="2">
        <f>IF($BC425="","",MAX($BE$7:BE424)+1)</f>
        <v/>
      </c>
    </row>
    <row r="426">
      <c r="AR426" s="2">
        <f>IF(OR($A$5="",$B$6="",ROW()&lt;$A$5),"",IF(INDEX($A:$AP,ROW(),$B$6)="","",INDEX($A:$AP,ROW(),$B$6)))</f>
        <v/>
      </c>
      <c r="AS426" s="22">
        <f>IF($AR426="","",IF(ISNUMBER($AR426),IF($AR426&gt;=10000000,IFERROR(DATE(INT($AR426/10000),MOD(INT($AR426/100),100),MOD($AR426,100)),""),INT($AR426)),IFERROR(DATE(--LEFT(LEFT(SUBSTITUTE(SUBSTITUTE(SUBSTITUTE(SUBSTITUTE(TRIM($AR426),"-",""),".",""),"/","")," ",""),8),4),--MID(LEFT(SUBSTITUTE(SUBSTITUTE(SUBSTITUTE(SUBSTITUTE(TRIM($AR426),"-",""),".",""),"/","")," ",""),8),5,2),--MID(LEFT(SUBSTITUTE(SUBSTITUTE(SUBSTITUTE(SUBSTITUTE(TRIM($AR426),"-",""),".",""),"/","")," ",""),8),7,2)),"")))</f>
        <v/>
      </c>
      <c r="AT426" s="23">
        <f>IF($AS426="","",IF($F$6="",0,IF(ISNUMBER(INDEX($A:$AP,ROW(),$F$6)),INDEX($A:$AP,ROW(),$F$6),IFERROR(--SUBSTITUTE(SUBSTITUTE(TRIM(INDEX($A:$AP,ROW(),$F$6)),",",""),"원",""),0))))</f>
        <v/>
      </c>
      <c r="AU426" s="23">
        <f>IF($AS426="","",IF($G$6="",0,IF(ISNUMBER(INDEX($A:$AP,ROW(),$G$6)),INDEX($A:$AP,ROW(),$G$6),IFERROR(--SUBSTITUTE(SUBSTITUTE(TRIM(INDEX($A:$AP,ROW(),$G$6)),",",""),"원",""),0))))</f>
        <v/>
      </c>
      <c r="AV426" s="23">
        <f>IF($AS426="","",IF($H$6="",$AT426+$AU426,IF($H$6="",0,IF(ISNUMBER(INDEX($A:$AP,ROW(),$H$6)),INDEX($A:$AP,ROW(),$H$6),IFERROR(--SUBSTITUTE(SUBSTITUTE(TRIM(INDEX($A:$AP,ROW(),$H$6)),",",""),"원",""),0)))))</f>
        <v/>
      </c>
      <c r="AW426" s="2">
        <f>IF(OR($AS426="",$C$6=""),"",TRIM(INDEX($A:$AP,ROW(),$C$6)&amp;""))</f>
        <v/>
      </c>
      <c r="AX426" s="2">
        <f>IF($AS426="","",IF($AZ426&lt;&gt;"",SUBSTITUTE(SUBSTITUTE($AZ426,"-","")," ",""),$AY426))</f>
        <v/>
      </c>
      <c r="AY426" s="2">
        <f>IF(OR($AS426="",$E$6=""),"",TRIM(INDEX($A:$AP,ROW(),$E$6)&amp;""))</f>
        <v/>
      </c>
      <c r="AZ426" s="2">
        <f>IF(OR($AS426="",$D$6=""),"",TRIM(INDEX($A:$AP,ROW(),$D$6)&amp;""))</f>
        <v/>
      </c>
      <c r="BA426" s="2">
        <f>IF($AS426="","",IF(AND($AS426&gt;=설정!$B$10,$AS426&lt;=설정!$B$11),"포함","기간 밖"))</f>
        <v/>
      </c>
      <c r="BB426" s="2">
        <f>IF($AS426="","",IF(OR($AT426&lt;0,AND($I$6&lt;&gt;"",ISNUMBER(FIND("수정",INDEX($A:$AP,ROW(),IF($I$6="",1,$I$6))&amp;"")))),"수정","일반"))</f>
        <v/>
      </c>
      <c r="BC426" s="2">
        <f>IF($AS426="","",MID(IF($BA426="기간 밖"," / 기간 밖(신고기간 아님)","")&amp;IF(AND($AW426&lt;&gt;"",COUNTIF($AW$8:$AW$1007,$AW426)&gt;1)," / 승인번호 중복(두 번 붙여넣기?)","")&amp;IF(ABS($AU426-ROUND($AT426*0.1,0))&gt;설정!$B$8,IF($AU426=0," / 세액 0원(영세율·면세 여부 확인)"," / 세액이 공급가액 10%와 다름"),"")&amp;IF($BB426="수정"," / 수정세금계산서(합계에서 자동 가감)",""),4,200))</f>
        <v/>
      </c>
      <c r="BD426" s="2">
        <f>IF($BA426&lt;&gt;"포함","",IF(COUNTIFS($AX$8:$AX426,$AX426,$BA$8:$BA426,"포함")=1,MAX($BD$7:BD425)+1,""))</f>
        <v/>
      </c>
      <c r="BE426" s="2">
        <f>IF($BC426="","",MAX($BE$7:BE425)+1)</f>
        <v/>
      </c>
    </row>
    <row r="427">
      <c r="AR427" s="2">
        <f>IF(OR($A$5="",$B$6="",ROW()&lt;$A$5),"",IF(INDEX($A:$AP,ROW(),$B$6)="","",INDEX($A:$AP,ROW(),$B$6)))</f>
        <v/>
      </c>
      <c r="AS427" s="22">
        <f>IF($AR427="","",IF(ISNUMBER($AR427),IF($AR427&gt;=10000000,IFERROR(DATE(INT($AR427/10000),MOD(INT($AR427/100),100),MOD($AR427,100)),""),INT($AR427)),IFERROR(DATE(--LEFT(LEFT(SUBSTITUTE(SUBSTITUTE(SUBSTITUTE(SUBSTITUTE(TRIM($AR427),"-",""),".",""),"/","")," ",""),8),4),--MID(LEFT(SUBSTITUTE(SUBSTITUTE(SUBSTITUTE(SUBSTITUTE(TRIM($AR427),"-",""),".",""),"/","")," ",""),8),5,2),--MID(LEFT(SUBSTITUTE(SUBSTITUTE(SUBSTITUTE(SUBSTITUTE(TRIM($AR427),"-",""),".",""),"/","")," ",""),8),7,2)),"")))</f>
        <v/>
      </c>
      <c r="AT427" s="23">
        <f>IF($AS427="","",IF($F$6="",0,IF(ISNUMBER(INDEX($A:$AP,ROW(),$F$6)),INDEX($A:$AP,ROW(),$F$6),IFERROR(--SUBSTITUTE(SUBSTITUTE(TRIM(INDEX($A:$AP,ROW(),$F$6)),",",""),"원",""),0))))</f>
        <v/>
      </c>
      <c r="AU427" s="23">
        <f>IF($AS427="","",IF($G$6="",0,IF(ISNUMBER(INDEX($A:$AP,ROW(),$G$6)),INDEX($A:$AP,ROW(),$G$6),IFERROR(--SUBSTITUTE(SUBSTITUTE(TRIM(INDEX($A:$AP,ROW(),$G$6)),",",""),"원",""),0))))</f>
        <v/>
      </c>
      <c r="AV427" s="23">
        <f>IF($AS427="","",IF($H$6="",$AT427+$AU427,IF($H$6="",0,IF(ISNUMBER(INDEX($A:$AP,ROW(),$H$6)),INDEX($A:$AP,ROW(),$H$6),IFERROR(--SUBSTITUTE(SUBSTITUTE(TRIM(INDEX($A:$AP,ROW(),$H$6)),",",""),"원",""),0)))))</f>
        <v/>
      </c>
      <c r="AW427" s="2">
        <f>IF(OR($AS427="",$C$6=""),"",TRIM(INDEX($A:$AP,ROW(),$C$6)&amp;""))</f>
        <v/>
      </c>
      <c r="AX427" s="2">
        <f>IF($AS427="","",IF($AZ427&lt;&gt;"",SUBSTITUTE(SUBSTITUTE($AZ427,"-","")," ",""),$AY427))</f>
        <v/>
      </c>
      <c r="AY427" s="2">
        <f>IF(OR($AS427="",$E$6=""),"",TRIM(INDEX($A:$AP,ROW(),$E$6)&amp;""))</f>
        <v/>
      </c>
      <c r="AZ427" s="2">
        <f>IF(OR($AS427="",$D$6=""),"",TRIM(INDEX($A:$AP,ROW(),$D$6)&amp;""))</f>
        <v/>
      </c>
      <c r="BA427" s="2">
        <f>IF($AS427="","",IF(AND($AS427&gt;=설정!$B$10,$AS427&lt;=설정!$B$11),"포함","기간 밖"))</f>
        <v/>
      </c>
      <c r="BB427" s="2">
        <f>IF($AS427="","",IF(OR($AT427&lt;0,AND($I$6&lt;&gt;"",ISNUMBER(FIND("수정",INDEX($A:$AP,ROW(),IF($I$6="",1,$I$6))&amp;"")))),"수정","일반"))</f>
        <v/>
      </c>
      <c r="BC427" s="2">
        <f>IF($AS427="","",MID(IF($BA427="기간 밖"," / 기간 밖(신고기간 아님)","")&amp;IF(AND($AW427&lt;&gt;"",COUNTIF($AW$8:$AW$1007,$AW427)&gt;1)," / 승인번호 중복(두 번 붙여넣기?)","")&amp;IF(ABS($AU427-ROUND($AT427*0.1,0))&gt;설정!$B$8,IF($AU427=0," / 세액 0원(영세율·면세 여부 확인)"," / 세액이 공급가액 10%와 다름"),"")&amp;IF($BB427="수정"," / 수정세금계산서(합계에서 자동 가감)",""),4,200))</f>
        <v/>
      </c>
      <c r="BD427" s="2">
        <f>IF($BA427&lt;&gt;"포함","",IF(COUNTIFS($AX$8:$AX427,$AX427,$BA$8:$BA427,"포함")=1,MAX($BD$7:BD426)+1,""))</f>
        <v/>
      </c>
      <c r="BE427" s="2">
        <f>IF($BC427="","",MAX($BE$7:BE426)+1)</f>
        <v/>
      </c>
    </row>
    <row r="428">
      <c r="AR428" s="2">
        <f>IF(OR($A$5="",$B$6="",ROW()&lt;$A$5),"",IF(INDEX($A:$AP,ROW(),$B$6)="","",INDEX($A:$AP,ROW(),$B$6)))</f>
        <v/>
      </c>
      <c r="AS428" s="22">
        <f>IF($AR428="","",IF(ISNUMBER($AR428),IF($AR428&gt;=10000000,IFERROR(DATE(INT($AR428/10000),MOD(INT($AR428/100),100),MOD($AR428,100)),""),INT($AR428)),IFERROR(DATE(--LEFT(LEFT(SUBSTITUTE(SUBSTITUTE(SUBSTITUTE(SUBSTITUTE(TRIM($AR428),"-",""),".",""),"/","")," ",""),8),4),--MID(LEFT(SUBSTITUTE(SUBSTITUTE(SUBSTITUTE(SUBSTITUTE(TRIM($AR428),"-",""),".",""),"/","")," ",""),8),5,2),--MID(LEFT(SUBSTITUTE(SUBSTITUTE(SUBSTITUTE(SUBSTITUTE(TRIM($AR428),"-",""),".",""),"/","")," ",""),8),7,2)),"")))</f>
        <v/>
      </c>
      <c r="AT428" s="23">
        <f>IF($AS428="","",IF($F$6="",0,IF(ISNUMBER(INDEX($A:$AP,ROW(),$F$6)),INDEX($A:$AP,ROW(),$F$6),IFERROR(--SUBSTITUTE(SUBSTITUTE(TRIM(INDEX($A:$AP,ROW(),$F$6)),",",""),"원",""),0))))</f>
        <v/>
      </c>
      <c r="AU428" s="23">
        <f>IF($AS428="","",IF($G$6="",0,IF(ISNUMBER(INDEX($A:$AP,ROW(),$G$6)),INDEX($A:$AP,ROW(),$G$6),IFERROR(--SUBSTITUTE(SUBSTITUTE(TRIM(INDEX($A:$AP,ROW(),$G$6)),",",""),"원",""),0))))</f>
        <v/>
      </c>
      <c r="AV428" s="23">
        <f>IF($AS428="","",IF($H$6="",$AT428+$AU428,IF($H$6="",0,IF(ISNUMBER(INDEX($A:$AP,ROW(),$H$6)),INDEX($A:$AP,ROW(),$H$6),IFERROR(--SUBSTITUTE(SUBSTITUTE(TRIM(INDEX($A:$AP,ROW(),$H$6)),",",""),"원",""),0)))))</f>
        <v/>
      </c>
      <c r="AW428" s="2">
        <f>IF(OR($AS428="",$C$6=""),"",TRIM(INDEX($A:$AP,ROW(),$C$6)&amp;""))</f>
        <v/>
      </c>
      <c r="AX428" s="2">
        <f>IF($AS428="","",IF($AZ428&lt;&gt;"",SUBSTITUTE(SUBSTITUTE($AZ428,"-","")," ",""),$AY428))</f>
        <v/>
      </c>
      <c r="AY428" s="2">
        <f>IF(OR($AS428="",$E$6=""),"",TRIM(INDEX($A:$AP,ROW(),$E$6)&amp;""))</f>
        <v/>
      </c>
      <c r="AZ428" s="2">
        <f>IF(OR($AS428="",$D$6=""),"",TRIM(INDEX($A:$AP,ROW(),$D$6)&amp;""))</f>
        <v/>
      </c>
      <c r="BA428" s="2">
        <f>IF($AS428="","",IF(AND($AS428&gt;=설정!$B$10,$AS428&lt;=설정!$B$11),"포함","기간 밖"))</f>
        <v/>
      </c>
      <c r="BB428" s="2">
        <f>IF($AS428="","",IF(OR($AT428&lt;0,AND($I$6&lt;&gt;"",ISNUMBER(FIND("수정",INDEX($A:$AP,ROW(),IF($I$6="",1,$I$6))&amp;"")))),"수정","일반"))</f>
        <v/>
      </c>
      <c r="BC428" s="2">
        <f>IF($AS428="","",MID(IF($BA428="기간 밖"," / 기간 밖(신고기간 아님)","")&amp;IF(AND($AW428&lt;&gt;"",COUNTIF($AW$8:$AW$1007,$AW428)&gt;1)," / 승인번호 중복(두 번 붙여넣기?)","")&amp;IF(ABS($AU428-ROUND($AT428*0.1,0))&gt;설정!$B$8,IF($AU428=0," / 세액 0원(영세율·면세 여부 확인)"," / 세액이 공급가액 10%와 다름"),"")&amp;IF($BB428="수정"," / 수정세금계산서(합계에서 자동 가감)",""),4,200))</f>
        <v/>
      </c>
      <c r="BD428" s="2">
        <f>IF($BA428&lt;&gt;"포함","",IF(COUNTIFS($AX$8:$AX428,$AX428,$BA$8:$BA428,"포함")=1,MAX($BD$7:BD427)+1,""))</f>
        <v/>
      </c>
      <c r="BE428" s="2">
        <f>IF($BC428="","",MAX($BE$7:BE427)+1)</f>
        <v/>
      </c>
    </row>
    <row r="429">
      <c r="AR429" s="2">
        <f>IF(OR($A$5="",$B$6="",ROW()&lt;$A$5),"",IF(INDEX($A:$AP,ROW(),$B$6)="","",INDEX($A:$AP,ROW(),$B$6)))</f>
        <v/>
      </c>
      <c r="AS429" s="22">
        <f>IF($AR429="","",IF(ISNUMBER($AR429),IF($AR429&gt;=10000000,IFERROR(DATE(INT($AR429/10000),MOD(INT($AR429/100),100),MOD($AR429,100)),""),INT($AR429)),IFERROR(DATE(--LEFT(LEFT(SUBSTITUTE(SUBSTITUTE(SUBSTITUTE(SUBSTITUTE(TRIM($AR429),"-",""),".",""),"/","")," ",""),8),4),--MID(LEFT(SUBSTITUTE(SUBSTITUTE(SUBSTITUTE(SUBSTITUTE(TRIM($AR429),"-",""),".",""),"/","")," ",""),8),5,2),--MID(LEFT(SUBSTITUTE(SUBSTITUTE(SUBSTITUTE(SUBSTITUTE(TRIM($AR429),"-",""),".",""),"/","")," ",""),8),7,2)),"")))</f>
        <v/>
      </c>
      <c r="AT429" s="23">
        <f>IF($AS429="","",IF($F$6="",0,IF(ISNUMBER(INDEX($A:$AP,ROW(),$F$6)),INDEX($A:$AP,ROW(),$F$6),IFERROR(--SUBSTITUTE(SUBSTITUTE(TRIM(INDEX($A:$AP,ROW(),$F$6)),",",""),"원",""),0))))</f>
        <v/>
      </c>
      <c r="AU429" s="23">
        <f>IF($AS429="","",IF($G$6="",0,IF(ISNUMBER(INDEX($A:$AP,ROW(),$G$6)),INDEX($A:$AP,ROW(),$G$6),IFERROR(--SUBSTITUTE(SUBSTITUTE(TRIM(INDEX($A:$AP,ROW(),$G$6)),",",""),"원",""),0))))</f>
        <v/>
      </c>
      <c r="AV429" s="23">
        <f>IF($AS429="","",IF($H$6="",$AT429+$AU429,IF($H$6="",0,IF(ISNUMBER(INDEX($A:$AP,ROW(),$H$6)),INDEX($A:$AP,ROW(),$H$6),IFERROR(--SUBSTITUTE(SUBSTITUTE(TRIM(INDEX($A:$AP,ROW(),$H$6)),",",""),"원",""),0)))))</f>
        <v/>
      </c>
      <c r="AW429" s="2">
        <f>IF(OR($AS429="",$C$6=""),"",TRIM(INDEX($A:$AP,ROW(),$C$6)&amp;""))</f>
        <v/>
      </c>
      <c r="AX429" s="2">
        <f>IF($AS429="","",IF($AZ429&lt;&gt;"",SUBSTITUTE(SUBSTITUTE($AZ429,"-","")," ",""),$AY429))</f>
        <v/>
      </c>
      <c r="AY429" s="2">
        <f>IF(OR($AS429="",$E$6=""),"",TRIM(INDEX($A:$AP,ROW(),$E$6)&amp;""))</f>
        <v/>
      </c>
      <c r="AZ429" s="2">
        <f>IF(OR($AS429="",$D$6=""),"",TRIM(INDEX($A:$AP,ROW(),$D$6)&amp;""))</f>
        <v/>
      </c>
      <c r="BA429" s="2">
        <f>IF($AS429="","",IF(AND($AS429&gt;=설정!$B$10,$AS429&lt;=설정!$B$11),"포함","기간 밖"))</f>
        <v/>
      </c>
      <c r="BB429" s="2">
        <f>IF($AS429="","",IF(OR($AT429&lt;0,AND($I$6&lt;&gt;"",ISNUMBER(FIND("수정",INDEX($A:$AP,ROW(),IF($I$6="",1,$I$6))&amp;"")))),"수정","일반"))</f>
        <v/>
      </c>
      <c r="BC429" s="2">
        <f>IF($AS429="","",MID(IF($BA429="기간 밖"," / 기간 밖(신고기간 아님)","")&amp;IF(AND($AW429&lt;&gt;"",COUNTIF($AW$8:$AW$1007,$AW429)&gt;1)," / 승인번호 중복(두 번 붙여넣기?)","")&amp;IF(ABS($AU429-ROUND($AT429*0.1,0))&gt;설정!$B$8,IF($AU429=0," / 세액 0원(영세율·면세 여부 확인)"," / 세액이 공급가액 10%와 다름"),"")&amp;IF($BB429="수정"," / 수정세금계산서(합계에서 자동 가감)",""),4,200))</f>
        <v/>
      </c>
      <c r="BD429" s="2">
        <f>IF($BA429&lt;&gt;"포함","",IF(COUNTIFS($AX$8:$AX429,$AX429,$BA$8:$BA429,"포함")=1,MAX($BD$7:BD428)+1,""))</f>
        <v/>
      </c>
      <c r="BE429" s="2">
        <f>IF($BC429="","",MAX($BE$7:BE428)+1)</f>
        <v/>
      </c>
    </row>
    <row r="430">
      <c r="AR430" s="2">
        <f>IF(OR($A$5="",$B$6="",ROW()&lt;$A$5),"",IF(INDEX($A:$AP,ROW(),$B$6)="","",INDEX($A:$AP,ROW(),$B$6)))</f>
        <v/>
      </c>
      <c r="AS430" s="22">
        <f>IF($AR430="","",IF(ISNUMBER($AR430),IF($AR430&gt;=10000000,IFERROR(DATE(INT($AR430/10000),MOD(INT($AR430/100),100),MOD($AR430,100)),""),INT($AR430)),IFERROR(DATE(--LEFT(LEFT(SUBSTITUTE(SUBSTITUTE(SUBSTITUTE(SUBSTITUTE(TRIM($AR430),"-",""),".",""),"/","")," ",""),8),4),--MID(LEFT(SUBSTITUTE(SUBSTITUTE(SUBSTITUTE(SUBSTITUTE(TRIM($AR430),"-",""),".",""),"/","")," ",""),8),5,2),--MID(LEFT(SUBSTITUTE(SUBSTITUTE(SUBSTITUTE(SUBSTITUTE(TRIM($AR430),"-",""),".",""),"/","")," ",""),8),7,2)),"")))</f>
        <v/>
      </c>
      <c r="AT430" s="23">
        <f>IF($AS430="","",IF($F$6="",0,IF(ISNUMBER(INDEX($A:$AP,ROW(),$F$6)),INDEX($A:$AP,ROW(),$F$6),IFERROR(--SUBSTITUTE(SUBSTITUTE(TRIM(INDEX($A:$AP,ROW(),$F$6)),",",""),"원",""),0))))</f>
        <v/>
      </c>
      <c r="AU430" s="23">
        <f>IF($AS430="","",IF($G$6="",0,IF(ISNUMBER(INDEX($A:$AP,ROW(),$G$6)),INDEX($A:$AP,ROW(),$G$6),IFERROR(--SUBSTITUTE(SUBSTITUTE(TRIM(INDEX($A:$AP,ROW(),$G$6)),",",""),"원",""),0))))</f>
        <v/>
      </c>
      <c r="AV430" s="23">
        <f>IF($AS430="","",IF($H$6="",$AT430+$AU430,IF($H$6="",0,IF(ISNUMBER(INDEX($A:$AP,ROW(),$H$6)),INDEX($A:$AP,ROW(),$H$6),IFERROR(--SUBSTITUTE(SUBSTITUTE(TRIM(INDEX($A:$AP,ROW(),$H$6)),",",""),"원",""),0)))))</f>
        <v/>
      </c>
      <c r="AW430" s="2">
        <f>IF(OR($AS430="",$C$6=""),"",TRIM(INDEX($A:$AP,ROW(),$C$6)&amp;""))</f>
        <v/>
      </c>
      <c r="AX430" s="2">
        <f>IF($AS430="","",IF($AZ430&lt;&gt;"",SUBSTITUTE(SUBSTITUTE($AZ430,"-","")," ",""),$AY430))</f>
        <v/>
      </c>
      <c r="AY430" s="2">
        <f>IF(OR($AS430="",$E$6=""),"",TRIM(INDEX($A:$AP,ROW(),$E$6)&amp;""))</f>
        <v/>
      </c>
      <c r="AZ430" s="2">
        <f>IF(OR($AS430="",$D$6=""),"",TRIM(INDEX($A:$AP,ROW(),$D$6)&amp;""))</f>
        <v/>
      </c>
      <c r="BA430" s="2">
        <f>IF($AS430="","",IF(AND($AS430&gt;=설정!$B$10,$AS430&lt;=설정!$B$11),"포함","기간 밖"))</f>
        <v/>
      </c>
      <c r="BB430" s="2">
        <f>IF($AS430="","",IF(OR($AT430&lt;0,AND($I$6&lt;&gt;"",ISNUMBER(FIND("수정",INDEX($A:$AP,ROW(),IF($I$6="",1,$I$6))&amp;"")))),"수정","일반"))</f>
        <v/>
      </c>
      <c r="BC430" s="2">
        <f>IF($AS430="","",MID(IF($BA430="기간 밖"," / 기간 밖(신고기간 아님)","")&amp;IF(AND($AW430&lt;&gt;"",COUNTIF($AW$8:$AW$1007,$AW430)&gt;1)," / 승인번호 중복(두 번 붙여넣기?)","")&amp;IF(ABS($AU430-ROUND($AT430*0.1,0))&gt;설정!$B$8,IF($AU430=0," / 세액 0원(영세율·면세 여부 확인)"," / 세액이 공급가액 10%와 다름"),"")&amp;IF($BB430="수정"," / 수정세금계산서(합계에서 자동 가감)",""),4,200))</f>
        <v/>
      </c>
      <c r="BD430" s="2">
        <f>IF($BA430&lt;&gt;"포함","",IF(COUNTIFS($AX$8:$AX430,$AX430,$BA$8:$BA430,"포함")=1,MAX($BD$7:BD429)+1,""))</f>
        <v/>
      </c>
      <c r="BE430" s="2">
        <f>IF($BC430="","",MAX($BE$7:BE429)+1)</f>
        <v/>
      </c>
    </row>
    <row r="431">
      <c r="AR431" s="2">
        <f>IF(OR($A$5="",$B$6="",ROW()&lt;$A$5),"",IF(INDEX($A:$AP,ROW(),$B$6)="","",INDEX($A:$AP,ROW(),$B$6)))</f>
        <v/>
      </c>
      <c r="AS431" s="22">
        <f>IF($AR431="","",IF(ISNUMBER($AR431),IF($AR431&gt;=10000000,IFERROR(DATE(INT($AR431/10000),MOD(INT($AR431/100),100),MOD($AR431,100)),""),INT($AR431)),IFERROR(DATE(--LEFT(LEFT(SUBSTITUTE(SUBSTITUTE(SUBSTITUTE(SUBSTITUTE(TRIM($AR431),"-",""),".",""),"/","")," ",""),8),4),--MID(LEFT(SUBSTITUTE(SUBSTITUTE(SUBSTITUTE(SUBSTITUTE(TRIM($AR431),"-",""),".",""),"/","")," ",""),8),5,2),--MID(LEFT(SUBSTITUTE(SUBSTITUTE(SUBSTITUTE(SUBSTITUTE(TRIM($AR431),"-",""),".",""),"/","")," ",""),8),7,2)),"")))</f>
        <v/>
      </c>
      <c r="AT431" s="23">
        <f>IF($AS431="","",IF($F$6="",0,IF(ISNUMBER(INDEX($A:$AP,ROW(),$F$6)),INDEX($A:$AP,ROW(),$F$6),IFERROR(--SUBSTITUTE(SUBSTITUTE(TRIM(INDEX($A:$AP,ROW(),$F$6)),",",""),"원",""),0))))</f>
        <v/>
      </c>
      <c r="AU431" s="23">
        <f>IF($AS431="","",IF($G$6="",0,IF(ISNUMBER(INDEX($A:$AP,ROW(),$G$6)),INDEX($A:$AP,ROW(),$G$6),IFERROR(--SUBSTITUTE(SUBSTITUTE(TRIM(INDEX($A:$AP,ROW(),$G$6)),",",""),"원",""),0))))</f>
        <v/>
      </c>
      <c r="AV431" s="23">
        <f>IF($AS431="","",IF($H$6="",$AT431+$AU431,IF($H$6="",0,IF(ISNUMBER(INDEX($A:$AP,ROW(),$H$6)),INDEX($A:$AP,ROW(),$H$6),IFERROR(--SUBSTITUTE(SUBSTITUTE(TRIM(INDEX($A:$AP,ROW(),$H$6)),",",""),"원",""),0)))))</f>
        <v/>
      </c>
      <c r="AW431" s="2">
        <f>IF(OR($AS431="",$C$6=""),"",TRIM(INDEX($A:$AP,ROW(),$C$6)&amp;""))</f>
        <v/>
      </c>
      <c r="AX431" s="2">
        <f>IF($AS431="","",IF($AZ431&lt;&gt;"",SUBSTITUTE(SUBSTITUTE($AZ431,"-","")," ",""),$AY431))</f>
        <v/>
      </c>
      <c r="AY431" s="2">
        <f>IF(OR($AS431="",$E$6=""),"",TRIM(INDEX($A:$AP,ROW(),$E$6)&amp;""))</f>
        <v/>
      </c>
      <c r="AZ431" s="2">
        <f>IF(OR($AS431="",$D$6=""),"",TRIM(INDEX($A:$AP,ROW(),$D$6)&amp;""))</f>
        <v/>
      </c>
      <c r="BA431" s="2">
        <f>IF($AS431="","",IF(AND($AS431&gt;=설정!$B$10,$AS431&lt;=설정!$B$11),"포함","기간 밖"))</f>
        <v/>
      </c>
      <c r="BB431" s="2">
        <f>IF($AS431="","",IF(OR($AT431&lt;0,AND($I$6&lt;&gt;"",ISNUMBER(FIND("수정",INDEX($A:$AP,ROW(),IF($I$6="",1,$I$6))&amp;"")))),"수정","일반"))</f>
        <v/>
      </c>
      <c r="BC431" s="2">
        <f>IF($AS431="","",MID(IF($BA431="기간 밖"," / 기간 밖(신고기간 아님)","")&amp;IF(AND($AW431&lt;&gt;"",COUNTIF($AW$8:$AW$1007,$AW431)&gt;1)," / 승인번호 중복(두 번 붙여넣기?)","")&amp;IF(ABS($AU431-ROUND($AT431*0.1,0))&gt;설정!$B$8,IF($AU431=0," / 세액 0원(영세율·면세 여부 확인)"," / 세액이 공급가액 10%와 다름"),"")&amp;IF($BB431="수정"," / 수정세금계산서(합계에서 자동 가감)",""),4,200))</f>
        <v/>
      </c>
      <c r="BD431" s="2">
        <f>IF($BA431&lt;&gt;"포함","",IF(COUNTIFS($AX$8:$AX431,$AX431,$BA$8:$BA431,"포함")=1,MAX($BD$7:BD430)+1,""))</f>
        <v/>
      </c>
      <c r="BE431" s="2">
        <f>IF($BC431="","",MAX($BE$7:BE430)+1)</f>
        <v/>
      </c>
    </row>
    <row r="432">
      <c r="AR432" s="2">
        <f>IF(OR($A$5="",$B$6="",ROW()&lt;$A$5),"",IF(INDEX($A:$AP,ROW(),$B$6)="","",INDEX($A:$AP,ROW(),$B$6)))</f>
        <v/>
      </c>
      <c r="AS432" s="22">
        <f>IF($AR432="","",IF(ISNUMBER($AR432),IF($AR432&gt;=10000000,IFERROR(DATE(INT($AR432/10000),MOD(INT($AR432/100),100),MOD($AR432,100)),""),INT($AR432)),IFERROR(DATE(--LEFT(LEFT(SUBSTITUTE(SUBSTITUTE(SUBSTITUTE(SUBSTITUTE(TRIM($AR432),"-",""),".",""),"/","")," ",""),8),4),--MID(LEFT(SUBSTITUTE(SUBSTITUTE(SUBSTITUTE(SUBSTITUTE(TRIM($AR432),"-",""),".",""),"/","")," ",""),8),5,2),--MID(LEFT(SUBSTITUTE(SUBSTITUTE(SUBSTITUTE(SUBSTITUTE(TRIM($AR432),"-",""),".",""),"/","")," ",""),8),7,2)),"")))</f>
        <v/>
      </c>
      <c r="AT432" s="23">
        <f>IF($AS432="","",IF($F$6="",0,IF(ISNUMBER(INDEX($A:$AP,ROW(),$F$6)),INDEX($A:$AP,ROW(),$F$6),IFERROR(--SUBSTITUTE(SUBSTITUTE(TRIM(INDEX($A:$AP,ROW(),$F$6)),",",""),"원",""),0))))</f>
        <v/>
      </c>
      <c r="AU432" s="23">
        <f>IF($AS432="","",IF($G$6="",0,IF(ISNUMBER(INDEX($A:$AP,ROW(),$G$6)),INDEX($A:$AP,ROW(),$G$6),IFERROR(--SUBSTITUTE(SUBSTITUTE(TRIM(INDEX($A:$AP,ROW(),$G$6)),",",""),"원",""),0))))</f>
        <v/>
      </c>
      <c r="AV432" s="23">
        <f>IF($AS432="","",IF($H$6="",$AT432+$AU432,IF($H$6="",0,IF(ISNUMBER(INDEX($A:$AP,ROW(),$H$6)),INDEX($A:$AP,ROW(),$H$6),IFERROR(--SUBSTITUTE(SUBSTITUTE(TRIM(INDEX($A:$AP,ROW(),$H$6)),",",""),"원",""),0)))))</f>
        <v/>
      </c>
      <c r="AW432" s="2">
        <f>IF(OR($AS432="",$C$6=""),"",TRIM(INDEX($A:$AP,ROW(),$C$6)&amp;""))</f>
        <v/>
      </c>
      <c r="AX432" s="2">
        <f>IF($AS432="","",IF($AZ432&lt;&gt;"",SUBSTITUTE(SUBSTITUTE($AZ432,"-","")," ",""),$AY432))</f>
        <v/>
      </c>
      <c r="AY432" s="2">
        <f>IF(OR($AS432="",$E$6=""),"",TRIM(INDEX($A:$AP,ROW(),$E$6)&amp;""))</f>
        <v/>
      </c>
      <c r="AZ432" s="2">
        <f>IF(OR($AS432="",$D$6=""),"",TRIM(INDEX($A:$AP,ROW(),$D$6)&amp;""))</f>
        <v/>
      </c>
      <c r="BA432" s="2">
        <f>IF($AS432="","",IF(AND($AS432&gt;=설정!$B$10,$AS432&lt;=설정!$B$11),"포함","기간 밖"))</f>
        <v/>
      </c>
      <c r="BB432" s="2">
        <f>IF($AS432="","",IF(OR($AT432&lt;0,AND($I$6&lt;&gt;"",ISNUMBER(FIND("수정",INDEX($A:$AP,ROW(),IF($I$6="",1,$I$6))&amp;"")))),"수정","일반"))</f>
        <v/>
      </c>
      <c r="BC432" s="2">
        <f>IF($AS432="","",MID(IF($BA432="기간 밖"," / 기간 밖(신고기간 아님)","")&amp;IF(AND($AW432&lt;&gt;"",COUNTIF($AW$8:$AW$1007,$AW432)&gt;1)," / 승인번호 중복(두 번 붙여넣기?)","")&amp;IF(ABS($AU432-ROUND($AT432*0.1,0))&gt;설정!$B$8,IF($AU432=0," / 세액 0원(영세율·면세 여부 확인)"," / 세액이 공급가액 10%와 다름"),"")&amp;IF($BB432="수정"," / 수정세금계산서(합계에서 자동 가감)",""),4,200))</f>
        <v/>
      </c>
      <c r="BD432" s="2">
        <f>IF($BA432&lt;&gt;"포함","",IF(COUNTIFS($AX$8:$AX432,$AX432,$BA$8:$BA432,"포함")=1,MAX($BD$7:BD431)+1,""))</f>
        <v/>
      </c>
      <c r="BE432" s="2">
        <f>IF($BC432="","",MAX($BE$7:BE431)+1)</f>
        <v/>
      </c>
    </row>
    <row r="433">
      <c r="AR433" s="2">
        <f>IF(OR($A$5="",$B$6="",ROW()&lt;$A$5),"",IF(INDEX($A:$AP,ROW(),$B$6)="","",INDEX($A:$AP,ROW(),$B$6)))</f>
        <v/>
      </c>
      <c r="AS433" s="22">
        <f>IF($AR433="","",IF(ISNUMBER($AR433),IF($AR433&gt;=10000000,IFERROR(DATE(INT($AR433/10000),MOD(INT($AR433/100),100),MOD($AR433,100)),""),INT($AR433)),IFERROR(DATE(--LEFT(LEFT(SUBSTITUTE(SUBSTITUTE(SUBSTITUTE(SUBSTITUTE(TRIM($AR433),"-",""),".",""),"/","")," ",""),8),4),--MID(LEFT(SUBSTITUTE(SUBSTITUTE(SUBSTITUTE(SUBSTITUTE(TRIM($AR433),"-",""),".",""),"/","")," ",""),8),5,2),--MID(LEFT(SUBSTITUTE(SUBSTITUTE(SUBSTITUTE(SUBSTITUTE(TRIM($AR433),"-",""),".",""),"/","")," ",""),8),7,2)),"")))</f>
        <v/>
      </c>
      <c r="AT433" s="23">
        <f>IF($AS433="","",IF($F$6="",0,IF(ISNUMBER(INDEX($A:$AP,ROW(),$F$6)),INDEX($A:$AP,ROW(),$F$6),IFERROR(--SUBSTITUTE(SUBSTITUTE(TRIM(INDEX($A:$AP,ROW(),$F$6)),",",""),"원",""),0))))</f>
        <v/>
      </c>
      <c r="AU433" s="23">
        <f>IF($AS433="","",IF($G$6="",0,IF(ISNUMBER(INDEX($A:$AP,ROW(),$G$6)),INDEX($A:$AP,ROW(),$G$6),IFERROR(--SUBSTITUTE(SUBSTITUTE(TRIM(INDEX($A:$AP,ROW(),$G$6)),",",""),"원",""),0))))</f>
        <v/>
      </c>
      <c r="AV433" s="23">
        <f>IF($AS433="","",IF($H$6="",$AT433+$AU433,IF($H$6="",0,IF(ISNUMBER(INDEX($A:$AP,ROW(),$H$6)),INDEX($A:$AP,ROW(),$H$6),IFERROR(--SUBSTITUTE(SUBSTITUTE(TRIM(INDEX($A:$AP,ROW(),$H$6)),",",""),"원",""),0)))))</f>
        <v/>
      </c>
      <c r="AW433" s="2">
        <f>IF(OR($AS433="",$C$6=""),"",TRIM(INDEX($A:$AP,ROW(),$C$6)&amp;""))</f>
        <v/>
      </c>
      <c r="AX433" s="2">
        <f>IF($AS433="","",IF($AZ433&lt;&gt;"",SUBSTITUTE(SUBSTITUTE($AZ433,"-","")," ",""),$AY433))</f>
        <v/>
      </c>
      <c r="AY433" s="2">
        <f>IF(OR($AS433="",$E$6=""),"",TRIM(INDEX($A:$AP,ROW(),$E$6)&amp;""))</f>
        <v/>
      </c>
      <c r="AZ433" s="2">
        <f>IF(OR($AS433="",$D$6=""),"",TRIM(INDEX($A:$AP,ROW(),$D$6)&amp;""))</f>
        <v/>
      </c>
      <c r="BA433" s="2">
        <f>IF($AS433="","",IF(AND($AS433&gt;=설정!$B$10,$AS433&lt;=설정!$B$11),"포함","기간 밖"))</f>
        <v/>
      </c>
      <c r="BB433" s="2">
        <f>IF($AS433="","",IF(OR($AT433&lt;0,AND($I$6&lt;&gt;"",ISNUMBER(FIND("수정",INDEX($A:$AP,ROW(),IF($I$6="",1,$I$6))&amp;"")))),"수정","일반"))</f>
        <v/>
      </c>
      <c r="BC433" s="2">
        <f>IF($AS433="","",MID(IF($BA433="기간 밖"," / 기간 밖(신고기간 아님)","")&amp;IF(AND($AW433&lt;&gt;"",COUNTIF($AW$8:$AW$1007,$AW433)&gt;1)," / 승인번호 중복(두 번 붙여넣기?)","")&amp;IF(ABS($AU433-ROUND($AT433*0.1,0))&gt;설정!$B$8,IF($AU433=0," / 세액 0원(영세율·면세 여부 확인)"," / 세액이 공급가액 10%와 다름"),"")&amp;IF($BB433="수정"," / 수정세금계산서(합계에서 자동 가감)",""),4,200))</f>
        <v/>
      </c>
      <c r="BD433" s="2">
        <f>IF($BA433&lt;&gt;"포함","",IF(COUNTIFS($AX$8:$AX433,$AX433,$BA$8:$BA433,"포함")=1,MAX($BD$7:BD432)+1,""))</f>
        <v/>
      </c>
      <c r="BE433" s="2">
        <f>IF($BC433="","",MAX($BE$7:BE432)+1)</f>
        <v/>
      </c>
    </row>
    <row r="434">
      <c r="AR434" s="2">
        <f>IF(OR($A$5="",$B$6="",ROW()&lt;$A$5),"",IF(INDEX($A:$AP,ROW(),$B$6)="","",INDEX($A:$AP,ROW(),$B$6)))</f>
        <v/>
      </c>
      <c r="AS434" s="22">
        <f>IF($AR434="","",IF(ISNUMBER($AR434),IF($AR434&gt;=10000000,IFERROR(DATE(INT($AR434/10000),MOD(INT($AR434/100),100),MOD($AR434,100)),""),INT($AR434)),IFERROR(DATE(--LEFT(LEFT(SUBSTITUTE(SUBSTITUTE(SUBSTITUTE(SUBSTITUTE(TRIM($AR434),"-",""),".",""),"/","")," ",""),8),4),--MID(LEFT(SUBSTITUTE(SUBSTITUTE(SUBSTITUTE(SUBSTITUTE(TRIM($AR434),"-",""),".",""),"/","")," ",""),8),5,2),--MID(LEFT(SUBSTITUTE(SUBSTITUTE(SUBSTITUTE(SUBSTITUTE(TRIM($AR434),"-",""),".",""),"/","")," ",""),8),7,2)),"")))</f>
        <v/>
      </c>
      <c r="AT434" s="23">
        <f>IF($AS434="","",IF($F$6="",0,IF(ISNUMBER(INDEX($A:$AP,ROW(),$F$6)),INDEX($A:$AP,ROW(),$F$6),IFERROR(--SUBSTITUTE(SUBSTITUTE(TRIM(INDEX($A:$AP,ROW(),$F$6)),",",""),"원",""),0))))</f>
        <v/>
      </c>
      <c r="AU434" s="23">
        <f>IF($AS434="","",IF($G$6="",0,IF(ISNUMBER(INDEX($A:$AP,ROW(),$G$6)),INDEX($A:$AP,ROW(),$G$6),IFERROR(--SUBSTITUTE(SUBSTITUTE(TRIM(INDEX($A:$AP,ROW(),$G$6)),",",""),"원",""),0))))</f>
        <v/>
      </c>
      <c r="AV434" s="23">
        <f>IF($AS434="","",IF($H$6="",$AT434+$AU434,IF($H$6="",0,IF(ISNUMBER(INDEX($A:$AP,ROW(),$H$6)),INDEX($A:$AP,ROW(),$H$6),IFERROR(--SUBSTITUTE(SUBSTITUTE(TRIM(INDEX($A:$AP,ROW(),$H$6)),",",""),"원",""),0)))))</f>
        <v/>
      </c>
      <c r="AW434" s="2">
        <f>IF(OR($AS434="",$C$6=""),"",TRIM(INDEX($A:$AP,ROW(),$C$6)&amp;""))</f>
        <v/>
      </c>
      <c r="AX434" s="2">
        <f>IF($AS434="","",IF($AZ434&lt;&gt;"",SUBSTITUTE(SUBSTITUTE($AZ434,"-","")," ",""),$AY434))</f>
        <v/>
      </c>
      <c r="AY434" s="2">
        <f>IF(OR($AS434="",$E$6=""),"",TRIM(INDEX($A:$AP,ROW(),$E$6)&amp;""))</f>
        <v/>
      </c>
      <c r="AZ434" s="2">
        <f>IF(OR($AS434="",$D$6=""),"",TRIM(INDEX($A:$AP,ROW(),$D$6)&amp;""))</f>
        <v/>
      </c>
      <c r="BA434" s="2">
        <f>IF($AS434="","",IF(AND($AS434&gt;=설정!$B$10,$AS434&lt;=설정!$B$11),"포함","기간 밖"))</f>
        <v/>
      </c>
      <c r="BB434" s="2">
        <f>IF($AS434="","",IF(OR($AT434&lt;0,AND($I$6&lt;&gt;"",ISNUMBER(FIND("수정",INDEX($A:$AP,ROW(),IF($I$6="",1,$I$6))&amp;"")))),"수정","일반"))</f>
        <v/>
      </c>
      <c r="BC434" s="2">
        <f>IF($AS434="","",MID(IF($BA434="기간 밖"," / 기간 밖(신고기간 아님)","")&amp;IF(AND($AW434&lt;&gt;"",COUNTIF($AW$8:$AW$1007,$AW434)&gt;1)," / 승인번호 중복(두 번 붙여넣기?)","")&amp;IF(ABS($AU434-ROUND($AT434*0.1,0))&gt;설정!$B$8,IF($AU434=0," / 세액 0원(영세율·면세 여부 확인)"," / 세액이 공급가액 10%와 다름"),"")&amp;IF($BB434="수정"," / 수정세금계산서(합계에서 자동 가감)",""),4,200))</f>
        <v/>
      </c>
      <c r="BD434" s="2">
        <f>IF($BA434&lt;&gt;"포함","",IF(COUNTIFS($AX$8:$AX434,$AX434,$BA$8:$BA434,"포함")=1,MAX($BD$7:BD433)+1,""))</f>
        <v/>
      </c>
      <c r="BE434" s="2">
        <f>IF($BC434="","",MAX($BE$7:BE433)+1)</f>
        <v/>
      </c>
    </row>
    <row r="435">
      <c r="AR435" s="2">
        <f>IF(OR($A$5="",$B$6="",ROW()&lt;$A$5),"",IF(INDEX($A:$AP,ROW(),$B$6)="","",INDEX($A:$AP,ROW(),$B$6)))</f>
        <v/>
      </c>
      <c r="AS435" s="22">
        <f>IF($AR435="","",IF(ISNUMBER($AR435),IF($AR435&gt;=10000000,IFERROR(DATE(INT($AR435/10000),MOD(INT($AR435/100),100),MOD($AR435,100)),""),INT($AR435)),IFERROR(DATE(--LEFT(LEFT(SUBSTITUTE(SUBSTITUTE(SUBSTITUTE(SUBSTITUTE(TRIM($AR435),"-",""),".",""),"/","")," ",""),8),4),--MID(LEFT(SUBSTITUTE(SUBSTITUTE(SUBSTITUTE(SUBSTITUTE(TRIM($AR435),"-",""),".",""),"/","")," ",""),8),5,2),--MID(LEFT(SUBSTITUTE(SUBSTITUTE(SUBSTITUTE(SUBSTITUTE(TRIM($AR435),"-",""),".",""),"/","")," ",""),8),7,2)),"")))</f>
        <v/>
      </c>
      <c r="AT435" s="23">
        <f>IF($AS435="","",IF($F$6="",0,IF(ISNUMBER(INDEX($A:$AP,ROW(),$F$6)),INDEX($A:$AP,ROW(),$F$6),IFERROR(--SUBSTITUTE(SUBSTITUTE(TRIM(INDEX($A:$AP,ROW(),$F$6)),",",""),"원",""),0))))</f>
        <v/>
      </c>
      <c r="AU435" s="23">
        <f>IF($AS435="","",IF($G$6="",0,IF(ISNUMBER(INDEX($A:$AP,ROW(),$G$6)),INDEX($A:$AP,ROW(),$G$6),IFERROR(--SUBSTITUTE(SUBSTITUTE(TRIM(INDEX($A:$AP,ROW(),$G$6)),",",""),"원",""),0))))</f>
        <v/>
      </c>
      <c r="AV435" s="23">
        <f>IF($AS435="","",IF($H$6="",$AT435+$AU435,IF($H$6="",0,IF(ISNUMBER(INDEX($A:$AP,ROW(),$H$6)),INDEX($A:$AP,ROW(),$H$6),IFERROR(--SUBSTITUTE(SUBSTITUTE(TRIM(INDEX($A:$AP,ROW(),$H$6)),",",""),"원",""),0)))))</f>
        <v/>
      </c>
      <c r="AW435" s="2">
        <f>IF(OR($AS435="",$C$6=""),"",TRIM(INDEX($A:$AP,ROW(),$C$6)&amp;""))</f>
        <v/>
      </c>
      <c r="AX435" s="2">
        <f>IF($AS435="","",IF($AZ435&lt;&gt;"",SUBSTITUTE(SUBSTITUTE($AZ435,"-","")," ",""),$AY435))</f>
        <v/>
      </c>
      <c r="AY435" s="2">
        <f>IF(OR($AS435="",$E$6=""),"",TRIM(INDEX($A:$AP,ROW(),$E$6)&amp;""))</f>
        <v/>
      </c>
      <c r="AZ435" s="2">
        <f>IF(OR($AS435="",$D$6=""),"",TRIM(INDEX($A:$AP,ROW(),$D$6)&amp;""))</f>
        <v/>
      </c>
      <c r="BA435" s="2">
        <f>IF($AS435="","",IF(AND($AS435&gt;=설정!$B$10,$AS435&lt;=설정!$B$11),"포함","기간 밖"))</f>
        <v/>
      </c>
      <c r="BB435" s="2">
        <f>IF($AS435="","",IF(OR($AT435&lt;0,AND($I$6&lt;&gt;"",ISNUMBER(FIND("수정",INDEX($A:$AP,ROW(),IF($I$6="",1,$I$6))&amp;"")))),"수정","일반"))</f>
        <v/>
      </c>
      <c r="BC435" s="2">
        <f>IF($AS435="","",MID(IF($BA435="기간 밖"," / 기간 밖(신고기간 아님)","")&amp;IF(AND($AW435&lt;&gt;"",COUNTIF($AW$8:$AW$1007,$AW435)&gt;1)," / 승인번호 중복(두 번 붙여넣기?)","")&amp;IF(ABS($AU435-ROUND($AT435*0.1,0))&gt;설정!$B$8,IF($AU435=0," / 세액 0원(영세율·면세 여부 확인)"," / 세액이 공급가액 10%와 다름"),"")&amp;IF($BB435="수정"," / 수정세금계산서(합계에서 자동 가감)",""),4,200))</f>
        <v/>
      </c>
      <c r="BD435" s="2">
        <f>IF($BA435&lt;&gt;"포함","",IF(COUNTIFS($AX$8:$AX435,$AX435,$BA$8:$BA435,"포함")=1,MAX($BD$7:BD434)+1,""))</f>
        <v/>
      </c>
      <c r="BE435" s="2">
        <f>IF($BC435="","",MAX($BE$7:BE434)+1)</f>
        <v/>
      </c>
    </row>
    <row r="436">
      <c r="AR436" s="2">
        <f>IF(OR($A$5="",$B$6="",ROW()&lt;$A$5),"",IF(INDEX($A:$AP,ROW(),$B$6)="","",INDEX($A:$AP,ROW(),$B$6)))</f>
        <v/>
      </c>
      <c r="AS436" s="22">
        <f>IF($AR436="","",IF(ISNUMBER($AR436),IF($AR436&gt;=10000000,IFERROR(DATE(INT($AR436/10000),MOD(INT($AR436/100),100),MOD($AR436,100)),""),INT($AR436)),IFERROR(DATE(--LEFT(LEFT(SUBSTITUTE(SUBSTITUTE(SUBSTITUTE(SUBSTITUTE(TRIM($AR436),"-",""),".",""),"/","")," ",""),8),4),--MID(LEFT(SUBSTITUTE(SUBSTITUTE(SUBSTITUTE(SUBSTITUTE(TRIM($AR436),"-",""),".",""),"/","")," ",""),8),5,2),--MID(LEFT(SUBSTITUTE(SUBSTITUTE(SUBSTITUTE(SUBSTITUTE(TRIM($AR436),"-",""),".",""),"/","")," ",""),8),7,2)),"")))</f>
        <v/>
      </c>
      <c r="AT436" s="23">
        <f>IF($AS436="","",IF($F$6="",0,IF(ISNUMBER(INDEX($A:$AP,ROW(),$F$6)),INDEX($A:$AP,ROW(),$F$6),IFERROR(--SUBSTITUTE(SUBSTITUTE(TRIM(INDEX($A:$AP,ROW(),$F$6)),",",""),"원",""),0))))</f>
        <v/>
      </c>
      <c r="AU436" s="23">
        <f>IF($AS436="","",IF($G$6="",0,IF(ISNUMBER(INDEX($A:$AP,ROW(),$G$6)),INDEX($A:$AP,ROW(),$G$6),IFERROR(--SUBSTITUTE(SUBSTITUTE(TRIM(INDEX($A:$AP,ROW(),$G$6)),",",""),"원",""),0))))</f>
        <v/>
      </c>
      <c r="AV436" s="23">
        <f>IF($AS436="","",IF($H$6="",$AT436+$AU436,IF($H$6="",0,IF(ISNUMBER(INDEX($A:$AP,ROW(),$H$6)),INDEX($A:$AP,ROW(),$H$6),IFERROR(--SUBSTITUTE(SUBSTITUTE(TRIM(INDEX($A:$AP,ROW(),$H$6)),",",""),"원",""),0)))))</f>
        <v/>
      </c>
      <c r="AW436" s="2">
        <f>IF(OR($AS436="",$C$6=""),"",TRIM(INDEX($A:$AP,ROW(),$C$6)&amp;""))</f>
        <v/>
      </c>
      <c r="AX436" s="2">
        <f>IF($AS436="","",IF($AZ436&lt;&gt;"",SUBSTITUTE(SUBSTITUTE($AZ436,"-","")," ",""),$AY436))</f>
        <v/>
      </c>
      <c r="AY436" s="2">
        <f>IF(OR($AS436="",$E$6=""),"",TRIM(INDEX($A:$AP,ROW(),$E$6)&amp;""))</f>
        <v/>
      </c>
      <c r="AZ436" s="2">
        <f>IF(OR($AS436="",$D$6=""),"",TRIM(INDEX($A:$AP,ROW(),$D$6)&amp;""))</f>
        <v/>
      </c>
      <c r="BA436" s="2">
        <f>IF($AS436="","",IF(AND($AS436&gt;=설정!$B$10,$AS436&lt;=설정!$B$11),"포함","기간 밖"))</f>
        <v/>
      </c>
      <c r="BB436" s="2">
        <f>IF($AS436="","",IF(OR($AT436&lt;0,AND($I$6&lt;&gt;"",ISNUMBER(FIND("수정",INDEX($A:$AP,ROW(),IF($I$6="",1,$I$6))&amp;"")))),"수정","일반"))</f>
        <v/>
      </c>
      <c r="BC436" s="2">
        <f>IF($AS436="","",MID(IF($BA436="기간 밖"," / 기간 밖(신고기간 아님)","")&amp;IF(AND($AW436&lt;&gt;"",COUNTIF($AW$8:$AW$1007,$AW436)&gt;1)," / 승인번호 중복(두 번 붙여넣기?)","")&amp;IF(ABS($AU436-ROUND($AT436*0.1,0))&gt;설정!$B$8,IF($AU436=0," / 세액 0원(영세율·면세 여부 확인)"," / 세액이 공급가액 10%와 다름"),"")&amp;IF($BB436="수정"," / 수정세금계산서(합계에서 자동 가감)",""),4,200))</f>
        <v/>
      </c>
      <c r="BD436" s="2">
        <f>IF($BA436&lt;&gt;"포함","",IF(COUNTIFS($AX$8:$AX436,$AX436,$BA$8:$BA436,"포함")=1,MAX($BD$7:BD435)+1,""))</f>
        <v/>
      </c>
      <c r="BE436" s="2">
        <f>IF($BC436="","",MAX($BE$7:BE435)+1)</f>
        <v/>
      </c>
    </row>
    <row r="437">
      <c r="AR437" s="2">
        <f>IF(OR($A$5="",$B$6="",ROW()&lt;$A$5),"",IF(INDEX($A:$AP,ROW(),$B$6)="","",INDEX($A:$AP,ROW(),$B$6)))</f>
        <v/>
      </c>
      <c r="AS437" s="22">
        <f>IF($AR437="","",IF(ISNUMBER($AR437),IF($AR437&gt;=10000000,IFERROR(DATE(INT($AR437/10000),MOD(INT($AR437/100),100),MOD($AR437,100)),""),INT($AR437)),IFERROR(DATE(--LEFT(LEFT(SUBSTITUTE(SUBSTITUTE(SUBSTITUTE(SUBSTITUTE(TRIM($AR437),"-",""),".",""),"/","")," ",""),8),4),--MID(LEFT(SUBSTITUTE(SUBSTITUTE(SUBSTITUTE(SUBSTITUTE(TRIM($AR437),"-",""),".",""),"/","")," ",""),8),5,2),--MID(LEFT(SUBSTITUTE(SUBSTITUTE(SUBSTITUTE(SUBSTITUTE(TRIM($AR437),"-",""),".",""),"/","")," ",""),8),7,2)),"")))</f>
        <v/>
      </c>
      <c r="AT437" s="23">
        <f>IF($AS437="","",IF($F$6="",0,IF(ISNUMBER(INDEX($A:$AP,ROW(),$F$6)),INDEX($A:$AP,ROW(),$F$6),IFERROR(--SUBSTITUTE(SUBSTITUTE(TRIM(INDEX($A:$AP,ROW(),$F$6)),",",""),"원",""),0))))</f>
        <v/>
      </c>
      <c r="AU437" s="23">
        <f>IF($AS437="","",IF($G$6="",0,IF(ISNUMBER(INDEX($A:$AP,ROW(),$G$6)),INDEX($A:$AP,ROW(),$G$6),IFERROR(--SUBSTITUTE(SUBSTITUTE(TRIM(INDEX($A:$AP,ROW(),$G$6)),",",""),"원",""),0))))</f>
        <v/>
      </c>
      <c r="AV437" s="23">
        <f>IF($AS437="","",IF($H$6="",$AT437+$AU437,IF($H$6="",0,IF(ISNUMBER(INDEX($A:$AP,ROW(),$H$6)),INDEX($A:$AP,ROW(),$H$6),IFERROR(--SUBSTITUTE(SUBSTITUTE(TRIM(INDEX($A:$AP,ROW(),$H$6)),",",""),"원",""),0)))))</f>
        <v/>
      </c>
      <c r="AW437" s="2">
        <f>IF(OR($AS437="",$C$6=""),"",TRIM(INDEX($A:$AP,ROW(),$C$6)&amp;""))</f>
        <v/>
      </c>
      <c r="AX437" s="2">
        <f>IF($AS437="","",IF($AZ437&lt;&gt;"",SUBSTITUTE(SUBSTITUTE($AZ437,"-","")," ",""),$AY437))</f>
        <v/>
      </c>
      <c r="AY437" s="2">
        <f>IF(OR($AS437="",$E$6=""),"",TRIM(INDEX($A:$AP,ROW(),$E$6)&amp;""))</f>
        <v/>
      </c>
      <c r="AZ437" s="2">
        <f>IF(OR($AS437="",$D$6=""),"",TRIM(INDEX($A:$AP,ROW(),$D$6)&amp;""))</f>
        <v/>
      </c>
      <c r="BA437" s="2">
        <f>IF($AS437="","",IF(AND($AS437&gt;=설정!$B$10,$AS437&lt;=설정!$B$11),"포함","기간 밖"))</f>
        <v/>
      </c>
      <c r="BB437" s="2">
        <f>IF($AS437="","",IF(OR($AT437&lt;0,AND($I$6&lt;&gt;"",ISNUMBER(FIND("수정",INDEX($A:$AP,ROW(),IF($I$6="",1,$I$6))&amp;"")))),"수정","일반"))</f>
        <v/>
      </c>
      <c r="BC437" s="2">
        <f>IF($AS437="","",MID(IF($BA437="기간 밖"," / 기간 밖(신고기간 아님)","")&amp;IF(AND($AW437&lt;&gt;"",COUNTIF($AW$8:$AW$1007,$AW437)&gt;1)," / 승인번호 중복(두 번 붙여넣기?)","")&amp;IF(ABS($AU437-ROUND($AT437*0.1,0))&gt;설정!$B$8,IF($AU437=0," / 세액 0원(영세율·면세 여부 확인)"," / 세액이 공급가액 10%와 다름"),"")&amp;IF($BB437="수정"," / 수정세금계산서(합계에서 자동 가감)",""),4,200))</f>
        <v/>
      </c>
      <c r="BD437" s="2">
        <f>IF($BA437&lt;&gt;"포함","",IF(COUNTIFS($AX$8:$AX437,$AX437,$BA$8:$BA437,"포함")=1,MAX($BD$7:BD436)+1,""))</f>
        <v/>
      </c>
      <c r="BE437" s="2">
        <f>IF($BC437="","",MAX($BE$7:BE436)+1)</f>
        <v/>
      </c>
    </row>
    <row r="438">
      <c r="AR438" s="2">
        <f>IF(OR($A$5="",$B$6="",ROW()&lt;$A$5),"",IF(INDEX($A:$AP,ROW(),$B$6)="","",INDEX($A:$AP,ROW(),$B$6)))</f>
        <v/>
      </c>
      <c r="AS438" s="22">
        <f>IF($AR438="","",IF(ISNUMBER($AR438),IF($AR438&gt;=10000000,IFERROR(DATE(INT($AR438/10000),MOD(INT($AR438/100),100),MOD($AR438,100)),""),INT($AR438)),IFERROR(DATE(--LEFT(LEFT(SUBSTITUTE(SUBSTITUTE(SUBSTITUTE(SUBSTITUTE(TRIM($AR438),"-",""),".",""),"/","")," ",""),8),4),--MID(LEFT(SUBSTITUTE(SUBSTITUTE(SUBSTITUTE(SUBSTITUTE(TRIM($AR438),"-",""),".",""),"/","")," ",""),8),5,2),--MID(LEFT(SUBSTITUTE(SUBSTITUTE(SUBSTITUTE(SUBSTITUTE(TRIM($AR438),"-",""),".",""),"/","")," ",""),8),7,2)),"")))</f>
        <v/>
      </c>
      <c r="AT438" s="23">
        <f>IF($AS438="","",IF($F$6="",0,IF(ISNUMBER(INDEX($A:$AP,ROW(),$F$6)),INDEX($A:$AP,ROW(),$F$6),IFERROR(--SUBSTITUTE(SUBSTITUTE(TRIM(INDEX($A:$AP,ROW(),$F$6)),",",""),"원",""),0))))</f>
        <v/>
      </c>
      <c r="AU438" s="23">
        <f>IF($AS438="","",IF($G$6="",0,IF(ISNUMBER(INDEX($A:$AP,ROW(),$G$6)),INDEX($A:$AP,ROW(),$G$6),IFERROR(--SUBSTITUTE(SUBSTITUTE(TRIM(INDEX($A:$AP,ROW(),$G$6)),",",""),"원",""),0))))</f>
        <v/>
      </c>
      <c r="AV438" s="23">
        <f>IF($AS438="","",IF($H$6="",$AT438+$AU438,IF($H$6="",0,IF(ISNUMBER(INDEX($A:$AP,ROW(),$H$6)),INDEX($A:$AP,ROW(),$H$6),IFERROR(--SUBSTITUTE(SUBSTITUTE(TRIM(INDEX($A:$AP,ROW(),$H$6)),",",""),"원",""),0)))))</f>
        <v/>
      </c>
      <c r="AW438" s="2">
        <f>IF(OR($AS438="",$C$6=""),"",TRIM(INDEX($A:$AP,ROW(),$C$6)&amp;""))</f>
        <v/>
      </c>
      <c r="AX438" s="2">
        <f>IF($AS438="","",IF($AZ438&lt;&gt;"",SUBSTITUTE(SUBSTITUTE($AZ438,"-","")," ",""),$AY438))</f>
        <v/>
      </c>
      <c r="AY438" s="2">
        <f>IF(OR($AS438="",$E$6=""),"",TRIM(INDEX($A:$AP,ROW(),$E$6)&amp;""))</f>
        <v/>
      </c>
      <c r="AZ438" s="2">
        <f>IF(OR($AS438="",$D$6=""),"",TRIM(INDEX($A:$AP,ROW(),$D$6)&amp;""))</f>
        <v/>
      </c>
      <c r="BA438" s="2">
        <f>IF($AS438="","",IF(AND($AS438&gt;=설정!$B$10,$AS438&lt;=설정!$B$11),"포함","기간 밖"))</f>
        <v/>
      </c>
      <c r="BB438" s="2">
        <f>IF($AS438="","",IF(OR($AT438&lt;0,AND($I$6&lt;&gt;"",ISNUMBER(FIND("수정",INDEX($A:$AP,ROW(),IF($I$6="",1,$I$6))&amp;"")))),"수정","일반"))</f>
        <v/>
      </c>
      <c r="BC438" s="2">
        <f>IF($AS438="","",MID(IF($BA438="기간 밖"," / 기간 밖(신고기간 아님)","")&amp;IF(AND($AW438&lt;&gt;"",COUNTIF($AW$8:$AW$1007,$AW438)&gt;1)," / 승인번호 중복(두 번 붙여넣기?)","")&amp;IF(ABS($AU438-ROUND($AT438*0.1,0))&gt;설정!$B$8,IF($AU438=0," / 세액 0원(영세율·면세 여부 확인)"," / 세액이 공급가액 10%와 다름"),"")&amp;IF($BB438="수정"," / 수정세금계산서(합계에서 자동 가감)",""),4,200))</f>
        <v/>
      </c>
      <c r="BD438" s="2">
        <f>IF($BA438&lt;&gt;"포함","",IF(COUNTIFS($AX$8:$AX438,$AX438,$BA$8:$BA438,"포함")=1,MAX($BD$7:BD437)+1,""))</f>
        <v/>
      </c>
      <c r="BE438" s="2">
        <f>IF($BC438="","",MAX($BE$7:BE437)+1)</f>
        <v/>
      </c>
    </row>
    <row r="439">
      <c r="AR439" s="2">
        <f>IF(OR($A$5="",$B$6="",ROW()&lt;$A$5),"",IF(INDEX($A:$AP,ROW(),$B$6)="","",INDEX($A:$AP,ROW(),$B$6)))</f>
        <v/>
      </c>
      <c r="AS439" s="22">
        <f>IF($AR439="","",IF(ISNUMBER($AR439),IF($AR439&gt;=10000000,IFERROR(DATE(INT($AR439/10000),MOD(INT($AR439/100),100),MOD($AR439,100)),""),INT($AR439)),IFERROR(DATE(--LEFT(LEFT(SUBSTITUTE(SUBSTITUTE(SUBSTITUTE(SUBSTITUTE(TRIM($AR439),"-",""),".",""),"/","")," ",""),8),4),--MID(LEFT(SUBSTITUTE(SUBSTITUTE(SUBSTITUTE(SUBSTITUTE(TRIM($AR439),"-",""),".",""),"/","")," ",""),8),5,2),--MID(LEFT(SUBSTITUTE(SUBSTITUTE(SUBSTITUTE(SUBSTITUTE(TRIM($AR439),"-",""),".",""),"/","")," ",""),8),7,2)),"")))</f>
        <v/>
      </c>
      <c r="AT439" s="23">
        <f>IF($AS439="","",IF($F$6="",0,IF(ISNUMBER(INDEX($A:$AP,ROW(),$F$6)),INDEX($A:$AP,ROW(),$F$6),IFERROR(--SUBSTITUTE(SUBSTITUTE(TRIM(INDEX($A:$AP,ROW(),$F$6)),",",""),"원",""),0))))</f>
        <v/>
      </c>
      <c r="AU439" s="23">
        <f>IF($AS439="","",IF($G$6="",0,IF(ISNUMBER(INDEX($A:$AP,ROW(),$G$6)),INDEX($A:$AP,ROW(),$G$6),IFERROR(--SUBSTITUTE(SUBSTITUTE(TRIM(INDEX($A:$AP,ROW(),$G$6)),",",""),"원",""),0))))</f>
        <v/>
      </c>
      <c r="AV439" s="23">
        <f>IF($AS439="","",IF($H$6="",$AT439+$AU439,IF($H$6="",0,IF(ISNUMBER(INDEX($A:$AP,ROW(),$H$6)),INDEX($A:$AP,ROW(),$H$6),IFERROR(--SUBSTITUTE(SUBSTITUTE(TRIM(INDEX($A:$AP,ROW(),$H$6)),",",""),"원",""),0)))))</f>
        <v/>
      </c>
      <c r="AW439" s="2">
        <f>IF(OR($AS439="",$C$6=""),"",TRIM(INDEX($A:$AP,ROW(),$C$6)&amp;""))</f>
        <v/>
      </c>
      <c r="AX439" s="2">
        <f>IF($AS439="","",IF($AZ439&lt;&gt;"",SUBSTITUTE(SUBSTITUTE($AZ439,"-","")," ",""),$AY439))</f>
        <v/>
      </c>
      <c r="AY439" s="2">
        <f>IF(OR($AS439="",$E$6=""),"",TRIM(INDEX($A:$AP,ROW(),$E$6)&amp;""))</f>
        <v/>
      </c>
      <c r="AZ439" s="2">
        <f>IF(OR($AS439="",$D$6=""),"",TRIM(INDEX($A:$AP,ROW(),$D$6)&amp;""))</f>
        <v/>
      </c>
      <c r="BA439" s="2">
        <f>IF($AS439="","",IF(AND($AS439&gt;=설정!$B$10,$AS439&lt;=설정!$B$11),"포함","기간 밖"))</f>
        <v/>
      </c>
      <c r="BB439" s="2">
        <f>IF($AS439="","",IF(OR($AT439&lt;0,AND($I$6&lt;&gt;"",ISNUMBER(FIND("수정",INDEX($A:$AP,ROW(),IF($I$6="",1,$I$6))&amp;"")))),"수정","일반"))</f>
        <v/>
      </c>
      <c r="BC439" s="2">
        <f>IF($AS439="","",MID(IF($BA439="기간 밖"," / 기간 밖(신고기간 아님)","")&amp;IF(AND($AW439&lt;&gt;"",COUNTIF($AW$8:$AW$1007,$AW439)&gt;1)," / 승인번호 중복(두 번 붙여넣기?)","")&amp;IF(ABS($AU439-ROUND($AT439*0.1,0))&gt;설정!$B$8,IF($AU439=0," / 세액 0원(영세율·면세 여부 확인)"," / 세액이 공급가액 10%와 다름"),"")&amp;IF($BB439="수정"," / 수정세금계산서(합계에서 자동 가감)",""),4,200))</f>
        <v/>
      </c>
      <c r="BD439" s="2">
        <f>IF($BA439&lt;&gt;"포함","",IF(COUNTIFS($AX$8:$AX439,$AX439,$BA$8:$BA439,"포함")=1,MAX($BD$7:BD438)+1,""))</f>
        <v/>
      </c>
      <c r="BE439" s="2">
        <f>IF($BC439="","",MAX($BE$7:BE438)+1)</f>
        <v/>
      </c>
    </row>
    <row r="440">
      <c r="AR440" s="2">
        <f>IF(OR($A$5="",$B$6="",ROW()&lt;$A$5),"",IF(INDEX($A:$AP,ROW(),$B$6)="","",INDEX($A:$AP,ROW(),$B$6)))</f>
        <v/>
      </c>
      <c r="AS440" s="22">
        <f>IF($AR440="","",IF(ISNUMBER($AR440),IF($AR440&gt;=10000000,IFERROR(DATE(INT($AR440/10000),MOD(INT($AR440/100),100),MOD($AR440,100)),""),INT($AR440)),IFERROR(DATE(--LEFT(LEFT(SUBSTITUTE(SUBSTITUTE(SUBSTITUTE(SUBSTITUTE(TRIM($AR440),"-",""),".",""),"/","")," ",""),8),4),--MID(LEFT(SUBSTITUTE(SUBSTITUTE(SUBSTITUTE(SUBSTITUTE(TRIM($AR440),"-",""),".",""),"/","")," ",""),8),5,2),--MID(LEFT(SUBSTITUTE(SUBSTITUTE(SUBSTITUTE(SUBSTITUTE(TRIM($AR440),"-",""),".",""),"/","")," ",""),8),7,2)),"")))</f>
        <v/>
      </c>
      <c r="AT440" s="23">
        <f>IF($AS440="","",IF($F$6="",0,IF(ISNUMBER(INDEX($A:$AP,ROW(),$F$6)),INDEX($A:$AP,ROW(),$F$6),IFERROR(--SUBSTITUTE(SUBSTITUTE(TRIM(INDEX($A:$AP,ROW(),$F$6)),",",""),"원",""),0))))</f>
        <v/>
      </c>
      <c r="AU440" s="23">
        <f>IF($AS440="","",IF($G$6="",0,IF(ISNUMBER(INDEX($A:$AP,ROW(),$G$6)),INDEX($A:$AP,ROW(),$G$6),IFERROR(--SUBSTITUTE(SUBSTITUTE(TRIM(INDEX($A:$AP,ROW(),$G$6)),",",""),"원",""),0))))</f>
        <v/>
      </c>
      <c r="AV440" s="23">
        <f>IF($AS440="","",IF($H$6="",$AT440+$AU440,IF($H$6="",0,IF(ISNUMBER(INDEX($A:$AP,ROW(),$H$6)),INDEX($A:$AP,ROW(),$H$6),IFERROR(--SUBSTITUTE(SUBSTITUTE(TRIM(INDEX($A:$AP,ROW(),$H$6)),",",""),"원",""),0)))))</f>
        <v/>
      </c>
      <c r="AW440" s="2">
        <f>IF(OR($AS440="",$C$6=""),"",TRIM(INDEX($A:$AP,ROW(),$C$6)&amp;""))</f>
        <v/>
      </c>
      <c r="AX440" s="2">
        <f>IF($AS440="","",IF($AZ440&lt;&gt;"",SUBSTITUTE(SUBSTITUTE($AZ440,"-","")," ",""),$AY440))</f>
        <v/>
      </c>
      <c r="AY440" s="2">
        <f>IF(OR($AS440="",$E$6=""),"",TRIM(INDEX($A:$AP,ROW(),$E$6)&amp;""))</f>
        <v/>
      </c>
      <c r="AZ440" s="2">
        <f>IF(OR($AS440="",$D$6=""),"",TRIM(INDEX($A:$AP,ROW(),$D$6)&amp;""))</f>
        <v/>
      </c>
      <c r="BA440" s="2">
        <f>IF($AS440="","",IF(AND($AS440&gt;=설정!$B$10,$AS440&lt;=설정!$B$11),"포함","기간 밖"))</f>
        <v/>
      </c>
      <c r="BB440" s="2">
        <f>IF($AS440="","",IF(OR($AT440&lt;0,AND($I$6&lt;&gt;"",ISNUMBER(FIND("수정",INDEX($A:$AP,ROW(),IF($I$6="",1,$I$6))&amp;"")))),"수정","일반"))</f>
        <v/>
      </c>
      <c r="BC440" s="2">
        <f>IF($AS440="","",MID(IF($BA440="기간 밖"," / 기간 밖(신고기간 아님)","")&amp;IF(AND($AW440&lt;&gt;"",COUNTIF($AW$8:$AW$1007,$AW440)&gt;1)," / 승인번호 중복(두 번 붙여넣기?)","")&amp;IF(ABS($AU440-ROUND($AT440*0.1,0))&gt;설정!$B$8,IF($AU440=0," / 세액 0원(영세율·면세 여부 확인)"," / 세액이 공급가액 10%와 다름"),"")&amp;IF($BB440="수정"," / 수정세금계산서(합계에서 자동 가감)",""),4,200))</f>
        <v/>
      </c>
      <c r="BD440" s="2">
        <f>IF($BA440&lt;&gt;"포함","",IF(COUNTIFS($AX$8:$AX440,$AX440,$BA$8:$BA440,"포함")=1,MAX($BD$7:BD439)+1,""))</f>
        <v/>
      </c>
      <c r="BE440" s="2">
        <f>IF($BC440="","",MAX($BE$7:BE439)+1)</f>
        <v/>
      </c>
    </row>
    <row r="441">
      <c r="AR441" s="2">
        <f>IF(OR($A$5="",$B$6="",ROW()&lt;$A$5),"",IF(INDEX($A:$AP,ROW(),$B$6)="","",INDEX($A:$AP,ROW(),$B$6)))</f>
        <v/>
      </c>
      <c r="AS441" s="22">
        <f>IF($AR441="","",IF(ISNUMBER($AR441),IF($AR441&gt;=10000000,IFERROR(DATE(INT($AR441/10000),MOD(INT($AR441/100),100),MOD($AR441,100)),""),INT($AR441)),IFERROR(DATE(--LEFT(LEFT(SUBSTITUTE(SUBSTITUTE(SUBSTITUTE(SUBSTITUTE(TRIM($AR441),"-",""),".",""),"/","")," ",""),8),4),--MID(LEFT(SUBSTITUTE(SUBSTITUTE(SUBSTITUTE(SUBSTITUTE(TRIM($AR441),"-",""),".",""),"/","")," ",""),8),5,2),--MID(LEFT(SUBSTITUTE(SUBSTITUTE(SUBSTITUTE(SUBSTITUTE(TRIM($AR441),"-",""),".",""),"/","")," ",""),8),7,2)),"")))</f>
        <v/>
      </c>
      <c r="AT441" s="23">
        <f>IF($AS441="","",IF($F$6="",0,IF(ISNUMBER(INDEX($A:$AP,ROW(),$F$6)),INDEX($A:$AP,ROW(),$F$6),IFERROR(--SUBSTITUTE(SUBSTITUTE(TRIM(INDEX($A:$AP,ROW(),$F$6)),",",""),"원",""),0))))</f>
        <v/>
      </c>
      <c r="AU441" s="23">
        <f>IF($AS441="","",IF($G$6="",0,IF(ISNUMBER(INDEX($A:$AP,ROW(),$G$6)),INDEX($A:$AP,ROW(),$G$6),IFERROR(--SUBSTITUTE(SUBSTITUTE(TRIM(INDEX($A:$AP,ROW(),$G$6)),",",""),"원",""),0))))</f>
        <v/>
      </c>
      <c r="AV441" s="23">
        <f>IF($AS441="","",IF($H$6="",$AT441+$AU441,IF($H$6="",0,IF(ISNUMBER(INDEX($A:$AP,ROW(),$H$6)),INDEX($A:$AP,ROW(),$H$6),IFERROR(--SUBSTITUTE(SUBSTITUTE(TRIM(INDEX($A:$AP,ROW(),$H$6)),",",""),"원",""),0)))))</f>
        <v/>
      </c>
      <c r="AW441" s="2">
        <f>IF(OR($AS441="",$C$6=""),"",TRIM(INDEX($A:$AP,ROW(),$C$6)&amp;""))</f>
        <v/>
      </c>
      <c r="AX441" s="2">
        <f>IF($AS441="","",IF($AZ441&lt;&gt;"",SUBSTITUTE(SUBSTITUTE($AZ441,"-","")," ",""),$AY441))</f>
        <v/>
      </c>
      <c r="AY441" s="2">
        <f>IF(OR($AS441="",$E$6=""),"",TRIM(INDEX($A:$AP,ROW(),$E$6)&amp;""))</f>
        <v/>
      </c>
      <c r="AZ441" s="2">
        <f>IF(OR($AS441="",$D$6=""),"",TRIM(INDEX($A:$AP,ROW(),$D$6)&amp;""))</f>
        <v/>
      </c>
      <c r="BA441" s="2">
        <f>IF($AS441="","",IF(AND($AS441&gt;=설정!$B$10,$AS441&lt;=설정!$B$11),"포함","기간 밖"))</f>
        <v/>
      </c>
      <c r="BB441" s="2">
        <f>IF($AS441="","",IF(OR($AT441&lt;0,AND($I$6&lt;&gt;"",ISNUMBER(FIND("수정",INDEX($A:$AP,ROW(),IF($I$6="",1,$I$6))&amp;"")))),"수정","일반"))</f>
        <v/>
      </c>
      <c r="BC441" s="2">
        <f>IF($AS441="","",MID(IF($BA441="기간 밖"," / 기간 밖(신고기간 아님)","")&amp;IF(AND($AW441&lt;&gt;"",COUNTIF($AW$8:$AW$1007,$AW441)&gt;1)," / 승인번호 중복(두 번 붙여넣기?)","")&amp;IF(ABS($AU441-ROUND($AT441*0.1,0))&gt;설정!$B$8,IF($AU441=0," / 세액 0원(영세율·면세 여부 확인)"," / 세액이 공급가액 10%와 다름"),"")&amp;IF($BB441="수정"," / 수정세금계산서(합계에서 자동 가감)",""),4,200))</f>
        <v/>
      </c>
      <c r="BD441" s="2">
        <f>IF($BA441&lt;&gt;"포함","",IF(COUNTIFS($AX$8:$AX441,$AX441,$BA$8:$BA441,"포함")=1,MAX($BD$7:BD440)+1,""))</f>
        <v/>
      </c>
      <c r="BE441" s="2">
        <f>IF($BC441="","",MAX($BE$7:BE440)+1)</f>
        <v/>
      </c>
    </row>
    <row r="442">
      <c r="AR442" s="2">
        <f>IF(OR($A$5="",$B$6="",ROW()&lt;$A$5),"",IF(INDEX($A:$AP,ROW(),$B$6)="","",INDEX($A:$AP,ROW(),$B$6)))</f>
        <v/>
      </c>
      <c r="AS442" s="22">
        <f>IF($AR442="","",IF(ISNUMBER($AR442),IF($AR442&gt;=10000000,IFERROR(DATE(INT($AR442/10000),MOD(INT($AR442/100),100),MOD($AR442,100)),""),INT($AR442)),IFERROR(DATE(--LEFT(LEFT(SUBSTITUTE(SUBSTITUTE(SUBSTITUTE(SUBSTITUTE(TRIM($AR442),"-",""),".",""),"/","")," ",""),8),4),--MID(LEFT(SUBSTITUTE(SUBSTITUTE(SUBSTITUTE(SUBSTITUTE(TRIM($AR442),"-",""),".",""),"/","")," ",""),8),5,2),--MID(LEFT(SUBSTITUTE(SUBSTITUTE(SUBSTITUTE(SUBSTITUTE(TRIM($AR442),"-",""),".",""),"/","")," ",""),8),7,2)),"")))</f>
        <v/>
      </c>
      <c r="AT442" s="23">
        <f>IF($AS442="","",IF($F$6="",0,IF(ISNUMBER(INDEX($A:$AP,ROW(),$F$6)),INDEX($A:$AP,ROW(),$F$6),IFERROR(--SUBSTITUTE(SUBSTITUTE(TRIM(INDEX($A:$AP,ROW(),$F$6)),",",""),"원",""),0))))</f>
        <v/>
      </c>
      <c r="AU442" s="23">
        <f>IF($AS442="","",IF($G$6="",0,IF(ISNUMBER(INDEX($A:$AP,ROW(),$G$6)),INDEX($A:$AP,ROW(),$G$6),IFERROR(--SUBSTITUTE(SUBSTITUTE(TRIM(INDEX($A:$AP,ROW(),$G$6)),",",""),"원",""),0))))</f>
        <v/>
      </c>
      <c r="AV442" s="23">
        <f>IF($AS442="","",IF($H$6="",$AT442+$AU442,IF($H$6="",0,IF(ISNUMBER(INDEX($A:$AP,ROW(),$H$6)),INDEX($A:$AP,ROW(),$H$6),IFERROR(--SUBSTITUTE(SUBSTITUTE(TRIM(INDEX($A:$AP,ROW(),$H$6)),",",""),"원",""),0)))))</f>
        <v/>
      </c>
      <c r="AW442" s="2">
        <f>IF(OR($AS442="",$C$6=""),"",TRIM(INDEX($A:$AP,ROW(),$C$6)&amp;""))</f>
        <v/>
      </c>
      <c r="AX442" s="2">
        <f>IF($AS442="","",IF($AZ442&lt;&gt;"",SUBSTITUTE(SUBSTITUTE($AZ442,"-","")," ",""),$AY442))</f>
        <v/>
      </c>
      <c r="AY442" s="2">
        <f>IF(OR($AS442="",$E$6=""),"",TRIM(INDEX($A:$AP,ROW(),$E$6)&amp;""))</f>
        <v/>
      </c>
      <c r="AZ442" s="2">
        <f>IF(OR($AS442="",$D$6=""),"",TRIM(INDEX($A:$AP,ROW(),$D$6)&amp;""))</f>
        <v/>
      </c>
      <c r="BA442" s="2">
        <f>IF($AS442="","",IF(AND($AS442&gt;=설정!$B$10,$AS442&lt;=설정!$B$11),"포함","기간 밖"))</f>
        <v/>
      </c>
      <c r="BB442" s="2">
        <f>IF($AS442="","",IF(OR($AT442&lt;0,AND($I$6&lt;&gt;"",ISNUMBER(FIND("수정",INDEX($A:$AP,ROW(),IF($I$6="",1,$I$6))&amp;"")))),"수정","일반"))</f>
        <v/>
      </c>
      <c r="BC442" s="2">
        <f>IF($AS442="","",MID(IF($BA442="기간 밖"," / 기간 밖(신고기간 아님)","")&amp;IF(AND($AW442&lt;&gt;"",COUNTIF($AW$8:$AW$1007,$AW442)&gt;1)," / 승인번호 중복(두 번 붙여넣기?)","")&amp;IF(ABS($AU442-ROUND($AT442*0.1,0))&gt;설정!$B$8,IF($AU442=0," / 세액 0원(영세율·면세 여부 확인)"," / 세액이 공급가액 10%와 다름"),"")&amp;IF($BB442="수정"," / 수정세금계산서(합계에서 자동 가감)",""),4,200))</f>
        <v/>
      </c>
      <c r="BD442" s="2">
        <f>IF($BA442&lt;&gt;"포함","",IF(COUNTIFS($AX$8:$AX442,$AX442,$BA$8:$BA442,"포함")=1,MAX($BD$7:BD441)+1,""))</f>
        <v/>
      </c>
      <c r="BE442" s="2">
        <f>IF($BC442="","",MAX($BE$7:BE441)+1)</f>
        <v/>
      </c>
    </row>
    <row r="443">
      <c r="AR443" s="2">
        <f>IF(OR($A$5="",$B$6="",ROW()&lt;$A$5),"",IF(INDEX($A:$AP,ROW(),$B$6)="","",INDEX($A:$AP,ROW(),$B$6)))</f>
        <v/>
      </c>
      <c r="AS443" s="22">
        <f>IF($AR443="","",IF(ISNUMBER($AR443),IF($AR443&gt;=10000000,IFERROR(DATE(INT($AR443/10000),MOD(INT($AR443/100),100),MOD($AR443,100)),""),INT($AR443)),IFERROR(DATE(--LEFT(LEFT(SUBSTITUTE(SUBSTITUTE(SUBSTITUTE(SUBSTITUTE(TRIM($AR443),"-",""),".",""),"/","")," ",""),8),4),--MID(LEFT(SUBSTITUTE(SUBSTITUTE(SUBSTITUTE(SUBSTITUTE(TRIM($AR443),"-",""),".",""),"/","")," ",""),8),5,2),--MID(LEFT(SUBSTITUTE(SUBSTITUTE(SUBSTITUTE(SUBSTITUTE(TRIM($AR443),"-",""),".",""),"/","")," ",""),8),7,2)),"")))</f>
        <v/>
      </c>
      <c r="AT443" s="23">
        <f>IF($AS443="","",IF($F$6="",0,IF(ISNUMBER(INDEX($A:$AP,ROW(),$F$6)),INDEX($A:$AP,ROW(),$F$6),IFERROR(--SUBSTITUTE(SUBSTITUTE(TRIM(INDEX($A:$AP,ROW(),$F$6)),",",""),"원",""),0))))</f>
        <v/>
      </c>
      <c r="AU443" s="23">
        <f>IF($AS443="","",IF($G$6="",0,IF(ISNUMBER(INDEX($A:$AP,ROW(),$G$6)),INDEX($A:$AP,ROW(),$G$6),IFERROR(--SUBSTITUTE(SUBSTITUTE(TRIM(INDEX($A:$AP,ROW(),$G$6)),",",""),"원",""),0))))</f>
        <v/>
      </c>
      <c r="AV443" s="23">
        <f>IF($AS443="","",IF($H$6="",$AT443+$AU443,IF($H$6="",0,IF(ISNUMBER(INDEX($A:$AP,ROW(),$H$6)),INDEX($A:$AP,ROW(),$H$6),IFERROR(--SUBSTITUTE(SUBSTITUTE(TRIM(INDEX($A:$AP,ROW(),$H$6)),",",""),"원",""),0)))))</f>
        <v/>
      </c>
      <c r="AW443" s="2">
        <f>IF(OR($AS443="",$C$6=""),"",TRIM(INDEX($A:$AP,ROW(),$C$6)&amp;""))</f>
        <v/>
      </c>
      <c r="AX443" s="2">
        <f>IF($AS443="","",IF($AZ443&lt;&gt;"",SUBSTITUTE(SUBSTITUTE($AZ443,"-","")," ",""),$AY443))</f>
        <v/>
      </c>
      <c r="AY443" s="2">
        <f>IF(OR($AS443="",$E$6=""),"",TRIM(INDEX($A:$AP,ROW(),$E$6)&amp;""))</f>
        <v/>
      </c>
      <c r="AZ443" s="2">
        <f>IF(OR($AS443="",$D$6=""),"",TRIM(INDEX($A:$AP,ROW(),$D$6)&amp;""))</f>
        <v/>
      </c>
      <c r="BA443" s="2">
        <f>IF($AS443="","",IF(AND($AS443&gt;=설정!$B$10,$AS443&lt;=설정!$B$11),"포함","기간 밖"))</f>
        <v/>
      </c>
      <c r="BB443" s="2">
        <f>IF($AS443="","",IF(OR($AT443&lt;0,AND($I$6&lt;&gt;"",ISNUMBER(FIND("수정",INDEX($A:$AP,ROW(),IF($I$6="",1,$I$6))&amp;"")))),"수정","일반"))</f>
        <v/>
      </c>
      <c r="BC443" s="2">
        <f>IF($AS443="","",MID(IF($BA443="기간 밖"," / 기간 밖(신고기간 아님)","")&amp;IF(AND($AW443&lt;&gt;"",COUNTIF($AW$8:$AW$1007,$AW443)&gt;1)," / 승인번호 중복(두 번 붙여넣기?)","")&amp;IF(ABS($AU443-ROUND($AT443*0.1,0))&gt;설정!$B$8,IF($AU443=0," / 세액 0원(영세율·면세 여부 확인)"," / 세액이 공급가액 10%와 다름"),"")&amp;IF($BB443="수정"," / 수정세금계산서(합계에서 자동 가감)",""),4,200))</f>
        <v/>
      </c>
      <c r="BD443" s="2">
        <f>IF($BA443&lt;&gt;"포함","",IF(COUNTIFS($AX$8:$AX443,$AX443,$BA$8:$BA443,"포함")=1,MAX($BD$7:BD442)+1,""))</f>
        <v/>
      </c>
      <c r="BE443" s="2">
        <f>IF($BC443="","",MAX($BE$7:BE442)+1)</f>
        <v/>
      </c>
    </row>
    <row r="444">
      <c r="AR444" s="2">
        <f>IF(OR($A$5="",$B$6="",ROW()&lt;$A$5),"",IF(INDEX($A:$AP,ROW(),$B$6)="","",INDEX($A:$AP,ROW(),$B$6)))</f>
        <v/>
      </c>
      <c r="AS444" s="22">
        <f>IF($AR444="","",IF(ISNUMBER($AR444),IF($AR444&gt;=10000000,IFERROR(DATE(INT($AR444/10000),MOD(INT($AR444/100),100),MOD($AR444,100)),""),INT($AR444)),IFERROR(DATE(--LEFT(LEFT(SUBSTITUTE(SUBSTITUTE(SUBSTITUTE(SUBSTITUTE(TRIM($AR444),"-",""),".",""),"/","")," ",""),8),4),--MID(LEFT(SUBSTITUTE(SUBSTITUTE(SUBSTITUTE(SUBSTITUTE(TRIM($AR444),"-",""),".",""),"/","")," ",""),8),5,2),--MID(LEFT(SUBSTITUTE(SUBSTITUTE(SUBSTITUTE(SUBSTITUTE(TRIM($AR444),"-",""),".",""),"/","")," ",""),8),7,2)),"")))</f>
        <v/>
      </c>
      <c r="AT444" s="23">
        <f>IF($AS444="","",IF($F$6="",0,IF(ISNUMBER(INDEX($A:$AP,ROW(),$F$6)),INDEX($A:$AP,ROW(),$F$6),IFERROR(--SUBSTITUTE(SUBSTITUTE(TRIM(INDEX($A:$AP,ROW(),$F$6)),",",""),"원",""),0))))</f>
        <v/>
      </c>
      <c r="AU444" s="23">
        <f>IF($AS444="","",IF($G$6="",0,IF(ISNUMBER(INDEX($A:$AP,ROW(),$G$6)),INDEX($A:$AP,ROW(),$G$6),IFERROR(--SUBSTITUTE(SUBSTITUTE(TRIM(INDEX($A:$AP,ROW(),$G$6)),",",""),"원",""),0))))</f>
        <v/>
      </c>
      <c r="AV444" s="23">
        <f>IF($AS444="","",IF($H$6="",$AT444+$AU444,IF($H$6="",0,IF(ISNUMBER(INDEX($A:$AP,ROW(),$H$6)),INDEX($A:$AP,ROW(),$H$6),IFERROR(--SUBSTITUTE(SUBSTITUTE(TRIM(INDEX($A:$AP,ROW(),$H$6)),",",""),"원",""),0)))))</f>
        <v/>
      </c>
      <c r="AW444" s="2">
        <f>IF(OR($AS444="",$C$6=""),"",TRIM(INDEX($A:$AP,ROW(),$C$6)&amp;""))</f>
        <v/>
      </c>
      <c r="AX444" s="2">
        <f>IF($AS444="","",IF($AZ444&lt;&gt;"",SUBSTITUTE(SUBSTITUTE($AZ444,"-","")," ",""),$AY444))</f>
        <v/>
      </c>
      <c r="AY444" s="2">
        <f>IF(OR($AS444="",$E$6=""),"",TRIM(INDEX($A:$AP,ROW(),$E$6)&amp;""))</f>
        <v/>
      </c>
      <c r="AZ444" s="2">
        <f>IF(OR($AS444="",$D$6=""),"",TRIM(INDEX($A:$AP,ROW(),$D$6)&amp;""))</f>
        <v/>
      </c>
      <c r="BA444" s="2">
        <f>IF($AS444="","",IF(AND($AS444&gt;=설정!$B$10,$AS444&lt;=설정!$B$11),"포함","기간 밖"))</f>
        <v/>
      </c>
      <c r="BB444" s="2">
        <f>IF($AS444="","",IF(OR($AT444&lt;0,AND($I$6&lt;&gt;"",ISNUMBER(FIND("수정",INDEX($A:$AP,ROW(),IF($I$6="",1,$I$6))&amp;"")))),"수정","일반"))</f>
        <v/>
      </c>
      <c r="BC444" s="2">
        <f>IF($AS444="","",MID(IF($BA444="기간 밖"," / 기간 밖(신고기간 아님)","")&amp;IF(AND($AW444&lt;&gt;"",COUNTIF($AW$8:$AW$1007,$AW444)&gt;1)," / 승인번호 중복(두 번 붙여넣기?)","")&amp;IF(ABS($AU444-ROUND($AT444*0.1,0))&gt;설정!$B$8,IF($AU444=0," / 세액 0원(영세율·면세 여부 확인)"," / 세액이 공급가액 10%와 다름"),"")&amp;IF($BB444="수정"," / 수정세금계산서(합계에서 자동 가감)",""),4,200))</f>
        <v/>
      </c>
      <c r="BD444" s="2">
        <f>IF($BA444&lt;&gt;"포함","",IF(COUNTIFS($AX$8:$AX444,$AX444,$BA$8:$BA444,"포함")=1,MAX($BD$7:BD443)+1,""))</f>
        <v/>
      </c>
      <c r="BE444" s="2">
        <f>IF($BC444="","",MAX($BE$7:BE443)+1)</f>
        <v/>
      </c>
    </row>
    <row r="445">
      <c r="AR445" s="2">
        <f>IF(OR($A$5="",$B$6="",ROW()&lt;$A$5),"",IF(INDEX($A:$AP,ROW(),$B$6)="","",INDEX($A:$AP,ROW(),$B$6)))</f>
        <v/>
      </c>
      <c r="AS445" s="22">
        <f>IF($AR445="","",IF(ISNUMBER($AR445),IF($AR445&gt;=10000000,IFERROR(DATE(INT($AR445/10000),MOD(INT($AR445/100),100),MOD($AR445,100)),""),INT($AR445)),IFERROR(DATE(--LEFT(LEFT(SUBSTITUTE(SUBSTITUTE(SUBSTITUTE(SUBSTITUTE(TRIM($AR445),"-",""),".",""),"/","")," ",""),8),4),--MID(LEFT(SUBSTITUTE(SUBSTITUTE(SUBSTITUTE(SUBSTITUTE(TRIM($AR445),"-",""),".",""),"/","")," ",""),8),5,2),--MID(LEFT(SUBSTITUTE(SUBSTITUTE(SUBSTITUTE(SUBSTITUTE(TRIM($AR445),"-",""),".",""),"/","")," ",""),8),7,2)),"")))</f>
        <v/>
      </c>
      <c r="AT445" s="23">
        <f>IF($AS445="","",IF($F$6="",0,IF(ISNUMBER(INDEX($A:$AP,ROW(),$F$6)),INDEX($A:$AP,ROW(),$F$6),IFERROR(--SUBSTITUTE(SUBSTITUTE(TRIM(INDEX($A:$AP,ROW(),$F$6)),",",""),"원",""),0))))</f>
        <v/>
      </c>
      <c r="AU445" s="23">
        <f>IF($AS445="","",IF($G$6="",0,IF(ISNUMBER(INDEX($A:$AP,ROW(),$G$6)),INDEX($A:$AP,ROW(),$G$6),IFERROR(--SUBSTITUTE(SUBSTITUTE(TRIM(INDEX($A:$AP,ROW(),$G$6)),",",""),"원",""),0))))</f>
        <v/>
      </c>
      <c r="AV445" s="23">
        <f>IF($AS445="","",IF($H$6="",$AT445+$AU445,IF($H$6="",0,IF(ISNUMBER(INDEX($A:$AP,ROW(),$H$6)),INDEX($A:$AP,ROW(),$H$6),IFERROR(--SUBSTITUTE(SUBSTITUTE(TRIM(INDEX($A:$AP,ROW(),$H$6)),",",""),"원",""),0)))))</f>
        <v/>
      </c>
      <c r="AW445" s="2">
        <f>IF(OR($AS445="",$C$6=""),"",TRIM(INDEX($A:$AP,ROW(),$C$6)&amp;""))</f>
        <v/>
      </c>
      <c r="AX445" s="2">
        <f>IF($AS445="","",IF($AZ445&lt;&gt;"",SUBSTITUTE(SUBSTITUTE($AZ445,"-","")," ",""),$AY445))</f>
        <v/>
      </c>
      <c r="AY445" s="2">
        <f>IF(OR($AS445="",$E$6=""),"",TRIM(INDEX($A:$AP,ROW(),$E$6)&amp;""))</f>
        <v/>
      </c>
      <c r="AZ445" s="2">
        <f>IF(OR($AS445="",$D$6=""),"",TRIM(INDEX($A:$AP,ROW(),$D$6)&amp;""))</f>
        <v/>
      </c>
      <c r="BA445" s="2">
        <f>IF($AS445="","",IF(AND($AS445&gt;=설정!$B$10,$AS445&lt;=설정!$B$11),"포함","기간 밖"))</f>
        <v/>
      </c>
      <c r="BB445" s="2">
        <f>IF($AS445="","",IF(OR($AT445&lt;0,AND($I$6&lt;&gt;"",ISNUMBER(FIND("수정",INDEX($A:$AP,ROW(),IF($I$6="",1,$I$6))&amp;"")))),"수정","일반"))</f>
        <v/>
      </c>
      <c r="BC445" s="2">
        <f>IF($AS445="","",MID(IF($BA445="기간 밖"," / 기간 밖(신고기간 아님)","")&amp;IF(AND($AW445&lt;&gt;"",COUNTIF($AW$8:$AW$1007,$AW445)&gt;1)," / 승인번호 중복(두 번 붙여넣기?)","")&amp;IF(ABS($AU445-ROUND($AT445*0.1,0))&gt;설정!$B$8,IF($AU445=0," / 세액 0원(영세율·면세 여부 확인)"," / 세액이 공급가액 10%와 다름"),"")&amp;IF($BB445="수정"," / 수정세금계산서(합계에서 자동 가감)",""),4,200))</f>
        <v/>
      </c>
      <c r="BD445" s="2">
        <f>IF($BA445&lt;&gt;"포함","",IF(COUNTIFS($AX$8:$AX445,$AX445,$BA$8:$BA445,"포함")=1,MAX($BD$7:BD444)+1,""))</f>
        <v/>
      </c>
      <c r="BE445" s="2">
        <f>IF($BC445="","",MAX($BE$7:BE444)+1)</f>
        <v/>
      </c>
    </row>
    <row r="446">
      <c r="AR446" s="2">
        <f>IF(OR($A$5="",$B$6="",ROW()&lt;$A$5),"",IF(INDEX($A:$AP,ROW(),$B$6)="","",INDEX($A:$AP,ROW(),$B$6)))</f>
        <v/>
      </c>
      <c r="AS446" s="22">
        <f>IF($AR446="","",IF(ISNUMBER($AR446),IF($AR446&gt;=10000000,IFERROR(DATE(INT($AR446/10000),MOD(INT($AR446/100),100),MOD($AR446,100)),""),INT($AR446)),IFERROR(DATE(--LEFT(LEFT(SUBSTITUTE(SUBSTITUTE(SUBSTITUTE(SUBSTITUTE(TRIM($AR446),"-",""),".",""),"/","")," ",""),8),4),--MID(LEFT(SUBSTITUTE(SUBSTITUTE(SUBSTITUTE(SUBSTITUTE(TRIM($AR446),"-",""),".",""),"/","")," ",""),8),5,2),--MID(LEFT(SUBSTITUTE(SUBSTITUTE(SUBSTITUTE(SUBSTITUTE(TRIM($AR446),"-",""),".",""),"/","")," ",""),8),7,2)),"")))</f>
        <v/>
      </c>
      <c r="AT446" s="23">
        <f>IF($AS446="","",IF($F$6="",0,IF(ISNUMBER(INDEX($A:$AP,ROW(),$F$6)),INDEX($A:$AP,ROW(),$F$6),IFERROR(--SUBSTITUTE(SUBSTITUTE(TRIM(INDEX($A:$AP,ROW(),$F$6)),",",""),"원",""),0))))</f>
        <v/>
      </c>
      <c r="AU446" s="23">
        <f>IF($AS446="","",IF($G$6="",0,IF(ISNUMBER(INDEX($A:$AP,ROW(),$G$6)),INDEX($A:$AP,ROW(),$G$6),IFERROR(--SUBSTITUTE(SUBSTITUTE(TRIM(INDEX($A:$AP,ROW(),$G$6)),",",""),"원",""),0))))</f>
        <v/>
      </c>
      <c r="AV446" s="23">
        <f>IF($AS446="","",IF($H$6="",$AT446+$AU446,IF($H$6="",0,IF(ISNUMBER(INDEX($A:$AP,ROW(),$H$6)),INDEX($A:$AP,ROW(),$H$6),IFERROR(--SUBSTITUTE(SUBSTITUTE(TRIM(INDEX($A:$AP,ROW(),$H$6)),",",""),"원",""),0)))))</f>
        <v/>
      </c>
      <c r="AW446" s="2">
        <f>IF(OR($AS446="",$C$6=""),"",TRIM(INDEX($A:$AP,ROW(),$C$6)&amp;""))</f>
        <v/>
      </c>
      <c r="AX446" s="2">
        <f>IF($AS446="","",IF($AZ446&lt;&gt;"",SUBSTITUTE(SUBSTITUTE($AZ446,"-","")," ",""),$AY446))</f>
        <v/>
      </c>
      <c r="AY446" s="2">
        <f>IF(OR($AS446="",$E$6=""),"",TRIM(INDEX($A:$AP,ROW(),$E$6)&amp;""))</f>
        <v/>
      </c>
      <c r="AZ446" s="2">
        <f>IF(OR($AS446="",$D$6=""),"",TRIM(INDEX($A:$AP,ROW(),$D$6)&amp;""))</f>
        <v/>
      </c>
      <c r="BA446" s="2">
        <f>IF($AS446="","",IF(AND($AS446&gt;=설정!$B$10,$AS446&lt;=설정!$B$11),"포함","기간 밖"))</f>
        <v/>
      </c>
      <c r="BB446" s="2">
        <f>IF($AS446="","",IF(OR($AT446&lt;0,AND($I$6&lt;&gt;"",ISNUMBER(FIND("수정",INDEX($A:$AP,ROW(),IF($I$6="",1,$I$6))&amp;"")))),"수정","일반"))</f>
        <v/>
      </c>
      <c r="BC446" s="2">
        <f>IF($AS446="","",MID(IF($BA446="기간 밖"," / 기간 밖(신고기간 아님)","")&amp;IF(AND($AW446&lt;&gt;"",COUNTIF($AW$8:$AW$1007,$AW446)&gt;1)," / 승인번호 중복(두 번 붙여넣기?)","")&amp;IF(ABS($AU446-ROUND($AT446*0.1,0))&gt;설정!$B$8,IF($AU446=0," / 세액 0원(영세율·면세 여부 확인)"," / 세액이 공급가액 10%와 다름"),"")&amp;IF($BB446="수정"," / 수정세금계산서(합계에서 자동 가감)",""),4,200))</f>
        <v/>
      </c>
      <c r="BD446" s="2">
        <f>IF($BA446&lt;&gt;"포함","",IF(COUNTIFS($AX$8:$AX446,$AX446,$BA$8:$BA446,"포함")=1,MAX($BD$7:BD445)+1,""))</f>
        <v/>
      </c>
      <c r="BE446" s="2">
        <f>IF($BC446="","",MAX($BE$7:BE445)+1)</f>
        <v/>
      </c>
    </row>
    <row r="447">
      <c r="AR447" s="2">
        <f>IF(OR($A$5="",$B$6="",ROW()&lt;$A$5),"",IF(INDEX($A:$AP,ROW(),$B$6)="","",INDEX($A:$AP,ROW(),$B$6)))</f>
        <v/>
      </c>
      <c r="AS447" s="22">
        <f>IF($AR447="","",IF(ISNUMBER($AR447),IF($AR447&gt;=10000000,IFERROR(DATE(INT($AR447/10000),MOD(INT($AR447/100),100),MOD($AR447,100)),""),INT($AR447)),IFERROR(DATE(--LEFT(LEFT(SUBSTITUTE(SUBSTITUTE(SUBSTITUTE(SUBSTITUTE(TRIM($AR447),"-",""),".",""),"/","")," ",""),8),4),--MID(LEFT(SUBSTITUTE(SUBSTITUTE(SUBSTITUTE(SUBSTITUTE(TRIM($AR447),"-",""),".",""),"/","")," ",""),8),5,2),--MID(LEFT(SUBSTITUTE(SUBSTITUTE(SUBSTITUTE(SUBSTITUTE(TRIM($AR447),"-",""),".",""),"/","")," ",""),8),7,2)),"")))</f>
        <v/>
      </c>
      <c r="AT447" s="23">
        <f>IF($AS447="","",IF($F$6="",0,IF(ISNUMBER(INDEX($A:$AP,ROW(),$F$6)),INDEX($A:$AP,ROW(),$F$6),IFERROR(--SUBSTITUTE(SUBSTITUTE(TRIM(INDEX($A:$AP,ROW(),$F$6)),",",""),"원",""),0))))</f>
        <v/>
      </c>
      <c r="AU447" s="23">
        <f>IF($AS447="","",IF($G$6="",0,IF(ISNUMBER(INDEX($A:$AP,ROW(),$G$6)),INDEX($A:$AP,ROW(),$G$6),IFERROR(--SUBSTITUTE(SUBSTITUTE(TRIM(INDEX($A:$AP,ROW(),$G$6)),",",""),"원",""),0))))</f>
        <v/>
      </c>
      <c r="AV447" s="23">
        <f>IF($AS447="","",IF($H$6="",$AT447+$AU447,IF($H$6="",0,IF(ISNUMBER(INDEX($A:$AP,ROW(),$H$6)),INDEX($A:$AP,ROW(),$H$6),IFERROR(--SUBSTITUTE(SUBSTITUTE(TRIM(INDEX($A:$AP,ROW(),$H$6)),",",""),"원",""),0)))))</f>
        <v/>
      </c>
      <c r="AW447" s="2">
        <f>IF(OR($AS447="",$C$6=""),"",TRIM(INDEX($A:$AP,ROW(),$C$6)&amp;""))</f>
        <v/>
      </c>
      <c r="AX447" s="2">
        <f>IF($AS447="","",IF($AZ447&lt;&gt;"",SUBSTITUTE(SUBSTITUTE($AZ447,"-","")," ",""),$AY447))</f>
        <v/>
      </c>
      <c r="AY447" s="2">
        <f>IF(OR($AS447="",$E$6=""),"",TRIM(INDEX($A:$AP,ROW(),$E$6)&amp;""))</f>
        <v/>
      </c>
      <c r="AZ447" s="2">
        <f>IF(OR($AS447="",$D$6=""),"",TRIM(INDEX($A:$AP,ROW(),$D$6)&amp;""))</f>
        <v/>
      </c>
      <c r="BA447" s="2">
        <f>IF($AS447="","",IF(AND($AS447&gt;=설정!$B$10,$AS447&lt;=설정!$B$11),"포함","기간 밖"))</f>
        <v/>
      </c>
      <c r="BB447" s="2">
        <f>IF($AS447="","",IF(OR($AT447&lt;0,AND($I$6&lt;&gt;"",ISNUMBER(FIND("수정",INDEX($A:$AP,ROW(),IF($I$6="",1,$I$6))&amp;"")))),"수정","일반"))</f>
        <v/>
      </c>
      <c r="BC447" s="2">
        <f>IF($AS447="","",MID(IF($BA447="기간 밖"," / 기간 밖(신고기간 아님)","")&amp;IF(AND($AW447&lt;&gt;"",COUNTIF($AW$8:$AW$1007,$AW447)&gt;1)," / 승인번호 중복(두 번 붙여넣기?)","")&amp;IF(ABS($AU447-ROUND($AT447*0.1,0))&gt;설정!$B$8,IF($AU447=0," / 세액 0원(영세율·면세 여부 확인)"," / 세액이 공급가액 10%와 다름"),"")&amp;IF($BB447="수정"," / 수정세금계산서(합계에서 자동 가감)",""),4,200))</f>
        <v/>
      </c>
      <c r="BD447" s="2">
        <f>IF($BA447&lt;&gt;"포함","",IF(COUNTIFS($AX$8:$AX447,$AX447,$BA$8:$BA447,"포함")=1,MAX($BD$7:BD446)+1,""))</f>
        <v/>
      </c>
      <c r="BE447" s="2">
        <f>IF($BC447="","",MAX($BE$7:BE446)+1)</f>
        <v/>
      </c>
    </row>
    <row r="448">
      <c r="AR448" s="2">
        <f>IF(OR($A$5="",$B$6="",ROW()&lt;$A$5),"",IF(INDEX($A:$AP,ROW(),$B$6)="","",INDEX($A:$AP,ROW(),$B$6)))</f>
        <v/>
      </c>
      <c r="AS448" s="22">
        <f>IF($AR448="","",IF(ISNUMBER($AR448),IF($AR448&gt;=10000000,IFERROR(DATE(INT($AR448/10000),MOD(INT($AR448/100),100),MOD($AR448,100)),""),INT($AR448)),IFERROR(DATE(--LEFT(LEFT(SUBSTITUTE(SUBSTITUTE(SUBSTITUTE(SUBSTITUTE(TRIM($AR448),"-",""),".",""),"/","")," ",""),8),4),--MID(LEFT(SUBSTITUTE(SUBSTITUTE(SUBSTITUTE(SUBSTITUTE(TRIM($AR448),"-",""),".",""),"/","")," ",""),8),5,2),--MID(LEFT(SUBSTITUTE(SUBSTITUTE(SUBSTITUTE(SUBSTITUTE(TRIM($AR448),"-",""),".",""),"/","")," ",""),8),7,2)),"")))</f>
        <v/>
      </c>
      <c r="AT448" s="23">
        <f>IF($AS448="","",IF($F$6="",0,IF(ISNUMBER(INDEX($A:$AP,ROW(),$F$6)),INDEX($A:$AP,ROW(),$F$6),IFERROR(--SUBSTITUTE(SUBSTITUTE(TRIM(INDEX($A:$AP,ROW(),$F$6)),",",""),"원",""),0))))</f>
        <v/>
      </c>
      <c r="AU448" s="23">
        <f>IF($AS448="","",IF($G$6="",0,IF(ISNUMBER(INDEX($A:$AP,ROW(),$G$6)),INDEX($A:$AP,ROW(),$G$6),IFERROR(--SUBSTITUTE(SUBSTITUTE(TRIM(INDEX($A:$AP,ROW(),$G$6)),",",""),"원",""),0))))</f>
        <v/>
      </c>
      <c r="AV448" s="23">
        <f>IF($AS448="","",IF($H$6="",$AT448+$AU448,IF($H$6="",0,IF(ISNUMBER(INDEX($A:$AP,ROW(),$H$6)),INDEX($A:$AP,ROW(),$H$6),IFERROR(--SUBSTITUTE(SUBSTITUTE(TRIM(INDEX($A:$AP,ROW(),$H$6)),",",""),"원",""),0)))))</f>
        <v/>
      </c>
      <c r="AW448" s="2">
        <f>IF(OR($AS448="",$C$6=""),"",TRIM(INDEX($A:$AP,ROW(),$C$6)&amp;""))</f>
        <v/>
      </c>
      <c r="AX448" s="2">
        <f>IF($AS448="","",IF($AZ448&lt;&gt;"",SUBSTITUTE(SUBSTITUTE($AZ448,"-","")," ",""),$AY448))</f>
        <v/>
      </c>
      <c r="AY448" s="2">
        <f>IF(OR($AS448="",$E$6=""),"",TRIM(INDEX($A:$AP,ROW(),$E$6)&amp;""))</f>
        <v/>
      </c>
      <c r="AZ448" s="2">
        <f>IF(OR($AS448="",$D$6=""),"",TRIM(INDEX($A:$AP,ROW(),$D$6)&amp;""))</f>
        <v/>
      </c>
      <c r="BA448" s="2">
        <f>IF($AS448="","",IF(AND($AS448&gt;=설정!$B$10,$AS448&lt;=설정!$B$11),"포함","기간 밖"))</f>
        <v/>
      </c>
      <c r="BB448" s="2">
        <f>IF($AS448="","",IF(OR($AT448&lt;0,AND($I$6&lt;&gt;"",ISNUMBER(FIND("수정",INDEX($A:$AP,ROW(),IF($I$6="",1,$I$6))&amp;"")))),"수정","일반"))</f>
        <v/>
      </c>
      <c r="BC448" s="2">
        <f>IF($AS448="","",MID(IF($BA448="기간 밖"," / 기간 밖(신고기간 아님)","")&amp;IF(AND($AW448&lt;&gt;"",COUNTIF($AW$8:$AW$1007,$AW448)&gt;1)," / 승인번호 중복(두 번 붙여넣기?)","")&amp;IF(ABS($AU448-ROUND($AT448*0.1,0))&gt;설정!$B$8,IF($AU448=0," / 세액 0원(영세율·면세 여부 확인)"," / 세액이 공급가액 10%와 다름"),"")&amp;IF($BB448="수정"," / 수정세금계산서(합계에서 자동 가감)",""),4,200))</f>
        <v/>
      </c>
      <c r="BD448" s="2">
        <f>IF($BA448&lt;&gt;"포함","",IF(COUNTIFS($AX$8:$AX448,$AX448,$BA$8:$BA448,"포함")=1,MAX($BD$7:BD447)+1,""))</f>
        <v/>
      </c>
      <c r="BE448" s="2">
        <f>IF($BC448="","",MAX($BE$7:BE447)+1)</f>
        <v/>
      </c>
    </row>
    <row r="449">
      <c r="AR449" s="2">
        <f>IF(OR($A$5="",$B$6="",ROW()&lt;$A$5),"",IF(INDEX($A:$AP,ROW(),$B$6)="","",INDEX($A:$AP,ROW(),$B$6)))</f>
        <v/>
      </c>
      <c r="AS449" s="22">
        <f>IF($AR449="","",IF(ISNUMBER($AR449),IF($AR449&gt;=10000000,IFERROR(DATE(INT($AR449/10000),MOD(INT($AR449/100),100),MOD($AR449,100)),""),INT($AR449)),IFERROR(DATE(--LEFT(LEFT(SUBSTITUTE(SUBSTITUTE(SUBSTITUTE(SUBSTITUTE(TRIM($AR449),"-",""),".",""),"/","")," ",""),8),4),--MID(LEFT(SUBSTITUTE(SUBSTITUTE(SUBSTITUTE(SUBSTITUTE(TRIM($AR449),"-",""),".",""),"/","")," ",""),8),5,2),--MID(LEFT(SUBSTITUTE(SUBSTITUTE(SUBSTITUTE(SUBSTITUTE(TRIM($AR449),"-",""),".",""),"/","")," ",""),8),7,2)),"")))</f>
        <v/>
      </c>
      <c r="AT449" s="23">
        <f>IF($AS449="","",IF($F$6="",0,IF(ISNUMBER(INDEX($A:$AP,ROW(),$F$6)),INDEX($A:$AP,ROW(),$F$6),IFERROR(--SUBSTITUTE(SUBSTITUTE(TRIM(INDEX($A:$AP,ROW(),$F$6)),",",""),"원",""),0))))</f>
        <v/>
      </c>
      <c r="AU449" s="23">
        <f>IF($AS449="","",IF($G$6="",0,IF(ISNUMBER(INDEX($A:$AP,ROW(),$G$6)),INDEX($A:$AP,ROW(),$G$6),IFERROR(--SUBSTITUTE(SUBSTITUTE(TRIM(INDEX($A:$AP,ROW(),$G$6)),",",""),"원",""),0))))</f>
        <v/>
      </c>
      <c r="AV449" s="23">
        <f>IF($AS449="","",IF($H$6="",$AT449+$AU449,IF($H$6="",0,IF(ISNUMBER(INDEX($A:$AP,ROW(),$H$6)),INDEX($A:$AP,ROW(),$H$6),IFERROR(--SUBSTITUTE(SUBSTITUTE(TRIM(INDEX($A:$AP,ROW(),$H$6)),",",""),"원",""),0)))))</f>
        <v/>
      </c>
      <c r="AW449" s="2">
        <f>IF(OR($AS449="",$C$6=""),"",TRIM(INDEX($A:$AP,ROW(),$C$6)&amp;""))</f>
        <v/>
      </c>
      <c r="AX449" s="2">
        <f>IF($AS449="","",IF($AZ449&lt;&gt;"",SUBSTITUTE(SUBSTITUTE($AZ449,"-","")," ",""),$AY449))</f>
        <v/>
      </c>
      <c r="AY449" s="2">
        <f>IF(OR($AS449="",$E$6=""),"",TRIM(INDEX($A:$AP,ROW(),$E$6)&amp;""))</f>
        <v/>
      </c>
      <c r="AZ449" s="2">
        <f>IF(OR($AS449="",$D$6=""),"",TRIM(INDEX($A:$AP,ROW(),$D$6)&amp;""))</f>
        <v/>
      </c>
      <c r="BA449" s="2">
        <f>IF($AS449="","",IF(AND($AS449&gt;=설정!$B$10,$AS449&lt;=설정!$B$11),"포함","기간 밖"))</f>
        <v/>
      </c>
      <c r="BB449" s="2">
        <f>IF($AS449="","",IF(OR($AT449&lt;0,AND($I$6&lt;&gt;"",ISNUMBER(FIND("수정",INDEX($A:$AP,ROW(),IF($I$6="",1,$I$6))&amp;"")))),"수정","일반"))</f>
        <v/>
      </c>
      <c r="BC449" s="2">
        <f>IF($AS449="","",MID(IF($BA449="기간 밖"," / 기간 밖(신고기간 아님)","")&amp;IF(AND($AW449&lt;&gt;"",COUNTIF($AW$8:$AW$1007,$AW449)&gt;1)," / 승인번호 중복(두 번 붙여넣기?)","")&amp;IF(ABS($AU449-ROUND($AT449*0.1,0))&gt;설정!$B$8,IF($AU449=0," / 세액 0원(영세율·면세 여부 확인)"," / 세액이 공급가액 10%와 다름"),"")&amp;IF($BB449="수정"," / 수정세금계산서(합계에서 자동 가감)",""),4,200))</f>
        <v/>
      </c>
      <c r="BD449" s="2">
        <f>IF($BA449&lt;&gt;"포함","",IF(COUNTIFS($AX$8:$AX449,$AX449,$BA$8:$BA449,"포함")=1,MAX($BD$7:BD448)+1,""))</f>
        <v/>
      </c>
      <c r="BE449" s="2">
        <f>IF($BC449="","",MAX($BE$7:BE448)+1)</f>
        <v/>
      </c>
    </row>
    <row r="450">
      <c r="AR450" s="2">
        <f>IF(OR($A$5="",$B$6="",ROW()&lt;$A$5),"",IF(INDEX($A:$AP,ROW(),$B$6)="","",INDEX($A:$AP,ROW(),$B$6)))</f>
        <v/>
      </c>
      <c r="AS450" s="22">
        <f>IF($AR450="","",IF(ISNUMBER($AR450),IF($AR450&gt;=10000000,IFERROR(DATE(INT($AR450/10000),MOD(INT($AR450/100),100),MOD($AR450,100)),""),INT($AR450)),IFERROR(DATE(--LEFT(LEFT(SUBSTITUTE(SUBSTITUTE(SUBSTITUTE(SUBSTITUTE(TRIM($AR450),"-",""),".",""),"/","")," ",""),8),4),--MID(LEFT(SUBSTITUTE(SUBSTITUTE(SUBSTITUTE(SUBSTITUTE(TRIM($AR450),"-",""),".",""),"/","")," ",""),8),5,2),--MID(LEFT(SUBSTITUTE(SUBSTITUTE(SUBSTITUTE(SUBSTITUTE(TRIM($AR450),"-",""),".",""),"/","")," ",""),8),7,2)),"")))</f>
        <v/>
      </c>
      <c r="AT450" s="23">
        <f>IF($AS450="","",IF($F$6="",0,IF(ISNUMBER(INDEX($A:$AP,ROW(),$F$6)),INDEX($A:$AP,ROW(),$F$6),IFERROR(--SUBSTITUTE(SUBSTITUTE(TRIM(INDEX($A:$AP,ROW(),$F$6)),",",""),"원",""),0))))</f>
        <v/>
      </c>
      <c r="AU450" s="23">
        <f>IF($AS450="","",IF($G$6="",0,IF(ISNUMBER(INDEX($A:$AP,ROW(),$G$6)),INDEX($A:$AP,ROW(),$G$6),IFERROR(--SUBSTITUTE(SUBSTITUTE(TRIM(INDEX($A:$AP,ROW(),$G$6)),",",""),"원",""),0))))</f>
        <v/>
      </c>
      <c r="AV450" s="23">
        <f>IF($AS450="","",IF($H$6="",$AT450+$AU450,IF($H$6="",0,IF(ISNUMBER(INDEX($A:$AP,ROW(),$H$6)),INDEX($A:$AP,ROW(),$H$6),IFERROR(--SUBSTITUTE(SUBSTITUTE(TRIM(INDEX($A:$AP,ROW(),$H$6)),",",""),"원",""),0)))))</f>
        <v/>
      </c>
      <c r="AW450" s="2">
        <f>IF(OR($AS450="",$C$6=""),"",TRIM(INDEX($A:$AP,ROW(),$C$6)&amp;""))</f>
        <v/>
      </c>
      <c r="AX450" s="2">
        <f>IF($AS450="","",IF($AZ450&lt;&gt;"",SUBSTITUTE(SUBSTITUTE($AZ450,"-","")," ",""),$AY450))</f>
        <v/>
      </c>
      <c r="AY450" s="2">
        <f>IF(OR($AS450="",$E$6=""),"",TRIM(INDEX($A:$AP,ROW(),$E$6)&amp;""))</f>
        <v/>
      </c>
      <c r="AZ450" s="2">
        <f>IF(OR($AS450="",$D$6=""),"",TRIM(INDEX($A:$AP,ROW(),$D$6)&amp;""))</f>
        <v/>
      </c>
      <c r="BA450" s="2">
        <f>IF($AS450="","",IF(AND($AS450&gt;=설정!$B$10,$AS450&lt;=설정!$B$11),"포함","기간 밖"))</f>
        <v/>
      </c>
      <c r="BB450" s="2">
        <f>IF($AS450="","",IF(OR($AT450&lt;0,AND($I$6&lt;&gt;"",ISNUMBER(FIND("수정",INDEX($A:$AP,ROW(),IF($I$6="",1,$I$6))&amp;"")))),"수정","일반"))</f>
        <v/>
      </c>
      <c r="BC450" s="2">
        <f>IF($AS450="","",MID(IF($BA450="기간 밖"," / 기간 밖(신고기간 아님)","")&amp;IF(AND($AW450&lt;&gt;"",COUNTIF($AW$8:$AW$1007,$AW450)&gt;1)," / 승인번호 중복(두 번 붙여넣기?)","")&amp;IF(ABS($AU450-ROUND($AT450*0.1,0))&gt;설정!$B$8,IF($AU450=0," / 세액 0원(영세율·면세 여부 확인)"," / 세액이 공급가액 10%와 다름"),"")&amp;IF($BB450="수정"," / 수정세금계산서(합계에서 자동 가감)",""),4,200))</f>
        <v/>
      </c>
      <c r="BD450" s="2">
        <f>IF($BA450&lt;&gt;"포함","",IF(COUNTIFS($AX$8:$AX450,$AX450,$BA$8:$BA450,"포함")=1,MAX($BD$7:BD449)+1,""))</f>
        <v/>
      </c>
      <c r="BE450" s="2">
        <f>IF($BC450="","",MAX($BE$7:BE449)+1)</f>
        <v/>
      </c>
    </row>
    <row r="451">
      <c r="AR451" s="2">
        <f>IF(OR($A$5="",$B$6="",ROW()&lt;$A$5),"",IF(INDEX($A:$AP,ROW(),$B$6)="","",INDEX($A:$AP,ROW(),$B$6)))</f>
        <v/>
      </c>
      <c r="AS451" s="22">
        <f>IF($AR451="","",IF(ISNUMBER($AR451),IF($AR451&gt;=10000000,IFERROR(DATE(INT($AR451/10000),MOD(INT($AR451/100),100),MOD($AR451,100)),""),INT($AR451)),IFERROR(DATE(--LEFT(LEFT(SUBSTITUTE(SUBSTITUTE(SUBSTITUTE(SUBSTITUTE(TRIM($AR451),"-",""),".",""),"/","")," ",""),8),4),--MID(LEFT(SUBSTITUTE(SUBSTITUTE(SUBSTITUTE(SUBSTITUTE(TRIM($AR451),"-",""),".",""),"/","")," ",""),8),5,2),--MID(LEFT(SUBSTITUTE(SUBSTITUTE(SUBSTITUTE(SUBSTITUTE(TRIM($AR451),"-",""),".",""),"/","")," ",""),8),7,2)),"")))</f>
        <v/>
      </c>
      <c r="AT451" s="23">
        <f>IF($AS451="","",IF($F$6="",0,IF(ISNUMBER(INDEX($A:$AP,ROW(),$F$6)),INDEX($A:$AP,ROW(),$F$6),IFERROR(--SUBSTITUTE(SUBSTITUTE(TRIM(INDEX($A:$AP,ROW(),$F$6)),",",""),"원",""),0))))</f>
        <v/>
      </c>
      <c r="AU451" s="23">
        <f>IF($AS451="","",IF($G$6="",0,IF(ISNUMBER(INDEX($A:$AP,ROW(),$G$6)),INDEX($A:$AP,ROW(),$G$6),IFERROR(--SUBSTITUTE(SUBSTITUTE(TRIM(INDEX($A:$AP,ROW(),$G$6)),",",""),"원",""),0))))</f>
        <v/>
      </c>
      <c r="AV451" s="23">
        <f>IF($AS451="","",IF($H$6="",$AT451+$AU451,IF($H$6="",0,IF(ISNUMBER(INDEX($A:$AP,ROW(),$H$6)),INDEX($A:$AP,ROW(),$H$6),IFERROR(--SUBSTITUTE(SUBSTITUTE(TRIM(INDEX($A:$AP,ROW(),$H$6)),",",""),"원",""),0)))))</f>
        <v/>
      </c>
      <c r="AW451" s="2">
        <f>IF(OR($AS451="",$C$6=""),"",TRIM(INDEX($A:$AP,ROW(),$C$6)&amp;""))</f>
        <v/>
      </c>
      <c r="AX451" s="2">
        <f>IF($AS451="","",IF($AZ451&lt;&gt;"",SUBSTITUTE(SUBSTITUTE($AZ451,"-","")," ",""),$AY451))</f>
        <v/>
      </c>
      <c r="AY451" s="2">
        <f>IF(OR($AS451="",$E$6=""),"",TRIM(INDEX($A:$AP,ROW(),$E$6)&amp;""))</f>
        <v/>
      </c>
      <c r="AZ451" s="2">
        <f>IF(OR($AS451="",$D$6=""),"",TRIM(INDEX($A:$AP,ROW(),$D$6)&amp;""))</f>
        <v/>
      </c>
      <c r="BA451" s="2">
        <f>IF($AS451="","",IF(AND($AS451&gt;=설정!$B$10,$AS451&lt;=설정!$B$11),"포함","기간 밖"))</f>
        <v/>
      </c>
      <c r="BB451" s="2">
        <f>IF($AS451="","",IF(OR($AT451&lt;0,AND($I$6&lt;&gt;"",ISNUMBER(FIND("수정",INDEX($A:$AP,ROW(),IF($I$6="",1,$I$6))&amp;"")))),"수정","일반"))</f>
        <v/>
      </c>
      <c r="BC451" s="2">
        <f>IF($AS451="","",MID(IF($BA451="기간 밖"," / 기간 밖(신고기간 아님)","")&amp;IF(AND($AW451&lt;&gt;"",COUNTIF($AW$8:$AW$1007,$AW451)&gt;1)," / 승인번호 중복(두 번 붙여넣기?)","")&amp;IF(ABS($AU451-ROUND($AT451*0.1,0))&gt;설정!$B$8,IF($AU451=0," / 세액 0원(영세율·면세 여부 확인)"," / 세액이 공급가액 10%와 다름"),"")&amp;IF($BB451="수정"," / 수정세금계산서(합계에서 자동 가감)",""),4,200))</f>
        <v/>
      </c>
      <c r="BD451" s="2">
        <f>IF($BA451&lt;&gt;"포함","",IF(COUNTIFS($AX$8:$AX451,$AX451,$BA$8:$BA451,"포함")=1,MAX($BD$7:BD450)+1,""))</f>
        <v/>
      </c>
      <c r="BE451" s="2">
        <f>IF($BC451="","",MAX($BE$7:BE450)+1)</f>
        <v/>
      </c>
    </row>
    <row r="452">
      <c r="AR452" s="2">
        <f>IF(OR($A$5="",$B$6="",ROW()&lt;$A$5),"",IF(INDEX($A:$AP,ROW(),$B$6)="","",INDEX($A:$AP,ROW(),$B$6)))</f>
        <v/>
      </c>
      <c r="AS452" s="22">
        <f>IF($AR452="","",IF(ISNUMBER($AR452),IF($AR452&gt;=10000000,IFERROR(DATE(INT($AR452/10000),MOD(INT($AR452/100),100),MOD($AR452,100)),""),INT($AR452)),IFERROR(DATE(--LEFT(LEFT(SUBSTITUTE(SUBSTITUTE(SUBSTITUTE(SUBSTITUTE(TRIM($AR452),"-",""),".",""),"/","")," ",""),8),4),--MID(LEFT(SUBSTITUTE(SUBSTITUTE(SUBSTITUTE(SUBSTITUTE(TRIM($AR452),"-",""),".",""),"/","")," ",""),8),5,2),--MID(LEFT(SUBSTITUTE(SUBSTITUTE(SUBSTITUTE(SUBSTITUTE(TRIM($AR452),"-",""),".",""),"/","")," ",""),8),7,2)),"")))</f>
        <v/>
      </c>
      <c r="AT452" s="23">
        <f>IF($AS452="","",IF($F$6="",0,IF(ISNUMBER(INDEX($A:$AP,ROW(),$F$6)),INDEX($A:$AP,ROW(),$F$6),IFERROR(--SUBSTITUTE(SUBSTITUTE(TRIM(INDEX($A:$AP,ROW(),$F$6)),",",""),"원",""),0))))</f>
        <v/>
      </c>
      <c r="AU452" s="23">
        <f>IF($AS452="","",IF($G$6="",0,IF(ISNUMBER(INDEX($A:$AP,ROW(),$G$6)),INDEX($A:$AP,ROW(),$G$6),IFERROR(--SUBSTITUTE(SUBSTITUTE(TRIM(INDEX($A:$AP,ROW(),$G$6)),",",""),"원",""),0))))</f>
        <v/>
      </c>
      <c r="AV452" s="23">
        <f>IF($AS452="","",IF($H$6="",$AT452+$AU452,IF($H$6="",0,IF(ISNUMBER(INDEX($A:$AP,ROW(),$H$6)),INDEX($A:$AP,ROW(),$H$6),IFERROR(--SUBSTITUTE(SUBSTITUTE(TRIM(INDEX($A:$AP,ROW(),$H$6)),",",""),"원",""),0)))))</f>
        <v/>
      </c>
      <c r="AW452" s="2">
        <f>IF(OR($AS452="",$C$6=""),"",TRIM(INDEX($A:$AP,ROW(),$C$6)&amp;""))</f>
        <v/>
      </c>
      <c r="AX452" s="2">
        <f>IF($AS452="","",IF($AZ452&lt;&gt;"",SUBSTITUTE(SUBSTITUTE($AZ452,"-","")," ",""),$AY452))</f>
        <v/>
      </c>
      <c r="AY452" s="2">
        <f>IF(OR($AS452="",$E$6=""),"",TRIM(INDEX($A:$AP,ROW(),$E$6)&amp;""))</f>
        <v/>
      </c>
      <c r="AZ452" s="2">
        <f>IF(OR($AS452="",$D$6=""),"",TRIM(INDEX($A:$AP,ROW(),$D$6)&amp;""))</f>
        <v/>
      </c>
      <c r="BA452" s="2">
        <f>IF($AS452="","",IF(AND($AS452&gt;=설정!$B$10,$AS452&lt;=설정!$B$11),"포함","기간 밖"))</f>
        <v/>
      </c>
      <c r="BB452" s="2">
        <f>IF($AS452="","",IF(OR($AT452&lt;0,AND($I$6&lt;&gt;"",ISNUMBER(FIND("수정",INDEX($A:$AP,ROW(),IF($I$6="",1,$I$6))&amp;"")))),"수정","일반"))</f>
        <v/>
      </c>
      <c r="BC452" s="2">
        <f>IF($AS452="","",MID(IF($BA452="기간 밖"," / 기간 밖(신고기간 아님)","")&amp;IF(AND($AW452&lt;&gt;"",COUNTIF($AW$8:$AW$1007,$AW452)&gt;1)," / 승인번호 중복(두 번 붙여넣기?)","")&amp;IF(ABS($AU452-ROUND($AT452*0.1,0))&gt;설정!$B$8,IF($AU452=0," / 세액 0원(영세율·면세 여부 확인)"," / 세액이 공급가액 10%와 다름"),"")&amp;IF($BB452="수정"," / 수정세금계산서(합계에서 자동 가감)",""),4,200))</f>
        <v/>
      </c>
      <c r="BD452" s="2">
        <f>IF($BA452&lt;&gt;"포함","",IF(COUNTIFS($AX$8:$AX452,$AX452,$BA$8:$BA452,"포함")=1,MAX($BD$7:BD451)+1,""))</f>
        <v/>
      </c>
      <c r="BE452" s="2">
        <f>IF($BC452="","",MAX($BE$7:BE451)+1)</f>
        <v/>
      </c>
    </row>
    <row r="453">
      <c r="AR453" s="2">
        <f>IF(OR($A$5="",$B$6="",ROW()&lt;$A$5),"",IF(INDEX($A:$AP,ROW(),$B$6)="","",INDEX($A:$AP,ROW(),$B$6)))</f>
        <v/>
      </c>
      <c r="AS453" s="22">
        <f>IF($AR453="","",IF(ISNUMBER($AR453),IF($AR453&gt;=10000000,IFERROR(DATE(INT($AR453/10000),MOD(INT($AR453/100),100),MOD($AR453,100)),""),INT($AR453)),IFERROR(DATE(--LEFT(LEFT(SUBSTITUTE(SUBSTITUTE(SUBSTITUTE(SUBSTITUTE(TRIM($AR453),"-",""),".",""),"/","")," ",""),8),4),--MID(LEFT(SUBSTITUTE(SUBSTITUTE(SUBSTITUTE(SUBSTITUTE(TRIM($AR453),"-",""),".",""),"/","")," ",""),8),5,2),--MID(LEFT(SUBSTITUTE(SUBSTITUTE(SUBSTITUTE(SUBSTITUTE(TRIM($AR453),"-",""),".",""),"/","")," ",""),8),7,2)),"")))</f>
        <v/>
      </c>
      <c r="AT453" s="23">
        <f>IF($AS453="","",IF($F$6="",0,IF(ISNUMBER(INDEX($A:$AP,ROW(),$F$6)),INDEX($A:$AP,ROW(),$F$6),IFERROR(--SUBSTITUTE(SUBSTITUTE(TRIM(INDEX($A:$AP,ROW(),$F$6)),",",""),"원",""),0))))</f>
        <v/>
      </c>
      <c r="AU453" s="23">
        <f>IF($AS453="","",IF($G$6="",0,IF(ISNUMBER(INDEX($A:$AP,ROW(),$G$6)),INDEX($A:$AP,ROW(),$G$6),IFERROR(--SUBSTITUTE(SUBSTITUTE(TRIM(INDEX($A:$AP,ROW(),$G$6)),",",""),"원",""),0))))</f>
        <v/>
      </c>
      <c r="AV453" s="23">
        <f>IF($AS453="","",IF($H$6="",$AT453+$AU453,IF($H$6="",0,IF(ISNUMBER(INDEX($A:$AP,ROW(),$H$6)),INDEX($A:$AP,ROW(),$H$6),IFERROR(--SUBSTITUTE(SUBSTITUTE(TRIM(INDEX($A:$AP,ROW(),$H$6)),",",""),"원",""),0)))))</f>
        <v/>
      </c>
      <c r="AW453" s="2">
        <f>IF(OR($AS453="",$C$6=""),"",TRIM(INDEX($A:$AP,ROW(),$C$6)&amp;""))</f>
        <v/>
      </c>
      <c r="AX453" s="2">
        <f>IF($AS453="","",IF($AZ453&lt;&gt;"",SUBSTITUTE(SUBSTITUTE($AZ453,"-","")," ",""),$AY453))</f>
        <v/>
      </c>
      <c r="AY453" s="2">
        <f>IF(OR($AS453="",$E$6=""),"",TRIM(INDEX($A:$AP,ROW(),$E$6)&amp;""))</f>
        <v/>
      </c>
      <c r="AZ453" s="2">
        <f>IF(OR($AS453="",$D$6=""),"",TRIM(INDEX($A:$AP,ROW(),$D$6)&amp;""))</f>
        <v/>
      </c>
      <c r="BA453" s="2">
        <f>IF($AS453="","",IF(AND($AS453&gt;=설정!$B$10,$AS453&lt;=설정!$B$11),"포함","기간 밖"))</f>
        <v/>
      </c>
      <c r="BB453" s="2">
        <f>IF($AS453="","",IF(OR($AT453&lt;0,AND($I$6&lt;&gt;"",ISNUMBER(FIND("수정",INDEX($A:$AP,ROW(),IF($I$6="",1,$I$6))&amp;"")))),"수정","일반"))</f>
        <v/>
      </c>
      <c r="BC453" s="2">
        <f>IF($AS453="","",MID(IF($BA453="기간 밖"," / 기간 밖(신고기간 아님)","")&amp;IF(AND($AW453&lt;&gt;"",COUNTIF($AW$8:$AW$1007,$AW453)&gt;1)," / 승인번호 중복(두 번 붙여넣기?)","")&amp;IF(ABS($AU453-ROUND($AT453*0.1,0))&gt;설정!$B$8,IF($AU453=0," / 세액 0원(영세율·면세 여부 확인)"," / 세액이 공급가액 10%와 다름"),"")&amp;IF($BB453="수정"," / 수정세금계산서(합계에서 자동 가감)",""),4,200))</f>
        <v/>
      </c>
      <c r="BD453" s="2">
        <f>IF($BA453&lt;&gt;"포함","",IF(COUNTIFS($AX$8:$AX453,$AX453,$BA$8:$BA453,"포함")=1,MAX($BD$7:BD452)+1,""))</f>
        <v/>
      </c>
      <c r="BE453" s="2">
        <f>IF($BC453="","",MAX($BE$7:BE452)+1)</f>
        <v/>
      </c>
    </row>
    <row r="454">
      <c r="AR454" s="2">
        <f>IF(OR($A$5="",$B$6="",ROW()&lt;$A$5),"",IF(INDEX($A:$AP,ROW(),$B$6)="","",INDEX($A:$AP,ROW(),$B$6)))</f>
        <v/>
      </c>
      <c r="AS454" s="22">
        <f>IF($AR454="","",IF(ISNUMBER($AR454),IF($AR454&gt;=10000000,IFERROR(DATE(INT($AR454/10000),MOD(INT($AR454/100),100),MOD($AR454,100)),""),INT($AR454)),IFERROR(DATE(--LEFT(LEFT(SUBSTITUTE(SUBSTITUTE(SUBSTITUTE(SUBSTITUTE(TRIM($AR454),"-",""),".",""),"/","")," ",""),8),4),--MID(LEFT(SUBSTITUTE(SUBSTITUTE(SUBSTITUTE(SUBSTITUTE(TRIM($AR454),"-",""),".",""),"/","")," ",""),8),5,2),--MID(LEFT(SUBSTITUTE(SUBSTITUTE(SUBSTITUTE(SUBSTITUTE(TRIM($AR454),"-",""),".",""),"/","")," ",""),8),7,2)),"")))</f>
        <v/>
      </c>
      <c r="AT454" s="23">
        <f>IF($AS454="","",IF($F$6="",0,IF(ISNUMBER(INDEX($A:$AP,ROW(),$F$6)),INDEX($A:$AP,ROW(),$F$6),IFERROR(--SUBSTITUTE(SUBSTITUTE(TRIM(INDEX($A:$AP,ROW(),$F$6)),",",""),"원",""),0))))</f>
        <v/>
      </c>
      <c r="AU454" s="23">
        <f>IF($AS454="","",IF($G$6="",0,IF(ISNUMBER(INDEX($A:$AP,ROW(),$G$6)),INDEX($A:$AP,ROW(),$G$6),IFERROR(--SUBSTITUTE(SUBSTITUTE(TRIM(INDEX($A:$AP,ROW(),$G$6)),",",""),"원",""),0))))</f>
        <v/>
      </c>
      <c r="AV454" s="23">
        <f>IF($AS454="","",IF($H$6="",$AT454+$AU454,IF($H$6="",0,IF(ISNUMBER(INDEX($A:$AP,ROW(),$H$6)),INDEX($A:$AP,ROW(),$H$6),IFERROR(--SUBSTITUTE(SUBSTITUTE(TRIM(INDEX($A:$AP,ROW(),$H$6)),",",""),"원",""),0)))))</f>
        <v/>
      </c>
      <c r="AW454" s="2">
        <f>IF(OR($AS454="",$C$6=""),"",TRIM(INDEX($A:$AP,ROW(),$C$6)&amp;""))</f>
        <v/>
      </c>
      <c r="AX454" s="2">
        <f>IF($AS454="","",IF($AZ454&lt;&gt;"",SUBSTITUTE(SUBSTITUTE($AZ454,"-","")," ",""),$AY454))</f>
        <v/>
      </c>
      <c r="AY454" s="2">
        <f>IF(OR($AS454="",$E$6=""),"",TRIM(INDEX($A:$AP,ROW(),$E$6)&amp;""))</f>
        <v/>
      </c>
      <c r="AZ454" s="2">
        <f>IF(OR($AS454="",$D$6=""),"",TRIM(INDEX($A:$AP,ROW(),$D$6)&amp;""))</f>
        <v/>
      </c>
      <c r="BA454" s="2">
        <f>IF($AS454="","",IF(AND($AS454&gt;=설정!$B$10,$AS454&lt;=설정!$B$11),"포함","기간 밖"))</f>
        <v/>
      </c>
      <c r="BB454" s="2">
        <f>IF($AS454="","",IF(OR($AT454&lt;0,AND($I$6&lt;&gt;"",ISNUMBER(FIND("수정",INDEX($A:$AP,ROW(),IF($I$6="",1,$I$6))&amp;"")))),"수정","일반"))</f>
        <v/>
      </c>
      <c r="BC454" s="2">
        <f>IF($AS454="","",MID(IF($BA454="기간 밖"," / 기간 밖(신고기간 아님)","")&amp;IF(AND($AW454&lt;&gt;"",COUNTIF($AW$8:$AW$1007,$AW454)&gt;1)," / 승인번호 중복(두 번 붙여넣기?)","")&amp;IF(ABS($AU454-ROUND($AT454*0.1,0))&gt;설정!$B$8,IF($AU454=0," / 세액 0원(영세율·면세 여부 확인)"," / 세액이 공급가액 10%와 다름"),"")&amp;IF($BB454="수정"," / 수정세금계산서(합계에서 자동 가감)",""),4,200))</f>
        <v/>
      </c>
      <c r="BD454" s="2">
        <f>IF($BA454&lt;&gt;"포함","",IF(COUNTIFS($AX$8:$AX454,$AX454,$BA$8:$BA454,"포함")=1,MAX($BD$7:BD453)+1,""))</f>
        <v/>
      </c>
      <c r="BE454" s="2">
        <f>IF($BC454="","",MAX($BE$7:BE453)+1)</f>
        <v/>
      </c>
    </row>
    <row r="455">
      <c r="AR455" s="2">
        <f>IF(OR($A$5="",$B$6="",ROW()&lt;$A$5),"",IF(INDEX($A:$AP,ROW(),$B$6)="","",INDEX($A:$AP,ROW(),$B$6)))</f>
        <v/>
      </c>
      <c r="AS455" s="22">
        <f>IF($AR455="","",IF(ISNUMBER($AR455),IF($AR455&gt;=10000000,IFERROR(DATE(INT($AR455/10000),MOD(INT($AR455/100),100),MOD($AR455,100)),""),INT($AR455)),IFERROR(DATE(--LEFT(LEFT(SUBSTITUTE(SUBSTITUTE(SUBSTITUTE(SUBSTITUTE(TRIM($AR455),"-",""),".",""),"/","")," ",""),8),4),--MID(LEFT(SUBSTITUTE(SUBSTITUTE(SUBSTITUTE(SUBSTITUTE(TRIM($AR455),"-",""),".",""),"/","")," ",""),8),5,2),--MID(LEFT(SUBSTITUTE(SUBSTITUTE(SUBSTITUTE(SUBSTITUTE(TRIM($AR455),"-",""),".",""),"/","")," ",""),8),7,2)),"")))</f>
        <v/>
      </c>
      <c r="AT455" s="23">
        <f>IF($AS455="","",IF($F$6="",0,IF(ISNUMBER(INDEX($A:$AP,ROW(),$F$6)),INDEX($A:$AP,ROW(),$F$6),IFERROR(--SUBSTITUTE(SUBSTITUTE(TRIM(INDEX($A:$AP,ROW(),$F$6)),",",""),"원",""),0))))</f>
        <v/>
      </c>
      <c r="AU455" s="23">
        <f>IF($AS455="","",IF($G$6="",0,IF(ISNUMBER(INDEX($A:$AP,ROW(),$G$6)),INDEX($A:$AP,ROW(),$G$6),IFERROR(--SUBSTITUTE(SUBSTITUTE(TRIM(INDEX($A:$AP,ROW(),$G$6)),",",""),"원",""),0))))</f>
        <v/>
      </c>
      <c r="AV455" s="23">
        <f>IF($AS455="","",IF($H$6="",$AT455+$AU455,IF($H$6="",0,IF(ISNUMBER(INDEX($A:$AP,ROW(),$H$6)),INDEX($A:$AP,ROW(),$H$6),IFERROR(--SUBSTITUTE(SUBSTITUTE(TRIM(INDEX($A:$AP,ROW(),$H$6)),",",""),"원",""),0)))))</f>
        <v/>
      </c>
      <c r="AW455" s="2">
        <f>IF(OR($AS455="",$C$6=""),"",TRIM(INDEX($A:$AP,ROW(),$C$6)&amp;""))</f>
        <v/>
      </c>
      <c r="AX455" s="2">
        <f>IF($AS455="","",IF($AZ455&lt;&gt;"",SUBSTITUTE(SUBSTITUTE($AZ455,"-","")," ",""),$AY455))</f>
        <v/>
      </c>
      <c r="AY455" s="2">
        <f>IF(OR($AS455="",$E$6=""),"",TRIM(INDEX($A:$AP,ROW(),$E$6)&amp;""))</f>
        <v/>
      </c>
      <c r="AZ455" s="2">
        <f>IF(OR($AS455="",$D$6=""),"",TRIM(INDEX($A:$AP,ROW(),$D$6)&amp;""))</f>
        <v/>
      </c>
      <c r="BA455" s="2">
        <f>IF($AS455="","",IF(AND($AS455&gt;=설정!$B$10,$AS455&lt;=설정!$B$11),"포함","기간 밖"))</f>
        <v/>
      </c>
      <c r="BB455" s="2">
        <f>IF($AS455="","",IF(OR($AT455&lt;0,AND($I$6&lt;&gt;"",ISNUMBER(FIND("수정",INDEX($A:$AP,ROW(),IF($I$6="",1,$I$6))&amp;"")))),"수정","일반"))</f>
        <v/>
      </c>
      <c r="BC455" s="2">
        <f>IF($AS455="","",MID(IF($BA455="기간 밖"," / 기간 밖(신고기간 아님)","")&amp;IF(AND($AW455&lt;&gt;"",COUNTIF($AW$8:$AW$1007,$AW455)&gt;1)," / 승인번호 중복(두 번 붙여넣기?)","")&amp;IF(ABS($AU455-ROUND($AT455*0.1,0))&gt;설정!$B$8,IF($AU455=0," / 세액 0원(영세율·면세 여부 확인)"," / 세액이 공급가액 10%와 다름"),"")&amp;IF($BB455="수정"," / 수정세금계산서(합계에서 자동 가감)",""),4,200))</f>
        <v/>
      </c>
      <c r="BD455" s="2">
        <f>IF($BA455&lt;&gt;"포함","",IF(COUNTIFS($AX$8:$AX455,$AX455,$BA$8:$BA455,"포함")=1,MAX($BD$7:BD454)+1,""))</f>
        <v/>
      </c>
      <c r="BE455" s="2">
        <f>IF($BC455="","",MAX($BE$7:BE454)+1)</f>
        <v/>
      </c>
    </row>
    <row r="456">
      <c r="AR456" s="2">
        <f>IF(OR($A$5="",$B$6="",ROW()&lt;$A$5),"",IF(INDEX($A:$AP,ROW(),$B$6)="","",INDEX($A:$AP,ROW(),$B$6)))</f>
        <v/>
      </c>
      <c r="AS456" s="22">
        <f>IF($AR456="","",IF(ISNUMBER($AR456),IF($AR456&gt;=10000000,IFERROR(DATE(INT($AR456/10000),MOD(INT($AR456/100),100),MOD($AR456,100)),""),INT($AR456)),IFERROR(DATE(--LEFT(LEFT(SUBSTITUTE(SUBSTITUTE(SUBSTITUTE(SUBSTITUTE(TRIM($AR456),"-",""),".",""),"/","")," ",""),8),4),--MID(LEFT(SUBSTITUTE(SUBSTITUTE(SUBSTITUTE(SUBSTITUTE(TRIM($AR456),"-",""),".",""),"/","")," ",""),8),5,2),--MID(LEFT(SUBSTITUTE(SUBSTITUTE(SUBSTITUTE(SUBSTITUTE(TRIM($AR456),"-",""),".",""),"/","")," ",""),8),7,2)),"")))</f>
        <v/>
      </c>
      <c r="AT456" s="23">
        <f>IF($AS456="","",IF($F$6="",0,IF(ISNUMBER(INDEX($A:$AP,ROW(),$F$6)),INDEX($A:$AP,ROW(),$F$6),IFERROR(--SUBSTITUTE(SUBSTITUTE(TRIM(INDEX($A:$AP,ROW(),$F$6)),",",""),"원",""),0))))</f>
        <v/>
      </c>
      <c r="AU456" s="23">
        <f>IF($AS456="","",IF($G$6="",0,IF(ISNUMBER(INDEX($A:$AP,ROW(),$G$6)),INDEX($A:$AP,ROW(),$G$6),IFERROR(--SUBSTITUTE(SUBSTITUTE(TRIM(INDEX($A:$AP,ROW(),$G$6)),",",""),"원",""),0))))</f>
        <v/>
      </c>
      <c r="AV456" s="23">
        <f>IF($AS456="","",IF($H$6="",$AT456+$AU456,IF($H$6="",0,IF(ISNUMBER(INDEX($A:$AP,ROW(),$H$6)),INDEX($A:$AP,ROW(),$H$6),IFERROR(--SUBSTITUTE(SUBSTITUTE(TRIM(INDEX($A:$AP,ROW(),$H$6)),",",""),"원",""),0)))))</f>
        <v/>
      </c>
      <c r="AW456" s="2">
        <f>IF(OR($AS456="",$C$6=""),"",TRIM(INDEX($A:$AP,ROW(),$C$6)&amp;""))</f>
        <v/>
      </c>
      <c r="AX456" s="2">
        <f>IF($AS456="","",IF($AZ456&lt;&gt;"",SUBSTITUTE(SUBSTITUTE($AZ456,"-","")," ",""),$AY456))</f>
        <v/>
      </c>
      <c r="AY456" s="2">
        <f>IF(OR($AS456="",$E$6=""),"",TRIM(INDEX($A:$AP,ROW(),$E$6)&amp;""))</f>
        <v/>
      </c>
      <c r="AZ456" s="2">
        <f>IF(OR($AS456="",$D$6=""),"",TRIM(INDEX($A:$AP,ROW(),$D$6)&amp;""))</f>
        <v/>
      </c>
      <c r="BA456" s="2">
        <f>IF($AS456="","",IF(AND($AS456&gt;=설정!$B$10,$AS456&lt;=설정!$B$11),"포함","기간 밖"))</f>
        <v/>
      </c>
      <c r="BB456" s="2">
        <f>IF($AS456="","",IF(OR($AT456&lt;0,AND($I$6&lt;&gt;"",ISNUMBER(FIND("수정",INDEX($A:$AP,ROW(),IF($I$6="",1,$I$6))&amp;"")))),"수정","일반"))</f>
        <v/>
      </c>
      <c r="BC456" s="2">
        <f>IF($AS456="","",MID(IF($BA456="기간 밖"," / 기간 밖(신고기간 아님)","")&amp;IF(AND($AW456&lt;&gt;"",COUNTIF($AW$8:$AW$1007,$AW456)&gt;1)," / 승인번호 중복(두 번 붙여넣기?)","")&amp;IF(ABS($AU456-ROUND($AT456*0.1,0))&gt;설정!$B$8,IF($AU456=0," / 세액 0원(영세율·면세 여부 확인)"," / 세액이 공급가액 10%와 다름"),"")&amp;IF($BB456="수정"," / 수정세금계산서(합계에서 자동 가감)",""),4,200))</f>
        <v/>
      </c>
      <c r="BD456" s="2">
        <f>IF($BA456&lt;&gt;"포함","",IF(COUNTIFS($AX$8:$AX456,$AX456,$BA$8:$BA456,"포함")=1,MAX($BD$7:BD455)+1,""))</f>
        <v/>
      </c>
      <c r="BE456" s="2">
        <f>IF($BC456="","",MAX($BE$7:BE455)+1)</f>
        <v/>
      </c>
    </row>
    <row r="457">
      <c r="AR457" s="2">
        <f>IF(OR($A$5="",$B$6="",ROW()&lt;$A$5),"",IF(INDEX($A:$AP,ROW(),$B$6)="","",INDEX($A:$AP,ROW(),$B$6)))</f>
        <v/>
      </c>
      <c r="AS457" s="22">
        <f>IF($AR457="","",IF(ISNUMBER($AR457),IF($AR457&gt;=10000000,IFERROR(DATE(INT($AR457/10000),MOD(INT($AR457/100),100),MOD($AR457,100)),""),INT($AR457)),IFERROR(DATE(--LEFT(LEFT(SUBSTITUTE(SUBSTITUTE(SUBSTITUTE(SUBSTITUTE(TRIM($AR457),"-",""),".",""),"/","")," ",""),8),4),--MID(LEFT(SUBSTITUTE(SUBSTITUTE(SUBSTITUTE(SUBSTITUTE(TRIM($AR457),"-",""),".",""),"/","")," ",""),8),5,2),--MID(LEFT(SUBSTITUTE(SUBSTITUTE(SUBSTITUTE(SUBSTITUTE(TRIM($AR457),"-",""),".",""),"/","")," ",""),8),7,2)),"")))</f>
        <v/>
      </c>
      <c r="AT457" s="23">
        <f>IF($AS457="","",IF($F$6="",0,IF(ISNUMBER(INDEX($A:$AP,ROW(),$F$6)),INDEX($A:$AP,ROW(),$F$6),IFERROR(--SUBSTITUTE(SUBSTITUTE(TRIM(INDEX($A:$AP,ROW(),$F$6)),",",""),"원",""),0))))</f>
        <v/>
      </c>
      <c r="AU457" s="23">
        <f>IF($AS457="","",IF($G$6="",0,IF(ISNUMBER(INDEX($A:$AP,ROW(),$G$6)),INDEX($A:$AP,ROW(),$G$6),IFERROR(--SUBSTITUTE(SUBSTITUTE(TRIM(INDEX($A:$AP,ROW(),$G$6)),",",""),"원",""),0))))</f>
        <v/>
      </c>
      <c r="AV457" s="23">
        <f>IF($AS457="","",IF($H$6="",$AT457+$AU457,IF($H$6="",0,IF(ISNUMBER(INDEX($A:$AP,ROW(),$H$6)),INDEX($A:$AP,ROW(),$H$6),IFERROR(--SUBSTITUTE(SUBSTITUTE(TRIM(INDEX($A:$AP,ROW(),$H$6)),",",""),"원",""),0)))))</f>
        <v/>
      </c>
      <c r="AW457" s="2">
        <f>IF(OR($AS457="",$C$6=""),"",TRIM(INDEX($A:$AP,ROW(),$C$6)&amp;""))</f>
        <v/>
      </c>
      <c r="AX457" s="2">
        <f>IF($AS457="","",IF($AZ457&lt;&gt;"",SUBSTITUTE(SUBSTITUTE($AZ457,"-","")," ",""),$AY457))</f>
        <v/>
      </c>
      <c r="AY457" s="2">
        <f>IF(OR($AS457="",$E$6=""),"",TRIM(INDEX($A:$AP,ROW(),$E$6)&amp;""))</f>
        <v/>
      </c>
      <c r="AZ457" s="2">
        <f>IF(OR($AS457="",$D$6=""),"",TRIM(INDEX($A:$AP,ROW(),$D$6)&amp;""))</f>
        <v/>
      </c>
      <c r="BA457" s="2">
        <f>IF($AS457="","",IF(AND($AS457&gt;=설정!$B$10,$AS457&lt;=설정!$B$11),"포함","기간 밖"))</f>
        <v/>
      </c>
      <c r="BB457" s="2">
        <f>IF($AS457="","",IF(OR($AT457&lt;0,AND($I$6&lt;&gt;"",ISNUMBER(FIND("수정",INDEX($A:$AP,ROW(),IF($I$6="",1,$I$6))&amp;"")))),"수정","일반"))</f>
        <v/>
      </c>
      <c r="BC457" s="2">
        <f>IF($AS457="","",MID(IF($BA457="기간 밖"," / 기간 밖(신고기간 아님)","")&amp;IF(AND($AW457&lt;&gt;"",COUNTIF($AW$8:$AW$1007,$AW457)&gt;1)," / 승인번호 중복(두 번 붙여넣기?)","")&amp;IF(ABS($AU457-ROUND($AT457*0.1,0))&gt;설정!$B$8,IF($AU457=0," / 세액 0원(영세율·면세 여부 확인)"," / 세액이 공급가액 10%와 다름"),"")&amp;IF($BB457="수정"," / 수정세금계산서(합계에서 자동 가감)",""),4,200))</f>
        <v/>
      </c>
      <c r="BD457" s="2">
        <f>IF($BA457&lt;&gt;"포함","",IF(COUNTIFS($AX$8:$AX457,$AX457,$BA$8:$BA457,"포함")=1,MAX($BD$7:BD456)+1,""))</f>
        <v/>
      </c>
      <c r="BE457" s="2">
        <f>IF($BC457="","",MAX($BE$7:BE456)+1)</f>
        <v/>
      </c>
    </row>
    <row r="458">
      <c r="AR458" s="2">
        <f>IF(OR($A$5="",$B$6="",ROW()&lt;$A$5),"",IF(INDEX($A:$AP,ROW(),$B$6)="","",INDEX($A:$AP,ROW(),$B$6)))</f>
        <v/>
      </c>
      <c r="AS458" s="22">
        <f>IF($AR458="","",IF(ISNUMBER($AR458),IF($AR458&gt;=10000000,IFERROR(DATE(INT($AR458/10000),MOD(INT($AR458/100),100),MOD($AR458,100)),""),INT($AR458)),IFERROR(DATE(--LEFT(LEFT(SUBSTITUTE(SUBSTITUTE(SUBSTITUTE(SUBSTITUTE(TRIM($AR458),"-",""),".",""),"/","")," ",""),8),4),--MID(LEFT(SUBSTITUTE(SUBSTITUTE(SUBSTITUTE(SUBSTITUTE(TRIM($AR458),"-",""),".",""),"/","")," ",""),8),5,2),--MID(LEFT(SUBSTITUTE(SUBSTITUTE(SUBSTITUTE(SUBSTITUTE(TRIM($AR458),"-",""),".",""),"/","")," ",""),8),7,2)),"")))</f>
        <v/>
      </c>
      <c r="AT458" s="23">
        <f>IF($AS458="","",IF($F$6="",0,IF(ISNUMBER(INDEX($A:$AP,ROW(),$F$6)),INDEX($A:$AP,ROW(),$F$6),IFERROR(--SUBSTITUTE(SUBSTITUTE(TRIM(INDEX($A:$AP,ROW(),$F$6)),",",""),"원",""),0))))</f>
        <v/>
      </c>
      <c r="AU458" s="23">
        <f>IF($AS458="","",IF($G$6="",0,IF(ISNUMBER(INDEX($A:$AP,ROW(),$G$6)),INDEX($A:$AP,ROW(),$G$6),IFERROR(--SUBSTITUTE(SUBSTITUTE(TRIM(INDEX($A:$AP,ROW(),$G$6)),",",""),"원",""),0))))</f>
        <v/>
      </c>
      <c r="AV458" s="23">
        <f>IF($AS458="","",IF($H$6="",$AT458+$AU458,IF($H$6="",0,IF(ISNUMBER(INDEX($A:$AP,ROW(),$H$6)),INDEX($A:$AP,ROW(),$H$6),IFERROR(--SUBSTITUTE(SUBSTITUTE(TRIM(INDEX($A:$AP,ROW(),$H$6)),",",""),"원",""),0)))))</f>
        <v/>
      </c>
      <c r="AW458" s="2">
        <f>IF(OR($AS458="",$C$6=""),"",TRIM(INDEX($A:$AP,ROW(),$C$6)&amp;""))</f>
        <v/>
      </c>
      <c r="AX458" s="2">
        <f>IF($AS458="","",IF($AZ458&lt;&gt;"",SUBSTITUTE(SUBSTITUTE($AZ458,"-","")," ",""),$AY458))</f>
        <v/>
      </c>
      <c r="AY458" s="2">
        <f>IF(OR($AS458="",$E$6=""),"",TRIM(INDEX($A:$AP,ROW(),$E$6)&amp;""))</f>
        <v/>
      </c>
      <c r="AZ458" s="2">
        <f>IF(OR($AS458="",$D$6=""),"",TRIM(INDEX($A:$AP,ROW(),$D$6)&amp;""))</f>
        <v/>
      </c>
      <c r="BA458" s="2">
        <f>IF($AS458="","",IF(AND($AS458&gt;=설정!$B$10,$AS458&lt;=설정!$B$11),"포함","기간 밖"))</f>
        <v/>
      </c>
      <c r="BB458" s="2">
        <f>IF($AS458="","",IF(OR($AT458&lt;0,AND($I$6&lt;&gt;"",ISNUMBER(FIND("수정",INDEX($A:$AP,ROW(),IF($I$6="",1,$I$6))&amp;"")))),"수정","일반"))</f>
        <v/>
      </c>
      <c r="BC458" s="2">
        <f>IF($AS458="","",MID(IF($BA458="기간 밖"," / 기간 밖(신고기간 아님)","")&amp;IF(AND($AW458&lt;&gt;"",COUNTIF($AW$8:$AW$1007,$AW458)&gt;1)," / 승인번호 중복(두 번 붙여넣기?)","")&amp;IF(ABS($AU458-ROUND($AT458*0.1,0))&gt;설정!$B$8,IF($AU458=0," / 세액 0원(영세율·면세 여부 확인)"," / 세액이 공급가액 10%와 다름"),"")&amp;IF($BB458="수정"," / 수정세금계산서(합계에서 자동 가감)",""),4,200))</f>
        <v/>
      </c>
      <c r="BD458" s="2">
        <f>IF($BA458&lt;&gt;"포함","",IF(COUNTIFS($AX$8:$AX458,$AX458,$BA$8:$BA458,"포함")=1,MAX($BD$7:BD457)+1,""))</f>
        <v/>
      </c>
      <c r="BE458" s="2">
        <f>IF($BC458="","",MAX($BE$7:BE457)+1)</f>
        <v/>
      </c>
    </row>
    <row r="459">
      <c r="AR459" s="2">
        <f>IF(OR($A$5="",$B$6="",ROW()&lt;$A$5),"",IF(INDEX($A:$AP,ROW(),$B$6)="","",INDEX($A:$AP,ROW(),$B$6)))</f>
        <v/>
      </c>
      <c r="AS459" s="22">
        <f>IF($AR459="","",IF(ISNUMBER($AR459),IF($AR459&gt;=10000000,IFERROR(DATE(INT($AR459/10000),MOD(INT($AR459/100),100),MOD($AR459,100)),""),INT($AR459)),IFERROR(DATE(--LEFT(LEFT(SUBSTITUTE(SUBSTITUTE(SUBSTITUTE(SUBSTITUTE(TRIM($AR459),"-",""),".",""),"/","")," ",""),8),4),--MID(LEFT(SUBSTITUTE(SUBSTITUTE(SUBSTITUTE(SUBSTITUTE(TRIM($AR459),"-",""),".",""),"/","")," ",""),8),5,2),--MID(LEFT(SUBSTITUTE(SUBSTITUTE(SUBSTITUTE(SUBSTITUTE(TRIM($AR459),"-",""),".",""),"/","")," ",""),8),7,2)),"")))</f>
        <v/>
      </c>
      <c r="AT459" s="23">
        <f>IF($AS459="","",IF($F$6="",0,IF(ISNUMBER(INDEX($A:$AP,ROW(),$F$6)),INDEX($A:$AP,ROW(),$F$6),IFERROR(--SUBSTITUTE(SUBSTITUTE(TRIM(INDEX($A:$AP,ROW(),$F$6)),",",""),"원",""),0))))</f>
        <v/>
      </c>
      <c r="AU459" s="23">
        <f>IF($AS459="","",IF($G$6="",0,IF(ISNUMBER(INDEX($A:$AP,ROW(),$G$6)),INDEX($A:$AP,ROW(),$G$6),IFERROR(--SUBSTITUTE(SUBSTITUTE(TRIM(INDEX($A:$AP,ROW(),$G$6)),",",""),"원",""),0))))</f>
        <v/>
      </c>
      <c r="AV459" s="23">
        <f>IF($AS459="","",IF($H$6="",$AT459+$AU459,IF($H$6="",0,IF(ISNUMBER(INDEX($A:$AP,ROW(),$H$6)),INDEX($A:$AP,ROW(),$H$6),IFERROR(--SUBSTITUTE(SUBSTITUTE(TRIM(INDEX($A:$AP,ROW(),$H$6)),",",""),"원",""),0)))))</f>
        <v/>
      </c>
      <c r="AW459" s="2">
        <f>IF(OR($AS459="",$C$6=""),"",TRIM(INDEX($A:$AP,ROW(),$C$6)&amp;""))</f>
        <v/>
      </c>
      <c r="AX459" s="2">
        <f>IF($AS459="","",IF($AZ459&lt;&gt;"",SUBSTITUTE(SUBSTITUTE($AZ459,"-","")," ",""),$AY459))</f>
        <v/>
      </c>
      <c r="AY459" s="2">
        <f>IF(OR($AS459="",$E$6=""),"",TRIM(INDEX($A:$AP,ROW(),$E$6)&amp;""))</f>
        <v/>
      </c>
      <c r="AZ459" s="2">
        <f>IF(OR($AS459="",$D$6=""),"",TRIM(INDEX($A:$AP,ROW(),$D$6)&amp;""))</f>
        <v/>
      </c>
      <c r="BA459" s="2">
        <f>IF($AS459="","",IF(AND($AS459&gt;=설정!$B$10,$AS459&lt;=설정!$B$11),"포함","기간 밖"))</f>
        <v/>
      </c>
      <c r="BB459" s="2">
        <f>IF($AS459="","",IF(OR($AT459&lt;0,AND($I$6&lt;&gt;"",ISNUMBER(FIND("수정",INDEX($A:$AP,ROW(),IF($I$6="",1,$I$6))&amp;"")))),"수정","일반"))</f>
        <v/>
      </c>
      <c r="BC459" s="2">
        <f>IF($AS459="","",MID(IF($BA459="기간 밖"," / 기간 밖(신고기간 아님)","")&amp;IF(AND($AW459&lt;&gt;"",COUNTIF($AW$8:$AW$1007,$AW459)&gt;1)," / 승인번호 중복(두 번 붙여넣기?)","")&amp;IF(ABS($AU459-ROUND($AT459*0.1,0))&gt;설정!$B$8,IF($AU459=0," / 세액 0원(영세율·면세 여부 확인)"," / 세액이 공급가액 10%와 다름"),"")&amp;IF($BB459="수정"," / 수정세금계산서(합계에서 자동 가감)",""),4,200))</f>
        <v/>
      </c>
      <c r="BD459" s="2">
        <f>IF($BA459&lt;&gt;"포함","",IF(COUNTIFS($AX$8:$AX459,$AX459,$BA$8:$BA459,"포함")=1,MAX($BD$7:BD458)+1,""))</f>
        <v/>
      </c>
      <c r="BE459" s="2">
        <f>IF($BC459="","",MAX($BE$7:BE458)+1)</f>
        <v/>
      </c>
    </row>
    <row r="460">
      <c r="AR460" s="2">
        <f>IF(OR($A$5="",$B$6="",ROW()&lt;$A$5),"",IF(INDEX($A:$AP,ROW(),$B$6)="","",INDEX($A:$AP,ROW(),$B$6)))</f>
        <v/>
      </c>
      <c r="AS460" s="22">
        <f>IF($AR460="","",IF(ISNUMBER($AR460),IF($AR460&gt;=10000000,IFERROR(DATE(INT($AR460/10000),MOD(INT($AR460/100),100),MOD($AR460,100)),""),INT($AR460)),IFERROR(DATE(--LEFT(LEFT(SUBSTITUTE(SUBSTITUTE(SUBSTITUTE(SUBSTITUTE(TRIM($AR460),"-",""),".",""),"/","")," ",""),8),4),--MID(LEFT(SUBSTITUTE(SUBSTITUTE(SUBSTITUTE(SUBSTITUTE(TRIM($AR460),"-",""),".",""),"/","")," ",""),8),5,2),--MID(LEFT(SUBSTITUTE(SUBSTITUTE(SUBSTITUTE(SUBSTITUTE(TRIM($AR460),"-",""),".",""),"/","")," ",""),8),7,2)),"")))</f>
        <v/>
      </c>
      <c r="AT460" s="23">
        <f>IF($AS460="","",IF($F$6="",0,IF(ISNUMBER(INDEX($A:$AP,ROW(),$F$6)),INDEX($A:$AP,ROW(),$F$6),IFERROR(--SUBSTITUTE(SUBSTITUTE(TRIM(INDEX($A:$AP,ROW(),$F$6)),",",""),"원",""),0))))</f>
        <v/>
      </c>
      <c r="AU460" s="23">
        <f>IF($AS460="","",IF($G$6="",0,IF(ISNUMBER(INDEX($A:$AP,ROW(),$G$6)),INDEX($A:$AP,ROW(),$G$6),IFERROR(--SUBSTITUTE(SUBSTITUTE(TRIM(INDEX($A:$AP,ROW(),$G$6)),",",""),"원",""),0))))</f>
        <v/>
      </c>
      <c r="AV460" s="23">
        <f>IF($AS460="","",IF($H$6="",$AT460+$AU460,IF($H$6="",0,IF(ISNUMBER(INDEX($A:$AP,ROW(),$H$6)),INDEX($A:$AP,ROW(),$H$6),IFERROR(--SUBSTITUTE(SUBSTITUTE(TRIM(INDEX($A:$AP,ROW(),$H$6)),",",""),"원",""),0)))))</f>
        <v/>
      </c>
      <c r="AW460" s="2">
        <f>IF(OR($AS460="",$C$6=""),"",TRIM(INDEX($A:$AP,ROW(),$C$6)&amp;""))</f>
        <v/>
      </c>
      <c r="AX460" s="2">
        <f>IF($AS460="","",IF($AZ460&lt;&gt;"",SUBSTITUTE(SUBSTITUTE($AZ460,"-","")," ",""),$AY460))</f>
        <v/>
      </c>
      <c r="AY460" s="2">
        <f>IF(OR($AS460="",$E$6=""),"",TRIM(INDEX($A:$AP,ROW(),$E$6)&amp;""))</f>
        <v/>
      </c>
      <c r="AZ460" s="2">
        <f>IF(OR($AS460="",$D$6=""),"",TRIM(INDEX($A:$AP,ROW(),$D$6)&amp;""))</f>
        <v/>
      </c>
      <c r="BA460" s="2">
        <f>IF($AS460="","",IF(AND($AS460&gt;=설정!$B$10,$AS460&lt;=설정!$B$11),"포함","기간 밖"))</f>
        <v/>
      </c>
      <c r="BB460" s="2">
        <f>IF($AS460="","",IF(OR($AT460&lt;0,AND($I$6&lt;&gt;"",ISNUMBER(FIND("수정",INDEX($A:$AP,ROW(),IF($I$6="",1,$I$6))&amp;"")))),"수정","일반"))</f>
        <v/>
      </c>
      <c r="BC460" s="2">
        <f>IF($AS460="","",MID(IF($BA460="기간 밖"," / 기간 밖(신고기간 아님)","")&amp;IF(AND($AW460&lt;&gt;"",COUNTIF($AW$8:$AW$1007,$AW460)&gt;1)," / 승인번호 중복(두 번 붙여넣기?)","")&amp;IF(ABS($AU460-ROUND($AT460*0.1,0))&gt;설정!$B$8,IF($AU460=0," / 세액 0원(영세율·면세 여부 확인)"," / 세액이 공급가액 10%와 다름"),"")&amp;IF($BB460="수정"," / 수정세금계산서(합계에서 자동 가감)",""),4,200))</f>
        <v/>
      </c>
      <c r="BD460" s="2">
        <f>IF($BA460&lt;&gt;"포함","",IF(COUNTIFS($AX$8:$AX460,$AX460,$BA$8:$BA460,"포함")=1,MAX($BD$7:BD459)+1,""))</f>
        <v/>
      </c>
      <c r="BE460" s="2">
        <f>IF($BC460="","",MAX($BE$7:BE459)+1)</f>
        <v/>
      </c>
    </row>
    <row r="461">
      <c r="AR461" s="2">
        <f>IF(OR($A$5="",$B$6="",ROW()&lt;$A$5),"",IF(INDEX($A:$AP,ROW(),$B$6)="","",INDEX($A:$AP,ROW(),$B$6)))</f>
        <v/>
      </c>
      <c r="AS461" s="22">
        <f>IF($AR461="","",IF(ISNUMBER($AR461),IF($AR461&gt;=10000000,IFERROR(DATE(INT($AR461/10000),MOD(INT($AR461/100),100),MOD($AR461,100)),""),INT($AR461)),IFERROR(DATE(--LEFT(LEFT(SUBSTITUTE(SUBSTITUTE(SUBSTITUTE(SUBSTITUTE(TRIM($AR461),"-",""),".",""),"/","")," ",""),8),4),--MID(LEFT(SUBSTITUTE(SUBSTITUTE(SUBSTITUTE(SUBSTITUTE(TRIM($AR461),"-",""),".",""),"/","")," ",""),8),5,2),--MID(LEFT(SUBSTITUTE(SUBSTITUTE(SUBSTITUTE(SUBSTITUTE(TRIM($AR461),"-",""),".",""),"/","")," ",""),8),7,2)),"")))</f>
        <v/>
      </c>
      <c r="AT461" s="23">
        <f>IF($AS461="","",IF($F$6="",0,IF(ISNUMBER(INDEX($A:$AP,ROW(),$F$6)),INDEX($A:$AP,ROW(),$F$6),IFERROR(--SUBSTITUTE(SUBSTITUTE(TRIM(INDEX($A:$AP,ROW(),$F$6)),",",""),"원",""),0))))</f>
        <v/>
      </c>
      <c r="AU461" s="23">
        <f>IF($AS461="","",IF($G$6="",0,IF(ISNUMBER(INDEX($A:$AP,ROW(),$G$6)),INDEX($A:$AP,ROW(),$G$6),IFERROR(--SUBSTITUTE(SUBSTITUTE(TRIM(INDEX($A:$AP,ROW(),$G$6)),",",""),"원",""),0))))</f>
        <v/>
      </c>
      <c r="AV461" s="23">
        <f>IF($AS461="","",IF($H$6="",$AT461+$AU461,IF($H$6="",0,IF(ISNUMBER(INDEX($A:$AP,ROW(),$H$6)),INDEX($A:$AP,ROW(),$H$6),IFERROR(--SUBSTITUTE(SUBSTITUTE(TRIM(INDEX($A:$AP,ROW(),$H$6)),",",""),"원",""),0)))))</f>
        <v/>
      </c>
      <c r="AW461" s="2">
        <f>IF(OR($AS461="",$C$6=""),"",TRIM(INDEX($A:$AP,ROW(),$C$6)&amp;""))</f>
        <v/>
      </c>
      <c r="AX461" s="2">
        <f>IF($AS461="","",IF($AZ461&lt;&gt;"",SUBSTITUTE(SUBSTITUTE($AZ461,"-","")," ",""),$AY461))</f>
        <v/>
      </c>
      <c r="AY461" s="2">
        <f>IF(OR($AS461="",$E$6=""),"",TRIM(INDEX($A:$AP,ROW(),$E$6)&amp;""))</f>
        <v/>
      </c>
      <c r="AZ461" s="2">
        <f>IF(OR($AS461="",$D$6=""),"",TRIM(INDEX($A:$AP,ROW(),$D$6)&amp;""))</f>
        <v/>
      </c>
      <c r="BA461" s="2">
        <f>IF($AS461="","",IF(AND($AS461&gt;=설정!$B$10,$AS461&lt;=설정!$B$11),"포함","기간 밖"))</f>
        <v/>
      </c>
      <c r="BB461" s="2">
        <f>IF($AS461="","",IF(OR($AT461&lt;0,AND($I$6&lt;&gt;"",ISNUMBER(FIND("수정",INDEX($A:$AP,ROW(),IF($I$6="",1,$I$6))&amp;"")))),"수정","일반"))</f>
        <v/>
      </c>
      <c r="BC461" s="2">
        <f>IF($AS461="","",MID(IF($BA461="기간 밖"," / 기간 밖(신고기간 아님)","")&amp;IF(AND($AW461&lt;&gt;"",COUNTIF($AW$8:$AW$1007,$AW461)&gt;1)," / 승인번호 중복(두 번 붙여넣기?)","")&amp;IF(ABS($AU461-ROUND($AT461*0.1,0))&gt;설정!$B$8,IF($AU461=0," / 세액 0원(영세율·면세 여부 확인)"," / 세액이 공급가액 10%와 다름"),"")&amp;IF($BB461="수정"," / 수정세금계산서(합계에서 자동 가감)",""),4,200))</f>
        <v/>
      </c>
      <c r="BD461" s="2">
        <f>IF($BA461&lt;&gt;"포함","",IF(COUNTIFS($AX$8:$AX461,$AX461,$BA$8:$BA461,"포함")=1,MAX($BD$7:BD460)+1,""))</f>
        <v/>
      </c>
      <c r="BE461" s="2">
        <f>IF($BC461="","",MAX($BE$7:BE460)+1)</f>
        <v/>
      </c>
    </row>
    <row r="462">
      <c r="AR462" s="2">
        <f>IF(OR($A$5="",$B$6="",ROW()&lt;$A$5),"",IF(INDEX($A:$AP,ROW(),$B$6)="","",INDEX($A:$AP,ROW(),$B$6)))</f>
        <v/>
      </c>
      <c r="AS462" s="22">
        <f>IF($AR462="","",IF(ISNUMBER($AR462),IF($AR462&gt;=10000000,IFERROR(DATE(INT($AR462/10000),MOD(INT($AR462/100),100),MOD($AR462,100)),""),INT($AR462)),IFERROR(DATE(--LEFT(LEFT(SUBSTITUTE(SUBSTITUTE(SUBSTITUTE(SUBSTITUTE(TRIM($AR462),"-",""),".",""),"/","")," ",""),8),4),--MID(LEFT(SUBSTITUTE(SUBSTITUTE(SUBSTITUTE(SUBSTITUTE(TRIM($AR462),"-",""),".",""),"/","")," ",""),8),5,2),--MID(LEFT(SUBSTITUTE(SUBSTITUTE(SUBSTITUTE(SUBSTITUTE(TRIM($AR462),"-",""),".",""),"/","")," ",""),8),7,2)),"")))</f>
        <v/>
      </c>
      <c r="AT462" s="23">
        <f>IF($AS462="","",IF($F$6="",0,IF(ISNUMBER(INDEX($A:$AP,ROW(),$F$6)),INDEX($A:$AP,ROW(),$F$6),IFERROR(--SUBSTITUTE(SUBSTITUTE(TRIM(INDEX($A:$AP,ROW(),$F$6)),",",""),"원",""),0))))</f>
        <v/>
      </c>
      <c r="AU462" s="23">
        <f>IF($AS462="","",IF($G$6="",0,IF(ISNUMBER(INDEX($A:$AP,ROW(),$G$6)),INDEX($A:$AP,ROW(),$G$6),IFERROR(--SUBSTITUTE(SUBSTITUTE(TRIM(INDEX($A:$AP,ROW(),$G$6)),",",""),"원",""),0))))</f>
        <v/>
      </c>
      <c r="AV462" s="23">
        <f>IF($AS462="","",IF($H$6="",$AT462+$AU462,IF($H$6="",0,IF(ISNUMBER(INDEX($A:$AP,ROW(),$H$6)),INDEX($A:$AP,ROW(),$H$6),IFERROR(--SUBSTITUTE(SUBSTITUTE(TRIM(INDEX($A:$AP,ROW(),$H$6)),",",""),"원",""),0)))))</f>
        <v/>
      </c>
      <c r="AW462" s="2">
        <f>IF(OR($AS462="",$C$6=""),"",TRIM(INDEX($A:$AP,ROW(),$C$6)&amp;""))</f>
        <v/>
      </c>
      <c r="AX462" s="2">
        <f>IF($AS462="","",IF($AZ462&lt;&gt;"",SUBSTITUTE(SUBSTITUTE($AZ462,"-","")," ",""),$AY462))</f>
        <v/>
      </c>
      <c r="AY462" s="2">
        <f>IF(OR($AS462="",$E$6=""),"",TRIM(INDEX($A:$AP,ROW(),$E$6)&amp;""))</f>
        <v/>
      </c>
      <c r="AZ462" s="2">
        <f>IF(OR($AS462="",$D$6=""),"",TRIM(INDEX($A:$AP,ROW(),$D$6)&amp;""))</f>
        <v/>
      </c>
      <c r="BA462" s="2">
        <f>IF($AS462="","",IF(AND($AS462&gt;=설정!$B$10,$AS462&lt;=설정!$B$11),"포함","기간 밖"))</f>
        <v/>
      </c>
      <c r="BB462" s="2">
        <f>IF($AS462="","",IF(OR($AT462&lt;0,AND($I$6&lt;&gt;"",ISNUMBER(FIND("수정",INDEX($A:$AP,ROW(),IF($I$6="",1,$I$6))&amp;"")))),"수정","일반"))</f>
        <v/>
      </c>
      <c r="BC462" s="2">
        <f>IF($AS462="","",MID(IF($BA462="기간 밖"," / 기간 밖(신고기간 아님)","")&amp;IF(AND($AW462&lt;&gt;"",COUNTIF($AW$8:$AW$1007,$AW462)&gt;1)," / 승인번호 중복(두 번 붙여넣기?)","")&amp;IF(ABS($AU462-ROUND($AT462*0.1,0))&gt;설정!$B$8,IF($AU462=0," / 세액 0원(영세율·면세 여부 확인)"," / 세액이 공급가액 10%와 다름"),"")&amp;IF($BB462="수정"," / 수정세금계산서(합계에서 자동 가감)",""),4,200))</f>
        <v/>
      </c>
      <c r="BD462" s="2">
        <f>IF($BA462&lt;&gt;"포함","",IF(COUNTIFS($AX$8:$AX462,$AX462,$BA$8:$BA462,"포함")=1,MAX($BD$7:BD461)+1,""))</f>
        <v/>
      </c>
      <c r="BE462" s="2">
        <f>IF($BC462="","",MAX($BE$7:BE461)+1)</f>
        <v/>
      </c>
    </row>
    <row r="463">
      <c r="AR463" s="2">
        <f>IF(OR($A$5="",$B$6="",ROW()&lt;$A$5),"",IF(INDEX($A:$AP,ROW(),$B$6)="","",INDEX($A:$AP,ROW(),$B$6)))</f>
        <v/>
      </c>
      <c r="AS463" s="22">
        <f>IF($AR463="","",IF(ISNUMBER($AR463),IF($AR463&gt;=10000000,IFERROR(DATE(INT($AR463/10000),MOD(INT($AR463/100),100),MOD($AR463,100)),""),INT($AR463)),IFERROR(DATE(--LEFT(LEFT(SUBSTITUTE(SUBSTITUTE(SUBSTITUTE(SUBSTITUTE(TRIM($AR463),"-",""),".",""),"/","")," ",""),8),4),--MID(LEFT(SUBSTITUTE(SUBSTITUTE(SUBSTITUTE(SUBSTITUTE(TRIM($AR463),"-",""),".",""),"/","")," ",""),8),5,2),--MID(LEFT(SUBSTITUTE(SUBSTITUTE(SUBSTITUTE(SUBSTITUTE(TRIM($AR463),"-",""),".",""),"/","")," ",""),8),7,2)),"")))</f>
        <v/>
      </c>
      <c r="AT463" s="23">
        <f>IF($AS463="","",IF($F$6="",0,IF(ISNUMBER(INDEX($A:$AP,ROW(),$F$6)),INDEX($A:$AP,ROW(),$F$6),IFERROR(--SUBSTITUTE(SUBSTITUTE(TRIM(INDEX($A:$AP,ROW(),$F$6)),",",""),"원",""),0))))</f>
        <v/>
      </c>
      <c r="AU463" s="23">
        <f>IF($AS463="","",IF($G$6="",0,IF(ISNUMBER(INDEX($A:$AP,ROW(),$G$6)),INDEX($A:$AP,ROW(),$G$6),IFERROR(--SUBSTITUTE(SUBSTITUTE(TRIM(INDEX($A:$AP,ROW(),$G$6)),",",""),"원",""),0))))</f>
        <v/>
      </c>
      <c r="AV463" s="23">
        <f>IF($AS463="","",IF($H$6="",$AT463+$AU463,IF($H$6="",0,IF(ISNUMBER(INDEX($A:$AP,ROW(),$H$6)),INDEX($A:$AP,ROW(),$H$6),IFERROR(--SUBSTITUTE(SUBSTITUTE(TRIM(INDEX($A:$AP,ROW(),$H$6)),",",""),"원",""),0)))))</f>
        <v/>
      </c>
      <c r="AW463" s="2">
        <f>IF(OR($AS463="",$C$6=""),"",TRIM(INDEX($A:$AP,ROW(),$C$6)&amp;""))</f>
        <v/>
      </c>
      <c r="AX463" s="2">
        <f>IF($AS463="","",IF($AZ463&lt;&gt;"",SUBSTITUTE(SUBSTITUTE($AZ463,"-","")," ",""),$AY463))</f>
        <v/>
      </c>
      <c r="AY463" s="2">
        <f>IF(OR($AS463="",$E$6=""),"",TRIM(INDEX($A:$AP,ROW(),$E$6)&amp;""))</f>
        <v/>
      </c>
      <c r="AZ463" s="2">
        <f>IF(OR($AS463="",$D$6=""),"",TRIM(INDEX($A:$AP,ROW(),$D$6)&amp;""))</f>
        <v/>
      </c>
      <c r="BA463" s="2">
        <f>IF($AS463="","",IF(AND($AS463&gt;=설정!$B$10,$AS463&lt;=설정!$B$11),"포함","기간 밖"))</f>
        <v/>
      </c>
      <c r="BB463" s="2">
        <f>IF($AS463="","",IF(OR($AT463&lt;0,AND($I$6&lt;&gt;"",ISNUMBER(FIND("수정",INDEX($A:$AP,ROW(),IF($I$6="",1,$I$6))&amp;"")))),"수정","일반"))</f>
        <v/>
      </c>
      <c r="BC463" s="2">
        <f>IF($AS463="","",MID(IF($BA463="기간 밖"," / 기간 밖(신고기간 아님)","")&amp;IF(AND($AW463&lt;&gt;"",COUNTIF($AW$8:$AW$1007,$AW463)&gt;1)," / 승인번호 중복(두 번 붙여넣기?)","")&amp;IF(ABS($AU463-ROUND($AT463*0.1,0))&gt;설정!$B$8,IF($AU463=0," / 세액 0원(영세율·면세 여부 확인)"," / 세액이 공급가액 10%와 다름"),"")&amp;IF($BB463="수정"," / 수정세금계산서(합계에서 자동 가감)",""),4,200))</f>
        <v/>
      </c>
      <c r="BD463" s="2">
        <f>IF($BA463&lt;&gt;"포함","",IF(COUNTIFS($AX$8:$AX463,$AX463,$BA$8:$BA463,"포함")=1,MAX($BD$7:BD462)+1,""))</f>
        <v/>
      </c>
      <c r="BE463" s="2">
        <f>IF($BC463="","",MAX($BE$7:BE462)+1)</f>
        <v/>
      </c>
    </row>
    <row r="464">
      <c r="AR464" s="2">
        <f>IF(OR($A$5="",$B$6="",ROW()&lt;$A$5),"",IF(INDEX($A:$AP,ROW(),$B$6)="","",INDEX($A:$AP,ROW(),$B$6)))</f>
        <v/>
      </c>
      <c r="AS464" s="22">
        <f>IF($AR464="","",IF(ISNUMBER($AR464),IF($AR464&gt;=10000000,IFERROR(DATE(INT($AR464/10000),MOD(INT($AR464/100),100),MOD($AR464,100)),""),INT($AR464)),IFERROR(DATE(--LEFT(LEFT(SUBSTITUTE(SUBSTITUTE(SUBSTITUTE(SUBSTITUTE(TRIM($AR464),"-",""),".",""),"/","")," ",""),8),4),--MID(LEFT(SUBSTITUTE(SUBSTITUTE(SUBSTITUTE(SUBSTITUTE(TRIM($AR464),"-",""),".",""),"/","")," ",""),8),5,2),--MID(LEFT(SUBSTITUTE(SUBSTITUTE(SUBSTITUTE(SUBSTITUTE(TRIM($AR464),"-",""),".",""),"/","")," ",""),8),7,2)),"")))</f>
        <v/>
      </c>
      <c r="AT464" s="23">
        <f>IF($AS464="","",IF($F$6="",0,IF(ISNUMBER(INDEX($A:$AP,ROW(),$F$6)),INDEX($A:$AP,ROW(),$F$6),IFERROR(--SUBSTITUTE(SUBSTITUTE(TRIM(INDEX($A:$AP,ROW(),$F$6)),",",""),"원",""),0))))</f>
        <v/>
      </c>
      <c r="AU464" s="23">
        <f>IF($AS464="","",IF($G$6="",0,IF(ISNUMBER(INDEX($A:$AP,ROW(),$G$6)),INDEX($A:$AP,ROW(),$G$6),IFERROR(--SUBSTITUTE(SUBSTITUTE(TRIM(INDEX($A:$AP,ROW(),$G$6)),",",""),"원",""),0))))</f>
        <v/>
      </c>
      <c r="AV464" s="23">
        <f>IF($AS464="","",IF($H$6="",$AT464+$AU464,IF($H$6="",0,IF(ISNUMBER(INDEX($A:$AP,ROW(),$H$6)),INDEX($A:$AP,ROW(),$H$6),IFERROR(--SUBSTITUTE(SUBSTITUTE(TRIM(INDEX($A:$AP,ROW(),$H$6)),",",""),"원",""),0)))))</f>
        <v/>
      </c>
      <c r="AW464" s="2">
        <f>IF(OR($AS464="",$C$6=""),"",TRIM(INDEX($A:$AP,ROW(),$C$6)&amp;""))</f>
        <v/>
      </c>
      <c r="AX464" s="2">
        <f>IF($AS464="","",IF($AZ464&lt;&gt;"",SUBSTITUTE(SUBSTITUTE($AZ464,"-","")," ",""),$AY464))</f>
        <v/>
      </c>
      <c r="AY464" s="2">
        <f>IF(OR($AS464="",$E$6=""),"",TRIM(INDEX($A:$AP,ROW(),$E$6)&amp;""))</f>
        <v/>
      </c>
      <c r="AZ464" s="2">
        <f>IF(OR($AS464="",$D$6=""),"",TRIM(INDEX($A:$AP,ROW(),$D$6)&amp;""))</f>
        <v/>
      </c>
      <c r="BA464" s="2">
        <f>IF($AS464="","",IF(AND($AS464&gt;=설정!$B$10,$AS464&lt;=설정!$B$11),"포함","기간 밖"))</f>
        <v/>
      </c>
      <c r="BB464" s="2">
        <f>IF($AS464="","",IF(OR($AT464&lt;0,AND($I$6&lt;&gt;"",ISNUMBER(FIND("수정",INDEX($A:$AP,ROW(),IF($I$6="",1,$I$6))&amp;"")))),"수정","일반"))</f>
        <v/>
      </c>
      <c r="BC464" s="2">
        <f>IF($AS464="","",MID(IF($BA464="기간 밖"," / 기간 밖(신고기간 아님)","")&amp;IF(AND($AW464&lt;&gt;"",COUNTIF($AW$8:$AW$1007,$AW464)&gt;1)," / 승인번호 중복(두 번 붙여넣기?)","")&amp;IF(ABS($AU464-ROUND($AT464*0.1,0))&gt;설정!$B$8,IF($AU464=0," / 세액 0원(영세율·면세 여부 확인)"," / 세액이 공급가액 10%와 다름"),"")&amp;IF($BB464="수정"," / 수정세금계산서(합계에서 자동 가감)",""),4,200))</f>
        <v/>
      </c>
      <c r="BD464" s="2">
        <f>IF($BA464&lt;&gt;"포함","",IF(COUNTIFS($AX$8:$AX464,$AX464,$BA$8:$BA464,"포함")=1,MAX($BD$7:BD463)+1,""))</f>
        <v/>
      </c>
      <c r="BE464" s="2">
        <f>IF($BC464="","",MAX($BE$7:BE463)+1)</f>
        <v/>
      </c>
    </row>
    <row r="465">
      <c r="AR465" s="2">
        <f>IF(OR($A$5="",$B$6="",ROW()&lt;$A$5),"",IF(INDEX($A:$AP,ROW(),$B$6)="","",INDEX($A:$AP,ROW(),$B$6)))</f>
        <v/>
      </c>
      <c r="AS465" s="22">
        <f>IF($AR465="","",IF(ISNUMBER($AR465),IF($AR465&gt;=10000000,IFERROR(DATE(INT($AR465/10000),MOD(INT($AR465/100),100),MOD($AR465,100)),""),INT($AR465)),IFERROR(DATE(--LEFT(LEFT(SUBSTITUTE(SUBSTITUTE(SUBSTITUTE(SUBSTITUTE(TRIM($AR465),"-",""),".",""),"/","")," ",""),8),4),--MID(LEFT(SUBSTITUTE(SUBSTITUTE(SUBSTITUTE(SUBSTITUTE(TRIM($AR465),"-",""),".",""),"/","")," ",""),8),5,2),--MID(LEFT(SUBSTITUTE(SUBSTITUTE(SUBSTITUTE(SUBSTITUTE(TRIM($AR465),"-",""),".",""),"/","")," ",""),8),7,2)),"")))</f>
        <v/>
      </c>
      <c r="AT465" s="23">
        <f>IF($AS465="","",IF($F$6="",0,IF(ISNUMBER(INDEX($A:$AP,ROW(),$F$6)),INDEX($A:$AP,ROW(),$F$6),IFERROR(--SUBSTITUTE(SUBSTITUTE(TRIM(INDEX($A:$AP,ROW(),$F$6)),",",""),"원",""),0))))</f>
        <v/>
      </c>
      <c r="AU465" s="23">
        <f>IF($AS465="","",IF($G$6="",0,IF(ISNUMBER(INDEX($A:$AP,ROW(),$G$6)),INDEX($A:$AP,ROW(),$G$6),IFERROR(--SUBSTITUTE(SUBSTITUTE(TRIM(INDEX($A:$AP,ROW(),$G$6)),",",""),"원",""),0))))</f>
        <v/>
      </c>
      <c r="AV465" s="23">
        <f>IF($AS465="","",IF($H$6="",$AT465+$AU465,IF($H$6="",0,IF(ISNUMBER(INDEX($A:$AP,ROW(),$H$6)),INDEX($A:$AP,ROW(),$H$6),IFERROR(--SUBSTITUTE(SUBSTITUTE(TRIM(INDEX($A:$AP,ROW(),$H$6)),",",""),"원",""),0)))))</f>
        <v/>
      </c>
      <c r="AW465" s="2">
        <f>IF(OR($AS465="",$C$6=""),"",TRIM(INDEX($A:$AP,ROW(),$C$6)&amp;""))</f>
        <v/>
      </c>
      <c r="AX465" s="2">
        <f>IF($AS465="","",IF($AZ465&lt;&gt;"",SUBSTITUTE(SUBSTITUTE($AZ465,"-","")," ",""),$AY465))</f>
        <v/>
      </c>
      <c r="AY465" s="2">
        <f>IF(OR($AS465="",$E$6=""),"",TRIM(INDEX($A:$AP,ROW(),$E$6)&amp;""))</f>
        <v/>
      </c>
      <c r="AZ465" s="2">
        <f>IF(OR($AS465="",$D$6=""),"",TRIM(INDEX($A:$AP,ROW(),$D$6)&amp;""))</f>
        <v/>
      </c>
      <c r="BA465" s="2">
        <f>IF($AS465="","",IF(AND($AS465&gt;=설정!$B$10,$AS465&lt;=설정!$B$11),"포함","기간 밖"))</f>
        <v/>
      </c>
      <c r="BB465" s="2">
        <f>IF($AS465="","",IF(OR($AT465&lt;0,AND($I$6&lt;&gt;"",ISNUMBER(FIND("수정",INDEX($A:$AP,ROW(),IF($I$6="",1,$I$6))&amp;"")))),"수정","일반"))</f>
        <v/>
      </c>
      <c r="BC465" s="2">
        <f>IF($AS465="","",MID(IF($BA465="기간 밖"," / 기간 밖(신고기간 아님)","")&amp;IF(AND($AW465&lt;&gt;"",COUNTIF($AW$8:$AW$1007,$AW465)&gt;1)," / 승인번호 중복(두 번 붙여넣기?)","")&amp;IF(ABS($AU465-ROUND($AT465*0.1,0))&gt;설정!$B$8,IF($AU465=0," / 세액 0원(영세율·면세 여부 확인)"," / 세액이 공급가액 10%와 다름"),"")&amp;IF($BB465="수정"," / 수정세금계산서(합계에서 자동 가감)",""),4,200))</f>
        <v/>
      </c>
      <c r="BD465" s="2">
        <f>IF($BA465&lt;&gt;"포함","",IF(COUNTIFS($AX$8:$AX465,$AX465,$BA$8:$BA465,"포함")=1,MAX($BD$7:BD464)+1,""))</f>
        <v/>
      </c>
      <c r="BE465" s="2">
        <f>IF($BC465="","",MAX($BE$7:BE464)+1)</f>
        <v/>
      </c>
    </row>
    <row r="466">
      <c r="AR466" s="2">
        <f>IF(OR($A$5="",$B$6="",ROW()&lt;$A$5),"",IF(INDEX($A:$AP,ROW(),$B$6)="","",INDEX($A:$AP,ROW(),$B$6)))</f>
        <v/>
      </c>
      <c r="AS466" s="22">
        <f>IF($AR466="","",IF(ISNUMBER($AR466),IF($AR466&gt;=10000000,IFERROR(DATE(INT($AR466/10000),MOD(INT($AR466/100),100),MOD($AR466,100)),""),INT($AR466)),IFERROR(DATE(--LEFT(LEFT(SUBSTITUTE(SUBSTITUTE(SUBSTITUTE(SUBSTITUTE(TRIM($AR466),"-",""),".",""),"/","")," ",""),8),4),--MID(LEFT(SUBSTITUTE(SUBSTITUTE(SUBSTITUTE(SUBSTITUTE(TRIM($AR466),"-",""),".",""),"/","")," ",""),8),5,2),--MID(LEFT(SUBSTITUTE(SUBSTITUTE(SUBSTITUTE(SUBSTITUTE(TRIM($AR466),"-",""),".",""),"/","")," ",""),8),7,2)),"")))</f>
        <v/>
      </c>
      <c r="AT466" s="23">
        <f>IF($AS466="","",IF($F$6="",0,IF(ISNUMBER(INDEX($A:$AP,ROW(),$F$6)),INDEX($A:$AP,ROW(),$F$6),IFERROR(--SUBSTITUTE(SUBSTITUTE(TRIM(INDEX($A:$AP,ROW(),$F$6)),",",""),"원",""),0))))</f>
        <v/>
      </c>
      <c r="AU466" s="23">
        <f>IF($AS466="","",IF($G$6="",0,IF(ISNUMBER(INDEX($A:$AP,ROW(),$G$6)),INDEX($A:$AP,ROW(),$G$6),IFERROR(--SUBSTITUTE(SUBSTITUTE(TRIM(INDEX($A:$AP,ROW(),$G$6)),",",""),"원",""),0))))</f>
        <v/>
      </c>
      <c r="AV466" s="23">
        <f>IF($AS466="","",IF($H$6="",$AT466+$AU466,IF($H$6="",0,IF(ISNUMBER(INDEX($A:$AP,ROW(),$H$6)),INDEX($A:$AP,ROW(),$H$6),IFERROR(--SUBSTITUTE(SUBSTITUTE(TRIM(INDEX($A:$AP,ROW(),$H$6)),",",""),"원",""),0)))))</f>
        <v/>
      </c>
      <c r="AW466" s="2">
        <f>IF(OR($AS466="",$C$6=""),"",TRIM(INDEX($A:$AP,ROW(),$C$6)&amp;""))</f>
        <v/>
      </c>
      <c r="AX466" s="2">
        <f>IF($AS466="","",IF($AZ466&lt;&gt;"",SUBSTITUTE(SUBSTITUTE($AZ466,"-","")," ",""),$AY466))</f>
        <v/>
      </c>
      <c r="AY466" s="2">
        <f>IF(OR($AS466="",$E$6=""),"",TRIM(INDEX($A:$AP,ROW(),$E$6)&amp;""))</f>
        <v/>
      </c>
      <c r="AZ466" s="2">
        <f>IF(OR($AS466="",$D$6=""),"",TRIM(INDEX($A:$AP,ROW(),$D$6)&amp;""))</f>
        <v/>
      </c>
      <c r="BA466" s="2">
        <f>IF($AS466="","",IF(AND($AS466&gt;=설정!$B$10,$AS466&lt;=설정!$B$11),"포함","기간 밖"))</f>
        <v/>
      </c>
      <c r="BB466" s="2">
        <f>IF($AS466="","",IF(OR($AT466&lt;0,AND($I$6&lt;&gt;"",ISNUMBER(FIND("수정",INDEX($A:$AP,ROW(),IF($I$6="",1,$I$6))&amp;"")))),"수정","일반"))</f>
        <v/>
      </c>
      <c r="BC466" s="2">
        <f>IF($AS466="","",MID(IF($BA466="기간 밖"," / 기간 밖(신고기간 아님)","")&amp;IF(AND($AW466&lt;&gt;"",COUNTIF($AW$8:$AW$1007,$AW466)&gt;1)," / 승인번호 중복(두 번 붙여넣기?)","")&amp;IF(ABS($AU466-ROUND($AT466*0.1,0))&gt;설정!$B$8,IF($AU466=0," / 세액 0원(영세율·면세 여부 확인)"," / 세액이 공급가액 10%와 다름"),"")&amp;IF($BB466="수정"," / 수정세금계산서(합계에서 자동 가감)",""),4,200))</f>
        <v/>
      </c>
      <c r="BD466" s="2">
        <f>IF($BA466&lt;&gt;"포함","",IF(COUNTIFS($AX$8:$AX466,$AX466,$BA$8:$BA466,"포함")=1,MAX($BD$7:BD465)+1,""))</f>
        <v/>
      </c>
      <c r="BE466" s="2">
        <f>IF($BC466="","",MAX($BE$7:BE465)+1)</f>
        <v/>
      </c>
    </row>
    <row r="467">
      <c r="AR467" s="2">
        <f>IF(OR($A$5="",$B$6="",ROW()&lt;$A$5),"",IF(INDEX($A:$AP,ROW(),$B$6)="","",INDEX($A:$AP,ROW(),$B$6)))</f>
        <v/>
      </c>
      <c r="AS467" s="22">
        <f>IF($AR467="","",IF(ISNUMBER($AR467),IF($AR467&gt;=10000000,IFERROR(DATE(INT($AR467/10000),MOD(INT($AR467/100),100),MOD($AR467,100)),""),INT($AR467)),IFERROR(DATE(--LEFT(LEFT(SUBSTITUTE(SUBSTITUTE(SUBSTITUTE(SUBSTITUTE(TRIM($AR467),"-",""),".",""),"/","")," ",""),8),4),--MID(LEFT(SUBSTITUTE(SUBSTITUTE(SUBSTITUTE(SUBSTITUTE(TRIM($AR467),"-",""),".",""),"/","")," ",""),8),5,2),--MID(LEFT(SUBSTITUTE(SUBSTITUTE(SUBSTITUTE(SUBSTITUTE(TRIM($AR467),"-",""),".",""),"/","")," ",""),8),7,2)),"")))</f>
        <v/>
      </c>
      <c r="AT467" s="23">
        <f>IF($AS467="","",IF($F$6="",0,IF(ISNUMBER(INDEX($A:$AP,ROW(),$F$6)),INDEX($A:$AP,ROW(),$F$6),IFERROR(--SUBSTITUTE(SUBSTITUTE(TRIM(INDEX($A:$AP,ROW(),$F$6)),",",""),"원",""),0))))</f>
        <v/>
      </c>
      <c r="AU467" s="23">
        <f>IF($AS467="","",IF($G$6="",0,IF(ISNUMBER(INDEX($A:$AP,ROW(),$G$6)),INDEX($A:$AP,ROW(),$G$6),IFERROR(--SUBSTITUTE(SUBSTITUTE(TRIM(INDEX($A:$AP,ROW(),$G$6)),",",""),"원",""),0))))</f>
        <v/>
      </c>
      <c r="AV467" s="23">
        <f>IF($AS467="","",IF($H$6="",$AT467+$AU467,IF($H$6="",0,IF(ISNUMBER(INDEX($A:$AP,ROW(),$H$6)),INDEX($A:$AP,ROW(),$H$6),IFERROR(--SUBSTITUTE(SUBSTITUTE(TRIM(INDEX($A:$AP,ROW(),$H$6)),",",""),"원",""),0)))))</f>
        <v/>
      </c>
      <c r="AW467" s="2">
        <f>IF(OR($AS467="",$C$6=""),"",TRIM(INDEX($A:$AP,ROW(),$C$6)&amp;""))</f>
        <v/>
      </c>
      <c r="AX467" s="2">
        <f>IF($AS467="","",IF($AZ467&lt;&gt;"",SUBSTITUTE(SUBSTITUTE($AZ467,"-","")," ",""),$AY467))</f>
        <v/>
      </c>
      <c r="AY467" s="2">
        <f>IF(OR($AS467="",$E$6=""),"",TRIM(INDEX($A:$AP,ROW(),$E$6)&amp;""))</f>
        <v/>
      </c>
      <c r="AZ467" s="2">
        <f>IF(OR($AS467="",$D$6=""),"",TRIM(INDEX($A:$AP,ROW(),$D$6)&amp;""))</f>
        <v/>
      </c>
      <c r="BA467" s="2">
        <f>IF($AS467="","",IF(AND($AS467&gt;=설정!$B$10,$AS467&lt;=설정!$B$11),"포함","기간 밖"))</f>
        <v/>
      </c>
      <c r="BB467" s="2">
        <f>IF($AS467="","",IF(OR($AT467&lt;0,AND($I$6&lt;&gt;"",ISNUMBER(FIND("수정",INDEX($A:$AP,ROW(),IF($I$6="",1,$I$6))&amp;"")))),"수정","일반"))</f>
        <v/>
      </c>
      <c r="BC467" s="2">
        <f>IF($AS467="","",MID(IF($BA467="기간 밖"," / 기간 밖(신고기간 아님)","")&amp;IF(AND($AW467&lt;&gt;"",COUNTIF($AW$8:$AW$1007,$AW467)&gt;1)," / 승인번호 중복(두 번 붙여넣기?)","")&amp;IF(ABS($AU467-ROUND($AT467*0.1,0))&gt;설정!$B$8,IF($AU467=0," / 세액 0원(영세율·면세 여부 확인)"," / 세액이 공급가액 10%와 다름"),"")&amp;IF($BB467="수정"," / 수정세금계산서(합계에서 자동 가감)",""),4,200))</f>
        <v/>
      </c>
      <c r="BD467" s="2">
        <f>IF($BA467&lt;&gt;"포함","",IF(COUNTIFS($AX$8:$AX467,$AX467,$BA$8:$BA467,"포함")=1,MAX($BD$7:BD466)+1,""))</f>
        <v/>
      </c>
      <c r="BE467" s="2">
        <f>IF($BC467="","",MAX($BE$7:BE466)+1)</f>
        <v/>
      </c>
    </row>
    <row r="468">
      <c r="AR468" s="2">
        <f>IF(OR($A$5="",$B$6="",ROW()&lt;$A$5),"",IF(INDEX($A:$AP,ROW(),$B$6)="","",INDEX($A:$AP,ROW(),$B$6)))</f>
        <v/>
      </c>
      <c r="AS468" s="22">
        <f>IF($AR468="","",IF(ISNUMBER($AR468),IF($AR468&gt;=10000000,IFERROR(DATE(INT($AR468/10000),MOD(INT($AR468/100),100),MOD($AR468,100)),""),INT($AR468)),IFERROR(DATE(--LEFT(LEFT(SUBSTITUTE(SUBSTITUTE(SUBSTITUTE(SUBSTITUTE(TRIM($AR468),"-",""),".",""),"/","")," ",""),8),4),--MID(LEFT(SUBSTITUTE(SUBSTITUTE(SUBSTITUTE(SUBSTITUTE(TRIM($AR468),"-",""),".",""),"/","")," ",""),8),5,2),--MID(LEFT(SUBSTITUTE(SUBSTITUTE(SUBSTITUTE(SUBSTITUTE(TRIM($AR468),"-",""),".",""),"/","")," ",""),8),7,2)),"")))</f>
        <v/>
      </c>
      <c r="AT468" s="23">
        <f>IF($AS468="","",IF($F$6="",0,IF(ISNUMBER(INDEX($A:$AP,ROW(),$F$6)),INDEX($A:$AP,ROW(),$F$6),IFERROR(--SUBSTITUTE(SUBSTITUTE(TRIM(INDEX($A:$AP,ROW(),$F$6)),",",""),"원",""),0))))</f>
        <v/>
      </c>
      <c r="AU468" s="23">
        <f>IF($AS468="","",IF($G$6="",0,IF(ISNUMBER(INDEX($A:$AP,ROW(),$G$6)),INDEX($A:$AP,ROW(),$G$6),IFERROR(--SUBSTITUTE(SUBSTITUTE(TRIM(INDEX($A:$AP,ROW(),$G$6)),",",""),"원",""),0))))</f>
        <v/>
      </c>
      <c r="AV468" s="23">
        <f>IF($AS468="","",IF($H$6="",$AT468+$AU468,IF($H$6="",0,IF(ISNUMBER(INDEX($A:$AP,ROW(),$H$6)),INDEX($A:$AP,ROW(),$H$6),IFERROR(--SUBSTITUTE(SUBSTITUTE(TRIM(INDEX($A:$AP,ROW(),$H$6)),",",""),"원",""),0)))))</f>
        <v/>
      </c>
      <c r="AW468" s="2">
        <f>IF(OR($AS468="",$C$6=""),"",TRIM(INDEX($A:$AP,ROW(),$C$6)&amp;""))</f>
        <v/>
      </c>
      <c r="AX468" s="2">
        <f>IF($AS468="","",IF($AZ468&lt;&gt;"",SUBSTITUTE(SUBSTITUTE($AZ468,"-","")," ",""),$AY468))</f>
        <v/>
      </c>
      <c r="AY468" s="2">
        <f>IF(OR($AS468="",$E$6=""),"",TRIM(INDEX($A:$AP,ROW(),$E$6)&amp;""))</f>
        <v/>
      </c>
      <c r="AZ468" s="2">
        <f>IF(OR($AS468="",$D$6=""),"",TRIM(INDEX($A:$AP,ROW(),$D$6)&amp;""))</f>
        <v/>
      </c>
      <c r="BA468" s="2">
        <f>IF($AS468="","",IF(AND($AS468&gt;=설정!$B$10,$AS468&lt;=설정!$B$11),"포함","기간 밖"))</f>
        <v/>
      </c>
      <c r="BB468" s="2">
        <f>IF($AS468="","",IF(OR($AT468&lt;0,AND($I$6&lt;&gt;"",ISNUMBER(FIND("수정",INDEX($A:$AP,ROW(),IF($I$6="",1,$I$6))&amp;"")))),"수정","일반"))</f>
        <v/>
      </c>
      <c r="BC468" s="2">
        <f>IF($AS468="","",MID(IF($BA468="기간 밖"," / 기간 밖(신고기간 아님)","")&amp;IF(AND($AW468&lt;&gt;"",COUNTIF($AW$8:$AW$1007,$AW468)&gt;1)," / 승인번호 중복(두 번 붙여넣기?)","")&amp;IF(ABS($AU468-ROUND($AT468*0.1,0))&gt;설정!$B$8,IF($AU468=0," / 세액 0원(영세율·면세 여부 확인)"," / 세액이 공급가액 10%와 다름"),"")&amp;IF($BB468="수정"," / 수정세금계산서(합계에서 자동 가감)",""),4,200))</f>
        <v/>
      </c>
      <c r="BD468" s="2">
        <f>IF($BA468&lt;&gt;"포함","",IF(COUNTIFS($AX$8:$AX468,$AX468,$BA$8:$BA468,"포함")=1,MAX($BD$7:BD467)+1,""))</f>
        <v/>
      </c>
      <c r="BE468" s="2">
        <f>IF($BC468="","",MAX($BE$7:BE467)+1)</f>
        <v/>
      </c>
    </row>
    <row r="469">
      <c r="AR469" s="2">
        <f>IF(OR($A$5="",$B$6="",ROW()&lt;$A$5),"",IF(INDEX($A:$AP,ROW(),$B$6)="","",INDEX($A:$AP,ROW(),$B$6)))</f>
        <v/>
      </c>
      <c r="AS469" s="22">
        <f>IF($AR469="","",IF(ISNUMBER($AR469),IF($AR469&gt;=10000000,IFERROR(DATE(INT($AR469/10000),MOD(INT($AR469/100),100),MOD($AR469,100)),""),INT($AR469)),IFERROR(DATE(--LEFT(LEFT(SUBSTITUTE(SUBSTITUTE(SUBSTITUTE(SUBSTITUTE(TRIM($AR469),"-",""),".",""),"/","")," ",""),8),4),--MID(LEFT(SUBSTITUTE(SUBSTITUTE(SUBSTITUTE(SUBSTITUTE(TRIM($AR469),"-",""),".",""),"/","")," ",""),8),5,2),--MID(LEFT(SUBSTITUTE(SUBSTITUTE(SUBSTITUTE(SUBSTITUTE(TRIM($AR469),"-",""),".",""),"/","")," ",""),8),7,2)),"")))</f>
        <v/>
      </c>
      <c r="AT469" s="23">
        <f>IF($AS469="","",IF($F$6="",0,IF(ISNUMBER(INDEX($A:$AP,ROW(),$F$6)),INDEX($A:$AP,ROW(),$F$6),IFERROR(--SUBSTITUTE(SUBSTITUTE(TRIM(INDEX($A:$AP,ROW(),$F$6)),",",""),"원",""),0))))</f>
        <v/>
      </c>
      <c r="AU469" s="23">
        <f>IF($AS469="","",IF($G$6="",0,IF(ISNUMBER(INDEX($A:$AP,ROW(),$G$6)),INDEX($A:$AP,ROW(),$G$6),IFERROR(--SUBSTITUTE(SUBSTITUTE(TRIM(INDEX($A:$AP,ROW(),$G$6)),",",""),"원",""),0))))</f>
        <v/>
      </c>
      <c r="AV469" s="23">
        <f>IF($AS469="","",IF($H$6="",$AT469+$AU469,IF($H$6="",0,IF(ISNUMBER(INDEX($A:$AP,ROW(),$H$6)),INDEX($A:$AP,ROW(),$H$6),IFERROR(--SUBSTITUTE(SUBSTITUTE(TRIM(INDEX($A:$AP,ROW(),$H$6)),",",""),"원",""),0)))))</f>
        <v/>
      </c>
      <c r="AW469" s="2">
        <f>IF(OR($AS469="",$C$6=""),"",TRIM(INDEX($A:$AP,ROW(),$C$6)&amp;""))</f>
        <v/>
      </c>
      <c r="AX469" s="2">
        <f>IF($AS469="","",IF($AZ469&lt;&gt;"",SUBSTITUTE(SUBSTITUTE($AZ469,"-","")," ",""),$AY469))</f>
        <v/>
      </c>
      <c r="AY469" s="2">
        <f>IF(OR($AS469="",$E$6=""),"",TRIM(INDEX($A:$AP,ROW(),$E$6)&amp;""))</f>
        <v/>
      </c>
      <c r="AZ469" s="2">
        <f>IF(OR($AS469="",$D$6=""),"",TRIM(INDEX($A:$AP,ROW(),$D$6)&amp;""))</f>
        <v/>
      </c>
      <c r="BA469" s="2">
        <f>IF($AS469="","",IF(AND($AS469&gt;=설정!$B$10,$AS469&lt;=설정!$B$11),"포함","기간 밖"))</f>
        <v/>
      </c>
      <c r="BB469" s="2">
        <f>IF($AS469="","",IF(OR($AT469&lt;0,AND($I$6&lt;&gt;"",ISNUMBER(FIND("수정",INDEX($A:$AP,ROW(),IF($I$6="",1,$I$6))&amp;"")))),"수정","일반"))</f>
        <v/>
      </c>
      <c r="BC469" s="2">
        <f>IF($AS469="","",MID(IF($BA469="기간 밖"," / 기간 밖(신고기간 아님)","")&amp;IF(AND($AW469&lt;&gt;"",COUNTIF($AW$8:$AW$1007,$AW469)&gt;1)," / 승인번호 중복(두 번 붙여넣기?)","")&amp;IF(ABS($AU469-ROUND($AT469*0.1,0))&gt;설정!$B$8,IF($AU469=0," / 세액 0원(영세율·면세 여부 확인)"," / 세액이 공급가액 10%와 다름"),"")&amp;IF($BB469="수정"," / 수정세금계산서(합계에서 자동 가감)",""),4,200))</f>
        <v/>
      </c>
      <c r="BD469" s="2">
        <f>IF($BA469&lt;&gt;"포함","",IF(COUNTIFS($AX$8:$AX469,$AX469,$BA$8:$BA469,"포함")=1,MAX($BD$7:BD468)+1,""))</f>
        <v/>
      </c>
      <c r="BE469" s="2">
        <f>IF($BC469="","",MAX($BE$7:BE468)+1)</f>
        <v/>
      </c>
    </row>
    <row r="470">
      <c r="AR470" s="2">
        <f>IF(OR($A$5="",$B$6="",ROW()&lt;$A$5),"",IF(INDEX($A:$AP,ROW(),$B$6)="","",INDEX($A:$AP,ROW(),$B$6)))</f>
        <v/>
      </c>
      <c r="AS470" s="22">
        <f>IF($AR470="","",IF(ISNUMBER($AR470),IF($AR470&gt;=10000000,IFERROR(DATE(INT($AR470/10000),MOD(INT($AR470/100),100),MOD($AR470,100)),""),INT($AR470)),IFERROR(DATE(--LEFT(LEFT(SUBSTITUTE(SUBSTITUTE(SUBSTITUTE(SUBSTITUTE(TRIM($AR470),"-",""),".",""),"/","")," ",""),8),4),--MID(LEFT(SUBSTITUTE(SUBSTITUTE(SUBSTITUTE(SUBSTITUTE(TRIM($AR470),"-",""),".",""),"/","")," ",""),8),5,2),--MID(LEFT(SUBSTITUTE(SUBSTITUTE(SUBSTITUTE(SUBSTITUTE(TRIM($AR470),"-",""),".",""),"/","")," ",""),8),7,2)),"")))</f>
        <v/>
      </c>
      <c r="AT470" s="23">
        <f>IF($AS470="","",IF($F$6="",0,IF(ISNUMBER(INDEX($A:$AP,ROW(),$F$6)),INDEX($A:$AP,ROW(),$F$6),IFERROR(--SUBSTITUTE(SUBSTITUTE(TRIM(INDEX($A:$AP,ROW(),$F$6)),",",""),"원",""),0))))</f>
        <v/>
      </c>
      <c r="AU470" s="23">
        <f>IF($AS470="","",IF($G$6="",0,IF(ISNUMBER(INDEX($A:$AP,ROW(),$G$6)),INDEX($A:$AP,ROW(),$G$6),IFERROR(--SUBSTITUTE(SUBSTITUTE(TRIM(INDEX($A:$AP,ROW(),$G$6)),",",""),"원",""),0))))</f>
        <v/>
      </c>
      <c r="AV470" s="23">
        <f>IF($AS470="","",IF($H$6="",$AT470+$AU470,IF($H$6="",0,IF(ISNUMBER(INDEX($A:$AP,ROW(),$H$6)),INDEX($A:$AP,ROW(),$H$6),IFERROR(--SUBSTITUTE(SUBSTITUTE(TRIM(INDEX($A:$AP,ROW(),$H$6)),",",""),"원",""),0)))))</f>
        <v/>
      </c>
      <c r="AW470" s="2">
        <f>IF(OR($AS470="",$C$6=""),"",TRIM(INDEX($A:$AP,ROW(),$C$6)&amp;""))</f>
        <v/>
      </c>
      <c r="AX470" s="2">
        <f>IF($AS470="","",IF($AZ470&lt;&gt;"",SUBSTITUTE(SUBSTITUTE($AZ470,"-","")," ",""),$AY470))</f>
        <v/>
      </c>
      <c r="AY470" s="2">
        <f>IF(OR($AS470="",$E$6=""),"",TRIM(INDEX($A:$AP,ROW(),$E$6)&amp;""))</f>
        <v/>
      </c>
      <c r="AZ470" s="2">
        <f>IF(OR($AS470="",$D$6=""),"",TRIM(INDEX($A:$AP,ROW(),$D$6)&amp;""))</f>
        <v/>
      </c>
      <c r="BA470" s="2">
        <f>IF($AS470="","",IF(AND($AS470&gt;=설정!$B$10,$AS470&lt;=설정!$B$11),"포함","기간 밖"))</f>
        <v/>
      </c>
      <c r="BB470" s="2">
        <f>IF($AS470="","",IF(OR($AT470&lt;0,AND($I$6&lt;&gt;"",ISNUMBER(FIND("수정",INDEX($A:$AP,ROW(),IF($I$6="",1,$I$6))&amp;"")))),"수정","일반"))</f>
        <v/>
      </c>
      <c r="BC470" s="2">
        <f>IF($AS470="","",MID(IF($BA470="기간 밖"," / 기간 밖(신고기간 아님)","")&amp;IF(AND($AW470&lt;&gt;"",COUNTIF($AW$8:$AW$1007,$AW470)&gt;1)," / 승인번호 중복(두 번 붙여넣기?)","")&amp;IF(ABS($AU470-ROUND($AT470*0.1,0))&gt;설정!$B$8,IF($AU470=0," / 세액 0원(영세율·면세 여부 확인)"," / 세액이 공급가액 10%와 다름"),"")&amp;IF($BB470="수정"," / 수정세금계산서(합계에서 자동 가감)",""),4,200))</f>
        <v/>
      </c>
      <c r="BD470" s="2">
        <f>IF($BA470&lt;&gt;"포함","",IF(COUNTIFS($AX$8:$AX470,$AX470,$BA$8:$BA470,"포함")=1,MAX($BD$7:BD469)+1,""))</f>
        <v/>
      </c>
      <c r="BE470" s="2">
        <f>IF($BC470="","",MAX($BE$7:BE469)+1)</f>
        <v/>
      </c>
    </row>
    <row r="471">
      <c r="AR471" s="2">
        <f>IF(OR($A$5="",$B$6="",ROW()&lt;$A$5),"",IF(INDEX($A:$AP,ROW(),$B$6)="","",INDEX($A:$AP,ROW(),$B$6)))</f>
        <v/>
      </c>
      <c r="AS471" s="22">
        <f>IF($AR471="","",IF(ISNUMBER($AR471),IF($AR471&gt;=10000000,IFERROR(DATE(INT($AR471/10000),MOD(INT($AR471/100),100),MOD($AR471,100)),""),INT($AR471)),IFERROR(DATE(--LEFT(LEFT(SUBSTITUTE(SUBSTITUTE(SUBSTITUTE(SUBSTITUTE(TRIM($AR471),"-",""),".",""),"/","")," ",""),8),4),--MID(LEFT(SUBSTITUTE(SUBSTITUTE(SUBSTITUTE(SUBSTITUTE(TRIM($AR471),"-",""),".",""),"/","")," ",""),8),5,2),--MID(LEFT(SUBSTITUTE(SUBSTITUTE(SUBSTITUTE(SUBSTITUTE(TRIM($AR471),"-",""),".",""),"/","")," ",""),8),7,2)),"")))</f>
        <v/>
      </c>
      <c r="AT471" s="23">
        <f>IF($AS471="","",IF($F$6="",0,IF(ISNUMBER(INDEX($A:$AP,ROW(),$F$6)),INDEX($A:$AP,ROW(),$F$6),IFERROR(--SUBSTITUTE(SUBSTITUTE(TRIM(INDEX($A:$AP,ROW(),$F$6)),",",""),"원",""),0))))</f>
        <v/>
      </c>
      <c r="AU471" s="23">
        <f>IF($AS471="","",IF($G$6="",0,IF(ISNUMBER(INDEX($A:$AP,ROW(),$G$6)),INDEX($A:$AP,ROW(),$G$6),IFERROR(--SUBSTITUTE(SUBSTITUTE(TRIM(INDEX($A:$AP,ROW(),$G$6)),",",""),"원",""),0))))</f>
        <v/>
      </c>
      <c r="AV471" s="23">
        <f>IF($AS471="","",IF($H$6="",$AT471+$AU471,IF($H$6="",0,IF(ISNUMBER(INDEX($A:$AP,ROW(),$H$6)),INDEX($A:$AP,ROW(),$H$6),IFERROR(--SUBSTITUTE(SUBSTITUTE(TRIM(INDEX($A:$AP,ROW(),$H$6)),",",""),"원",""),0)))))</f>
        <v/>
      </c>
      <c r="AW471" s="2">
        <f>IF(OR($AS471="",$C$6=""),"",TRIM(INDEX($A:$AP,ROW(),$C$6)&amp;""))</f>
        <v/>
      </c>
      <c r="AX471" s="2">
        <f>IF($AS471="","",IF($AZ471&lt;&gt;"",SUBSTITUTE(SUBSTITUTE($AZ471,"-","")," ",""),$AY471))</f>
        <v/>
      </c>
      <c r="AY471" s="2">
        <f>IF(OR($AS471="",$E$6=""),"",TRIM(INDEX($A:$AP,ROW(),$E$6)&amp;""))</f>
        <v/>
      </c>
      <c r="AZ471" s="2">
        <f>IF(OR($AS471="",$D$6=""),"",TRIM(INDEX($A:$AP,ROW(),$D$6)&amp;""))</f>
        <v/>
      </c>
      <c r="BA471" s="2">
        <f>IF($AS471="","",IF(AND($AS471&gt;=설정!$B$10,$AS471&lt;=설정!$B$11),"포함","기간 밖"))</f>
        <v/>
      </c>
      <c r="BB471" s="2">
        <f>IF($AS471="","",IF(OR($AT471&lt;0,AND($I$6&lt;&gt;"",ISNUMBER(FIND("수정",INDEX($A:$AP,ROW(),IF($I$6="",1,$I$6))&amp;"")))),"수정","일반"))</f>
        <v/>
      </c>
      <c r="BC471" s="2">
        <f>IF($AS471="","",MID(IF($BA471="기간 밖"," / 기간 밖(신고기간 아님)","")&amp;IF(AND($AW471&lt;&gt;"",COUNTIF($AW$8:$AW$1007,$AW471)&gt;1)," / 승인번호 중복(두 번 붙여넣기?)","")&amp;IF(ABS($AU471-ROUND($AT471*0.1,0))&gt;설정!$B$8,IF($AU471=0," / 세액 0원(영세율·면세 여부 확인)"," / 세액이 공급가액 10%와 다름"),"")&amp;IF($BB471="수정"," / 수정세금계산서(합계에서 자동 가감)",""),4,200))</f>
        <v/>
      </c>
      <c r="BD471" s="2">
        <f>IF($BA471&lt;&gt;"포함","",IF(COUNTIFS($AX$8:$AX471,$AX471,$BA$8:$BA471,"포함")=1,MAX($BD$7:BD470)+1,""))</f>
        <v/>
      </c>
      <c r="BE471" s="2">
        <f>IF($BC471="","",MAX($BE$7:BE470)+1)</f>
        <v/>
      </c>
    </row>
    <row r="472">
      <c r="AR472" s="2">
        <f>IF(OR($A$5="",$B$6="",ROW()&lt;$A$5),"",IF(INDEX($A:$AP,ROW(),$B$6)="","",INDEX($A:$AP,ROW(),$B$6)))</f>
        <v/>
      </c>
      <c r="AS472" s="22">
        <f>IF($AR472="","",IF(ISNUMBER($AR472),IF($AR472&gt;=10000000,IFERROR(DATE(INT($AR472/10000),MOD(INT($AR472/100),100),MOD($AR472,100)),""),INT($AR472)),IFERROR(DATE(--LEFT(LEFT(SUBSTITUTE(SUBSTITUTE(SUBSTITUTE(SUBSTITUTE(TRIM($AR472),"-",""),".",""),"/","")," ",""),8),4),--MID(LEFT(SUBSTITUTE(SUBSTITUTE(SUBSTITUTE(SUBSTITUTE(TRIM($AR472),"-",""),".",""),"/","")," ",""),8),5,2),--MID(LEFT(SUBSTITUTE(SUBSTITUTE(SUBSTITUTE(SUBSTITUTE(TRIM($AR472),"-",""),".",""),"/","")," ",""),8),7,2)),"")))</f>
        <v/>
      </c>
      <c r="AT472" s="23">
        <f>IF($AS472="","",IF($F$6="",0,IF(ISNUMBER(INDEX($A:$AP,ROW(),$F$6)),INDEX($A:$AP,ROW(),$F$6),IFERROR(--SUBSTITUTE(SUBSTITUTE(TRIM(INDEX($A:$AP,ROW(),$F$6)),",",""),"원",""),0))))</f>
        <v/>
      </c>
      <c r="AU472" s="23">
        <f>IF($AS472="","",IF($G$6="",0,IF(ISNUMBER(INDEX($A:$AP,ROW(),$G$6)),INDEX($A:$AP,ROW(),$G$6),IFERROR(--SUBSTITUTE(SUBSTITUTE(TRIM(INDEX($A:$AP,ROW(),$G$6)),",",""),"원",""),0))))</f>
        <v/>
      </c>
      <c r="AV472" s="23">
        <f>IF($AS472="","",IF($H$6="",$AT472+$AU472,IF($H$6="",0,IF(ISNUMBER(INDEX($A:$AP,ROW(),$H$6)),INDEX($A:$AP,ROW(),$H$6),IFERROR(--SUBSTITUTE(SUBSTITUTE(TRIM(INDEX($A:$AP,ROW(),$H$6)),",",""),"원",""),0)))))</f>
        <v/>
      </c>
      <c r="AW472" s="2">
        <f>IF(OR($AS472="",$C$6=""),"",TRIM(INDEX($A:$AP,ROW(),$C$6)&amp;""))</f>
        <v/>
      </c>
      <c r="AX472" s="2">
        <f>IF($AS472="","",IF($AZ472&lt;&gt;"",SUBSTITUTE(SUBSTITUTE($AZ472,"-","")," ",""),$AY472))</f>
        <v/>
      </c>
      <c r="AY472" s="2">
        <f>IF(OR($AS472="",$E$6=""),"",TRIM(INDEX($A:$AP,ROW(),$E$6)&amp;""))</f>
        <v/>
      </c>
      <c r="AZ472" s="2">
        <f>IF(OR($AS472="",$D$6=""),"",TRIM(INDEX($A:$AP,ROW(),$D$6)&amp;""))</f>
        <v/>
      </c>
      <c r="BA472" s="2">
        <f>IF($AS472="","",IF(AND($AS472&gt;=설정!$B$10,$AS472&lt;=설정!$B$11),"포함","기간 밖"))</f>
        <v/>
      </c>
      <c r="BB472" s="2">
        <f>IF($AS472="","",IF(OR($AT472&lt;0,AND($I$6&lt;&gt;"",ISNUMBER(FIND("수정",INDEX($A:$AP,ROW(),IF($I$6="",1,$I$6))&amp;"")))),"수정","일반"))</f>
        <v/>
      </c>
      <c r="BC472" s="2">
        <f>IF($AS472="","",MID(IF($BA472="기간 밖"," / 기간 밖(신고기간 아님)","")&amp;IF(AND($AW472&lt;&gt;"",COUNTIF($AW$8:$AW$1007,$AW472)&gt;1)," / 승인번호 중복(두 번 붙여넣기?)","")&amp;IF(ABS($AU472-ROUND($AT472*0.1,0))&gt;설정!$B$8,IF($AU472=0," / 세액 0원(영세율·면세 여부 확인)"," / 세액이 공급가액 10%와 다름"),"")&amp;IF($BB472="수정"," / 수정세금계산서(합계에서 자동 가감)",""),4,200))</f>
        <v/>
      </c>
      <c r="BD472" s="2">
        <f>IF($BA472&lt;&gt;"포함","",IF(COUNTIFS($AX$8:$AX472,$AX472,$BA$8:$BA472,"포함")=1,MAX($BD$7:BD471)+1,""))</f>
        <v/>
      </c>
      <c r="BE472" s="2">
        <f>IF($BC472="","",MAX($BE$7:BE471)+1)</f>
        <v/>
      </c>
    </row>
    <row r="473">
      <c r="AR473" s="2">
        <f>IF(OR($A$5="",$B$6="",ROW()&lt;$A$5),"",IF(INDEX($A:$AP,ROW(),$B$6)="","",INDEX($A:$AP,ROW(),$B$6)))</f>
        <v/>
      </c>
      <c r="AS473" s="22">
        <f>IF($AR473="","",IF(ISNUMBER($AR473),IF($AR473&gt;=10000000,IFERROR(DATE(INT($AR473/10000),MOD(INT($AR473/100),100),MOD($AR473,100)),""),INT($AR473)),IFERROR(DATE(--LEFT(LEFT(SUBSTITUTE(SUBSTITUTE(SUBSTITUTE(SUBSTITUTE(TRIM($AR473),"-",""),".",""),"/","")," ",""),8),4),--MID(LEFT(SUBSTITUTE(SUBSTITUTE(SUBSTITUTE(SUBSTITUTE(TRIM($AR473),"-",""),".",""),"/","")," ",""),8),5,2),--MID(LEFT(SUBSTITUTE(SUBSTITUTE(SUBSTITUTE(SUBSTITUTE(TRIM($AR473),"-",""),".",""),"/","")," ",""),8),7,2)),"")))</f>
        <v/>
      </c>
      <c r="AT473" s="23">
        <f>IF($AS473="","",IF($F$6="",0,IF(ISNUMBER(INDEX($A:$AP,ROW(),$F$6)),INDEX($A:$AP,ROW(),$F$6),IFERROR(--SUBSTITUTE(SUBSTITUTE(TRIM(INDEX($A:$AP,ROW(),$F$6)),",",""),"원",""),0))))</f>
        <v/>
      </c>
      <c r="AU473" s="23">
        <f>IF($AS473="","",IF($G$6="",0,IF(ISNUMBER(INDEX($A:$AP,ROW(),$G$6)),INDEX($A:$AP,ROW(),$G$6),IFERROR(--SUBSTITUTE(SUBSTITUTE(TRIM(INDEX($A:$AP,ROW(),$G$6)),",",""),"원",""),0))))</f>
        <v/>
      </c>
      <c r="AV473" s="23">
        <f>IF($AS473="","",IF($H$6="",$AT473+$AU473,IF($H$6="",0,IF(ISNUMBER(INDEX($A:$AP,ROW(),$H$6)),INDEX($A:$AP,ROW(),$H$6),IFERROR(--SUBSTITUTE(SUBSTITUTE(TRIM(INDEX($A:$AP,ROW(),$H$6)),",",""),"원",""),0)))))</f>
        <v/>
      </c>
      <c r="AW473" s="2">
        <f>IF(OR($AS473="",$C$6=""),"",TRIM(INDEX($A:$AP,ROW(),$C$6)&amp;""))</f>
        <v/>
      </c>
      <c r="AX473" s="2">
        <f>IF($AS473="","",IF($AZ473&lt;&gt;"",SUBSTITUTE(SUBSTITUTE($AZ473,"-","")," ",""),$AY473))</f>
        <v/>
      </c>
      <c r="AY473" s="2">
        <f>IF(OR($AS473="",$E$6=""),"",TRIM(INDEX($A:$AP,ROW(),$E$6)&amp;""))</f>
        <v/>
      </c>
      <c r="AZ473" s="2">
        <f>IF(OR($AS473="",$D$6=""),"",TRIM(INDEX($A:$AP,ROW(),$D$6)&amp;""))</f>
        <v/>
      </c>
      <c r="BA473" s="2">
        <f>IF($AS473="","",IF(AND($AS473&gt;=설정!$B$10,$AS473&lt;=설정!$B$11),"포함","기간 밖"))</f>
        <v/>
      </c>
      <c r="BB473" s="2">
        <f>IF($AS473="","",IF(OR($AT473&lt;0,AND($I$6&lt;&gt;"",ISNUMBER(FIND("수정",INDEX($A:$AP,ROW(),IF($I$6="",1,$I$6))&amp;"")))),"수정","일반"))</f>
        <v/>
      </c>
      <c r="BC473" s="2">
        <f>IF($AS473="","",MID(IF($BA473="기간 밖"," / 기간 밖(신고기간 아님)","")&amp;IF(AND($AW473&lt;&gt;"",COUNTIF($AW$8:$AW$1007,$AW473)&gt;1)," / 승인번호 중복(두 번 붙여넣기?)","")&amp;IF(ABS($AU473-ROUND($AT473*0.1,0))&gt;설정!$B$8,IF($AU473=0," / 세액 0원(영세율·면세 여부 확인)"," / 세액이 공급가액 10%와 다름"),"")&amp;IF($BB473="수정"," / 수정세금계산서(합계에서 자동 가감)",""),4,200))</f>
        <v/>
      </c>
      <c r="BD473" s="2">
        <f>IF($BA473&lt;&gt;"포함","",IF(COUNTIFS($AX$8:$AX473,$AX473,$BA$8:$BA473,"포함")=1,MAX($BD$7:BD472)+1,""))</f>
        <v/>
      </c>
      <c r="BE473" s="2">
        <f>IF($BC473="","",MAX($BE$7:BE472)+1)</f>
        <v/>
      </c>
    </row>
    <row r="474">
      <c r="AR474" s="2">
        <f>IF(OR($A$5="",$B$6="",ROW()&lt;$A$5),"",IF(INDEX($A:$AP,ROW(),$B$6)="","",INDEX($A:$AP,ROW(),$B$6)))</f>
        <v/>
      </c>
      <c r="AS474" s="22">
        <f>IF($AR474="","",IF(ISNUMBER($AR474),IF($AR474&gt;=10000000,IFERROR(DATE(INT($AR474/10000),MOD(INT($AR474/100),100),MOD($AR474,100)),""),INT($AR474)),IFERROR(DATE(--LEFT(LEFT(SUBSTITUTE(SUBSTITUTE(SUBSTITUTE(SUBSTITUTE(TRIM($AR474),"-",""),".",""),"/","")," ",""),8),4),--MID(LEFT(SUBSTITUTE(SUBSTITUTE(SUBSTITUTE(SUBSTITUTE(TRIM($AR474),"-",""),".",""),"/","")," ",""),8),5,2),--MID(LEFT(SUBSTITUTE(SUBSTITUTE(SUBSTITUTE(SUBSTITUTE(TRIM($AR474),"-",""),".",""),"/","")," ",""),8),7,2)),"")))</f>
        <v/>
      </c>
      <c r="AT474" s="23">
        <f>IF($AS474="","",IF($F$6="",0,IF(ISNUMBER(INDEX($A:$AP,ROW(),$F$6)),INDEX($A:$AP,ROW(),$F$6),IFERROR(--SUBSTITUTE(SUBSTITUTE(TRIM(INDEX($A:$AP,ROW(),$F$6)),",",""),"원",""),0))))</f>
        <v/>
      </c>
      <c r="AU474" s="23">
        <f>IF($AS474="","",IF($G$6="",0,IF(ISNUMBER(INDEX($A:$AP,ROW(),$G$6)),INDEX($A:$AP,ROW(),$G$6),IFERROR(--SUBSTITUTE(SUBSTITUTE(TRIM(INDEX($A:$AP,ROW(),$G$6)),",",""),"원",""),0))))</f>
        <v/>
      </c>
      <c r="AV474" s="23">
        <f>IF($AS474="","",IF($H$6="",$AT474+$AU474,IF($H$6="",0,IF(ISNUMBER(INDEX($A:$AP,ROW(),$H$6)),INDEX($A:$AP,ROW(),$H$6),IFERROR(--SUBSTITUTE(SUBSTITUTE(TRIM(INDEX($A:$AP,ROW(),$H$6)),",",""),"원",""),0)))))</f>
        <v/>
      </c>
      <c r="AW474" s="2">
        <f>IF(OR($AS474="",$C$6=""),"",TRIM(INDEX($A:$AP,ROW(),$C$6)&amp;""))</f>
        <v/>
      </c>
      <c r="AX474" s="2">
        <f>IF($AS474="","",IF($AZ474&lt;&gt;"",SUBSTITUTE(SUBSTITUTE($AZ474,"-","")," ",""),$AY474))</f>
        <v/>
      </c>
      <c r="AY474" s="2">
        <f>IF(OR($AS474="",$E$6=""),"",TRIM(INDEX($A:$AP,ROW(),$E$6)&amp;""))</f>
        <v/>
      </c>
      <c r="AZ474" s="2">
        <f>IF(OR($AS474="",$D$6=""),"",TRIM(INDEX($A:$AP,ROW(),$D$6)&amp;""))</f>
        <v/>
      </c>
      <c r="BA474" s="2">
        <f>IF($AS474="","",IF(AND($AS474&gt;=설정!$B$10,$AS474&lt;=설정!$B$11),"포함","기간 밖"))</f>
        <v/>
      </c>
      <c r="BB474" s="2">
        <f>IF($AS474="","",IF(OR($AT474&lt;0,AND($I$6&lt;&gt;"",ISNUMBER(FIND("수정",INDEX($A:$AP,ROW(),IF($I$6="",1,$I$6))&amp;"")))),"수정","일반"))</f>
        <v/>
      </c>
      <c r="BC474" s="2">
        <f>IF($AS474="","",MID(IF($BA474="기간 밖"," / 기간 밖(신고기간 아님)","")&amp;IF(AND($AW474&lt;&gt;"",COUNTIF($AW$8:$AW$1007,$AW474)&gt;1)," / 승인번호 중복(두 번 붙여넣기?)","")&amp;IF(ABS($AU474-ROUND($AT474*0.1,0))&gt;설정!$B$8,IF($AU474=0," / 세액 0원(영세율·면세 여부 확인)"," / 세액이 공급가액 10%와 다름"),"")&amp;IF($BB474="수정"," / 수정세금계산서(합계에서 자동 가감)",""),4,200))</f>
        <v/>
      </c>
      <c r="BD474" s="2">
        <f>IF($BA474&lt;&gt;"포함","",IF(COUNTIFS($AX$8:$AX474,$AX474,$BA$8:$BA474,"포함")=1,MAX($BD$7:BD473)+1,""))</f>
        <v/>
      </c>
      <c r="BE474" s="2">
        <f>IF($BC474="","",MAX($BE$7:BE473)+1)</f>
        <v/>
      </c>
    </row>
    <row r="475">
      <c r="AR475" s="2">
        <f>IF(OR($A$5="",$B$6="",ROW()&lt;$A$5),"",IF(INDEX($A:$AP,ROW(),$B$6)="","",INDEX($A:$AP,ROW(),$B$6)))</f>
        <v/>
      </c>
      <c r="AS475" s="22">
        <f>IF($AR475="","",IF(ISNUMBER($AR475),IF($AR475&gt;=10000000,IFERROR(DATE(INT($AR475/10000),MOD(INT($AR475/100),100),MOD($AR475,100)),""),INT($AR475)),IFERROR(DATE(--LEFT(LEFT(SUBSTITUTE(SUBSTITUTE(SUBSTITUTE(SUBSTITUTE(TRIM($AR475),"-",""),".",""),"/","")," ",""),8),4),--MID(LEFT(SUBSTITUTE(SUBSTITUTE(SUBSTITUTE(SUBSTITUTE(TRIM($AR475),"-",""),".",""),"/","")," ",""),8),5,2),--MID(LEFT(SUBSTITUTE(SUBSTITUTE(SUBSTITUTE(SUBSTITUTE(TRIM($AR475),"-",""),".",""),"/","")," ",""),8),7,2)),"")))</f>
        <v/>
      </c>
      <c r="AT475" s="23">
        <f>IF($AS475="","",IF($F$6="",0,IF(ISNUMBER(INDEX($A:$AP,ROW(),$F$6)),INDEX($A:$AP,ROW(),$F$6),IFERROR(--SUBSTITUTE(SUBSTITUTE(TRIM(INDEX($A:$AP,ROW(),$F$6)),",",""),"원",""),0))))</f>
        <v/>
      </c>
      <c r="AU475" s="23">
        <f>IF($AS475="","",IF($G$6="",0,IF(ISNUMBER(INDEX($A:$AP,ROW(),$G$6)),INDEX($A:$AP,ROW(),$G$6),IFERROR(--SUBSTITUTE(SUBSTITUTE(TRIM(INDEX($A:$AP,ROW(),$G$6)),",",""),"원",""),0))))</f>
        <v/>
      </c>
      <c r="AV475" s="23">
        <f>IF($AS475="","",IF($H$6="",$AT475+$AU475,IF($H$6="",0,IF(ISNUMBER(INDEX($A:$AP,ROW(),$H$6)),INDEX($A:$AP,ROW(),$H$6),IFERROR(--SUBSTITUTE(SUBSTITUTE(TRIM(INDEX($A:$AP,ROW(),$H$6)),",",""),"원",""),0)))))</f>
        <v/>
      </c>
      <c r="AW475" s="2">
        <f>IF(OR($AS475="",$C$6=""),"",TRIM(INDEX($A:$AP,ROW(),$C$6)&amp;""))</f>
        <v/>
      </c>
      <c r="AX475" s="2">
        <f>IF($AS475="","",IF($AZ475&lt;&gt;"",SUBSTITUTE(SUBSTITUTE($AZ475,"-","")," ",""),$AY475))</f>
        <v/>
      </c>
      <c r="AY475" s="2">
        <f>IF(OR($AS475="",$E$6=""),"",TRIM(INDEX($A:$AP,ROW(),$E$6)&amp;""))</f>
        <v/>
      </c>
      <c r="AZ475" s="2">
        <f>IF(OR($AS475="",$D$6=""),"",TRIM(INDEX($A:$AP,ROW(),$D$6)&amp;""))</f>
        <v/>
      </c>
      <c r="BA475" s="2">
        <f>IF($AS475="","",IF(AND($AS475&gt;=설정!$B$10,$AS475&lt;=설정!$B$11),"포함","기간 밖"))</f>
        <v/>
      </c>
      <c r="BB475" s="2">
        <f>IF($AS475="","",IF(OR($AT475&lt;0,AND($I$6&lt;&gt;"",ISNUMBER(FIND("수정",INDEX($A:$AP,ROW(),IF($I$6="",1,$I$6))&amp;"")))),"수정","일반"))</f>
        <v/>
      </c>
      <c r="BC475" s="2">
        <f>IF($AS475="","",MID(IF($BA475="기간 밖"," / 기간 밖(신고기간 아님)","")&amp;IF(AND($AW475&lt;&gt;"",COUNTIF($AW$8:$AW$1007,$AW475)&gt;1)," / 승인번호 중복(두 번 붙여넣기?)","")&amp;IF(ABS($AU475-ROUND($AT475*0.1,0))&gt;설정!$B$8,IF($AU475=0," / 세액 0원(영세율·면세 여부 확인)"," / 세액이 공급가액 10%와 다름"),"")&amp;IF($BB475="수정"," / 수정세금계산서(합계에서 자동 가감)",""),4,200))</f>
        <v/>
      </c>
      <c r="BD475" s="2">
        <f>IF($BA475&lt;&gt;"포함","",IF(COUNTIFS($AX$8:$AX475,$AX475,$BA$8:$BA475,"포함")=1,MAX($BD$7:BD474)+1,""))</f>
        <v/>
      </c>
      <c r="BE475" s="2">
        <f>IF($BC475="","",MAX($BE$7:BE474)+1)</f>
        <v/>
      </c>
    </row>
    <row r="476">
      <c r="AR476" s="2">
        <f>IF(OR($A$5="",$B$6="",ROW()&lt;$A$5),"",IF(INDEX($A:$AP,ROW(),$B$6)="","",INDEX($A:$AP,ROW(),$B$6)))</f>
        <v/>
      </c>
      <c r="AS476" s="22">
        <f>IF($AR476="","",IF(ISNUMBER($AR476),IF($AR476&gt;=10000000,IFERROR(DATE(INT($AR476/10000),MOD(INT($AR476/100),100),MOD($AR476,100)),""),INT($AR476)),IFERROR(DATE(--LEFT(LEFT(SUBSTITUTE(SUBSTITUTE(SUBSTITUTE(SUBSTITUTE(TRIM($AR476),"-",""),".",""),"/","")," ",""),8),4),--MID(LEFT(SUBSTITUTE(SUBSTITUTE(SUBSTITUTE(SUBSTITUTE(TRIM($AR476),"-",""),".",""),"/","")," ",""),8),5,2),--MID(LEFT(SUBSTITUTE(SUBSTITUTE(SUBSTITUTE(SUBSTITUTE(TRIM($AR476),"-",""),".",""),"/","")," ",""),8),7,2)),"")))</f>
        <v/>
      </c>
      <c r="AT476" s="23">
        <f>IF($AS476="","",IF($F$6="",0,IF(ISNUMBER(INDEX($A:$AP,ROW(),$F$6)),INDEX($A:$AP,ROW(),$F$6),IFERROR(--SUBSTITUTE(SUBSTITUTE(TRIM(INDEX($A:$AP,ROW(),$F$6)),",",""),"원",""),0))))</f>
        <v/>
      </c>
      <c r="AU476" s="23">
        <f>IF($AS476="","",IF($G$6="",0,IF(ISNUMBER(INDEX($A:$AP,ROW(),$G$6)),INDEX($A:$AP,ROW(),$G$6),IFERROR(--SUBSTITUTE(SUBSTITUTE(TRIM(INDEX($A:$AP,ROW(),$G$6)),",",""),"원",""),0))))</f>
        <v/>
      </c>
      <c r="AV476" s="23">
        <f>IF($AS476="","",IF($H$6="",$AT476+$AU476,IF($H$6="",0,IF(ISNUMBER(INDEX($A:$AP,ROW(),$H$6)),INDEX($A:$AP,ROW(),$H$6),IFERROR(--SUBSTITUTE(SUBSTITUTE(TRIM(INDEX($A:$AP,ROW(),$H$6)),",",""),"원",""),0)))))</f>
        <v/>
      </c>
      <c r="AW476" s="2">
        <f>IF(OR($AS476="",$C$6=""),"",TRIM(INDEX($A:$AP,ROW(),$C$6)&amp;""))</f>
        <v/>
      </c>
      <c r="AX476" s="2">
        <f>IF($AS476="","",IF($AZ476&lt;&gt;"",SUBSTITUTE(SUBSTITUTE($AZ476,"-","")," ",""),$AY476))</f>
        <v/>
      </c>
      <c r="AY476" s="2">
        <f>IF(OR($AS476="",$E$6=""),"",TRIM(INDEX($A:$AP,ROW(),$E$6)&amp;""))</f>
        <v/>
      </c>
      <c r="AZ476" s="2">
        <f>IF(OR($AS476="",$D$6=""),"",TRIM(INDEX($A:$AP,ROW(),$D$6)&amp;""))</f>
        <v/>
      </c>
      <c r="BA476" s="2">
        <f>IF($AS476="","",IF(AND($AS476&gt;=설정!$B$10,$AS476&lt;=설정!$B$11),"포함","기간 밖"))</f>
        <v/>
      </c>
      <c r="BB476" s="2">
        <f>IF($AS476="","",IF(OR($AT476&lt;0,AND($I$6&lt;&gt;"",ISNUMBER(FIND("수정",INDEX($A:$AP,ROW(),IF($I$6="",1,$I$6))&amp;"")))),"수정","일반"))</f>
        <v/>
      </c>
      <c r="BC476" s="2">
        <f>IF($AS476="","",MID(IF($BA476="기간 밖"," / 기간 밖(신고기간 아님)","")&amp;IF(AND($AW476&lt;&gt;"",COUNTIF($AW$8:$AW$1007,$AW476)&gt;1)," / 승인번호 중복(두 번 붙여넣기?)","")&amp;IF(ABS($AU476-ROUND($AT476*0.1,0))&gt;설정!$B$8,IF($AU476=0," / 세액 0원(영세율·면세 여부 확인)"," / 세액이 공급가액 10%와 다름"),"")&amp;IF($BB476="수정"," / 수정세금계산서(합계에서 자동 가감)",""),4,200))</f>
        <v/>
      </c>
      <c r="BD476" s="2">
        <f>IF($BA476&lt;&gt;"포함","",IF(COUNTIFS($AX$8:$AX476,$AX476,$BA$8:$BA476,"포함")=1,MAX($BD$7:BD475)+1,""))</f>
        <v/>
      </c>
      <c r="BE476" s="2">
        <f>IF($BC476="","",MAX($BE$7:BE475)+1)</f>
        <v/>
      </c>
    </row>
    <row r="477">
      <c r="AR477" s="2">
        <f>IF(OR($A$5="",$B$6="",ROW()&lt;$A$5),"",IF(INDEX($A:$AP,ROW(),$B$6)="","",INDEX($A:$AP,ROW(),$B$6)))</f>
        <v/>
      </c>
      <c r="AS477" s="22">
        <f>IF($AR477="","",IF(ISNUMBER($AR477),IF($AR477&gt;=10000000,IFERROR(DATE(INT($AR477/10000),MOD(INT($AR477/100),100),MOD($AR477,100)),""),INT($AR477)),IFERROR(DATE(--LEFT(LEFT(SUBSTITUTE(SUBSTITUTE(SUBSTITUTE(SUBSTITUTE(TRIM($AR477),"-",""),".",""),"/","")," ",""),8),4),--MID(LEFT(SUBSTITUTE(SUBSTITUTE(SUBSTITUTE(SUBSTITUTE(TRIM($AR477),"-",""),".",""),"/","")," ",""),8),5,2),--MID(LEFT(SUBSTITUTE(SUBSTITUTE(SUBSTITUTE(SUBSTITUTE(TRIM($AR477),"-",""),".",""),"/","")," ",""),8),7,2)),"")))</f>
        <v/>
      </c>
      <c r="AT477" s="23">
        <f>IF($AS477="","",IF($F$6="",0,IF(ISNUMBER(INDEX($A:$AP,ROW(),$F$6)),INDEX($A:$AP,ROW(),$F$6),IFERROR(--SUBSTITUTE(SUBSTITUTE(TRIM(INDEX($A:$AP,ROW(),$F$6)),",",""),"원",""),0))))</f>
        <v/>
      </c>
      <c r="AU477" s="23">
        <f>IF($AS477="","",IF($G$6="",0,IF(ISNUMBER(INDEX($A:$AP,ROW(),$G$6)),INDEX($A:$AP,ROW(),$G$6),IFERROR(--SUBSTITUTE(SUBSTITUTE(TRIM(INDEX($A:$AP,ROW(),$G$6)),",",""),"원",""),0))))</f>
        <v/>
      </c>
      <c r="AV477" s="23">
        <f>IF($AS477="","",IF($H$6="",$AT477+$AU477,IF($H$6="",0,IF(ISNUMBER(INDEX($A:$AP,ROW(),$H$6)),INDEX($A:$AP,ROW(),$H$6),IFERROR(--SUBSTITUTE(SUBSTITUTE(TRIM(INDEX($A:$AP,ROW(),$H$6)),",",""),"원",""),0)))))</f>
        <v/>
      </c>
      <c r="AW477" s="2">
        <f>IF(OR($AS477="",$C$6=""),"",TRIM(INDEX($A:$AP,ROW(),$C$6)&amp;""))</f>
        <v/>
      </c>
      <c r="AX477" s="2">
        <f>IF($AS477="","",IF($AZ477&lt;&gt;"",SUBSTITUTE(SUBSTITUTE($AZ477,"-","")," ",""),$AY477))</f>
        <v/>
      </c>
      <c r="AY477" s="2">
        <f>IF(OR($AS477="",$E$6=""),"",TRIM(INDEX($A:$AP,ROW(),$E$6)&amp;""))</f>
        <v/>
      </c>
      <c r="AZ477" s="2">
        <f>IF(OR($AS477="",$D$6=""),"",TRIM(INDEX($A:$AP,ROW(),$D$6)&amp;""))</f>
        <v/>
      </c>
      <c r="BA477" s="2">
        <f>IF($AS477="","",IF(AND($AS477&gt;=설정!$B$10,$AS477&lt;=설정!$B$11),"포함","기간 밖"))</f>
        <v/>
      </c>
      <c r="BB477" s="2">
        <f>IF($AS477="","",IF(OR($AT477&lt;0,AND($I$6&lt;&gt;"",ISNUMBER(FIND("수정",INDEX($A:$AP,ROW(),IF($I$6="",1,$I$6))&amp;"")))),"수정","일반"))</f>
        <v/>
      </c>
      <c r="BC477" s="2">
        <f>IF($AS477="","",MID(IF($BA477="기간 밖"," / 기간 밖(신고기간 아님)","")&amp;IF(AND($AW477&lt;&gt;"",COUNTIF($AW$8:$AW$1007,$AW477)&gt;1)," / 승인번호 중복(두 번 붙여넣기?)","")&amp;IF(ABS($AU477-ROUND($AT477*0.1,0))&gt;설정!$B$8,IF($AU477=0," / 세액 0원(영세율·면세 여부 확인)"," / 세액이 공급가액 10%와 다름"),"")&amp;IF($BB477="수정"," / 수정세금계산서(합계에서 자동 가감)",""),4,200))</f>
        <v/>
      </c>
      <c r="BD477" s="2">
        <f>IF($BA477&lt;&gt;"포함","",IF(COUNTIFS($AX$8:$AX477,$AX477,$BA$8:$BA477,"포함")=1,MAX($BD$7:BD476)+1,""))</f>
        <v/>
      </c>
      <c r="BE477" s="2">
        <f>IF($BC477="","",MAX($BE$7:BE476)+1)</f>
        <v/>
      </c>
    </row>
    <row r="478">
      <c r="AR478" s="2">
        <f>IF(OR($A$5="",$B$6="",ROW()&lt;$A$5),"",IF(INDEX($A:$AP,ROW(),$B$6)="","",INDEX($A:$AP,ROW(),$B$6)))</f>
        <v/>
      </c>
      <c r="AS478" s="22">
        <f>IF($AR478="","",IF(ISNUMBER($AR478),IF($AR478&gt;=10000000,IFERROR(DATE(INT($AR478/10000),MOD(INT($AR478/100),100),MOD($AR478,100)),""),INT($AR478)),IFERROR(DATE(--LEFT(LEFT(SUBSTITUTE(SUBSTITUTE(SUBSTITUTE(SUBSTITUTE(TRIM($AR478),"-",""),".",""),"/","")," ",""),8),4),--MID(LEFT(SUBSTITUTE(SUBSTITUTE(SUBSTITUTE(SUBSTITUTE(TRIM($AR478),"-",""),".",""),"/","")," ",""),8),5,2),--MID(LEFT(SUBSTITUTE(SUBSTITUTE(SUBSTITUTE(SUBSTITUTE(TRIM($AR478),"-",""),".",""),"/","")," ",""),8),7,2)),"")))</f>
        <v/>
      </c>
      <c r="AT478" s="23">
        <f>IF($AS478="","",IF($F$6="",0,IF(ISNUMBER(INDEX($A:$AP,ROW(),$F$6)),INDEX($A:$AP,ROW(),$F$6),IFERROR(--SUBSTITUTE(SUBSTITUTE(TRIM(INDEX($A:$AP,ROW(),$F$6)),",",""),"원",""),0))))</f>
        <v/>
      </c>
      <c r="AU478" s="23">
        <f>IF($AS478="","",IF($G$6="",0,IF(ISNUMBER(INDEX($A:$AP,ROW(),$G$6)),INDEX($A:$AP,ROW(),$G$6),IFERROR(--SUBSTITUTE(SUBSTITUTE(TRIM(INDEX($A:$AP,ROW(),$G$6)),",",""),"원",""),0))))</f>
        <v/>
      </c>
      <c r="AV478" s="23">
        <f>IF($AS478="","",IF($H$6="",$AT478+$AU478,IF($H$6="",0,IF(ISNUMBER(INDEX($A:$AP,ROW(),$H$6)),INDEX($A:$AP,ROW(),$H$6),IFERROR(--SUBSTITUTE(SUBSTITUTE(TRIM(INDEX($A:$AP,ROW(),$H$6)),",",""),"원",""),0)))))</f>
        <v/>
      </c>
      <c r="AW478" s="2">
        <f>IF(OR($AS478="",$C$6=""),"",TRIM(INDEX($A:$AP,ROW(),$C$6)&amp;""))</f>
        <v/>
      </c>
      <c r="AX478" s="2">
        <f>IF($AS478="","",IF($AZ478&lt;&gt;"",SUBSTITUTE(SUBSTITUTE($AZ478,"-","")," ",""),$AY478))</f>
        <v/>
      </c>
      <c r="AY478" s="2">
        <f>IF(OR($AS478="",$E$6=""),"",TRIM(INDEX($A:$AP,ROW(),$E$6)&amp;""))</f>
        <v/>
      </c>
      <c r="AZ478" s="2">
        <f>IF(OR($AS478="",$D$6=""),"",TRIM(INDEX($A:$AP,ROW(),$D$6)&amp;""))</f>
        <v/>
      </c>
      <c r="BA478" s="2">
        <f>IF($AS478="","",IF(AND($AS478&gt;=설정!$B$10,$AS478&lt;=설정!$B$11),"포함","기간 밖"))</f>
        <v/>
      </c>
      <c r="BB478" s="2">
        <f>IF($AS478="","",IF(OR($AT478&lt;0,AND($I$6&lt;&gt;"",ISNUMBER(FIND("수정",INDEX($A:$AP,ROW(),IF($I$6="",1,$I$6))&amp;"")))),"수정","일반"))</f>
        <v/>
      </c>
      <c r="BC478" s="2">
        <f>IF($AS478="","",MID(IF($BA478="기간 밖"," / 기간 밖(신고기간 아님)","")&amp;IF(AND($AW478&lt;&gt;"",COUNTIF($AW$8:$AW$1007,$AW478)&gt;1)," / 승인번호 중복(두 번 붙여넣기?)","")&amp;IF(ABS($AU478-ROUND($AT478*0.1,0))&gt;설정!$B$8,IF($AU478=0," / 세액 0원(영세율·면세 여부 확인)"," / 세액이 공급가액 10%와 다름"),"")&amp;IF($BB478="수정"," / 수정세금계산서(합계에서 자동 가감)",""),4,200))</f>
        <v/>
      </c>
      <c r="BD478" s="2">
        <f>IF($BA478&lt;&gt;"포함","",IF(COUNTIFS($AX$8:$AX478,$AX478,$BA$8:$BA478,"포함")=1,MAX($BD$7:BD477)+1,""))</f>
        <v/>
      </c>
      <c r="BE478" s="2">
        <f>IF($BC478="","",MAX($BE$7:BE477)+1)</f>
        <v/>
      </c>
    </row>
    <row r="479">
      <c r="AR479" s="2">
        <f>IF(OR($A$5="",$B$6="",ROW()&lt;$A$5),"",IF(INDEX($A:$AP,ROW(),$B$6)="","",INDEX($A:$AP,ROW(),$B$6)))</f>
        <v/>
      </c>
      <c r="AS479" s="22">
        <f>IF($AR479="","",IF(ISNUMBER($AR479),IF($AR479&gt;=10000000,IFERROR(DATE(INT($AR479/10000),MOD(INT($AR479/100),100),MOD($AR479,100)),""),INT($AR479)),IFERROR(DATE(--LEFT(LEFT(SUBSTITUTE(SUBSTITUTE(SUBSTITUTE(SUBSTITUTE(TRIM($AR479),"-",""),".",""),"/","")," ",""),8),4),--MID(LEFT(SUBSTITUTE(SUBSTITUTE(SUBSTITUTE(SUBSTITUTE(TRIM($AR479),"-",""),".",""),"/","")," ",""),8),5,2),--MID(LEFT(SUBSTITUTE(SUBSTITUTE(SUBSTITUTE(SUBSTITUTE(TRIM($AR479),"-",""),".",""),"/","")," ",""),8),7,2)),"")))</f>
        <v/>
      </c>
      <c r="AT479" s="23">
        <f>IF($AS479="","",IF($F$6="",0,IF(ISNUMBER(INDEX($A:$AP,ROW(),$F$6)),INDEX($A:$AP,ROW(),$F$6),IFERROR(--SUBSTITUTE(SUBSTITUTE(TRIM(INDEX($A:$AP,ROW(),$F$6)),",",""),"원",""),0))))</f>
        <v/>
      </c>
      <c r="AU479" s="23">
        <f>IF($AS479="","",IF($G$6="",0,IF(ISNUMBER(INDEX($A:$AP,ROW(),$G$6)),INDEX($A:$AP,ROW(),$G$6),IFERROR(--SUBSTITUTE(SUBSTITUTE(TRIM(INDEX($A:$AP,ROW(),$G$6)),",",""),"원",""),0))))</f>
        <v/>
      </c>
      <c r="AV479" s="23">
        <f>IF($AS479="","",IF($H$6="",$AT479+$AU479,IF($H$6="",0,IF(ISNUMBER(INDEX($A:$AP,ROW(),$H$6)),INDEX($A:$AP,ROW(),$H$6),IFERROR(--SUBSTITUTE(SUBSTITUTE(TRIM(INDEX($A:$AP,ROW(),$H$6)),",",""),"원",""),0)))))</f>
        <v/>
      </c>
      <c r="AW479" s="2">
        <f>IF(OR($AS479="",$C$6=""),"",TRIM(INDEX($A:$AP,ROW(),$C$6)&amp;""))</f>
        <v/>
      </c>
      <c r="AX479" s="2">
        <f>IF($AS479="","",IF($AZ479&lt;&gt;"",SUBSTITUTE(SUBSTITUTE($AZ479,"-","")," ",""),$AY479))</f>
        <v/>
      </c>
      <c r="AY479" s="2">
        <f>IF(OR($AS479="",$E$6=""),"",TRIM(INDEX($A:$AP,ROW(),$E$6)&amp;""))</f>
        <v/>
      </c>
      <c r="AZ479" s="2">
        <f>IF(OR($AS479="",$D$6=""),"",TRIM(INDEX($A:$AP,ROW(),$D$6)&amp;""))</f>
        <v/>
      </c>
      <c r="BA479" s="2">
        <f>IF($AS479="","",IF(AND($AS479&gt;=설정!$B$10,$AS479&lt;=설정!$B$11),"포함","기간 밖"))</f>
        <v/>
      </c>
      <c r="BB479" s="2">
        <f>IF($AS479="","",IF(OR($AT479&lt;0,AND($I$6&lt;&gt;"",ISNUMBER(FIND("수정",INDEX($A:$AP,ROW(),IF($I$6="",1,$I$6))&amp;"")))),"수정","일반"))</f>
        <v/>
      </c>
      <c r="BC479" s="2">
        <f>IF($AS479="","",MID(IF($BA479="기간 밖"," / 기간 밖(신고기간 아님)","")&amp;IF(AND($AW479&lt;&gt;"",COUNTIF($AW$8:$AW$1007,$AW479)&gt;1)," / 승인번호 중복(두 번 붙여넣기?)","")&amp;IF(ABS($AU479-ROUND($AT479*0.1,0))&gt;설정!$B$8,IF($AU479=0," / 세액 0원(영세율·면세 여부 확인)"," / 세액이 공급가액 10%와 다름"),"")&amp;IF($BB479="수정"," / 수정세금계산서(합계에서 자동 가감)",""),4,200))</f>
        <v/>
      </c>
      <c r="BD479" s="2">
        <f>IF($BA479&lt;&gt;"포함","",IF(COUNTIFS($AX$8:$AX479,$AX479,$BA$8:$BA479,"포함")=1,MAX($BD$7:BD478)+1,""))</f>
        <v/>
      </c>
      <c r="BE479" s="2">
        <f>IF($BC479="","",MAX($BE$7:BE478)+1)</f>
        <v/>
      </c>
    </row>
    <row r="480">
      <c r="AR480" s="2">
        <f>IF(OR($A$5="",$B$6="",ROW()&lt;$A$5),"",IF(INDEX($A:$AP,ROW(),$B$6)="","",INDEX($A:$AP,ROW(),$B$6)))</f>
        <v/>
      </c>
      <c r="AS480" s="22">
        <f>IF($AR480="","",IF(ISNUMBER($AR480),IF($AR480&gt;=10000000,IFERROR(DATE(INT($AR480/10000),MOD(INT($AR480/100),100),MOD($AR480,100)),""),INT($AR480)),IFERROR(DATE(--LEFT(LEFT(SUBSTITUTE(SUBSTITUTE(SUBSTITUTE(SUBSTITUTE(TRIM($AR480),"-",""),".",""),"/","")," ",""),8),4),--MID(LEFT(SUBSTITUTE(SUBSTITUTE(SUBSTITUTE(SUBSTITUTE(TRIM($AR480),"-",""),".",""),"/","")," ",""),8),5,2),--MID(LEFT(SUBSTITUTE(SUBSTITUTE(SUBSTITUTE(SUBSTITUTE(TRIM($AR480),"-",""),".",""),"/","")," ",""),8),7,2)),"")))</f>
        <v/>
      </c>
      <c r="AT480" s="23">
        <f>IF($AS480="","",IF($F$6="",0,IF(ISNUMBER(INDEX($A:$AP,ROW(),$F$6)),INDEX($A:$AP,ROW(),$F$6),IFERROR(--SUBSTITUTE(SUBSTITUTE(TRIM(INDEX($A:$AP,ROW(),$F$6)),",",""),"원",""),0))))</f>
        <v/>
      </c>
      <c r="AU480" s="23">
        <f>IF($AS480="","",IF($G$6="",0,IF(ISNUMBER(INDEX($A:$AP,ROW(),$G$6)),INDEX($A:$AP,ROW(),$G$6),IFERROR(--SUBSTITUTE(SUBSTITUTE(TRIM(INDEX($A:$AP,ROW(),$G$6)),",",""),"원",""),0))))</f>
        <v/>
      </c>
      <c r="AV480" s="23">
        <f>IF($AS480="","",IF($H$6="",$AT480+$AU480,IF($H$6="",0,IF(ISNUMBER(INDEX($A:$AP,ROW(),$H$6)),INDEX($A:$AP,ROW(),$H$6),IFERROR(--SUBSTITUTE(SUBSTITUTE(TRIM(INDEX($A:$AP,ROW(),$H$6)),",",""),"원",""),0)))))</f>
        <v/>
      </c>
      <c r="AW480" s="2">
        <f>IF(OR($AS480="",$C$6=""),"",TRIM(INDEX($A:$AP,ROW(),$C$6)&amp;""))</f>
        <v/>
      </c>
      <c r="AX480" s="2">
        <f>IF($AS480="","",IF($AZ480&lt;&gt;"",SUBSTITUTE(SUBSTITUTE($AZ480,"-","")," ",""),$AY480))</f>
        <v/>
      </c>
      <c r="AY480" s="2">
        <f>IF(OR($AS480="",$E$6=""),"",TRIM(INDEX($A:$AP,ROW(),$E$6)&amp;""))</f>
        <v/>
      </c>
      <c r="AZ480" s="2">
        <f>IF(OR($AS480="",$D$6=""),"",TRIM(INDEX($A:$AP,ROW(),$D$6)&amp;""))</f>
        <v/>
      </c>
      <c r="BA480" s="2">
        <f>IF($AS480="","",IF(AND($AS480&gt;=설정!$B$10,$AS480&lt;=설정!$B$11),"포함","기간 밖"))</f>
        <v/>
      </c>
      <c r="BB480" s="2">
        <f>IF($AS480="","",IF(OR($AT480&lt;0,AND($I$6&lt;&gt;"",ISNUMBER(FIND("수정",INDEX($A:$AP,ROW(),IF($I$6="",1,$I$6))&amp;"")))),"수정","일반"))</f>
        <v/>
      </c>
      <c r="BC480" s="2">
        <f>IF($AS480="","",MID(IF($BA480="기간 밖"," / 기간 밖(신고기간 아님)","")&amp;IF(AND($AW480&lt;&gt;"",COUNTIF($AW$8:$AW$1007,$AW480)&gt;1)," / 승인번호 중복(두 번 붙여넣기?)","")&amp;IF(ABS($AU480-ROUND($AT480*0.1,0))&gt;설정!$B$8,IF($AU480=0," / 세액 0원(영세율·면세 여부 확인)"," / 세액이 공급가액 10%와 다름"),"")&amp;IF($BB480="수정"," / 수정세금계산서(합계에서 자동 가감)",""),4,200))</f>
        <v/>
      </c>
      <c r="BD480" s="2">
        <f>IF($BA480&lt;&gt;"포함","",IF(COUNTIFS($AX$8:$AX480,$AX480,$BA$8:$BA480,"포함")=1,MAX($BD$7:BD479)+1,""))</f>
        <v/>
      </c>
      <c r="BE480" s="2">
        <f>IF($BC480="","",MAX($BE$7:BE479)+1)</f>
        <v/>
      </c>
    </row>
    <row r="481">
      <c r="AR481" s="2">
        <f>IF(OR($A$5="",$B$6="",ROW()&lt;$A$5),"",IF(INDEX($A:$AP,ROW(),$B$6)="","",INDEX($A:$AP,ROW(),$B$6)))</f>
        <v/>
      </c>
      <c r="AS481" s="22">
        <f>IF($AR481="","",IF(ISNUMBER($AR481),IF($AR481&gt;=10000000,IFERROR(DATE(INT($AR481/10000),MOD(INT($AR481/100),100),MOD($AR481,100)),""),INT($AR481)),IFERROR(DATE(--LEFT(LEFT(SUBSTITUTE(SUBSTITUTE(SUBSTITUTE(SUBSTITUTE(TRIM($AR481),"-",""),".",""),"/","")," ",""),8),4),--MID(LEFT(SUBSTITUTE(SUBSTITUTE(SUBSTITUTE(SUBSTITUTE(TRIM($AR481),"-",""),".",""),"/","")," ",""),8),5,2),--MID(LEFT(SUBSTITUTE(SUBSTITUTE(SUBSTITUTE(SUBSTITUTE(TRIM($AR481),"-",""),".",""),"/","")," ",""),8),7,2)),"")))</f>
        <v/>
      </c>
      <c r="AT481" s="23">
        <f>IF($AS481="","",IF($F$6="",0,IF(ISNUMBER(INDEX($A:$AP,ROW(),$F$6)),INDEX($A:$AP,ROW(),$F$6),IFERROR(--SUBSTITUTE(SUBSTITUTE(TRIM(INDEX($A:$AP,ROW(),$F$6)),",",""),"원",""),0))))</f>
        <v/>
      </c>
      <c r="AU481" s="23">
        <f>IF($AS481="","",IF($G$6="",0,IF(ISNUMBER(INDEX($A:$AP,ROW(),$G$6)),INDEX($A:$AP,ROW(),$G$6),IFERROR(--SUBSTITUTE(SUBSTITUTE(TRIM(INDEX($A:$AP,ROW(),$G$6)),",",""),"원",""),0))))</f>
        <v/>
      </c>
      <c r="AV481" s="23">
        <f>IF($AS481="","",IF($H$6="",$AT481+$AU481,IF($H$6="",0,IF(ISNUMBER(INDEX($A:$AP,ROW(),$H$6)),INDEX($A:$AP,ROW(),$H$6),IFERROR(--SUBSTITUTE(SUBSTITUTE(TRIM(INDEX($A:$AP,ROW(),$H$6)),",",""),"원",""),0)))))</f>
        <v/>
      </c>
      <c r="AW481" s="2">
        <f>IF(OR($AS481="",$C$6=""),"",TRIM(INDEX($A:$AP,ROW(),$C$6)&amp;""))</f>
        <v/>
      </c>
      <c r="AX481" s="2">
        <f>IF($AS481="","",IF($AZ481&lt;&gt;"",SUBSTITUTE(SUBSTITUTE($AZ481,"-","")," ",""),$AY481))</f>
        <v/>
      </c>
      <c r="AY481" s="2">
        <f>IF(OR($AS481="",$E$6=""),"",TRIM(INDEX($A:$AP,ROW(),$E$6)&amp;""))</f>
        <v/>
      </c>
      <c r="AZ481" s="2">
        <f>IF(OR($AS481="",$D$6=""),"",TRIM(INDEX($A:$AP,ROW(),$D$6)&amp;""))</f>
        <v/>
      </c>
      <c r="BA481" s="2">
        <f>IF($AS481="","",IF(AND($AS481&gt;=설정!$B$10,$AS481&lt;=설정!$B$11),"포함","기간 밖"))</f>
        <v/>
      </c>
      <c r="BB481" s="2">
        <f>IF($AS481="","",IF(OR($AT481&lt;0,AND($I$6&lt;&gt;"",ISNUMBER(FIND("수정",INDEX($A:$AP,ROW(),IF($I$6="",1,$I$6))&amp;"")))),"수정","일반"))</f>
        <v/>
      </c>
      <c r="BC481" s="2">
        <f>IF($AS481="","",MID(IF($BA481="기간 밖"," / 기간 밖(신고기간 아님)","")&amp;IF(AND($AW481&lt;&gt;"",COUNTIF($AW$8:$AW$1007,$AW481)&gt;1)," / 승인번호 중복(두 번 붙여넣기?)","")&amp;IF(ABS($AU481-ROUND($AT481*0.1,0))&gt;설정!$B$8,IF($AU481=0," / 세액 0원(영세율·면세 여부 확인)"," / 세액이 공급가액 10%와 다름"),"")&amp;IF($BB481="수정"," / 수정세금계산서(합계에서 자동 가감)",""),4,200))</f>
        <v/>
      </c>
      <c r="BD481" s="2">
        <f>IF($BA481&lt;&gt;"포함","",IF(COUNTIFS($AX$8:$AX481,$AX481,$BA$8:$BA481,"포함")=1,MAX($BD$7:BD480)+1,""))</f>
        <v/>
      </c>
      <c r="BE481" s="2">
        <f>IF($BC481="","",MAX($BE$7:BE480)+1)</f>
        <v/>
      </c>
    </row>
    <row r="482">
      <c r="AR482" s="2">
        <f>IF(OR($A$5="",$B$6="",ROW()&lt;$A$5),"",IF(INDEX($A:$AP,ROW(),$B$6)="","",INDEX($A:$AP,ROW(),$B$6)))</f>
        <v/>
      </c>
      <c r="AS482" s="22">
        <f>IF($AR482="","",IF(ISNUMBER($AR482),IF($AR482&gt;=10000000,IFERROR(DATE(INT($AR482/10000),MOD(INT($AR482/100),100),MOD($AR482,100)),""),INT($AR482)),IFERROR(DATE(--LEFT(LEFT(SUBSTITUTE(SUBSTITUTE(SUBSTITUTE(SUBSTITUTE(TRIM($AR482),"-",""),".",""),"/","")," ",""),8),4),--MID(LEFT(SUBSTITUTE(SUBSTITUTE(SUBSTITUTE(SUBSTITUTE(TRIM($AR482),"-",""),".",""),"/","")," ",""),8),5,2),--MID(LEFT(SUBSTITUTE(SUBSTITUTE(SUBSTITUTE(SUBSTITUTE(TRIM($AR482),"-",""),".",""),"/","")," ",""),8),7,2)),"")))</f>
        <v/>
      </c>
      <c r="AT482" s="23">
        <f>IF($AS482="","",IF($F$6="",0,IF(ISNUMBER(INDEX($A:$AP,ROW(),$F$6)),INDEX($A:$AP,ROW(),$F$6),IFERROR(--SUBSTITUTE(SUBSTITUTE(TRIM(INDEX($A:$AP,ROW(),$F$6)),",",""),"원",""),0))))</f>
        <v/>
      </c>
      <c r="AU482" s="23">
        <f>IF($AS482="","",IF($G$6="",0,IF(ISNUMBER(INDEX($A:$AP,ROW(),$G$6)),INDEX($A:$AP,ROW(),$G$6),IFERROR(--SUBSTITUTE(SUBSTITUTE(TRIM(INDEX($A:$AP,ROW(),$G$6)),",",""),"원",""),0))))</f>
        <v/>
      </c>
      <c r="AV482" s="23">
        <f>IF($AS482="","",IF($H$6="",$AT482+$AU482,IF($H$6="",0,IF(ISNUMBER(INDEX($A:$AP,ROW(),$H$6)),INDEX($A:$AP,ROW(),$H$6),IFERROR(--SUBSTITUTE(SUBSTITUTE(TRIM(INDEX($A:$AP,ROW(),$H$6)),",",""),"원",""),0)))))</f>
        <v/>
      </c>
      <c r="AW482" s="2">
        <f>IF(OR($AS482="",$C$6=""),"",TRIM(INDEX($A:$AP,ROW(),$C$6)&amp;""))</f>
        <v/>
      </c>
      <c r="AX482" s="2">
        <f>IF($AS482="","",IF($AZ482&lt;&gt;"",SUBSTITUTE(SUBSTITUTE($AZ482,"-","")," ",""),$AY482))</f>
        <v/>
      </c>
      <c r="AY482" s="2">
        <f>IF(OR($AS482="",$E$6=""),"",TRIM(INDEX($A:$AP,ROW(),$E$6)&amp;""))</f>
        <v/>
      </c>
      <c r="AZ482" s="2">
        <f>IF(OR($AS482="",$D$6=""),"",TRIM(INDEX($A:$AP,ROW(),$D$6)&amp;""))</f>
        <v/>
      </c>
      <c r="BA482" s="2">
        <f>IF($AS482="","",IF(AND($AS482&gt;=설정!$B$10,$AS482&lt;=설정!$B$11),"포함","기간 밖"))</f>
        <v/>
      </c>
      <c r="BB482" s="2">
        <f>IF($AS482="","",IF(OR($AT482&lt;0,AND($I$6&lt;&gt;"",ISNUMBER(FIND("수정",INDEX($A:$AP,ROW(),IF($I$6="",1,$I$6))&amp;"")))),"수정","일반"))</f>
        <v/>
      </c>
      <c r="BC482" s="2">
        <f>IF($AS482="","",MID(IF($BA482="기간 밖"," / 기간 밖(신고기간 아님)","")&amp;IF(AND($AW482&lt;&gt;"",COUNTIF($AW$8:$AW$1007,$AW482)&gt;1)," / 승인번호 중복(두 번 붙여넣기?)","")&amp;IF(ABS($AU482-ROUND($AT482*0.1,0))&gt;설정!$B$8,IF($AU482=0," / 세액 0원(영세율·면세 여부 확인)"," / 세액이 공급가액 10%와 다름"),"")&amp;IF($BB482="수정"," / 수정세금계산서(합계에서 자동 가감)",""),4,200))</f>
        <v/>
      </c>
      <c r="BD482" s="2">
        <f>IF($BA482&lt;&gt;"포함","",IF(COUNTIFS($AX$8:$AX482,$AX482,$BA$8:$BA482,"포함")=1,MAX($BD$7:BD481)+1,""))</f>
        <v/>
      </c>
      <c r="BE482" s="2">
        <f>IF($BC482="","",MAX($BE$7:BE481)+1)</f>
        <v/>
      </c>
    </row>
    <row r="483">
      <c r="AR483" s="2">
        <f>IF(OR($A$5="",$B$6="",ROW()&lt;$A$5),"",IF(INDEX($A:$AP,ROW(),$B$6)="","",INDEX($A:$AP,ROW(),$B$6)))</f>
        <v/>
      </c>
      <c r="AS483" s="22">
        <f>IF($AR483="","",IF(ISNUMBER($AR483),IF($AR483&gt;=10000000,IFERROR(DATE(INT($AR483/10000),MOD(INT($AR483/100),100),MOD($AR483,100)),""),INT($AR483)),IFERROR(DATE(--LEFT(LEFT(SUBSTITUTE(SUBSTITUTE(SUBSTITUTE(SUBSTITUTE(TRIM($AR483),"-",""),".",""),"/","")," ",""),8),4),--MID(LEFT(SUBSTITUTE(SUBSTITUTE(SUBSTITUTE(SUBSTITUTE(TRIM($AR483),"-",""),".",""),"/","")," ",""),8),5,2),--MID(LEFT(SUBSTITUTE(SUBSTITUTE(SUBSTITUTE(SUBSTITUTE(TRIM($AR483),"-",""),".",""),"/","")," ",""),8),7,2)),"")))</f>
        <v/>
      </c>
      <c r="AT483" s="23">
        <f>IF($AS483="","",IF($F$6="",0,IF(ISNUMBER(INDEX($A:$AP,ROW(),$F$6)),INDEX($A:$AP,ROW(),$F$6),IFERROR(--SUBSTITUTE(SUBSTITUTE(TRIM(INDEX($A:$AP,ROW(),$F$6)),",",""),"원",""),0))))</f>
        <v/>
      </c>
      <c r="AU483" s="23">
        <f>IF($AS483="","",IF($G$6="",0,IF(ISNUMBER(INDEX($A:$AP,ROW(),$G$6)),INDEX($A:$AP,ROW(),$G$6),IFERROR(--SUBSTITUTE(SUBSTITUTE(TRIM(INDEX($A:$AP,ROW(),$G$6)),",",""),"원",""),0))))</f>
        <v/>
      </c>
      <c r="AV483" s="23">
        <f>IF($AS483="","",IF($H$6="",$AT483+$AU483,IF($H$6="",0,IF(ISNUMBER(INDEX($A:$AP,ROW(),$H$6)),INDEX($A:$AP,ROW(),$H$6),IFERROR(--SUBSTITUTE(SUBSTITUTE(TRIM(INDEX($A:$AP,ROW(),$H$6)),",",""),"원",""),0)))))</f>
        <v/>
      </c>
      <c r="AW483" s="2">
        <f>IF(OR($AS483="",$C$6=""),"",TRIM(INDEX($A:$AP,ROW(),$C$6)&amp;""))</f>
        <v/>
      </c>
      <c r="AX483" s="2">
        <f>IF($AS483="","",IF($AZ483&lt;&gt;"",SUBSTITUTE(SUBSTITUTE($AZ483,"-","")," ",""),$AY483))</f>
        <v/>
      </c>
      <c r="AY483" s="2">
        <f>IF(OR($AS483="",$E$6=""),"",TRIM(INDEX($A:$AP,ROW(),$E$6)&amp;""))</f>
        <v/>
      </c>
      <c r="AZ483" s="2">
        <f>IF(OR($AS483="",$D$6=""),"",TRIM(INDEX($A:$AP,ROW(),$D$6)&amp;""))</f>
        <v/>
      </c>
      <c r="BA483" s="2">
        <f>IF($AS483="","",IF(AND($AS483&gt;=설정!$B$10,$AS483&lt;=설정!$B$11),"포함","기간 밖"))</f>
        <v/>
      </c>
      <c r="BB483" s="2">
        <f>IF($AS483="","",IF(OR($AT483&lt;0,AND($I$6&lt;&gt;"",ISNUMBER(FIND("수정",INDEX($A:$AP,ROW(),IF($I$6="",1,$I$6))&amp;"")))),"수정","일반"))</f>
        <v/>
      </c>
      <c r="BC483" s="2">
        <f>IF($AS483="","",MID(IF($BA483="기간 밖"," / 기간 밖(신고기간 아님)","")&amp;IF(AND($AW483&lt;&gt;"",COUNTIF($AW$8:$AW$1007,$AW483)&gt;1)," / 승인번호 중복(두 번 붙여넣기?)","")&amp;IF(ABS($AU483-ROUND($AT483*0.1,0))&gt;설정!$B$8,IF($AU483=0," / 세액 0원(영세율·면세 여부 확인)"," / 세액이 공급가액 10%와 다름"),"")&amp;IF($BB483="수정"," / 수정세금계산서(합계에서 자동 가감)",""),4,200))</f>
        <v/>
      </c>
      <c r="BD483" s="2">
        <f>IF($BA483&lt;&gt;"포함","",IF(COUNTIFS($AX$8:$AX483,$AX483,$BA$8:$BA483,"포함")=1,MAX($BD$7:BD482)+1,""))</f>
        <v/>
      </c>
      <c r="BE483" s="2">
        <f>IF($BC483="","",MAX($BE$7:BE482)+1)</f>
        <v/>
      </c>
    </row>
    <row r="484">
      <c r="AR484" s="2">
        <f>IF(OR($A$5="",$B$6="",ROW()&lt;$A$5),"",IF(INDEX($A:$AP,ROW(),$B$6)="","",INDEX($A:$AP,ROW(),$B$6)))</f>
        <v/>
      </c>
      <c r="AS484" s="22">
        <f>IF($AR484="","",IF(ISNUMBER($AR484),IF($AR484&gt;=10000000,IFERROR(DATE(INT($AR484/10000),MOD(INT($AR484/100),100),MOD($AR484,100)),""),INT($AR484)),IFERROR(DATE(--LEFT(LEFT(SUBSTITUTE(SUBSTITUTE(SUBSTITUTE(SUBSTITUTE(TRIM($AR484),"-",""),".",""),"/","")," ",""),8),4),--MID(LEFT(SUBSTITUTE(SUBSTITUTE(SUBSTITUTE(SUBSTITUTE(TRIM($AR484),"-",""),".",""),"/","")," ",""),8),5,2),--MID(LEFT(SUBSTITUTE(SUBSTITUTE(SUBSTITUTE(SUBSTITUTE(TRIM($AR484),"-",""),".",""),"/","")," ",""),8),7,2)),"")))</f>
        <v/>
      </c>
      <c r="AT484" s="23">
        <f>IF($AS484="","",IF($F$6="",0,IF(ISNUMBER(INDEX($A:$AP,ROW(),$F$6)),INDEX($A:$AP,ROW(),$F$6),IFERROR(--SUBSTITUTE(SUBSTITUTE(TRIM(INDEX($A:$AP,ROW(),$F$6)),",",""),"원",""),0))))</f>
        <v/>
      </c>
      <c r="AU484" s="23">
        <f>IF($AS484="","",IF($G$6="",0,IF(ISNUMBER(INDEX($A:$AP,ROW(),$G$6)),INDEX($A:$AP,ROW(),$G$6),IFERROR(--SUBSTITUTE(SUBSTITUTE(TRIM(INDEX($A:$AP,ROW(),$G$6)),",",""),"원",""),0))))</f>
        <v/>
      </c>
      <c r="AV484" s="23">
        <f>IF($AS484="","",IF($H$6="",$AT484+$AU484,IF($H$6="",0,IF(ISNUMBER(INDEX($A:$AP,ROW(),$H$6)),INDEX($A:$AP,ROW(),$H$6),IFERROR(--SUBSTITUTE(SUBSTITUTE(TRIM(INDEX($A:$AP,ROW(),$H$6)),",",""),"원",""),0)))))</f>
        <v/>
      </c>
      <c r="AW484" s="2">
        <f>IF(OR($AS484="",$C$6=""),"",TRIM(INDEX($A:$AP,ROW(),$C$6)&amp;""))</f>
        <v/>
      </c>
      <c r="AX484" s="2">
        <f>IF($AS484="","",IF($AZ484&lt;&gt;"",SUBSTITUTE(SUBSTITUTE($AZ484,"-","")," ",""),$AY484))</f>
        <v/>
      </c>
      <c r="AY484" s="2">
        <f>IF(OR($AS484="",$E$6=""),"",TRIM(INDEX($A:$AP,ROW(),$E$6)&amp;""))</f>
        <v/>
      </c>
      <c r="AZ484" s="2">
        <f>IF(OR($AS484="",$D$6=""),"",TRIM(INDEX($A:$AP,ROW(),$D$6)&amp;""))</f>
        <v/>
      </c>
      <c r="BA484" s="2">
        <f>IF($AS484="","",IF(AND($AS484&gt;=설정!$B$10,$AS484&lt;=설정!$B$11),"포함","기간 밖"))</f>
        <v/>
      </c>
      <c r="BB484" s="2">
        <f>IF($AS484="","",IF(OR($AT484&lt;0,AND($I$6&lt;&gt;"",ISNUMBER(FIND("수정",INDEX($A:$AP,ROW(),IF($I$6="",1,$I$6))&amp;"")))),"수정","일반"))</f>
        <v/>
      </c>
      <c r="BC484" s="2">
        <f>IF($AS484="","",MID(IF($BA484="기간 밖"," / 기간 밖(신고기간 아님)","")&amp;IF(AND($AW484&lt;&gt;"",COUNTIF($AW$8:$AW$1007,$AW484)&gt;1)," / 승인번호 중복(두 번 붙여넣기?)","")&amp;IF(ABS($AU484-ROUND($AT484*0.1,0))&gt;설정!$B$8,IF($AU484=0," / 세액 0원(영세율·면세 여부 확인)"," / 세액이 공급가액 10%와 다름"),"")&amp;IF($BB484="수정"," / 수정세금계산서(합계에서 자동 가감)",""),4,200))</f>
        <v/>
      </c>
      <c r="BD484" s="2">
        <f>IF($BA484&lt;&gt;"포함","",IF(COUNTIFS($AX$8:$AX484,$AX484,$BA$8:$BA484,"포함")=1,MAX($BD$7:BD483)+1,""))</f>
        <v/>
      </c>
      <c r="BE484" s="2">
        <f>IF($BC484="","",MAX($BE$7:BE483)+1)</f>
        <v/>
      </c>
    </row>
    <row r="485">
      <c r="AR485" s="2">
        <f>IF(OR($A$5="",$B$6="",ROW()&lt;$A$5),"",IF(INDEX($A:$AP,ROW(),$B$6)="","",INDEX($A:$AP,ROW(),$B$6)))</f>
        <v/>
      </c>
      <c r="AS485" s="22">
        <f>IF($AR485="","",IF(ISNUMBER($AR485),IF($AR485&gt;=10000000,IFERROR(DATE(INT($AR485/10000),MOD(INT($AR485/100),100),MOD($AR485,100)),""),INT($AR485)),IFERROR(DATE(--LEFT(LEFT(SUBSTITUTE(SUBSTITUTE(SUBSTITUTE(SUBSTITUTE(TRIM($AR485),"-",""),".",""),"/","")," ",""),8),4),--MID(LEFT(SUBSTITUTE(SUBSTITUTE(SUBSTITUTE(SUBSTITUTE(TRIM($AR485),"-",""),".",""),"/","")," ",""),8),5,2),--MID(LEFT(SUBSTITUTE(SUBSTITUTE(SUBSTITUTE(SUBSTITUTE(TRIM($AR485),"-",""),".",""),"/","")," ",""),8),7,2)),"")))</f>
        <v/>
      </c>
      <c r="AT485" s="23">
        <f>IF($AS485="","",IF($F$6="",0,IF(ISNUMBER(INDEX($A:$AP,ROW(),$F$6)),INDEX($A:$AP,ROW(),$F$6),IFERROR(--SUBSTITUTE(SUBSTITUTE(TRIM(INDEX($A:$AP,ROW(),$F$6)),",",""),"원",""),0))))</f>
        <v/>
      </c>
      <c r="AU485" s="23">
        <f>IF($AS485="","",IF($G$6="",0,IF(ISNUMBER(INDEX($A:$AP,ROW(),$G$6)),INDEX($A:$AP,ROW(),$G$6),IFERROR(--SUBSTITUTE(SUBSTITUTE(TRIM(INDEX($A:$AP,ROW(),$G$6)),",",""),"원",""),0))))</f>
        <v/>
      </c>
      <c r="AV485" s="23">
        <f>IF($AS485="","",IF($H$6="",$AT485+$AU485,IF($H$6="",0,IF(ISNUMBER(INDEX($A:$AP,ROW(),$H$6)),INDEX($A:$AP,ROW(),$H$6),IFERROR(--SUBSTITUTE(SUBSTITUTE(TRIM(INDEX($A:$AP,ROW(),$H$6)),",",""),"원",""),0)))))</f>
        <v/>
      </c>
      <c r="AW485" s="2">
        <f>IF(OR($AS485="",$C$6=""),"",TRIM(INDEX($A:$AP,ROW(),$C$6)&amp;""))</f>
        <v/>
      </c>
      <c r="AX485" s="2">
        <f>IF($AS485="","",IF($AZ485&lt;&gt;"",SUBSTITUTE(SUBSTITUTE($AZ485,"-","")," ",""),$AY485))</f>
        <v/>
      </c>
      <c r="AY485" s="2">
        <f>IF(OR($AS485="",$E$6=""),"",TRIM(INDEX($A:$AP,ROW(),$E$6)&amp;""))</f>
        <v/>
      </c>
      <c r="AZ485" s="2">
        <f>IF(OR($AS485="",$D$6=""),"",TRIM(INDEX($A:$AP,ROW(),$D$6)&amp;""))</f>
        <v/>
      </c>
      <c r="BA485" s="2">
        <f>IF($AS485="","",IF(AND($AS485&gt;=설정!$B$10,$AS485&lt;=설정!$B$11),"포함","기간 밖"))</f>
        <v/>
      </c>
      <c r="BB485" s="2">
        <f>IF($AS485="","",IF(OR($AT485&lt;0,AND($I$6&lt;&gt;"",ISNUMBER(FIND("수정",INDEX($A:$AP,ROW(),IF($I$6="",1,$I$6))&amp;"")))),"수정","일반"))</f>
        <v/>
      </c>
      <c r="BC485" s="2">
        <f>IF($AS485="","",MID(IF($BA485="기간 밖"," / 기간 밖(신고기간 아님)","")&amp;IF(AND($AW485&lt;&gt;"",COUNTIF($AW$8:$AW$1007,$AW485)&gt;1)," / 승인번호 중복(두 번 붙여넣기?)","")&amp;IF(ABS($AU485-ROUND($AT485*0.1,0))&gt;설정!$B$8,IF($AU485=0," / 세액 0원(영세율·면세 여부 확인)"," / 세액이 공급가액 10%와 다름"),"")&amp;IF($BB485="수정"," / 수정세금계산서(합계에서 자동 가감)",""),4,200))</f>
        <v/>
      </c>
      <c r="BD485" s="2">
        <f>IF($BA485&lt;&gt;"포함","",IF(COUNTIFS($AX$8:$AX485,$AX485,$BA$8:$BA485,"포함")=1,MAX($BD$7:BD484)+1,""))</f>
        <v/>
      </c>
      <c r="BE485" s="2">
        <f>IF($BC485="","",MAX($BE$7:BE484)+1)</f>
        <v/>
      </c>
    </row>
    <row r="486">
      <c r="AR486" s="2">
        <f>IF(OR($A$5="",$B$6="",ROW()&lt;$A$5),"",IF(INDEX($A:$AP,ROW(),$B$6)="","",INDEX($A:$AP,ROW(),$B$6)))</f>
        <v/>
      </c>
      <c r="AS486" s="22">
        <f>IF($AR486="","",IF(ISNUMBER($AR486),IF($AR486&gt;=10000000,IFERROR(DATE(INT($AR486/10000),MOD(INT($AR486/100),100),MOD($AR486,100)),""),INT($AR486)),IFERROR(DATE(--LEFT(LEFT(SUBSTITUTE(SUBSTITUTE(SUBSTITUTE(SUBSTITUTE(TRIM($AR486),"-",""),".",""),"/","")," ",""),8),4),--MID(LEFT(SUBSTITUTE(SUBSTITUTE(SUBSTITUTE(SUBSTITUTE(TRIM($AR486),"-",""),".",""),"/","")," ",""),8),5,2),--MID(LEFT(SUBSTITUTE(SUBSTITUTE(SUBSTITUTE(SUBSTITUTE(TRIM($AR486),"-",""),".",""),"/","")," ",""),8),7,2)),"")))</f>
        <v/>
      </c>
      <c r="AT486" s="23">
        <f>IF($AS486="","",IF($F$6="",0,IF(ISNUMBER(INDEX($A:$AP,ROW(),$F$6)),INDEX($A:$AP,ROW(),$F$6),IFERROR(--SUBSTITUTE(SUBSTITUTE(TRIM(INDEX($A:$AP,ROW(),$F$6)),",",""),"원",""),0))))</f>
        <v/>
      </c>
      <c r="AU486" s="23">
        <f>IF($AS486="","",IF($G$6="",0,IF(ISNUMBER(INDEX($A:$AP,ROW(),$G$6)),INDEX($A:$AP,ROW(),$G$6),IFERROR(--SUBSTITUTE(SUBSTITUTE(TRIM(INDEX($A:$AP,ROW(),$G$6)),",",""),"원",""),0))))</f>
        <v/>
      </c>
      <c r="AV486" s="23">
        <f>IF($AS486="","",IF($H$6="",$AT486+$AU486,IF($H$6="",0,IF(ISNUMBER(INDEX($A:$AP,ROW(),$H$6)),INDEX($A:$AP,ROW(),$H$6),IFERROR(--SUBSTITUTE(SUBSTITUTE(TRIM(INDEX($A:$AP,ROW(),$H$6)),",",""),"원",""),0)))))</f>
        <v/>
      </c>
      <c r="AW486" s="2">
        <f>IF(OR($AS486="",$C$6=""),"",TRIM(INDEX($A:$AP,ROW(),$C$6)&amp;""))</f>
        <v/>
      </c>
      <c r="AX486" s="2">
        <f>IF($AS486="","",IF($AZ486&lt;&gt;"",SUBSTITUTE(SUBSTITUTE($AZ486,"-","")," ",""),$AY486))</f>
        <v/>
      </c>
      <c r="AY486" s="2">
        <f>IF(OR($AS486="",$E$6=""),"",TRIM(INDEX($A:$AP,ROW(),$E$6)&amp;""))</f>
        <v/>
      </c>
      <c r="AZ486" s="2">
        <f>IF(OR($AS486="",$D$6=""),"",TRIM(INDEX($A:$AP,ROW(),$D$6)&amp;""))</f>
        <v/>
      </c>
      <c r="BA486" s="2">
        <f>IF($AS486="","",IF(AND($AS486&gt;=설정!$B$10,$AS486&lt;=설정!$B$11),"포함","기간 밖"))</f>
        <v/>
      </c>
      <c r="BB486" s="2">
        <f>IF($AS486="","",IF(OR($AT486&lt;0,AND($I$6&lt;&gt;"",ISNUMBER(FIND("수정",INDEX($A:$AP,ROW(),IF($I$6="",1,$I$6))&amp;"")))),"수정","일반"))</f>
        <v/>
      </c>
      <c r="BC486" s="2">
        <f>IF($AS486="","",MID(IF($BA486="기간 밖"," / 기간 밖(신고기간 아님)","")&amp;IF(AND($AW486&lt;&gt;"",COUNTIF($AW$8:$AW$1007,$AW486)&gt;1)," / 승인번호 중복(두 번 붙여넣기?)","")&amp;IF(ABS($AU486-ROUND($AT486*0.1,0))&gt;설정!$B$8,IF($AU486=0," / 세액 0원(영세율·면세 여부 확인)"," / 세액이 공급가액 10%와 다름"),"")&amp;IF($BB486="수정"," / 수정세금계산서(합계에서 자동 가감)",""),4,200))</f>
        <v/>
      </c>
      <c r="BD486" s="2">
        <f>IF($BA486&lt;&gt;"포함","",IF(COUNTIFS($AX$8:$AX486,$AX486,$BA$8:$BA486,"포함")=1,MAX($BD$7:BD485)+1,""))</f>
        <v/>
      </c>
      <c r="BE486" s="2">
        <f>IF($BC486="","",MAX($BE$7:BE485)+1)</f>
        <v/>
      </c>
    </row>
    <row r="487">
      <c r="AR487" s="2">
        <f>IF(OR($A$5="",$B$6="",ROW()&lt;$A$5),"",IF(INDEX($A:$AP,ROW(),$B$6)="","",INDEX($A:$AP,ROW(),$B$6)))</f>
        <v/>
      </c>
      <c r="AS487" s="22">
        <f>IF($AR487="","",IF(ISNUMBER($AR487),IF($AR487&gt;=10000000,IFERROR(DATE(INT($AR487/10000),MOD(INT($AR487/100),100),MOD($AR487,100)),""),INT($AR487)),IFERROR(DATE(--LEFT(LEFT(SUBSTITUTE(SUBSTITUTE(SUBSTITUTE(SUBSTITUTE(TRIM($AR487),"-",""),".",""),"/","")," ",""),8),4),--MID(LEFT(SUBSTITUTE(SUBSTITUTE(SUBSTITUTE(SUBSTITUTE(TRIM($AR487),"-",""),".",""),"/","")," ",""),8),5,2),--MID(LEFT(SUBSTITUTE(SUBSTITUTE(SUBSTITUTE(SUBSTITUTE(TRIM($AR487),"-",""),".",""),"/","")," ",""),8),7,2)),"")))</f>
        <v/>
      </c>
      <c r="AT487" s="23">
        <f>IF($AS487="","",IF($F$6="",0,IF(ISNUMBER(INDEX($A:$AP,ROW(),$F$6)),INDEX($A:$AP,ROW(),$F$6),IFERROR(--SUBSTITUTE(SUBSTITUTE(TRIM(INDEX($A:$AP,ROW(),$F$6)),",",""),"원",""),0))))</f>
        <v/>
      </c>
      <c r="AU487" s="23">
        <f>IF($AS487="","",IF($G$6="",0,IF(ISNUMBER(INDEX($A:$AP,ROW(),$G$6)),INDEX($A:$AP,ROW(),$G$6),IFERROR(--SUBSTITUTE(SUBSTITUTE(TRIM(INDEX($A:$AP,ROW(),$G$6)),",",""),"원",""),0))))</f>
        <v/>
      </c>
      <c r="AV487" s="23">
        <f>IF($AS487="","",IF($H$6="",$AT487+$AU487,IF($H$6="",0,IF(ISNUMBER(INDEX($A:$AP,ROW(),$H$6)),INDEX($A:$AP,ROW(),$H$6),IFERROR(--SUBSTITUTE(SUBSTITUTE(TRIM(INDEX($A:$AP,ROW(),$H$6)),",",""),"원",""),0)))))</f>
        <v/>
      </c>
      <c r="AW487" s="2">
        <f>IF(OR($AS487="",$C$6=""),"",TRIM(INDEX($A:$AP,ROW(),$C$6)&amp;""))</f>
        <v/>
      </c>
      <c r="AX487" s="2">
        <f>IF($AS487="","",IF($AZ487&lt;&gt;"",SUBSTITUTE(SUBSTITUTE($AZ487,"-","")," ",""),$AY487))</f>
        <v/>
      </c>
      <c r="AY487" s="2">
        <f>IF(OR($AS487="",$E$6=""),"",TRIM(INDEX($A:$AP,ROW(),$E$6)&amp;""))</f>
        <v/>
      </c>
      <c r="AZ487" s="2">
        <f>IF(OR($AS487="",$D$6=""),"",TRIM(INDEX($A:$AP,ROW(),$D$6)&amp;""))</f>
        <v/>
      </c>
      <c r="BA487" s="2">
        <f>IF($AS487="","",IF(AND($AS487&gt;=설정!$B$10,$AS487&lt;=설정!$B$11),"포함","기간 밖"))</f>
        <v/>
      </c>
      <c r="BB487" s="2">
        <f>IF($AS487="","",IF(OR($AT487&lt;0,AND($I$6&lt;&gt;"",ISNUMBER(FIND("수정",INDEX($A:$AP,ROW(),IF($I$6="",1,$I$6))&amp;"")))),"수정","일반"))</f>
        <v/>
      </c>
      <c r="BC487" s="2">
        <f>IF($AS487="","",MID(IF($BA487="기간 밖"," / 기간 밖(신고기간 아님)","")&amp;IF(AND($AW487&lt;&gt;"",COUNTIF($AW$8:$AW$1007,$AW487)&gt;1)," / 승인번호 중복(두 번 붙여넣기?)","")&amp;IF(ABS($AU487-ROUND($AT487*0.1,0))&gt;설정!$B$8,IF($AU487=0," / 세액 0원(영세율·면세 여부 확인)"," / 세액이 공급가액 10%와 다름"),"")&amp;IF($BB487="수정"," / 수정세금계산서(합계에서 자동 가감)",""),4,200))</f>
        <v/>
      </c>
      <c r="BD487" s="2">
        <f>IF($BA487&lt;&gt;"포함","",IF(COUNTIFS($AX$8:$AX487,$AX487,$BA$8:$BA487,"포함")=1,MAX($BD$7:BD486)+1,""))</f>
        <v/>
      </c>
      <c r="BE487" s="2">
        <f>IF($BC487="","",MAX($BE$7:BE486)+1)</f>
        <v/>
      </c>
    </row>
    <row r="488">
      <c r="AR488" s="2">
        <f>IF(OR($A$5="",$B$6="",ROW()&lt;$A$5),"",IF(INDEX($A:$AP,ROW(),$B$6)="","",INDEX($A:$AP,ROW(),$B$6)))</f>
        <v/>
      </c>
      <c r="AS488" s="22">
        <f>IF($AR488="","",IF(ISNUMBER($AR488),IF($AR488&gt;=10000000,IFERROR(DATE(INT($AR488/10000),MOD(INT($AR488/100),100),MOD($AR488,100)),""),INT($AR488)),IFERROR(DATE(--LEFT(LEFT(SUBSTITUTE(SUBSTITUTE(SUBSTITUTE(SUBSTITUTE(TRIM($AR488),"-",""),".",""),"/","")," ",""),8),4),--MID(LEFT(SUBSTITUTE(SUBSTITUTE(SUBSTITUTE(SUBSTITUTE(TRIM($AR488),"-",""),".",""),"/","")," ",""),8),5,2),--MID(LEFT(SUBSTITUTE(SUBSTITUTE(SUBSTITUTE(SUBSTITUTE(TRIM($AR488),"-",""),".",""),"/","")," ",""),8),7,2)),"")))</f>
        <v/>
      </c>
      <c r="AT488" s="23">
        <f>IF($AS488="","",IF($F$6="",0,IF(ISNUMBER(INDEX($A:$AP,ROW(),$F$6)),INDEX($A:$AP,ROW(),$F$6),IFERROR(--SUBSTITUTE(SUBSTITUTE(TRIM(INDEX($A:$AP,ROW(),$F$6)),",",""),"원",""),0))))</f>
        <v/>
      </c>
      <c r="AU488" s="23">
        <f>IF($AS488="","",IF($G$6="",0,IF(ISNUMBER(INDEX($A:$AP,ROW(),$G$6)),INDEX($A:$AP,ROW(),$G$6),IFERROR(--SUBSTITUTE(SUBSTITUTE(TRIM(INDEX($A:$AP,ROW(),$G$6)),",",""),"원",""),0))))</f>
        <v/>
      </c>
      <c r="AV488" s="23">
        <f>IF($AS488="","",IF($H$6="",$AT488+$AU488,IF($H$6="",0,IF(ISNUMBER(INDEX($A:$AP,ROW(),$H$6)),INDEX($A:$AP,ROW(),$H$6),IFERROR(--SUBSTITUTE(SUBSTITUTE(TRIM(INDEX($A:$AP,ROW(),$H$6)),",",""),"원",""),0)))))</f>
        <v/>
      </c>
      <c r="AW488" s="2">
        <f>IF(OR($AS488="",$C$6=""),"",TRIM(INDEX($A:$AP,ROW(),$C$6)&amp;""))</f>
        <v/>
      </c>
      <c r="AX488" s="2">
        <f>IF($AS488="","",IF($AZ488&lt;&gt;"",SUBSTITUTE(SUBSTITUTE($AZ488,"-","")," ",""),$AY488))</f>
        <v/>
      </c>
      <c r="AY488" s="2">
        <f>IF(OR($AS488="",$E$6=""),"",TRIM(INDEX($A:$AP,ROW(),$E$6)&amp;""))</f>
        <v/>
      </c>
      <c r="AZ488" s="2">
        <f>IF(OR($AS488="",$D$6=""),"",TRIM(INDEX($A:$AP,ROW(),$D$6)&amp;""))</f>
        <v/>
      </c>
      <c r="BA488" s="2">
        <f>IF($AS488="","",IF(AND($AS488&gt;=설정!$B$10,$AS488&lt;=설정!$B$11),"포함","기간 밖"))</f>
        <v/>
      </c>
      <c r="BB488" s="2">
        <f>IF($AS488="","",IF(OR($AT488&lt;0,AND($I$6&lt;&gt;"",ISNUMBER(FIND("수정",INDEX($A:$AP,ROW(),IF($I$6="",1,$I$6))&amp;"")))),"수정","일반"))</f>
        <v/>
      </c>
      <c r="BC488" s="2">
        <f>IF($AS488="","",MID(IF($BA488="기간 밖"," / 기간 밖(신고기간 아님)","")&amp;IF(AND($AW488&lt;&gt;"",COUNTIF($AW$8:$AW$1007,$AW488)&gt;1)," / 승인번호 중복(두 번 붙여넣기?)","")&amp;IF(ABS($AU488-ROUND($AT488*0.1,0))&gt;설정!$B$8,IF($AU488=0," / 세액 0원(영세율·면세 여부 확인)"," / 세액이 공급가액 10%와 다름"),"")&amp;IF($BB488="수정"," / 수정세금계산서(합계에서 자동 가감)",""),4,200))</f>
        <v/>
      </c>
      <c r="BD488" s="2">
        <f>IF($BA488&lt;&gt;"포함","",IF(COUNTIFS($AX$8:$AX488,$AX488,$BA$8:$BA488,"포함")=1,MAX($BD$7:BD487)+1,""))</f>
        <v/>
      </c>
      <c r="BE488" s="2">
        <f>IF($BC488="","",MAX($BE$7:BE487)+1)</f>
        <v/>
      </c>
    </row>
    <row r="489">
      <c r="AR489" s="2">
        <f>IF(OR($A$5="",$B$6="",ROW()&lt;$A$5),"",IF(INDEX($A:$AP,ROW(),$B$6)="","",INDEX($A:$AP,ROW(),$B$6)))</f>
        <v/>
      </c>
      <c r="AS489" s="22">
        <f>IF($AR489="","",IF(ISNUMBER($AR489),IF($AR489&gt;=10000000,IFERROR(DATE(INT($AR489/10000),MOD(INT($AR489/100),100),MOD($AR489,100)),""),INT($AR489)),IFERROR(DATE(--LEFT(LEFT(SUBSTITUTE(SUBSTITUTE(SUBSTITUTE(SUBSTITUTE(TRIM($AR489),"-",""),".",""),"/","")," ",""),8),4),--MID(LEFT(SUBSTITUTE(SUBSTITUTE(SUBSTITUTE(SUBSTITUTE(TRIM($AR489),"-",""),".",""),"/","")," ",""),8),5,2),--MID(LEFT(SUBSTITUTE(SUBSTITUTE(SUBSTITUTE(SUBSTITUTE(TRIM($AR489),"-",""),".",""),"/","")," ",""),8),7,2)),"")))</f>
        <v/>
      </c>
      <c r="AT489" s="23">
        <f>IF($AS489="","",IF($F$6="",0,IF(ISNUMBER(INDEX($A:$AP,ROW(),$F$6)),INDEX($A:$AP,ROW(),$F$6),IFERROR(--SUBSTITUTE(SUBSTITUTE(TRIM(INDEX($A:$AP,ROW(),$F$6)),",",""),"원",""),0))))</f>
        <v/>
      </c>
      <c r="AU489" s="23">
        <f>IF($AS489="","",IF($G$6="",0,IF(ISNUMBER(INDEX($A:$AP,ROW(),$G$6)),INDEX($A:$AP,ROW(),$G$6),IFERROR(--SUBSTITUTE(SUBSTITUTE(TRIM(INDEX($A:$AP,ROW(),$G$6)),",",""),"원",""),0))))</f>
        <v/>
      </c>
      <c r="AV489" s="23">
        <f>IF($AS489="","",IF($H$6="",$AT489+$AU489,IF($H$6="",0,IF(ISNUMBER(INDEX($A:$AP,ROW(),$H$6)),INDEX($A:$AP,ROW(),$H$6),IFERROR(--SUBSTITUTE(SUBSTITUTE(TRIM(INDEX($A:$AP,ROW(),$H$6)),",",""),"원",""),0)))))</f>
        <v/>
      </c>
      <c r="AW489" s="2">
        <f>IF(OR($AS489="",$C$6=""),"",TRIM(INDEX($A:$AP,ROW(),$C$6)&amp;""))</f>
        <v/>
      </c>
      <c r="AX489" s="2">
        <f>IF($AS489="","",IF($AZ489&lt;&gt;"",SUBSTITUTE(SUBSTITUTE($AZ489,"-","")," ",""),$AY489))</f>
        <v/>
      </c>
      <c r="AY489" s="2">
        <f>IF(OR($AS489="",$E$6=""),"",TRIM(INDEX($A:$AP,ROW(),$E$6)&amp;""))</f>
        <v/>
      </c>
      <c r="AZ489" s="2">
        <f>IF(OR($AS489="",$D$6=""),"",TRIM(INDEX($A:$AP,ROW(),$D$6)&amp;""))</f>
        <v/>
      </c>
      <c r="BA489" s="2">
        <f>IF($AS489="","",IF(AND($AS489&gt;=설정!$B$10,$AS489&lt;=설정!$B$11),"포함","기간 밖"))</f>
        <v/>
      </c>
      <c r="BB489" s="2">
        <f>IF($AS489="","",IF(OR($AT489&lt;0,AND($I$6&lt;&gt;"",ISNUMBER(FIND("수정",INDEX($A:$AP,ROW(),IF($I$6="",1,$I$6))&amp;"")))),"수정","일반"))</f>
        <v/>
      </c>
      <c r="BC489" s="2">
        <f>IF($AS489="","",MID(IF($BA489="기간 밖"," / 기간 밖(신고기간 아님)","")&amp;IF(AND($AW489&lt;&gt;"",COUNTIF($AW$8:$AW$1007,$AW489)&gt;1)," / 승인번호 중복(두 번 붙여넣기?)","")&amp;IF(ABS($AU489-ROUND($AT489*0.1,0))&gt;설정!$B$8,IF($AU489=0," / 세액 0원(영세율·면세 여부 확인)"," / 세액이 공급가액 10%와 다름"),"")&amp;IF($BB489="수정"," / 수정세금계산서(합계에서 자동 가감)",""),4,200))</f>
        <v/>
      </c>
      <c r="BD489" s="2">
        <f>IF($BA489&lt;&gt;"포함","",IF(COUNTIFS($AX$8:$AX489,$AX489,$BA$8:$BA489,"포함")=1,MAX($BD$7:BD488)+1,""))</f>
        <v/>
      </c>
      <c r="BE489" s="2">
        <f>IF($BC489="","",MAX($BE$7:BE488)+1)</f>
        <v/>
      </c>
    </row>
    <row r="490">
      <c r="AR490" s="2">
        <f>IF(OR($A$5="",$B$6="",ROW()&lt;$A$5),"",IF(INDEX($A:$AP,ROW(),$B$6)="","",INDEX($A:$AP,ROW(),$B$6)))</f>
        <v/>
      </c>
      <c r="AS490" s="22">
        <f>IF($AR490="","",IF(ISNUMBER($AR490),IF($AR490&gt;=10000000,IFERROR(DATE(INT($AR490/10000),MOD(INT($AR490/100),100),MOD($AR490,100)),""),INT($AR490)),IFERROR(DATE(--LEFT(LEFT(SUBSTITUTE(SUBSTITUTE(SUBSTITUTE(SUBSTITUTE(TRIM($AR490),"-",""),".",""),"/","")," ",""),8),4),--MID(LEFT(SUBSTITUTE(SUBSTITUTE(SUBSTITUTE(SUBSTITUTE(TRIM($AR490),"-",""),".",""),"/","")," ",""),8),5,2),--MID(LEFT(SUBSTITUTE(SUBSTITUTE(SUBSTITUTE(SUBSTITUTE(TRIM($AR490),"-",""),".",""),"/","")," ",""),8),7,2)),"")))</f>
        <v/>
      </c>
      <c r="AT490" s="23">
        <f>IF($AS490="","",IF($F$6="",0,IF(ISNUMBER(INDEX($A:$AP,ROW(),$F$6)),INDEX($A:$AP,ROW(),$F$6),IFERROR(--SUBSTITUTE(SUBSTITUTE(TRIM(INDEX($A:$AP,ROW(),$F$6)),",",""),"원",""),0))))</f>
        <v/>
      </c>
      <c r="AU490" s="23">
        <f>IF($AS490="","",IF($G$6="",0,IF(ISNUMBER(INDEX($A:$AP,ROW(),$G$6)),INDEX($A:$AP,ROW(),$G$6),IFERROR(--SUBSTITUTE(SUBSTITUTE(TRIM(INDEX($A:$AP,ROW(),$G$6)),",",""),"원",""),0))))</f>
        <v/>
      </c>
      <c r="AV490" s="23">
        <f>IF($AS490="","",IF($H$6="",$AT490+$AU490,IF($H$6="",0,IF(ISNUMBER(INDEX($A:$AP,ROW(),$H$6)),INDEX($A:$AP,ROW(),$H$6),IFERROR(--SUBSTITUTE(SUBSTITUTE(TRIM(INDEX($A:$AP,ROW(),$H$6)),",",""),"원",""),0)))))</f>
        <v/>
      </c>
      <c r="AW490" s="2">
        <f>IF(OR($AS490="",$C$6=""),"",TRIM(INDEX($A:$AP,ROW(),$C$6)&amp;""))</f>
        <v/>
      </c>
      <c r="AX490" s="2">
        <f>IF($AS490="","",IF($AZ490&lt;&gt;"",SUBSTITUTE(SUBSTITUTE($AZ490,"-","")," ",""),$AY490))</f>
        <v/>
      </c>
      <c r="AY490" s="2">
        <f>IF(OR($AS490="",$E$6=""),"",TRIM(INDEX($A:$AP,ROW(),$E$6)&amp;""))</f>
        <v/>
      </c>
      <c r="AZ490" s="2">
        <f>IF(OR($AS490="",$D$6=""),"",TRIM(INDEX($A:$AP,ROW(),$D$6)&amp;""))</f>
        <v/>
      </c>
      <c r="BA490" s="2">
        <f>IF($AS490="","",IF(AND($AS490&gt;=설정!$B$10,$AS490&lt;=설정!$B$11),"포함","기간 밖"))</f>
        <v/>
      </c>
      <c r="BB490" s="2">
        <f>IF($AS490="","",IF(OR($AT490&lt;0,AND($I$6&lt;&gt;"",ISNUMBER(FIND("수정",INDEX($A:$AP,ROW(),IF($I$6="",1,$I$6))&amp;"")))),"수정","일반"))</f>
        <v/>
      </c>
      <c r="BC490" s="2">
        <f>IF($AS490="","",MID(IF($BA490="기간 밖"," / 기간 밖(신고기간 아님)","")&amp;IF(AND($AW490&lt;&gt;"",COUNTIF($AW$8:$AW$1007,$AW490)&gt;1)," / 승인번호 중복(두 번 붙여넣기?)","")&amp;IF(ABS($AU490-ROUND($AT490*0.1,0))&gt;설정!$B$8,IF($AU490=0," / 세액 0원(영세율·면세 여부 확인)"," / 세액이 공급가액 10%와 다름"),"")&amp;IF($BB490="수정"," / 수정세금계산서(합계에서 자동 가감)",""),4,200))</f>
        <v/>
      </c>
      <c r="BD490" s="2">
        <f>IF($BA490&lt;&gt;"포함","",IF(COUNTIFS($AX$8:$AX490,$AX490,$BA$8:$BA490,"포함")=1,MAX($BD$7:BD489)+1,""))</f>
        <v/>
      </c>
      <c r="BE490" s="2">
        <f>IF($BC490="","",MAX($BE$7:BE489)+1)</f>
        <v/>
      </c>
    </row>
    <row r="491">
      <c r="AR491" s="2">
        <f>IF(OR($A$5="",$B$6="",ROW()&lt;$A$5),"",IF(INDEX($A:$AP,ROW(),$B$6)="","",INDEX($A:$AP,ROW(),$B$6)))</f>
        <v/>
      </c>
      <c r="AS491" s="22">
        <f>IF($AR491="","",IF(ISNUMBER($AR491),IF($AR491&gt;=10000000,IFERROR(DATE(INT($AR491/10000),MOD(INT($AR491/100),100),MOD($AR491,100)),""),INT($AR491)),IFERROR(DATE(--LEFT(LEFT(SUBSTITUTE(SUBSTITUTE(SUBSTITUTE(SUBSTITUTE(TRIM($AR491),"-",""),".",""),"/","")," ",""),8),4),--MID(LEFT(SUBSTITUTE(SUBSTITUTE(SUBSTITUTE(SUBSTITUTE(TRIM($AR491),"-",""),".",""),"/","")," ",""),8),5,2),--MID(LEFT(SUBSTITUTE(SUBSTITUTE(SUBSTITUTE(SUBSTITUTE(TRIM($AR491),"-",""),".",""),"/","")," ",""),8),7,2)),"")))</f>
        <v/>
      </c>
      <c r="AT491" s="23">
        <f>IF($AS491="","",IF($F$6="",0,IF(ISNUMBER(INDEX($A:$AP,ROW(),$F$6)),INDEX($A:$AP,ROW(),$F$6),IFERROR(--SUBSTITUTE(SUBSTITUTE(TRIM(INDEX($A:$AP,ROW(),$F$6)),",",""),"원",""),0))))</f>
        <v/>
      </c>
      <c r="AU491" s="23">
        <f>IF($AS491="","",IF($G$6="",0,IF(ISNUMBER(INDEX($A:$AP,ROW(),$G$6)),INDEX($A:$AP,ROW(),$G$6),IFERROR(--SUBSTITUTE(SUBSTITUTE(TRIM(INDEX($A:$AP,ROW(),$G$6)),",",""),"원",""),0))))</f>
        <v/>
      </c>
      <c r="AV491" s="23">
        <f>IF($AS491="","",IF($H$6="",$AT491+$AU491,IF($H$6="",0,IF(ISNUMBER(INDEX($A:$AP,ROW(),$H$6)),INDEX($A:$AP,ROW(),$H$6),IFERROR(--SUBSTITUTE(SUBSTITUTE(TRIM(INDEX($A:$AP,ROW(),$H$6)),",",""),"원",""),0)))))</f>
        <v/>
      </c>
      <c r="AW491" s="2">
        <f>IF(OR($AS491="",$C$6=""),"",TRIM(INDEX($A:$AP,ROW(),$C$6)&amp;""))</f>
        <v/>
      </c>
      <c r="AX491" s="2">
        <f>IF($AS491="","",IF($AZ491&lt;&gt;"",SUBSTITUTE(SUBSTITUTE($AZ491,"-","")," ",""),$AY491))</f>
        <v/>
      </c>
      <c r="AY491" s="2">
        <f>IF(OR($AS491="",$E$6=""),"",TRIM(INDEX($A:$AP,ROW(),$E$6)&amp;""))</f>
        <v/>
      </c>
      <c r="AZ491" s="2">
        <f>IF(OR($AS491="",$D$6=""),"",TRIM(INDEX($A:$AP,ROW(),$D$6)&amp;""))</f>
        <v/>
      </c>
      <c r="BA491" s="2">
        <f>IF($AS491="","",IF(AND($AS491&gt;=설정!$B$10,$AS491&lt;=설정!$B$11),"포함","기간 밖"))</f>
        <v/>
      </c>
      <c r="BB491" s="2">
        <f>IF($AS491="","",IF(OR($AT491&lt;0,AND($I$6&lt;&gt;"",ISNUMBER(FIND("수정",INDEX($A:$AP,ROW(),IF($I$6="",1,$I$6))&amp;"")))),"수정","일반"))</f>
        <v/>
      </c>
      <c r="BC491" s="2">
        <f>IF($AS491="","",MID(IF($BA491="기간 밖"," / 기간 밖(신고기간 아님)","")&amp;IF(AND($AW491&lt;&gt;"",COUNTIF($AW$8:$AW$1007,$AW491)&gt;1)," / 승인번호 중복(두 번 붙여넣기?)","")&amp;IF(ABS($AU491-ROUND($AT491*0.1,0))&gt;설정!$B$8,IF($AU491=0," / 세액 0원(영세율·면세 여부 확인)"," / 세액이 공급가액 10%와 다름"),"")&amp;IF($BB491="수정"," / 수정세금계산서(합계에서 자동 가감)",""),4,200))</f>
        <v/>
      </c>
      <c r="BD491" s="2">
        <f>IF($BA491&lt;&gt;"포함","",IF(COUNTIFS($AX$8:$AX491,$AX491,$BA$8:$BA491,"포함")=1,MAX($BD$7:BD490)+1,""))</f>
        <v/>
      </c>
      <c r="BE491" s="2">
        <f>IF($BC491="","",MAX($BE$7:BE490)+1)</f>
        <v/>
      </c>
    </row>
    <row r="492">
      <c r="AR492" s="2">
        <f>IF(OR($A$5="",$B$6="",ROW()&lt;$A$5),"",IF(INDEX($A:$AP,ROW(),$B$6)="","",INDEX($A:$AP,ROW(),$B$6)))</f>
        <v/>
      </c>
      <c r="AS492" s="22">
        <f>IF($AR492="","",IF(ISNUMBER($AR492),IF($AR492&gt;=10000000,IFERROR(DATE(INT($AR492/10000),MOD(INT($AR492/100),100),MOD($AR492,100)),""),INT($AR492)),IFERROR(DATE(--LEFT(LEFT(SUBSTITUTE(SUBSTITUTE(SUBSTITUTE(SUBSTITUTE(TRIM($AR492),"-",""),".",""),"/","")," ",""),8),4),--MID(LEFT(SUBSTITUTE(SUBSTITUTE(SUBSTITUTE(SUBSTITUTE(TRIM($AR492),"-",""),".",""),"/","")," ",""),8),5,2),--MID(LEFT(SUBSTITUTE(SUBSTITUTE(SUBSTITUTE(SUBSTITUTE(TRIM($AR492),"-",""),".",""),"/","")," ",""),8),7,2)),"")))</f>
        <v/>
      </c>
      <c r="AT492" s="23">
        <f>IF($AS492="","",IF($F$6="",0,IF(ISNUMBER(INDEX($A:$AP,ROW(),$F$6)),INDEX($A:$AP,ROW(),$F$6),IFERROR(--SUBSTITUTE(SUBSTITUTE(TRIM(INDEX($A:$AP,ROW(),$F$6)),",",""),"원",""),0))))</f>
        <v/>
      </c>
      <c r="AU492" s="23">
        <f>IF($AS492="","",IF($G$6="",0,IF(ISNUMBER(INDEX($A:$AP,ROW(),$G$6)),INDEX($A:$AP,ROW(),$G$6),IFERROR(--SUBSTITUTE(SUBSTITUTE(TRIM(INDEX($A:$AP,ROW(),$G$6)),",",""),"원",""),0))))</f>
        <v/>
      </c>
      <c r="AV492" s="23">
        <f>IF($AS492="","",IF($H$6="",$AT492+$AU492,IF($H$6="",0,IF(ISNUMBER(INDEX($A:$AP,ROW(),$H$6)),INDEX($A:$AP,ROW(),$H$6),IFERROR(--SUBSTITUTE(SUBSTITUTE(TRIM(INDEX($A:$AP,ROW(),$H$6)),",",""),"원",""),0)))))</f>
        <v/>
      </c>
      <c r="AW492" s="2">
        <f>IF(OR($AS492="",$C$6=""),"",TRIM(INDEX($A:$AP,ROW(),$C$6)&amp;""))</f>
        <v/>
      </c>
      <c r="AX492" s="2">
        <f>IF($AS492="","",IF($AZ492&lt;&gt;"",SUBSTITUTE(SUBSTITUTE($AZ492,"-","")," ",""),$AY492))</f>
        <v/>
      </c>
      <c r="AY492" s="2">
        <f>IF(OR($AS492="",$E$6=""),"",TRIM(INDEX($A:$AP,ROW(),$E$6)&amp;""))</f>
        <v/>
      </c>
      <c r="AZ492" s="2">
        <f>IF(OR($AS492="",$D$6=""),"",TRIM(INDEX($A:$AP,ROW(),$D$6)&amp;""))</f>
        <v/>
      </c>
      <c r="BA492" s="2">
        <f>IF($AS492="","",IF(AND($AS492&gt;=설정!$B$10,$AS492&lt;=설정!$B$11),"포함","기간 밖"))</f>
        <v/>
      </c>
      <c r="BB492" s="2">
        <f>IF($AS492="","",IF(OR($AT492&lt;0,AND($I$6&lt;&gt;"",ISNUMBER(FIND("수정",INDEX($A:$AP,ROW(),IF($I$6="",1,$I$6))&amp;"")))),"수정","일반"))</f>
        <v/>
      </c>
      <c r="BC492" s="2">
        <f>IF($AS492="","",MID(IF($BA492="기간 밖"," / 기간 밖(신고기간 아님)","")&amp;IF(AND($AW492&lt;&gt;"",COUNTIF($AW$8:$AW$1007,$AW492)&gt;1)," / 승인번호 중복(두 번 붙여넣기?)","")&amp;IF(ABS($AU492-ROUND($AT492*0.1,0))&gt;설정!$B$8,IF($AU492=0," / 세액 0원(영세율·면세 여부 확인)"," / 세액이 공급가액 10%와 다름"),"")&amp;IF($BB492="수정"," / 수정세금계산서(합계에서 자동 가감)",""),4,200))</f>
        <v/>
      </c>
      <c r="BD492" s="2">
        <f>IF($BA492&lt;&gt;"포함","",IF(COUNTIFS($AX$8:$AX492,$AX492,$BA$8:$BA492,"포함")=1,MAX($BD$7:BD491)+1,""))</f>
        <v/>
      </c>
      <c r="BE492" s="2">
        <f>IF($BC492="","",MAX($BE$7:BE491)+1)</f>
        <v/>
      </c>
    </row>
    <row r="493">
      <c r="AR493" s="2">
        <f>IF(OR($A$5="",$B$6="",ROW()&lt;$A$5),"",IF(INDEX($A:$AP,ROW(),$B$6)="","",INDEX($A:$AP,ROW(),$B$6)))</f>
        <v/>
      </c>
      <c r="AS493" s="22">
        <f>IF($AR493="","",IF(ISNUMBER($AR493),IF($AR493&gt;=10000000,IFERROR(DATE(INT($AR493/10000),MOD(INT($AR493/100),100),MOD($AR493,100)),""),INT($AR493)),IFERROR(DATE(--LEFT(LEFT(SUBSTITUTE(SUBSTITUTE(SUBSTITUTE(SUBSTITUTE(TRIM($AR493),"-",""),".",""),"/","")," ",""),8),4),--MID(LEFT(SUBSTITUTE(SUBSTITUTE(SUBSTITUTE(SUBSTITUTE(TRIM($AR493),"-",""),".",""),"/","")," ",""),8),5,2),--MID(LEFT(SUBSTITUTE(SUBSTITUTE(SUBSTITUTE(SUBSTITUTE(TRIM($AR493),"-",""),".",""),"/","")," ",""),8),7,2)),"")))</f>
        <v/>
      </c>
      <c r="AT493" s="23">
        <f>IF($AS493="","",IF($F$6="",0,IF(ISNUMBER(INDEX($A:$AP,ROW(),$F$6)),INDEX($A:$AP,ROW(),$F$6),IFERROR(--SUBSTITUTE(SUBSTITUTE(TRIM(INDEX($A:$AP,ROW(),$F$6)),",",""),"원",""),0))))</f>
        <v/>
      </c>
      <c r="AU493" s="23">
        <f>IF($AS493="","",IF($G$6="",0,IF(ISNUMBER(INDEX($A:$AP,ROW(),$G$6)),INDEX($A:$AP,ROW(),$G$6),IFERROR(--SUBSTITUTE(SUBSTITUTE(TRIM(INDEX($A:$AP,ROW(),$G$6)),",",""),"원",""),0))))</f>
        <v/>
      </c>
      <c r="AV493" s="23">
        <f>IF($AS493="","",IF($H$6="",$AT493+$AU493,IF($H$6="",0,IF(ISNUMBER(INDEX($A:$AP,ROW(),$H$6)),INDEX($A:$AP,ROW(),$H$6),IFERROR(--SUBSTITUTE(SUBSTITUTE(TRIM(INDEX($A:$AP,ROW(),$H$6)),",",""),"원",""),0)))))</f>
        <v/>
      </c>
      <c r="AW493" s="2">
        <f>IF(OR($AS493="",$C$6=""),"",TRIM(INDEX($A:$AP,ROW(),$C$6)&amp;""))</f>
        <v/>
      </c>
      <c r="AX493" s="2">
        <f>IF($AS493="","",IF($AZ493&lt;&gt;"",SUBSTITUTE(SUBSTITUTE($AZ493,"-","")," ",""),$AY493))</f>
        <v/>
      </c>
      <c r="AY493" s="2">
        <f>IF(OR($AS493="",$E$6=""),"",TRIM(INDEX($A:$AP,ROW(),$E$6)&amp;""))</f>
        <v/>
      </c>
      <c r="AZ493" s="2">
        <f>IF(OR($AS493="",$D$6=""),"",TRIM(INDEX($A:$AP,ROW(),$D$6)&amp;""))</f>
        <v/>
      </c>
      <c r="BA493" s="2">
        <f>IF($AS493="","",IF(AND($AS493&gt;=설정!$B$10,$AS493&lt;=설정!$B$11),"포함","기간 밖"))</f>
        <v/>
      </c>
      <c r="BB493" s="2">
        <f>IF($AS493="","",IF(OR($AT493&lt;0,AND($I$6&lt;&gt;"",ISNUMBER(FIND("수정",INDEX($A:$AP,ROW(),IF($I$6="",1,$I$6))&amp;"")))),"수정","일반"))</f>
        <v/>
      </c>
      <c r="BC493" s="2">
        <f>IF($AS493="","",MID(IF($BA493="기간 밖"," / 기간 밖(신고기간 아님)","")&amp;IF(AND($AW493&lt;&gt;"",COUNTIF($AW$8:$AW$1007,$AW493)&gt;1)," / 승인번호 중복(두 번 붙여넣기?)","")&amp;IF(ABS($AU493-ROUND($AT493*0.1,0))&gt;설정!$B$8,IF($AU493=0," / 세액 0원(영세율·면세 여부 확인)"," / 세액이 공급가액 10%와 다름"),"")&amp;IF($BB493="수정"," / 수정세금계산서(합계에서 자동 가감)",""),4,200))</f>
        <v/>
      </c>
      <c r="BD493" s="2">
        <f>IF($BA493&lt;&gt;"포함","",IF(COUNTIFS($AX$8:$AX493,$AX493,$BA$8:$BA493,"포함")=1,MAX($BD$7:BD492)+1,""))</f>
        <v/>
      </c>
      <c r="BE493" s="2">
        <f>IF($BC493="","",MAX($BE$7:BE492)+1)</f>
        <v/>
      </c>
    </row>
    <row r="494">
      <c r="AR494" s="2">
        <f>IF(OR($A$5="",$B$6="",ROW()&lt;$A$5),"",IF(INDEX($A:$AP,ROW(),$B$6)="","",INDEX($A:$AP,ROW(),$B$6)))</f>
        <v/>
      </c>
      <c r="AS494" s="22">
        <f>IF($AR494="","",IF(ISNUMBER($AR494),IF($AR494&gt;=10000000,IFERROR(DATE(INT($AR494/10000),MOD(INT($AR494/100),100),MOD($AR494,100)),""),INT($AR494)),IFERROR(DATE(--LEFT(LEFT(SUBSTITUTE(SUBSTITUTE(SUBSTITUTE(SUBSTITUTE(TRIM($AR494),"-",""),".",""),"/","")," ",""),8),4),--MID(LEFT(SUBSTITUTE(SUBSTITUTE(SUBSTITUTE(SUBSTITUTE(TRIM($AR494),"-",""),".",""),"/","")," ",""),8),5,2),--MID(LEFT(SUBSTITUTE(SUBSTITUTE(SUBSTITUTE(SUBSTITUTE(TRIM($AR494),"-",""),".",""),"/","")," ",""),8),7,2)),"")))</f>
        <v/>
      </c>
      <c r="AT494" s="23">
        <f>IF($AS494="","",IF($F$6="",0,IF(ISNUMBER(INDEX($A:$AP,ROW(),$F$6)),INDEX($A:$AP,ROW(),$F$6),IFERROR(--SUBSTITUTE(SUBSTITUTE(TRIM(INDEX($A:$AP,ROW(),$F$6)),",",""),"원",""),0))))</f>
        <v/>
      </c>
      <c r="AU494" s="23">
        <f>IF($AS494="","",IF($G$6="",0,IF(ISNUMBER(INDEX($A:$AP,ROW(),$G$6)),INDEX($A:$AP,ROW(),$G$6),IFERROR(--SUBSTITUTE(SUBSTITUTE(TRIM(INDEX($A:$AP,ROW(),$G$6)),",",""),"원",""),0))))</f>
        <v/>
      </c>
      <c r="AV494" s="23">
        <f>IF($AS494="","",IF($H$6="",$AT494+$AU494,IF($H$6="",0,IF(ISNUMBER(INDEX($A:$AP,ROW(),$H$6)),INDEX($A:$AP,ROW(),$H$6),IFERROR(--SUBSTITUTE(SUBSTITUTE(TRIM(INDEX($A:$AP,ROW(),$H$6)),",",""),"원",""),0)))))</f>
        <v/>
      </c>
      <c r="AW494" s="2">
        <f>IF(OR($AS494="",$C$6=""),"",TRIM(INDEX($A:$AP,ROW(),$C$6)&amp;""))</f>
        <v/>
      </c>
      <c r="AX494" s="2">
        <f>IF($AS494="","",IF($AZ494&lt;&gt;"",SUBSTITUTE(SUBSTITUTE($AZ494,"-","")," ",""),$AY494))</f>
        <v/>
      </c>
      <c r="AY494" s="2">
        <f>IF(OR($AS494="",$E$6=""),"",TRIM(INDEX($A:$AP,ROW(),$E$6)&amp;""))</f>
        <v/>
      </c>
      <c r="AZ494" s="2">
        <f>IF(OR($AS494="",$D$6=""),"",TRIM(INDEX($A:$AP,ROW(),$D$6)&amp;""))</f>
        <v/>
      </c>
      <c r="BA494" s="2">
        <f>IF($AS494="","",IF(AND($AS494&gt;=설정!$B$10,$AS494&lt;=설정!$B$11),"포함","기간 밖"))</f>
        <v/>
      </c>
      <c r="BB494" s="2">
        <f>IF($AS494="","",IF(OR($AT494&lt;0,AND($I$6&lt;&gt;"",ISNUMBER(FIND("수정",INDEX($A:$AP,ROW(),IF($I$6="",1,$I$6))&amp;"")))),"수정","일반"))</f>
        <v/>
      </c>
      <c r="BC494" s="2">
        <f>IF($AS494="","",MID(IF($BA494="기간 밖"," / 기간 밖(신고기간 아님)","")&amp;IF(AND($AW494&lt;&gt;"",COUNTIF($AW$8:$AW$1007,$AW494)&gt;1)," / 승인번호 중복(두 번 붙여넣기?)","")&amp;IF(ABS($AU494-ROUND($AT494*0.1,0))&gt;설정!$B$8,IF($AU494=0," / 세액 0원(영세율·면세 여부 확인)"," / 세액이 공급가액 10%와 다름"),"")&amp;IF($BB494="수정"," / 수정세금계산서(합계에서 자동 가감)",""),4,200))</f>
        <v/>
      </c>
      <c r="BD494" s="2">
        <f>IF($BA494&lt;&gt;"포함","",IF(COUNTIFS($AX$8:$AX494,$AX494,$BA$8:$BA494,"포함")=1,MAX($BD$7:BD493)+1,""))</f>
        <v/>
      </c>
      <c r="BE494" s="2">
        <f>IF($BC494="","",MAX($BE$7:BE493)+1)</f>
        <v/>
      </c>
    </row>
    <row r="495">
      <c r="AR495" s="2">
        <f>IF(OR($A$5="",$B$6="",ROW()&lt;$A$5),"",IF(INDEX($A:$AP,ROW(),$B$6)="","",INDEX($A:$AP,ROW(),$B$6)))</f>
        <v/>
      </c>
      <c r="AS495" s="22">
        <f>IF($AR495="","",IF(ISNUMBER($AR495),IF($AR495&gt;=10000000,IFERROR(DATE(INT($AR495/10000),MOD(INT($AR495/100),100),MOD($AR495,100)),""),INT($AR495)),IFERROR(DATE(--LEFT(LEFT(SUBSTITUTE(SUBSTITUTE(SUBSTITUTE(SUBSTITUTE(TRIM($AR495),"-",""),".",""),"/","")," ",""),8),4),--MID(LEFT(SUBSTITUTE(SUBSTITUTE(SUBSTITUTE(SUBSTITUTE(TRIM($AR495),"-",""),".",""),"/","")," ",""),8),5,2),--MID(LEFT(SUBSTITUTE(SUBSTITUTE(SUBSTITUTE(SUBSTITUTE(TRIM($AR495),"-",""),".",""),"/","")," ",""),8),7,2)),"")))</f>
        <v/>
      </c>
      <c r="AT495" s="23">
        <f>IF($AS495="","",IF($F$6="",0,IF(ISNUMBER(INDEX($A:$AP,ROW(),$F$6)),INDEX($A:$AP,ROW(),$F$6),IFERROR(--SUBSTITUTE(SUBSTITUTE(TRIM(INDEX($A:$AP,ROW(),$F$6)),",",""),"원",""),0))))</f>
        <v/>
      </c>
      <c r="AU495" s="23">
        <f>IF($AS495="","",IF($G$6="",0,IF(ISNUMBER(INDEX($A:$AP,ROW(),$G$6)),INDEX($A:$AP,ROW(),$G$6),IFERROR(--SUBSTITUTE(SUBSTITUTE(TRIM(INDEX($A:$AP,ROW(),$G$6)),",",""),"원",""),0))))</f>
        <v/>
      </c>
      <c r="AV495" s="23">
        <f>IF($AS495="","",IF($H$6="",$AT495+$AU495,IF($H$6="",0,IF(ISNUMBER(INDEX($A:$AP,ROW(),$H$6)),INDEX($A:$AP,ROW(),$H$6),IFERROR(--SUBSTITUTE(SUBSTITUTE(TRIM(INDEX($A:$AP,ROW(),$H$6)),",",""),"원",""),0)))))</f>
        <v/>
      </c>
      <c r="AW495" s="2">
        <f>IF(OR($AS495="",$C$6=""),"",TRIM(INDEX($A:$AP,ROW(),$C$6)&amp;""))</f>
        <v/>
      </c>
      <c r="AX495" s="2">
        <f>IF($AS495="","",IF($AZ495&lt;&gt;"",SUBSTITUTE(SUBSTITUTE($AZ495,"-","")," ",""),$AY495))</f>
        <v/>
      </c>
      <c r="AY495" s="2">
        <f>IF(OR($AS495="",$E$6=""),"",TRIM(INDEX($A:$AP,ROW(),$E$6)&amp;""))</f>
        <v/>
      </c>
      <c r="AZ495" s="2">
        <f>IF(OR($AS495="",$D$6=""),"",TRIM(INDEX($A:$AP,ROW(),$D$6)&amp;""))</f>
        <v/>
      </c>
      <c r="BA495" s="2">
        <f>IF($AS495="","",IF(AND($AS495&gt;=설정!$B$10,$AS495&lt;=설정!$B$11),"포함","기간 밖"))</f>
        <v/>
      </c>
      <c r="BB495" s="2">
        <f>IF($AS495="","",IF(OR($AT495&lt;0,AND($I$6&lt;&gt;"",ISNUMBER(FIND("수정",INDEX($A:$AP,ROW(),IF($I$6="",1,$I$6))&amp;"")))),"수정","일반"))</f>
        <v/>
      </c>
      <c r="BC495" s="2">
        <f>IF($AS495="","",MID(IF($BA495="기간 밖"," / 기간 밖(신고기간 아님)","")&amp;IF(AND($AW495&lt;&gt;"",COUNTIF($AW$8:$AW$1007,$AW495)&gt;1)," / 승인번호 중복(두 번 붙여넣기?)","")&amp;IF(ABS($AU495-ROUND($AT495*0.1,0))&gt;설정!$B$8,IF($AU495=0," / 세액 0원(영세율·면세 여부 확인)"," / 세액이 공급가액 10%와 다름"),"")&amp;IF($BB495="수정"," / 수정세금계산서(합계에서 자동 가감)",""),4,200))</f>
        <v/>
      </c>
      <c r="BD495" s="2">
        <f>IF($BA495&lt;&gt;"포함","",IF(COUNTIFS($AX$8:$AX495,$AX495,$BA$8:$BA495,"포함")=1,MAX($BD$7:BD494)+1,""))</f>
        <v/>
      </c>
      <c r="BE495" s="2">
        <f>IF($BC495="","",MAX($BE$7:BE494)+1)</f>
        <v/>
      </c>
    </row>
    <row r="496">
      <c r="AR496" s="2">
        <f>IF(OR($A$5="",$B$6="",ROW()&lt;$A$5),"",IF(INDEX($A:$AP,ROW(),$B$6)="","",INDEX($A:$AP,ROW(),$B$6)))</f>
        <v/>
      </c>
      <c r="AS496" s="22">
        <f>IF($AR496="","",IF(ISNUMBER($AR496),IF($AR496&gt;=10000000,IFERROR(DATE(INT($AR496/10000),MOD(INT($AR496/100),100),MOD($AR496,100)),""),INT($AR496)),IFERROR(DATE(--LEFT(LEFT(SUBSTITUTE(SUBSTITUTE(SUBSTITUTE(SUBSTITUTE(TRIM($AR496),"-",""),".",""),"/","")," ",""),8),4),--MID(LEFT(SUBSTITUTE(SUBSTITUTE(SUBSTITUTE(SUBSTITUTE(TRIM($AR496),"-",""),".",""),"/","")," ",""),8),5,2),--MID(LEFT(SUBSTITUTE(SUBSTITUTE(SUBSTITUTE(SUBSTITUTE(TRIM($AR496),"-",""),".",""),"/","")," ",""),8),7,2)),"")))</f>
        <v/>
      </c>
      <c r="AT496" s="23">
        <f>IF($AS496="","",IF($F$6="",0,IF(ISNUMBER(INDEX($A:$AP,ROW(),$F$6)),INDEX($A:$AP,ROW(),$F$6),IFERROR(--SUBSTITUTE(SUBSTITUTE(TRIM(INDEX($A:$AP,ROW(),$F$6)),",",""),"원",""),0))))</f>
        <v/>
      </c>
      <c r="AU496" s="23">
        <f>IF($AS496="","",IF($G$6="",0,IF(ISNUMBER(INDEX($A:$AP,ROW(),$G$6)),INDEX($A:$AP,ROW(),$G$6),IFERROR(--SUBSTITUTE(SUBSTITUTE(TRIM(INDEX($A:$AP,ROW(),$G$6)),",",""),"원",""),0))))</f>
        <v/>
      </c>
      <c r="AV496" s="23">
        <f>IF($AS496="","",IF($H$6="",$AT496+$AU496,IF($H$6="",0,IF(ISNUMBER(INDEX($A:$AP,ROW(),$H$6)),INDEX($A:$AP,ROW(),$H$6),IFERROR(--SUBSTITUTE(SUBSTITUTE(TRIM(INDEX($A:$AP,ROW(),$H$6)),",",""),"원",""),0)))))</f>
        <v/>
      </c>
      <c r="AW496" s="2">
        <f>IF(OR($AS496="",$C$6=""),"",TRIM(INDEX($A:$AP,ROW(),$C$6)&amp;""))</f>
        <v/>
      </c>
      <c r="AX496" s="2">
        <f>IF($AS496="","",IF($AZ496&lt;&gt;"",SUBSTITUTE(SUBSTITUTE($AZ496,"-","")," ",""),$AY496))</f>
        <v/>
      </c>
      <c r="AY496" s="2">
        <f>IF(OR($AS496="",$E$6=""),"",TRIM(INDEX($A:$AP,ROW(),$E$6)&amp;""))</f>
        <v/>
      </c>
      <c r="AZ496" s="2">
        <f>IF(OR($AS496="",$D$6=""),"",TRIM(INDEX($A:$AP,ROW(),$D$6)&amp;""))</f>
        <v/>
      </c>
      <c r="BA496" s="2">
        <f>IF($AS496="","",IF(AND($AS496&gt;=설정!$B$10,$AS496&lt;=설정!$B$11),"포함","기간 밖"))</f>
        <v/>
      </c>
      <c r="BB496" s="2">
        <f>IF($AS496="","",IF(OR($AT496&lt;0,AND($I$6&lt;&gt;"",ISNUMBER(FIND("수정",INDEX($A:$AP,ROW(),IF($I$6="",1,$I$6))&amp;"")))),"수정","일반"))</f>
        <v/>
      </c>
      <c r="BC496" s="2">
        <f>IF($AS496="","",MID(IF($BA496="기간 밖"," / 기간 밖(신고기간 아님)","")&amp;IF(AND($AW496&lt;&gt;"",COUNTIF($AW$8:$AW$1007,$AW496)&gt;1)," / 승인번호 중복(두 번 붙여넣기?)","")&amp;IF(ABS($AU496-ROUND($AT496*0.1,0))&gt;설정!$B$8,IF($AU496=0," / 세액 0원(영세율·면세 여부 확인)"," / 세액이 공급가액 10%와 다름"),"")&amp;IF($BB496="수정"," / 수정세금계산서(합계에서 자동 가감)",""),4,200))</f>
        <v/>
      </c>
      <c r="BD496" s="2">
        <f>IF($BA496&lt;&gt;"포함","",IF(COUNTIFS($AX$8:$AX496,$AX496,$BA$8:$BA496,"포함")=1,MAX($BD$7:BD495)+1,""))</f>
        <v/>
      </c>
      <c r="BE496" s="2">
        <f>IF($BC496="","",MAX($BE$7:BE495)+1)</f>
        <v/>
      </c>
    </row>
    <row r="497">
      <c r="AR497" s="2">
        <f>IF(OR($A$5="",$B$6="",ROW()&lt;$A$5),"",IF(INDEX($A:$AP,ROW(),$B$6)="","",INDEX($A:$AP,ROW(),$B$6)))</f>
        <v/>
      </c>
      <c r="AS497" s="22">
        <f>IF($AR497="","",IF(ISNUMBER($AR497),IF($AR497&gt;=10000000,IFERROR(DATE(INT($AR497/10000),MOD(INT($AR497/100),100),MOD($AR497,100)),""),INT($AR497)),IFERROR(DATE(--LEFT(LEFT(SUBSTITUTE(SUBSTITUTE(SUBSTITUTE(SUBSTITUTE(TRIM($AR497),"-",""),".",""),"/","")," ",""),8),4),--MID(LEFT(SUBSTITUTE(SUBSTITUTE(SUBSTITUTE(SUBSTITUTE(TRIM($AR497),"-",""),".",""),"/","")," ",""),8),5,2),--MID(LEFT(SUBSTITUTE(SUBSTITUTE(SUBSTITUTE(SUBSTITUTE(TRIM($AR497),"-",""),".",""),"/","")," ",""),8),7,2)),"")))</f>
        <v/>
      </c>
      <c r="AT497" s="23">
        <f>IF($AS497="","",IF($F$6="",0,IF(ISNUMBER(INDEX($A:$AP,ROW(),$F$6)),INDEX($A:$AP,ROW(),$F$6),IFERROR(--SUBSTITUTE(SUBSTITUTE(TRIM(INDEX($A:$AP,ROW(),$F$6)),",",""),"원",""),0))))</f>
        <v/>
      </c>
      <c r="AU497" s="23">
        <f>IF($AS497="","",IF($G$6="",0,IF(ISNUMBER(INDEX($A:$AP,ROW(),$G$6)),INDEX($A:$AP,ROW(),$G$6),IFERROR(--SUBSTITUTE(SUBSTITUTE(TRIM(INDEX($A:$AP,ROW(),$G$6)),",",""),"원",""),0))))</f>
        <v/>
      </c>
      <c r="AV497" s="23">
        <f>IF($AS497="","",IF($H$6="",$AT497+$AU497,IF($H$6="",0,IF(ISNUMBER(INDEX($A:$AP,ROW(),$H$6)),INDEX($A:$AP,ROW(),$H$6),IFERROR(--SUBSTITUTE(SUBSTITUTE(TRIM(INDEX($A:$AP,ROW(),$H$6)),",",""),"원",""),0)))))</f>
        <v/>
      </c>
      <c r="AW497" s="2">
        <f>IF(OR($AS497="",$C$6=""),"",TRIM(INDEX($A:$AP,ROW(),$C$6)&amp;""))</f>
        <v/>
      </c>
      <c r="AX497" s="2">
        <f>IF($AS497="","",IF($AZ497&lt;&gt;"",SUBSTITUTE(SUBSTITUTE($AZ497,"-","")," ",""),$AY497))</f>
        <v/>
      </c>
      <c r="AY497" s="2">
        <f>IF(OR($AS497="",$E$6=""),"",TRIM(INDEX($A:$AP,ROW(),$E$6)&amp;""))</f>
        <v/>
      </c>
      <c r="AZ497" s="2">
        <f>IF(OR($AS497="",$D$6=""),"",TRIM(INDEX($A:$AP,ROW(),$D$6)&amp;""))</f>
        <v/>
      </c>
      <c r="BA497" s="2">
        <f>IF($AS497="","",IF(AND($AS497&gt;=설정!$B$10,$AS497&lt;=설정!$B$11),"포함","기간 밖"))</f>
        <v/>
      </c>
      <c r="BB497" s="2">
        <f>IF($AS497="","",IF(OR($AT497&lt;0,AND($I$6&lt;&gt;"",ISNUMBER(FIND("수정",INDEX($A:$AP,ROW(),IF($I$6="",1,$I$6))&amp;"")))),"수정","일반"))</f>
        <v/>
      </c>
      <c r="BC497" s="2">
        <f>IF($AS497="","",MID(IF($BA497="기간 밖"," / 기간 밖(신고기간 아님)","")&amp;IF(AND($AW497&lt;&gt;"",COUNTIF($AW$8:$AW$1007,$AW497)&gt;1)," / 승인번호 중복(두 번 붙여넣기?)","")&amp;IF(ABS($AU497-ROUND($AT497*0.1,0))&gt;설정!$B$8,IF($AU497=0," / 세액 0원(영세율·면세 여부 확인)"," / 세액이 공급가액 10%와 다름"),"")&amp;IF($BB497="수정"," / 수정세금계산서(합계에서 자동 가감)",""),4,200))</f>
        <v/>
      </c>
      <c r="BD497" s="2">
        <f>IF($BA497&lt;&gt;"포함","",IF(COUNTIFS($AX$8:$AX497,$AX497,$BA$8:$BA497,"포함")=1,MAX($BD$7:BD496)+1,""))</f>
        <v/>
      </c>
      <c r="BE497" s="2">
        <f>IF($BC497="","",MAX($BE$7:BE496)+1)</f>
        <v/>
      </c>
    </row>
    <row r="498">
      <c r="AR498" s="2">
        <f>IF(OR($A$5="",$B$6="",ROW()&lt;$A$5),"",IF(INDEX($A:$AP,ROW(),$B$6)="","",INDEX($A:$AP,ROW(),$B$6)))</f>
        <v/>
      </c>
      <c r="AS498" s="22">
        <f>IF($AR498="","",IF(ISNUMBER($AR498),IF($AR498&gt;=10000000,IFERROR(DATE(INT($AR498/10000),MOD(INT($AR498/100),100),MOD($AR498,100)),""),INT($AR498)),IFERROR(DATE(--LEFT(LEFT(SUBSTITUTE(SUBSTITUTE(SUBSTITUTE(SUBSTITUTE(TRIM($AR498),"-",""),".",""),"/","")," ",""),8),4),--MID(LEFT(SUBSTITUTE(SUBSTITUTE(SUBSTITUTE(SUBSTITUTE(TRIM($AR498),"-",""),".",""),"/","")," ",""),8),5,2),--MID(LEFT(SUBSTITUTE(SUBSTITUTE(SUBSTITUTE(SUBSTITUTE(TRIM($AR498),"-",""),".",""),"/","")," ",""),8),7,2)),"")))</f>
        <v/>
      </c>
      <c r="AT498" s="23">
        <f>IF($AS498="","",IF($F$6="",0,IF(ISNUMBER(INDEX($A:$AP,ROW(),$F$6)),INDEX($A:$AP,ROW(),$F$6),IFERROR(--SUBSTITUTE(SUBSTITUTE(TRIM(INDEX($A:$AP,ROW(),$F$6)),",",""),"원",""),0))))</f>
        <v/>
      </c>
      <c r="AU498" s="23">
        <f>IF($AS498="","",IF($G$6="",0,IF(ISNUMBER(INDEX($A:$AP,ROW(),$G$6)),INDEX($A:$AP,ROW(),$G$6),IFERROR(--SUBSTITUTE(SUBSTITUTE(TRIM(INDEX($A:$AP,ROW(),$G$6)),",",""),"원",""),0))))</f>
        <v/>
      </c>
      <c r="AV498" s="23">
        <f>IF($AS498="","",IF($H$6="",$AT498+$AU498,IF($H$6="",0,IF(ISNUMBER(INDEX($A:$AP,ROW(),$H$6)),INDEX($A:$AP,ROW(),$H$6),IFERROR(--SUBSTITUTE(SUBSTITUTE(TRIM(INDEX($A:$AP,ROW(),$H$6)),",",""),"원",""),0)))))</f>
        <v/>
      </c>
      <c r="AW498" s="2">
        <f>IF(OR($AS498="",$C$6=""),"",TRIM(INDEX($A:$AP,ROW(),$C$6)&amp;""))</f>
        <v/>
      </c>
      <c r="AX498" s="2">
        <f>IF($AS498="","",IF($AZ498&lt;&gt;"",SUBSTITUTE(SUBSTITUTE($AZ498,"-","")," ",""),$AY498))</f>
        <v/>
      </c>
      <c r="AY498" s="2">
        <f>IF(OR($AS498="",$E$6=""),"",TRIM(INDEX($A:$AP,ROW(),$E$6)&amp;""))</f>
        <v/>
      </c>
      <c r="AZ498" s="2">
        <f>IF(OR($AS498="",$D$6=""),"",TRIM(INDEX($A:$AP,ROW(),$D$6)&amp;""))</f>
        <v/>
      </c>
      <c r="BA498" s="2">
        <f>IF($AS498="","",IF(AND($AS498&gt;=설정!$B$10,$AS498&lt;=설정!$B$11),"포함","기간 밖"))</f>
        <v/>
      </c>
      <c r="BB498" s="2">
        <f>IF($AS498="","",IF(OR($AT498&lt;0,AND($I$6&lt;&gt;"",ISNUMBER(FIND("수정",INDEX($A:$AP,ROW(),IF($I$6="",1,$I$6))&amp;"")))),"수정","일반"))</f>
        <v/>
      </c>
      <c r="BC498" s="2">
        <f>IF($AS498="","",MID(IF($BA498="기간 밖"," / 기간 밖(신고기간 아님)","")&amp;IF(AND($AW498&lt;&gt;"",COUNTIF($AW$8:$AW$1007,$AW498)&gt;1)," / 승인번호 중복(두 번 붙여넣기?)","")&amp;IF(ABS($AU498-ROUND($AT498*0.1,0))&gt;설정!$B$8,IF($AU498=0," / 세액 0원(영세율·면세 여부 확인)"," / 세액이 공급가액 10%와 다름"),"")&amp;IF($BB498="수정"," / 수정세금계산서(합계에서 자동 가감)",""),4,200))</f>
        <v/>
      </c>
      <c r="BD498" s="2">
        <f>IF($BA498&lt;&gt;"포함","",IF(COUNTIFS($AX$8:$AX498,$AX498,$BA$8:$BA498,"포함")=1,MAX($BD$7:BD497)+1,""))</f>
        <v/>
      </c>
      <c r="BE498" s="2">
        <f>IF($BC498="","",MAX($BE$7:BE497)+1)</f>
        <v/>
      </c>
    </row>
    <row r="499">
      <c r="AR499" s="2">
        <f>IF(OR($A$5="",$B$6="",ROW()&lt;$A$5),"",IF(INDEX($A:$AP,ROW(),$B$6)="","",INDEX($A:$AP,ROW(),$B$6)))</f>
        <v/>
      </c>
      <c r="AS499" s="22">
        <f>IF($AR499="","",IF(ISNUMBER($AR499),IF($AR499&gt;=10000000,IFERROR(DATE(INT($AR499/10000),MOD(INT($AR499/100),100),MOD($AR499,100)),""),INT($AR499)),IFERROR(DATE(--LEFT(LEFT(SUBSTITUTE(SUBSTITUTE(SUBSTITUTE(SUBSTITUTE(TRIM($AR499),"-",""),".",""),"/","")," ",""),8),4),--MID(LEFT(SUBSTITUTE(SUBSTITUTE(SUBSTITUTE(SUBSTITUTE(TRIM($AR499),"-",""),".",""),"/","")," ",""),8),5,2),--MID(LEFT(SUBSTITUTE(SUBSTITUTE(SUBSTITUTE(SUBSTITUTE(TRIM($AR499),"-",""),".",""),"/","")," ",""),8),7,2)),"")))</f>
        <v/>
      </c>
      <c r="AT499" s="23">
        <f>IF($AS499="","",IF($F$6="",0,IF(ISNUMBER(INDEX($A:$AP,ROW(),$F$6)),INDEX($A:$AP,ROW(),$F$6),IFERROR(--SUBSTITUTE(SUBSTITUTE(TRIM(INDEX($A:$AP,ROW(),$F$6)),",",""),"원",""),0))))</f>
        <v/>
      </c>
      <c r="AU499" s="23">
        <f>IF($AS499="","",IF($G$6="",0,IF(ISNUMBER(INDEX($A:$AP,ROW(),$G$6)),INDEX($A:$AP,ROW(),$G$6),IFERROR(--SUBSTITUTE(SUBSTITUTE(TRIM(INDEX($A:$AP,ROW(),$G$6)),",",""),"원",""),0))))</f>
        <v/>
      </c>
      <c r="AV499" s="23">
        <f>IF($AS499="","",IF($H$6="",$AT499+$AU499,IF($H$6="",0,IF(ISNUMBER(INDEX($A:$AP,ROW(),$H$6)),INDEX($A:$AP,ROW(),$H$6),IFERROR(--SUBSTITUTE(SUBSTITUTE(TRIM(INDEX($A:$AP,ROW(),$H$6)),",",""),"원",""),0)))))</f>
        <v/>
      </c>
      <c r="AW499" s="2">
        <f>IF(OR($AS499="",$C$6=""),"",TRIM(INDEX($A:$AP,ROW(),$C$6)&amp;""))</f>
        <v/>
      </c>
      <c r="AX499" s="2">
        <f>IF($AS499="","",IF($AZ499&lt;&gt;"",SUBSTITUTE(SUBSTITUTE($AZ499,"-","")," ",""),$AY499))</f>
        <v/>
      </c>
      <c r="AY499" s="2">
        <f>IF(OR($AS499="",$E$6=""),"",TRIM(INDEX($A:$AP,ROW(),$E$6)&amp;""))</f>
        <v/>
      </c>
      <c r="AZ499" s="2">
        <f>IF(OR($AS499="",$D$6=""),"",TRIM(INDEX($A:$AP,ROW(),$D$6)&amp;""))</f>
        <v/>
      </c>
      <c r="BA499" s="2">
        <f>IF($AS499="","",IF(AND($AS499&gt;=설정!$B$10,$AS499&lt;=설정!$B$11),"포함","기간 밖"))</f>
        <v/>
      </c>
      <c r="BB499" s="2">
        <f>IF($AS499="","",IF(OR($AT499&lt;0,AND($I$6&lt;&gt;"",ISNUMBER(FIND("수정",INDEX($A:$AP,ROW(),IF($I$6="",1,$I$6))&amp;"")))),"수정","일반"))</f>
        <v/>
      </c>
      <c r="BC499" s="2">
        <f>IF($AS499="","",MID(IF($BA499="기간 밖"," / 기간 밖(신고기간 아님)","")&amp;IF(AND($AW499&lt;&gt;"",COUNTIF($AW$8:$AW$1007,$AW499)&gt;1)," / 승인번호 중복(두 번 붙여넣기?)","")&amp;IF(ABS($AU499-ROUND($AT499*0.1,0))&gt;설정!$B$8,IF($AU499=0," / 세액 0원(영세율·면세 여부 확인)"," / 세액이 공급가액 10%와 다름"),"")&amp;IF($BB499="수정"," / 수정세금계산서(합계에서 자동 가감)",""),4,200))</f>
        <v/>
      </c>
      <c r="BD499" s="2">
        <f>IF($BA499&lt;&gt;"포함","",IF(COUNTIFS($AX$8:$AX499,$AX499,$BA$8:$BA499,"포함")=1,MAX($BD$7:BD498)+1,""))</f>
        <v/>
      </c>
      <c r="BE499" s="2">
        <f>IF($BC499="","",MAX($BE$7:BE498)+1)</f>
        <v/>
      </c>
    </row>
    <row r="500">
      <c r="AR500" s="2">
        <f>IF(OR($A$5="",$B$6="",ROW()&lt;$A$5),"",IF(INDEX($A:$AP,ROW(),$B$6)="","",INDEX($A:$AP,ROW(),$B$6)))</f>
        <v/>
      </c>
      <c r="AS500" s="22">
        <f>IF($AR500="","",IF(ISNUMBER($AR500),IF($AR500&gt;=10000000,IFERROR(DATE(INT($AR500/10000),MOD(INT($AR500/100),100),MOD($AR500,100)),""),INT($AR500)),IFERROR(DATE(--LEFT(LEFT(SUBSTITUTE(SUBSTITUTE(SUBSTITUTE(SUBSTITUTE(TRIM($AR500),"-",""),".",""),"/","")," ",""),8),4),--MID(LEFT(SUBSTITUTE(SUBSTITUTE(SUBSTITUTE(SUBSTITUTE(TRIM($AR500),"-",""),".",""),"/","")," ",""),8),5,2),--MID(LEFT(SUBSTITUTE(SUBSTITUTE(SUBSTITUTE(SUBSTITUTE(TRIM($AR500),"-",""),".",""),"/","")," ",""),8),7,2)),"")))</f>
        <v/>
      </c>
      <c r="AT500" s="23">
        <f>IF($AS500="","",IF($F$6="",0,IF(ISNUMBER(INDEX($A:$AP,ROW(),$F$6)),INDEX($A:$AP,ROW(),$F$6),IFERROR(--SUBSTITUTE(SUBSTITUTE(TRIM(INDEX($A:$AP,ROW(),$F$6)),",",""),"원",""),0))))</f>
        <v/>
      </c>
      <c r="AU500" s="23">
        <f>IF($AS500="","",IF($G$6="",0,IF(ISNUMBER(INDEX($A:$AP,ROW(),$G$6)),INDEX($A:$AP,ROW(),$G$6),IFERROR(--SUBSTITUTE(SUBSTITUTE(TRIM(INDEX($A:$AP,ROW(),$G$6)),",",""),"원",""),0))))</f>
        <v/>
      </c>
      <c r="AV500" s="23">
        <f>IF($AS500="","",IF($H$6="",$AT500+$AU500,IF($H$6="",0,IF(ISNUMBER(INDEX($A:$AP,ROW(),$H$6)),INDEX($A:$AP,ROW(),$H$6),IFERROR(--SUBSTITUTE(SUBSTITUTE(TRIM(INDEX($A:$AP,ROW(),$H$6)),",",""),"원",""),0)))))</f>
        <v/>
      </c>
      <c r="AW500" s="2">
        <f>IF(OR($AS500="",$C$6=""),"",TRIM(INDEX($A:$AP,ROW(),$C$6)&amp;""))</f>
        <v/>
      </c>
      <c r="AX500" s="2">
        <f>IF($AS500="","",IF($AZ500&lt;&gt;"",SUBSTITUTE(SUBSTITUTE($AZ500,"-","")," ",""),$AY500))</f>
        <v/>
      </c>
      <c r="AY500" s="2">
        <f>IF(OR($AS500="",$E$6=""),"",TRIM(INDEX($A:$AP,ROW(),$E$6)&amp;""))</f>
        <v/>
      </c>
      <c r="AZ500" s="2">
        <f>IF(OR($AS500="",$D$6=""),"",TRIM(INDEX($A:$AP,ROW(),$D$6)&amp;""))</f>
        <v/>
      </c>
      <c r="BA500" s="2">
        <f>IF($AS500="","",IF(AND($AS500&gt;=설정!$B$10,$AS500&lt;=설정!$B$11),"포함","기간 밖"))</f>
        <v/>
      </c>
      <c r="BB500" s="2">
        <f>IF($AS500="","",IF(OR($AT500&lt;0,AND($I$6&lt;&gt;"",ISNUMBER(FIND("수정",INDEX($A:$AP,ROW(),IF($I$6="",1,$I$6))&amp;"")))),"수정","일반"))</f>
        <v/>
      </c>
      <c r="BC500" s="2">
        <f>IF($AS500="","",MID(IF($BA500="기간 밖"," / 기간 밖(신고기간 아님)","")&amp;IF(AND($AW500&lt;&gt;"",COUNTIF($AW$8:$AW$1007,$AW500)&gt;1)," / 승인번호 중복(두 번 붙여넣기?)","")&amp;IF(ABS($AU500-ROUND($AT500*0.1,0))&gt;설정!$B$8,IF($AU500=0," / 세액 0원(영세율·면세 여부 확인)"," / 세액이 공급가액 10%와 다름"),"")&amp;IF($BB500="수정"," / 수정세금계산서(합계에서 자동 가감)",""),4,200))</f>
        <v/>
      </c>
      <c r="BD500" s="2">
        <f>IF($BA500&lt;&gt;"포함","",IF(COUNTIFS($AX$8:$AX500,$AX500,$BA$8:$BA500,"포함")=1,MAX($BD$7:BD499)+1,""))</f>
        <v/>
      </c>
      <c r="BE500" s="2">
        <f>IF($BC500="","",MAX($BE$7:BE499)+1)</f>
        <v/>
      </c>
    </row>
    <row r="501">
      <c r="AR501" s="2">
        <f>IF(OR($A$5="",$B$6="",ROW()&lt;$A$5),"",IF(INDEX($A:$AP,ROW(),$B$6)="","",INDEX($A:$AP,ROW(),$B$6)))</f>
        <v/>
      </c>
      <c r="AS501" s="22">
        <f>IF($AR501="","",IF(ISNUMBER($AR501),IF($AR501&gt;=10000000,IFERROR(DATE(INT($AR501/10000),MOD(INT($AR501/100),100),MOD($AR501,100)),""),INT($AR501)),IFERROR(DATE(--LEFT(LEFT(SUBSTITUTE(SUBSTITUTE(SUBSTITUTE(SUBSTITUTE(TRIM($AR501),"-",""),".",""),"/","")," ",""),8),4),--MID(LEFT(SUBSTITUTE(SUBSTITUTE(SUBSTITUTE(SUBSTITUTE(TRIM($AR501),"-",""),".",""),"/","")," ",""),8),5,2),--MID(LEFT(SUBSTITUTE(SUBSTITUTE(SUBSTITUTE(SUBSTITUTE(TRIM($AR501),"-",""),".",""),"/","")," ",""),8),7,2)),"")))</f>
        <v/>
      </c>
      <c r="AT501" s="23">
        <f>IF($AS501="","",IF($F$6="",0,IF(ISNUMBER(INDEX($A:$AP,ROW(),$F$6)),INDEX($A:$AP,ROW(),$F$6),IFERROR(--SUBSTITUTE(SUBSTITUTE(TRIM(INDEX($A:$AP,ROW(),$F$6)),",",""),"원",""),0))))</f>
        <v/>
      </c>
      <c r="AU501" s="23">
        <f>IF($AS501="","",IF($G$6="",0,IF(ISNUMBER(INDEX($A:$AP,ROW(),$G$6)),INDEX($A:$AP,ROW(),$G$6),IFERROR(--SUBSTITUTE(SUBSTITUTE(TRIM(INDEX($A:$AP,ROW(),$G$6)),",",""),"원",""),0))))</f>
        <v/>
      </c>
      <c r="AV501" s="23">
        <f>IF($AS501="","",IF($H$6="",$AT501+$AU501,IF($H$6="",0,IF(ISNUMBER(INDEX($A:$AP,ROW(),$H$6)),INDEX($A:$AP,ROW(),$H$6),IFERROR(--SUBSTITUTE(SUBSTITUTE(TRIM(INDEX($A:$AP,ROW(),$H$6)),",",""),"원",""),0)))))</f>
        <v/>
      </c>
      <c r="AW501" s="2">
        <f>IF(OR($AS501="",$C$6=""),"",TRIM(INDEX($A:$AP,ROW(),$C$6)&amp;""))</f>
        <v/>
      </c>
      <c r="AX501" s="2">
        <f>IF($AS501="","",IF($AZ501&lt;&gt;"",SUBSTITUTE(SUBSTITUTE($AZ501,"-","")," ",""),$AY501))</f>
        <v/>
      </c>
      <c r="AY501" s="2">
        <f>IF(OR($AS501="",$E$6=""),"",TRIM(INDEX($A:$AP,ROW(),$E$6)&amp;""))</f>
        <v/>
      </c>
      <c r="AZ501" s="2">
        <f>IF(OR($AS501="",$D$6=""),"",TRIM(INDEX($A:$AP,ROW(),$D$6)&amp;""))</f>
        <v/>
      </c>
      <c r="BA501" s="2">
        <f>IF($AS501="","",IF(AND($AS501&gt;=설정!$B$10,$AS501&lt;=설정!$B$11),"포함","기간 밖"))</f>
        <v/>
      </c>
      <c r="BB501" s="2">
        <f>IF($AS501="","",IF(OR($AT501&lt;0,AND($I$6&lt;&gt;"",ISNUMBER(FIND("수정",INDEX($A:$AP,ROW(),IF($I$6="",1,$I$6))&amp;"")))),"수정","일반"))</f>
        <v/>
      </c>
      <c r="BC501" s="2">
        <f>IF($AS501="","",MID(IF($BA501="기간 밖"," / 기간 밖(신고기간 아님)","")&amp;IF(AND($AW501&lt;&gt;"",COUNTIF($AW$8:$AW$1007,$AW501)&gt;1)," / 승인번호 중복(두 번 붙여넣기?)","")&amp;IF(ABS($AU501-ROUND($AT501*0.1,0))&gt;설정!$B$8,IF($AU501=0," / 세액 0원(영세율·면세 여부 확인)"," / 세액이 공급가액 10%와 다름"),"")&amp;IF($BB501="수정"," / 수정세금계산서(합계에서 자동 가감)",""),4,200))</f>
        <v/>
      </c>
      <c r="BD501" s="2">
        <f>IF($BA501&lt;&gt;"포함","",IF(COUNTIFS($AX$8:$AX501,$AX501,$BA$8:$BA501,"포함")=1,MAX($BD$7:BD500)+1,""))</f>
        <v/>
      </c>
      <c r="BE501" s="2">
        <f>IF($BC501="","",MAX($BE$7:BE500)+1)</f>
        <v/>
      </c>
    </row>
    <row r="502">
      <c r="AR502" s="2">
        <f>IF(OR($A$5="",$B$6="",ROW()&lt;$A$5),"",IF(INDEX($A:$AP,ROW(),$B$6)="","",INDEX($A:$AP,ROW(),$B$6)))</f>
        <v/>
      </c>
      <c r="AS502" s="22">
        <f>IF($AR502="","",IF(ISNUMBER($AR502),IF($AR502&gt;=10000000,IFERROR(DATE(INT($AR502/10000),MOD(INT($AR502/100),100),MOD($AR502,100)),""),INT($AR502)),IFERROR(DATE(--LEFT(LEFT(SUBSTITUTE(SUBSTITUTE(SUBSTITUTE(SUBSTITUTE(TRIM($AR502),"-",""),".",""),"/","")," ",""),8),4),--MID(LEFT(SUBSTITUTE(SUBSTITUTE(SUBSTITUTE(SUBSTITUTE(TRIM($AR502),"-",""),".",""),"/","")," ",""),8),5,2),--MID(LEFT(SUBSTITUTE(SUBSTITUTE(SUBSTITUTE(SUBSTITUTE(TRIM($AR502),"-",""),".",""),"/","")," ",""),8),7,2)),"")))</f>
        <v/>
      </c>
      <c r="AT502" s="23">
        <f>IF($AS502="","",IF($F$6="",0,IF(ISNUMBER(INDEX($A:$AP,ROW(),$F$6)),INDEX($A:$AP,ROW(),$F$6),IFERROR(--SUBSTITUTE(SUBSTITUTE(TRIM(INDEX($A:$AP,ROW(),$F$6)),",",""),"원",""),0))))</f>
        <v/>
      </c>
      <c r="AU502" s="23">
        <f>IF($AS502="","",IF($G$6="",0,IF(ISNUMBER(INDEX($A:$AP,ROW(),$G$6)),INDEX($A:$AP,ROW(),$G$6),IFERROR(--SUBSTITUTE(SUBSTITUTE(TRIM(INDEX($A:$AP,ROW(),$G$6)),",",""),"원",""),0))))</f>
        <v/>
      </c>
      <c r="AV502" s="23">
        <f>IF($AS502="","",IF($H$6="",$AT502+$AU502,IF($H$6="",0,IF(ISNUMBER(INDEX($A:$AP,ROW(),$H$6)),INDEX($A:$AP,ROW(),$H$6),IFERROR(--SUBSTITUTE(SUBSTITUTE(TRIM(INDEX($A:$AP,ROW(),$H$6)),",",""),"원",""),0)))))</f>
        <v/>
      </c>
      <c r="AW502" s="2">
        <f>IF(OR($AS502="",$C$6=""),"",TRIM(INDEX($A:$AP,ROW(),$C$6)&amp;""))</f>
        <v/>
      </c>
      <c r="AX502" s="2">
        <f>IF($AS502="","",IF($AZ502&lt;&gt;"",SUBSTITUTE(SUBSTITUTE($AZ502,"-","")," ",""),$AY502))</f>
        <v/>
      </c>
      <c r="AY502" s="2">
        <f>IF(OR($AS502="",$E$6=""),"",TRIM(INDEX($A:$AP,ROW(),$E$6)&amp;""))</f>
        <v/>
      </c>
      <c r="AZ502" s="2">
        <f>IF(OR($AS502="",$D$6=""),"",TRIM(INDEX($A:$AP,ROW(),$D$6)&amp;""))</f>
        <v/>
      </c>
      <c r="BA502" s="2">
        <f>IF($AS502="","",IF(AND($AS502&gt;=설정!$B$10,$AS502&lt;=설정!$B$11),"포함","기간 밖"))</f>
        <v/>
      </c>
      <c r="BB502" s="2">
        <f>IF($AS502="","",IF(OR($AT502&lt;0,AND($I$6&lt;&gt;"",ISNUMBER(FIND("수정",INDEX($A:$AP,ROW(),IF($I$6="",1,$I$6))&amp;"")))),"수정","일반"))</f>
        <v/>
      </c>
      <c r="BC502" s="2">
        <f>IF($AS502="","",MID(IF($BA502="기간 밖"," / 기간 밖(신고기간 아님)","")&amp;IF(AND($AW502&lt;&gt;"",COUNTIF($AW$8:$AW$1007,$AW502)&gt;1)," / 승인번호 중복(두 번 붙여넣기?)","")&amp;IF(ABS($AU502-ROUND($AT502*0.1,0))&gt;설정!$B$8,IF($AU502=0," / 세액 0원(영세율·면세 여부 확인)"," / 세액이 공급가액 10%와 다름"),"")&amp;IF($BB502="수정"," / 수정세금계산서(합계에서 자동 가감)",""),4,200))</f>
        <v/>
      </c>
      <c r="BD502" s="2">
        <f>IF($BA502&lt;&gt;"포함","",IF(COUNTIFS($AX$8:$AX502,$AX502,$BA$8:$BA502,"포함")=1,MAX($BD$7:BD501)+1,""))</f>
        <v/>
      </c>
      <c r="BE502" s="2">
        <f>IF($BC502="","",MAX($BE$7:BE501)+1)</f>
        <v/>
      </c>
    </row>
    <row r="503">
      <c r="AR503" s="2">
        <f>IF(OR($A$5="",$B$6="",ROW()&lt;$A$5),"",IF(INDEX($A:$AP,ROW(),$B$6)="","",INDEX($A:$AP,ROW(),$B$6)))</f>
        <v/>
      </c>
      <c r="AS503" s="22">
        <f>IF($AR503="","",IF(ISNUMBER($AR503),IF($AR503&gt;=10000000,IFERROR(DATE(INT($AR503/10000),MOD(INT($AR503/100),100),MOD($AR503,100)),""),INT($AR503)),IFERROR(DATE(--LEFT(LEFT(SUBSTITUTE(SUBSTITUTE(SUBSTITUTE(SUBSTITUTE(TRIM($AR503),"-",""),".",""),"/","")," ",""),8),4),--MID(LEFT(SUBSTITUTE(SUBSTITUTE(SUBSTITUTE(SUBSTITUTE(TRIM($AR503),"-",""),".",""),"/","")," ",""),8),5,2),--MID(LEFT(SUBSTITUTE(SUBSTITUTE(SUBSTITUTE(SUBSTITUTE(TRIM($AR503),"-",""),".",""),"/","")," ",""),8),7,2)),"")))</f>
        <v/>
      </c>
      <c r="AT503" s="23">
        <f>IF($AS503="","",IF($F$6="",0,IF(ISNUMBER(INDEX($A:$AP,ROW(),$F$6)),INDEX($A:$AP,ROW(),$F$6),IFERROR(--SUBSTITUTE(SUBSTITUTE(TRIM(INDEX($A:$AP,ROW(),$F$6)),",",""),"원",""),0))))</f>
        <v/>
      </c>
      <c r="AU503" s="23">
        <f>IF($AS503="","",IF($G$6="",0,IF(ISNUMBER(INDEX($A:$AP,ROW(),$G$6)),INDEX($A:$AP,ROW(),$G$6),IFERROR(--SUBSTITUTE(SUBSTITUTE(TRIM(INDEX($A:$AP,ROW(),$G$6)),",",""),"원",""),0))))</f>
        <v/>
      </c>
      <c r="AV503" s="23">
        <f>IF($AS503="","",IF($H$6="",$AT503+$AU503,IF($H$6="",0,IF(ISNUMBER(INDEX($A:$AP,ROW(),$H$6)),INDEX($A:$AP,ROW(),$H$6),IFERROR(--SUBSTITUTE(SUBSTITUTE(TRIM(INDEX($A:$AP,ROW(),$H$6)),",",""),"원",""),0)))))</f>
        <v/>
      </c>
      <c r="AW503" s="2">
        <f>IF(OR($AS503="",$C$6=""),"",TRIM(INDEX($A:$AP,ROW(),$C$6)&amp;""))</f>
        <v/>
      </c>
      <c r="AX503" s="2">
        <f>IF($AS503="","",IF($AZ503&lt;&gt;"",SUBSTITUTE(SUBSTITUTE($AZ503,"-","")," ",""),$AY503))</f>
        <v/>
      </c>
      <c r="AY503" s="2">
        <f>IF(OR($AS503="",$E$6=""),"",TRIM(INDEX($A:$AP,ROW(),$E$6)&amp;""))</f>
        <v/>
      </c>
      <c r="AZ503" s="2">
        <f>IF(OR($AS503="",$D$6=""),"",TRIM(INDEX($A:$AP,ROW(),$D$6)&amp;""))</f>
        <v/>
      </c>
      <c r="BA503" s="2">
        <f>IF($AS503="","",IF(AND($AS503&gt;=설정!$B$10,$AS503&lt;=설정!$B$11),"포함","기간 밖"))</f>
        <v/>
      </c>
      <c r="BB503" s="2">
        <f>IF($AS503="","",IF(OR($AT503&lt;0,AND($I$6&lt;&gt;"",ISNUMBER(FIND("수정",INDEX($A:$AP,ROW(),IF($I$6="",1,$I$6))&amp;"")))),"수정","일반"))</f>
        <v/>
      </c>
      <c r="BC503" s="2">
        <f>IF($AS503="","",MID(IF($BA503="기간 밖"," / 기간 밖(신고기간 아님)","")&amp;IF(AND($AW503&lt;&gt;"",COUNTIF($AW$8:$AW$1007,$AW503)&gt;1)," / 승인번호 중복(두 번 붙여넣기?)","")&amp;IF(ABS($AU503-ROUND($AT503*0.1,0))&gt;설정!$B$8,IF($AU503=0," / 세액 0원(영세율·면세 여부 확인)"," / 세액이 공급가액 10%와 다름"),"")&amp;IF($BB503="수정"," / 수정세금계산서(합계에서 자동 가감)",""),4,200))</f>
        <v/>
      </c>
      <c r="BD503" s="2">
        <f>IF($BA503&lt;&gt;"포함","",IF(COUNTIFS($AX$8:$AX503,$AX503,$BA$8:$BA503,"포함")=1,MAX($BD$7:BD502)+1,""))</f>
        <v/>
      </c>
      <c r="BE503" s="2">
        <f>IF($BC503="","",MAX($BE$7:BE502)+1)</f>
        <v/>
      </c>
    </row>
    <row r="504">
      <c r="AR504" s="2">
        <f>IF(OR($A$5="",$B$6="",ROW()&lt;$A$5),"",IF(INDEX($A:$AP,ROW(),$B$6)="","",INDEX($A:$AP,ROW(),$B$6)))</f>
        <v/>
      </c>
      <c r="AS504" s="22">
        <f>IF($AR504="","",IF(ISNUMBER($AR504),IF($AR504&gt;=10000000,IFERROR(DATE(INT($AR504/10000),MOD(INT($AR504/100),100),MOD($AR504,100)),""),INT($AR504)),IFERROR(DATE(--LEFT(LEFT(SUBSTITUTE(SUBSTITUTE(SUBSTITUTE(SUBSTITUTE(TRIM($AR504),"-",""),".",""),"/","")," ",""),8),4),--MID(LEFT(SUBSTITUTE(SUBSTITUTE(SUBSTITUTE(SUBSTITUTE(TRIM($AR504),"-",""),".",""),"/","")," ",""),8),5,2),--MID(LEFT(SUBSTITUTE(SUBSTITUTE(SUBSTITUTE(SUBSTITUTE(TRIM($AR504),"-",""),".",""),"/","")," ",""),8),7,2)),"")))</f>
        <v/>
      </c>
      <c r="AT504" s="23">
        <f>IF($AS504="","",IF($F$6="",0,IF(ISNUMBER(INDEX($A:$AP,ROW(),$F$6)),INDEX($A:$AP,ROW(),$F$6),IFERROR(--SUBSTITUTE(SUBSTITUTE(TRIM(INDEX($A:$AP,ROW(),$F$6)),",",""),"원",""),0))))</f>
        <v/>
      </c>
      <c r="AU504" s="23">
        <f>IF($AS504="","",IF($G$6="",0,IF(ISNUMBER(INDEX($A:$AP,ROW(),$G$6)),INDEX($A:$AP,ROW(),$G$6),IFERROR(--SUBSTITUTE(SUBSTITUTE(TRIM(INDEX($A:$AP,ROW(),$G$6)),",",""),"원",""),0))))</f>
        <v/>
      </c>
      <c r="AV504" s="23">
        <f>IF($AS504="","",IF($H$6="",$AT504+$AU504,IF($H$6="",0,IF(ISNUMBER(INDEX($A:$AP,ROW(),$H$6)),INDEX($A:$AP,ROW(),$H$6),IFERROR(--SUBSTITUTE(SUBSTITUTE(TRIM(INDEX($A:$AP,ROW(),$H$6)),",",""),"원",""),0)))))</f>
        <v/>
      </c>
      <c r="AW504" s="2">
        <f>IF(OR($AS504="",$C$6=""),"",TRIM(INDEX($A:$AP,ROW(),$C$6)&amp;""))</f>
        <v/>
      </c>
      <c r="AX504" s="2">
        <f>IF($AS504="","",IF($AZ504&lt;&gt;"",SUBSTITUTE(SUBSTITUTE($AZ504,"-","")," ",""),$AY504))</f>
        <v/>
      </c>
      <c r="AY504" s="2">
        <f>IF(OR($AS504="",$E$6=""),"",TRIM(INDEX($A:$AP,ROW(),$E$6)&amp;""))</f>
        <v/>
      </c>
      <c r="AZ504" s="2">
        <f>IF(OR($AS504="",$D$6=""),"",TRIM(INDEX($A:$AP,ROW(),$D$6)&amp;""))</f>
        <v/>
      </c>
      <c r="BA504" s="2">
        <f>IF($AS504="","",IF(AND($AS504&gt;=설정!$B$10,$AS504&lt;=설정!$B$11),"포함","기간 밖"))</f>
        <v/>
      </c>
      <c r="BB504" s="2">
        <f>IF($AS504="","",IF(OR($AT504&lt;0,AND($I$6&lt;&gt;"",ISNUMBER(FIND("수정",INDEX($A:$AP,ROW(),IF($I$6="",1,$I$6))&amp;"")))),"수정","일반"))</f>
        <v/>
      </c>
      <c r="BC504" s="2">
        <f>IF($AS504="","",MID(IF($BA504="기간 밖"," / 기간 밖(신고기간 아님)","")&amp;IF(AND($AW504&lt;&gt;"",COUNTIF($AW$8:$AW$1007,$AW504)&gt;1)," / 승인번호 중복(두 번 붙여넣기?)","")&amp;IF(ABS($AU504-ROUND($AT504*0.1,0))&gt;설정!$B$8,IF($AU504=0," / 세액 0원(영세율·면세 여부 확인)"," / 세액이 공급가액 10%와 다름"),"")&amp;IF($BB504="수정"," / 수정세금계산서(합계에서 자동 가감)",""),4,200))</f>
        <v/>
      </c>
      <c r="BD504" s="2">
        <f>IF($BA504&lt;&gt;"포함","",IF(COUNTIFS($AX$8:$AX504,$AX504,$BA$8:$BA504,"포함")=1,MAX($BD$7:BD503)+1,""))</f>
        <v/>
      </c>
      <c r="BE504" s="2">
        <f>IF($BC504="","",MAX($BE$7:BE503)+1)</f>
        <v/>
      </c>
    </row>
    <row r="505">
      <c r="AR505" s="2">
        <f>IF(OR($A$5="",$B$6="",ROW()&lt;$A$5),"",IF(INDEX($A:$AP,ROW(),$B$6)="","",INDEX($A:$AP,ROW(),$B$6)))</f>
        <v/>
      </c>
      <c r="AS505" s="22">
        <f>IF($AR505="","",IF(ISNUMBER($AR505),IF($AR505&gt;=10000000,IFERROR(DATE(INT($AR505/10000),MOD(INT($AR505/100),100),MOD($AR505,100)),""),INT($AR505)),IFERROR(DATE(--LEFT(LEFT(SUBSTITUTE(SUBSTITUTE(SUBSTITUTE(SUBSTITUTE(TRIM($AR505),"-",""),".",""),"/","")," ",""),8),4),--MID(LEFT(SUBSTITUTE(SUBSTITUTE(SUBSTITUTE(SUBSTITUTE(TRIM($AR505),"-",""),".",""),"/","")," ",""),8),5,2),--MID(LEFT(SUBSTITUTE(SUBSTITUTE(SUBSTITUTE(SUBSTITUTE(TRIM($AR505),"-",""),".",""),"/","")," ",""),8),7,2)),"")))</f>
        <v/>
      </c>
      <c r="AT505" s="23">
        <f>IF($AS505="","",IF($F$6="",0,IF(ISNUMBER(INDEX($A:$AP,ROW(),$F$6)),INDEX($A:$AP,ROW(),$F$6),IFERROR(--SUBSTITUTE(SUBSTITUTE(TRIM(INDEX($A:$AP,ROW(),$F$6)),",",""),"원",""),0))))</f>
        <v/>
      </c>
      <c r="AU505" s="23">
        <f>IF($AS505="","",IF($G$6="",0,IF(ISNUMBER(INDEX($A:$AP,ROW(),$G$6)),INDEX($A:$AP,ROW(),$G$6),IFERROR(--SUBSTITUTE(SUBSTITUTE(TRIM(INDEX($A:$AP,ROW(),$G$6)),",",""),"원",""),0))))</f>
        <v/>
      </c>
      <c r="AV505" s="23">
        <f>IF($AS505="","",IF($H$6="",$AT505+$AU505,IF($H$6="",0,IF(ISNUMBER(INDEX($A:$AP,ROW(),$H$6)),INDEX($A:$AP,ROW(),$H$6),IFERROR(--SUBSTITUTE(SUBSTITUTE(TRIM(INDEX($A:$AP,ROW(),$H$6)),",",""),"원",""),0)))))</f>
        <v/>
      </c>
      <c r="AW505" s="2">
        <f>IF(OR($AS505="",$C$6=""),"",TRIM(INDEX($A:$AP,ROW(),$C$6)&amp;""))</f>
        <v/>
      </c>
      <c r="AX505" s="2">
        <f>IF($AS505="","",IF($AZ505&lt;&gt;"",SUBSTITUTE(SUBSTITUTE($AZ505,"-","")," ",""),$AY505))</f>
        <v/>
      </c>
      <c r="AY505" s="2">
        <f>IF(OR($AS505="",$E$6=""),"",TRIM(INDEX($A:$AP,ROW(),$E$6)&amp;""))</f>
        <v/>
      </c>
      <c r="AZ505" s="2">
        <f>IF(OR($AS505="",$D$6=""),"",TRIM(INDEX($A:$AP,ROW(),$D$6)&amp;""))</f>
        <v/>
      </c>
      <c r="BA505" s="2">
        <f>IF($AS505="","",IF(AND($AS505&gt;=설정!$B$10,$AS505&lt;=설정!$B$11),"포함","기간 밖"))</f>
        <v/>
      </c>
      <c r="BB505" s="2">
        <f>IF($AS505="","",IF(OR($AT505&lt;0,AND($I$6&lt;&gt;"",ISNUMBER(FIND("수정",INDEX($A:$AP,ROW(),IF($I$6="",1,$I$6))&amp;"")))),"수정","일반"))</f>
        <v/>
      </c>
      <c r="BC505" s="2">
        <f>IF($AS505="","",MID(IF($BA505="기간 밖"," / 기간 밖(신고기간 아님)","")&amp;IF(AND($AW505&lt;&gt;"",COUNTIF($AW$8:$AW$1007,$AW505)&gt;1)," / 승인번호 중복(두 번 붙여넣기?)","")&amp;IF(ABS($AU505-ROUND($AT505*0.1,0))&gt;설정!$B$8,IF($AU505=0," / 세액 0원(영세율·면세 여부 확인)"," / 세액이 공급가액 10%와 다름"),"")&amp;IF($BB505="수정"," / 수정세금계산서(합계에서 자동 가감)",""),4,200))</f>
        <v/>
      </c>
      <c r="BD505" s="2">
        <f>IF($BA505&lt;&gt;"포함","",IF(COUNTIFS($AX$8:$AX505,$AX505,$BA$8:$BA505,"포함")=1,MAX($BD$7:BD504)+1,""))</f>
        <v/>
      </c>
      <c r="BE505" s="2">
        <f>IF($BC505="","",MAX($BE$7:BE504)+1)</f>
        <v/>
      </c>
    </row>
    <row r="506">
      <c r="AR506" s="2">
        <f>IF(OR($A$5="",$B$6="",ROW()&lt;$A$5),"",IF(INDEX($A:$AP,ROW(),$B$6)="","",INDEX($A:$AP,ROW(),$B$6)))</f>
        <v/>
      </c>
      <c r="AS506" s="22">
        <f>IF($AR506="","",IF(ISNUMBER($AR506),IF($AR506&gt;=10000000,IFERROR(DATE(INT($AR506/10000),MOD(INT($AR506/100),100),MOD($AR506,100)),""),INT($AR506)),IFERROR(DATE(--LEFT(LEFT(SUBSTITUTE(SUBSTITUTE(SUBSTITUTE(SUBSTITUTE(TRIM($AR506),"-",""),".",""),"/","")," ",""),8),4),--MID(LEFT(SUBSTITUTE(SUBSTITUTE(SUBSTITUTE(SUBSTITUTE(TRIM($AR506),"-",""),".",""),"/","")," ",""),8),5,2),--MID(LEFT(SUBSTITUTE(SUBSTITUTE(SUBSTITUTE(SUBSTITUTE(TRIM($AR506),"-",""),".",""),"/","")," ",""),8),7,2)),"")))</f>
        <v/>
      </c>
      <c r="AT506" s="23">
        <f>IF($AS506="","",IF($F$6="",0,IF(ISNUMBER(INDEX($A:$AP,ROW(),$F$6)),INDEX($A:$AP,ROW(),$F$6),IFERROR(--SUBSTITUTE(SUBSTITUTE(TRIM(INDEX($A:$AP,ROW(),$F$6)),",",""),"원",""),0))))</f>
        <v/>
      </c>
      <c r="AU506" s="23">
        <f>IF($AS506="","",IF($G$6="",0,IF(ISNUMBER(INDEX($A:$AP,ROW(),$G$6)),INDEX($A:$AP,ROW(),$G$6),IFERROR(--SUBSTITUTE(SUBSTITUTE(TRIM(INDEX($A:$AP,ROW(),$G$6)),",",""),"원",""),0))))</f>
        <v/>
      </c>
      <c r="AV506" s="23">
        <f>IF($AS506="","",IF($H$6="",$AT506+$AU506,IF($H$6="",0,IF(ISNUMBER(INDEX($A:$AP,ROW(),$H$6)),INDEX($A:$AP,ROW(),$H$6),IFERROR(--SUBSTITUTE(SUBSTITUTE(TRIM(INDEX($A:$AP,ROW(),$H$6)),",",""),"원",""),0)))))</f>
        <v/>
      </c>
      <c r="AW506" s="2">
        <f>IF(OR($AS506="",$C$6=""),"",TRIM(INDEX($A:$AP,ROW(),$C$6)&amp;""))</f>
        <v/>
      </c>
      <c r="AX506" s="2">
        <f>IF($AS506="","",IF($AZ506&lt;&gt;"",SUBSTITUTE(SUBSTITUTE($AZ506,"-","")," ",""),$AY506))</f>
        <v/>
      </c>
      <c r="AY506" s="2">
        <f>IF(OR($AS506="",$E$6=""),"",TRIM(INDEX($A:$AP,ROW(),$E$6)&amp;""))</f>
        <v/>
      </c>
      <c r="AZ506" s="2">
        <f>IF(OR($AS506="",$D$6=""),"",TRIM(INDEX($A:$AP,ROW(),$D$6)&amp;""))</f>
        <v/>
      </c>
      <c r="BA506" s="2">
        <f>IF($AS506="","",IF(AND($AS506&gt;=설정!$B$10,$AS506&lt;=설정!$B$11),"포함","기간 밖"))</f>
        <v/>
      </c>
      <c r="BB506" s="2">
        <f>IF($AS506="","",IF(OR($AT506&lt;0,AND($I$6&lt;&gt;"",ISNUMBER(FIND("수정",INDEX($A:$AP,ROW(),IF($I$6="",1,$I$6))&amp;"")))),"수정","일반"))</f>
        <v/>
      </c>
      <c r="BC506" s="2">
        <f>IF($AS506="","",MID(IF($BA506="기간 밖"," / 기간 밖(신고기간 아님)","")&amp;IF(AND($AW506&lt;&gt;"",COUNTIF($AW$8:$AW$1007,$AW506)&gt;1)," / 승인번호 중복(두 번 붙여넣기?)","")&amp;IF(ABS($AU506-ROUND($AT506*0.1,0))&gt;설정!$B$8,IF($AU506=0," / 세액 0원(영세율·면세 여부 확인)"," / 세액이 공급가액 10%와 다름"),"")&amp;IF($BB506="수정"," / 수정세금계산서(합계에서 자동 가감)",""),4,200))</f>
        <v/>
      </c>
      <c r="BD506" s="2">
        <f>IF($BA506&lt;&gt;"포함","",IF(COUNTIFS($AX$8:$AX506,$AX506,$BA$8:$BA506,"포함")=1,MAX($BD$7:BD505)+1,""))</f>
        <v/>
      </c>
      <c r="BE506" s="2">
        <f>IF($BC506="","",MAX($BE$7:BE505)+1)</f>
        <v/>
      </c>
    </row>
    <row r="507">
      <c r="AR507" s="2">
        <f>IF(OR($A$5="",$B$6="",ROW()&lt;$A$5),"",IF(INDEX($A:$AP,ROW(),$B$6)="","",INDEX($A:$AP,ROW(),$B$6)))</f>
        <v/>
      </c>
      <c r="AS507" s="22">
        <f>IF($AR507="","",IF(ISNUMBER($AR507),IF($AR507&gt;=10000000,IFERROR(DATE(INT($AR507/10000),MOD(INT($AR507/100),100),MOD($AR507,100)),""),INT($AR507)),IFERROR(DATE(--LEFT(LEFT(SUBSTITUTE(SUBSTITUTE(SUBSTITUTE(SUBSTITUTE(TRIM($AR507),"-",""),".",""),"/","")," ",""),8),4),--MID(LEFT(SUBSTITUTE(SUBSTITUTE(SUBSTITUTE(SUBSTITUTE(TRIM($AR507),"-",""),".",""),"/","")," ",""),8),5,2),--MID(LEFT(SUBSTITUTE(SUBSTITUTE(SUBSTITUTE(SUBSTITUTE(TRIM($AR507),"-",""),".",""),"/","")," ",""),8),7,2)),"")))</f>
        <v/>
      </c>
      <c r="AT507" s="23">
        <f>IF($AS507="","",IF($F$6="",0,IF(ISNUMBER(INDEX($A:$AP,ROW(),$F$6)),INDEX($A:$AP,ROW(),$F$6),IFERROR(--SUBSTITUTE(SUBSTITUTE(TRIM(INDEX($A:$AP,ROW(),$F$6)),",",""),"원",""),0))))</f>
        <v/>
      </c>
      <c r="AU507" s="23">
        <f>IF($AS507="","",IF($G$6="",0,IF(ISNUMBER(INDEX($A:$AP,ROW(),$G$6)),INDEX($A:$AP,ROW(),$G$6),IFERROR(--SUBSTITUTE(SUBSTITUTE(TRIM(INDEX($A:$AP,ROW(),$G$6)),",",""),"원",""),0))))</f>
        <v/>
      </c>
      <c r="AV507" s="23">
        <f>IF($AS507="","",IF($H$6="",$AT507+$AU507,IF($H$6="",0,IF(ISNUMBER(INDEX($A:$AP,ROW(),$H$6)),INDEX($A:$AP,ROW(),$H$6),IFERROR(--SUBSTITUTE(SUBSTITUTE(TRIM(INDEX($A:$AP,ROW(),$H$6)),",",""),"원",""),0)))))</f>
        <v/>
      </c>
      <c r="AW507" s="2">
        <f>IF(OR($AS507="",$C$6=""),"",TRIM(INDEX($A:$AP,ROW(),$C$6)&amp;""))</f>
        <v/>
      </c>
      <c r="AX507" s="2">
        <f>IF($AS507="","",IF($AZ507&lt;&gt;"",SUBSTITUTE(SUBSTITUTE($AZ507,"-","")," ",""),$AY507))</f>
        <v/>
      </c>
      <c r="AY507" s="2">
        <f>IF(OR($AS507="",$E$6=""),"",TRIM(INDEX($A:$AP,ROW(),$E$6)&amp;""))</f>
        <v/>
      </c>
      <c r="AZ507" s="2">
        <f>IF(OR($AS507="",$D$6=""),"",TRIM(INDEX($A:$AP,ROW(),$D$6)&amp;""))</f>
        <v/>
      </c>
      <c r="BA507" s="2">
        <f>IF($AS507="","",IF(AND($AS507&gt;=설정!$B$10,$AS507&lt;=설정!$B$11),"포함","기간 밖"))</f>
        <v/>
      </c>
      <c r="BB507" s="2">
        <f>IF($AS507="","",IF(OR($AT507&lt;0,AND($I$6&lt;&gt;"",ISNUMBER(FIND("수정",INDEX($A:$AP,ROW(),IF($I$6="",1,$I$6))&amp;"")))),"수정","일반"))</f>
        <v/>
      </c>
      <c r="BC507" s="2">
        <f>IF($AS507="","",MID(IF($BA507="기간 밖"," / 기간 밖(신고기간 아님)","")&amp;IF(AND($AW507&lt;&gt;"",COUNTIF($AW$8:$AW$1007,$AW507)&gt;1)," / 승인번호 중복(두 번 붙여넣기?)","")&amp;IF(ABS($AU507-ROUND($AT507*0.1,0))&gt;설정!$B$8,IF($AU507=0," / 세액 0원(영세율·면세 여부 확인)"," / 세액이 공급가액 10%와 다름"),"")&amp;IF($BB507="수정"," / 수정세금계산서(합계에서 자동 가감)",""),4,200))</f>
        <v/>
      </c>
      <c r="BD507" s="2">
        <f>IF($BA507&lt;&gt;"포함","",IF(COUNTIFS($AX$8:$AX507,$AX507,$BA$8:$BA507,"포함")=1,MAX($BD$7:BD506)+1,""))</f>
        <v/>
      </c>
      <c r="BE507" s="2">
        <f>IF($BC507="","",MAX($BE$7:BE506)+1)</f>
        <v/>
      </c>
    </row>
    <row r="508">
      <c r="AR508" s="2">
        <f>IF(OR($A$5="",$B$6="",ROW()&lt;$A$5),"",IF(INDEX($A:$AP,ROW(),$B$6)="","",INDEX($A:$AP,ROW(),$B$6)))</f>
        <v/>
      </c>
      <c r="AS508" s="22">
        <f>IF($AR508="","",IF(ISNUMBER($AR508),IF($AR508&gt;=10000000,IFERROR(DATE(INT($AR508/10000),MOD(INT($AR508/100),100),MOD($AR508,100)),""),INT($AR508)),IFERROR(DATE(--LEFT(LEFT(SUBSTITUTE(SUBSTITUTE(SUBSTITUTE(SUBSTITUTE(TRIM($AR508),"-",""),".",""),"/","")," ",""),8),4),--MID(LEFT(SUBSTITUTE(SUBSTITUTE(SUBSTITUTE(SUBSTITUTE(TRIM($AR508),"-",""),".",""),"/","")," ",""),8),5,2),--MID(LEFT(SUBSTITUTE(SUBSTITUTE(SUBSTITUTE(SUBSTITUTE(TRIM($AR508),"-",""),".",""),"/","")," ",""),8),7,2)),"")))</f>
        <v/>
      </c>
      <c r="AT508" s="23">
        <f>IF($AS508="","",IF($F$6="",0,IF(ISNUMBER(INDEX($A:$AP,ROW(),$F$6)),INDEX($A:$AP,ROW(),$F$6),IFERROR(--SUBSTITUTE(SUBSTITUTE(TRIM(INDEX($A:$AP,ROW(),$F$6)),",",""),"원",""),0))))</f>
        <v/>
      </c>
      <c r="AU508" s="23">
        <f>IF($AS508="","",IF($G$6="",0,IF(ISNUMBER(INDEX($A:$AP,ROW(),$G$6)),INDEX($A:$AP,ROW(),$G$6),IFERROR(--SUBSTITUTE(SUBSTITUTE(TRIM(INDEX($A:$AP,ROW(),$G$6)),",",""),"원",""),0))))</f>
        <v/>
      </c>
      <c r="AV508" s="23">
        <f>IF($AS508="","",IF($H$6="",$AT508+$AU508,IF($H$6="",0,IF(ISNUMBER(INDEX($A:$AP,ROW(),$H$6)),INDEX($A:$AP,ROW(),$H$6),IFERROR(--SUBSTITUTE(SUBSTITUTE(TRIM(INDEX($A:$AP,ROW(),$H$6)),",",""),"원",""),0)))))</f>
        <v/>
      </c>
      <c r="AW508" s="2">
        <f>IF(OR($AS508="",$C$6=""),"",TRIM(INDEX($A:$AP,ROW(),$C$6)&amp;""))</f>
        <v/>
      </c>
      <c r="AX508" s="2">
        <f>IF($AS508="","",IF($AZ508&lt;&gt;"",SUBSTITUTE(SUBSTITUTE($AZ508,"-","")," ",""),$AY508))</f>
        <v/>
      </c>
      <c r="AY508" s="2">
        <f>IF(OR($AS508="",$E$6=""),"",TRIM(INDEX($A:$AP,ROW(),$E$6)&amp;""))</f>
        <v/>
      </c>
      <c r="AZ508" s="2">
        <f>IF(OR($AS508="",$D$6=""),"",TRIM(INDEX($A:$AP,ROW(),$D$6)&amp;""))</f>
        <v/>
      </c>
      <c r="BA508" s="2">
        <f>IF($AS508="","",IF(AND($AS508&gt;=설정!$B$10,$AS508&lt;=설정!$B$11),"포함","기간 밖"))</f>
        <v/>
      </c>
      <c r="BB508" s="2">
        <f>IF($AS508="","",IF(OR($AT508&lt;0,AND($I$6&lt;&gt;"",ISNUMBER(FIND("수정",INDEX($A:$AP,ROW(),IF($I$6="",1,$I$6))&amp;"")))),"수정","일반"))</f>
        <v/>
      </c>
      <c r="BC508" s="2">
        <f>IF($AS508="","",MID(IF($BA508="기간 밖"," / 기간 밖(신고기간 아님)","")&amp;IF(AND($AW508&lt;&gt;"",COUNTIF($AW$8:$AW$1007,$AW508)&gt;1)," / 승인번호 중복(두 번 붙여넣기?)","")&amp;IF(ABS($AU508-ROUND($AT508*0.1,0))&gt;설정!$B$8,IF($AU508=0," / 세액 0원(영세율·면세 여부 확인)"," / 세액이 공급가액 10%와 다름"),"")&amp;IF($BB508="수정"," / 수정세금계산서(합계에서 자동 가감)",""),4,200))</f>
        <v/>
      </c>
      <c r="BD508" s="2">
        <f>IF($BA508&lt;&gt;"포함","",IF(COUNTIFS($AX$8:$AX508,$AX508,$BA$8:$BA508,"포함")=1,MAX($BD$7:BD507)+1,""))</f>
        <v/>
      </c>
      <c r="BE508" s="2">
        <f>IF($BC508="","",MAX($BE$7:BE507)+1)</f>
        <v/>
      </c>
    </row>
    <row r="509">
      <c r="AR509" s="2">
        <f>IF(OR($A$5="",$B$6="",ROW()&lt;$A$5),"",IF(INDEX($A:$AP,ROW(),$B$6)="","",INDEX($A:$AP,ROW(),$B$6)))</f>
        <v/>
      </c>
      <c r="AS509" s="22">
        <f>IF($AR509="","",IF(ISNUMBER($AR509),IF($AR509&gt;=10000000,IFERROR(DATE(INT($AR509/10000),MOD(INT($AR509/100),100),MOD($AR509,100)),""),INT($AR509)),IFERROR(DATE(--LEFT(LEFT(SUBSTITUTE(SUBSTITUTE(SUBSTITUTE(SUBSTITUTE(TRIM($AR509),"-",""),".",""),"/","")," ",""),8),4),--MID(LEFT(SUBSTITUTE(SUBSTITUTE(SUBSTITUTE(SUBSTITUTE(TRIM($AR509),"-",""),".",""),"/","")," ",""),8),5,2),--MID(LEFT(SUBSTITUTE(SUBSTITUTE(SUBSTITUTE(SUBSTITUTE(TRIM($AR509),"-",""),".",""),"/","")," ",""),8),7,2)),"")))</f>
        <v/>
      </c>
      <c r="AT509" s="23">
        <f>IF($AS509="","",IF($F$6="",0,IF(ISNUMBER(INDEX($A:$AP,ROW(),$F$6)),INDEX($A:$AP,ROW(),$F$6),IFERROR(--SUBSTITUTE(SUBSTITUTE(TRIM(INDEX($A:$AP,ROW(),$F$6)),",",""),"원",""),0))))</f>
        <v/>
      </c>
      <c r="AU509" s="23">
        <f>IF($AS509="","",IF($G$6="",0,IF(ISNUMBER(INDEX($A:$AP,ROW(),$G$6)),INDEX($A:$AP,ROW(),$G$6),IFERROR(--SUBSTITUTE(SUBSTITUTE(TRIM(INDEX($A:$AP,ROW(),$G$6)),",",""),"원",""),0))))</f>
        <v/>
      </c>
      <c r="AV509" s="23">
        <f>IF($AS509="","",IF($H$6="",$AT509+$AU509,IF($H$6="",0,IF(ISNUMBER(INDEX($A:$AP,ROW(),$H$6)),INDEX($A:$AP,ROW(),$H$6),IFERROR(--SUBSTITUTE(SUBSTITUTE(TRIM(INDEX($A:$AP,ROW(),$H$6)),",",""),"원",""),0)))))</f>
        <v/>
      </c>
      <c r="AW509" s="2">
        <f>IF(OR($AS509="",$C$6=""),"",TRIM(INDEX($A:$AP,ROW(),$C$6)&amp;""))</f>
        <v/>
      </c>
      <c r="AX509" s="2">
        <f>IF($AS509="","",IF($AZ509&lt;&gt;"",SUBSTITUTE(SUBSTITUTE($AZ509,"-","")," ",""),$AY509))</f>
        <v/>
      </c>
      <c r="AY509" s="2">
        <f>IF(OR($AS509="",$E$6=""),"",TRIM(INDEX($A:$AP,ROW(),$E$6)&amp;""))</f>
        <v/>
      </c>
      <c r="AZ509" s="2">
        <f>IF(OR($AS509="",$D$6=""),"",TRIM(INDEX($A:$AP,ROW(),$D$6)&amp;""))</f>
        <v/>
      </c>
      <c r="BA509" s="2">
        <f>IF($AS509="","",IF(AND($AS509&gt;=설정!$B$10,$AS509&lt;=설정!$B$11),"포함","기간 밖"))</f>
        <v/>
      </c>
      <c r="BB509" s="2">
        <f>IF($AS509="","",IF(OR($AT509&lt;0,AND($I$6&lt;&gt;"",ISNUMBER(FIND("수정",INDEX($A:$AP,ROW(),IF($I$6="",1,$I$6))&amp;"")))),"수정","일반"))</f>
        <v/>
      </c>
      <c r="BC509" s="2">
        <f>IF($AS509="","",MID(IF($BA509="기간 밖"," / 기간 밖(신고기간 아님)","")&amp;IF(AND($AW509&lt;&gt;"",COUNTIF($AW$8:$AW$1007,$AW509)&gt;1)," / 승인번호 중복(두 번 붙여넣기?)","")&amp;IF(ABS($AU509-ROUND($AT509*0.1,0))&gt;설정!$B$8,IF($AU509=0," / 세액 0원(영세율·면세 여부 확인)"," / 세액이 공급가액 10%와 다름"),"")&amp;IF($BB509="수정"," / 수정세금계산서(합계에서 자동 가감)",""),4,200))</f>
        <v/>
      </c>
      <c r="BD509" s="2">
        <f>IF($BA509&lt;&gt;"포함","",IF(COUNTIFS($AX$8:$AX509,$AX509,$BA$8:$BA509,"포함")=1,MAX($BD$7:BD508)+1,""))</f>
        <v/>
      </c>
      <c r="BE509" s="2">
        <f>IF($BC509="","",MAX($BE$7:BE508)+1)</f>
        <v/>
      </c>
    </row>
    <row r="510">
      <c r="AR510" s="2">
        <f>IF(OR($A$5="",$B$6="",ROW()&lt;$A$5),"",IF(INDEX($A:$AP,ROW(),$B$6)="","",INDEX($A:$AP,ROW(),$B$6)))</f>
        <v/>
      </c>
      <c r="AS510" s="22">
        <f>IF($AR510="","",IF(ISNUMBER($AR510),IF($AR510&gt;=10000000,IFERROR(DATE(INT($AR510/10000),MOD(INT($AR510/100),100),MOD($AR510,100)),""),INT($AR510)),IFERROR(DATE(--LEFT(LEFT(SUBSTITUTE(SUBSTITUTE(SUBSTITUTE(SUBSTITUTE(TRIM($AR510),"-",""),".",""),"/","")," ",""),8),4),--MID(LEFT(SUBSTITUTE(SUBSTITUTE(SUBSTITUTE(SUBSTITUTE(TRIM($AR510),"-",""),".",""),"/","")," ",""),8),5,2),--MID(LEFT(SUBSTITUTE(SUBSTITUTE(SUBSTITUTE(SUBSTITUTE(TRIM($AR510),"-",""),".",""),"/","")," ",""),8),7,2)),"")))</f>
        <v/>
      </c>
      <c r="AT510" s="23">
        <f>IF($AS510="","",IF($F$6="",0,IF(ISNUMBER(INDEX($A:$AP,ROW(),$F$6)),INDEX($A:$AP,ROW(),$F$6),IFERROR(--SUBSTITUTE(SUBSTITUTE(TRIM(INDEX($A:$AP,ROW(),$F$6)),",",""),"원",""),0))))</f>
        <v/>
      </c>
      <c r="AU510" s="23">
        <f>IF($AS510="","",IF($G$6="",0,IF(ISNUMBER(INDEX($A:$AP,ROW(),$G$6)),INDEX($A:$AP,ROW(),$G$6),IFERROR(--SUBSTITUTE(SUBSTITUTE(TRIM(INDEX($A:$AP,ROW(),$G$6)),",",""),"원",""),0))))</f>
        <v/>
      </c>
      <c r="AV510" s="23">
        <f>IF($AS510="","",IF($H$6="",$AT510+$AU510,IF($H$6="",0,IF(ISNUMBER(INDEX($A:$AP,ROW(),$H$6)),INDEX($A:$AP,ROW(),$H$6),IFERROR(--SUBSTITUTE(SUBSTITUTE(TRIM(INDEX($A:$AP,ROW(),$H$6)),",",""),"원",""),0)))))</f>
        <v/>
      </c>
      <c r="AW510" s="2">
        <f>IF(OR($AS510="",$C$6=""),"",TRIM(INDEX($A:$AP,ROW(),$C$6)&amp;""))</f>
        <v/>
      </c>
      <c r="AX510" s="2">
        <f>IF($AS510="","",IF($AZ510&lt;&gt;"",SUBSTITUTE(SUBSTITUTE($AZ510,"-","")," ",""),$AY510))</f>
        <v/>
      </c>
      <c r="AY510" s="2">
        <f>IF(OR($AS510="",$E$6=""),"",TRIM(INDEX($A:$AP,ROW(),$E$6)&amp;""))</f>
        <v/>
      </c>
      <c r="AZ510" s="2">
        <f>IF(OR($AS510="",$D$6=""),"",TRIM(INDEX($A:$AP,ROW(),$D$6)&amp;""))</f>
        <v/>
      </c>
      <c r="BA510" s="2">
        <f>IF($AS510="","",IF(AND($AS510&gt;=설정!$B$10,$AS510&lt;=설정!$B$11),"포함","기간 밖"))</f>
        <v/>
      </c>
      <c r="BB510" s="2">
        <f>IF($AS510="","",IF(OR($AT510&lt;0,AND($I$6&lt;&gt;"",ISNUMBER(FIND("수정",INDEX($A:$AP,ROW(),IF($I$6="",1,$I$6))&amp;"")))),"수정","일반"))</f>
        <v/>
      </c>
      <c r="BC510" s="2">
        <f>IF($AS510="","",MID(IF($BA510="기간 밖"," / 기간 밖(신고기간 아님)","")&amp;IF(AND($AW510&lt;&gt;"",COUNTIF($AW$8:$AW$1007,$AW510)&gt;1)," / 승인번호 중복(두 번 붙여넣기?)","")&amp;IF(ABS($AU510-ROUND($AT510*0.1,0))&gt;설정!$B$8,IF($AU510=0," / 세액 0원(영세율·면세 여부 확인)"," / 세액이 공급가액 10%와 다름"),"")&amp;IF($BB510="수정"," / 수정세금계산서(합계에서 자동 가감)",""),4,200))</f>
        <v/>
      </c>
      <c r="BD510" s="2">
        <f>IF($BA510&lt;&gt;"포함","",IF(COUNTIFS($AX$8:$AX510,$AX510,$BA$8:$BA510,"포함")=1,MAX($BD$7:BD509)+1,""))</f>
        <v/>
      </c>
      <c r="BE510" s="2">
        <f>IF($BC510="","",MAX($BE$7:BE509)+1)</f>
        <v/>
      </c>
    </row>
    <row r="511">
      <c r="AR511" s="2">
        <f>IF(OR($A$5="",$B$6="",ROW()&lt;$A$5),"",IF(INDEX($A:$AP,ROW(),$B$6)="","",INDEX($A:$AP,ROW(),$B$6)))</f>
        <v/>
      </c>
      <c r="AS511" s="22">
        <f>IF($AR511="","",IF(ISNUMBER($AR511),IF($AR511&gt;=10000000,IFERROR(DATE(INT($AR511/10000),MOD(INT($AR511/100),100),MOD($AR511,100)),""),INT($AR511)),IFERROR(DATE(--LEFT(LEFT(SUBSTITUTE(SUBSTITUTE(SUBSTITUTE(SUBSTITUTE(TRIM($AR511),"-",""),".",""),"/","")," ",""),8),4),--MID(LEFT(SUBSTITUTE(SUBSTITUTE(SUBSTITUTE(SUBSTITUTE(TRIM($AR511),"-",""),".",""),"/","")," ",""),8),5,2),--MID(LEFT(SUBSTITUTE(SUBSTITUTE(SUBSTITUTE(SUBSTITUTE(TRIM($AR511),"-",""),".",""),"/","")," ",""),8),7,2)),"")))</f>
        <v/>
      </c>
      <c r="AT511" s="23">
        <f>IF($AS511="","",IF($F$6="",0,IF(ISNUMBER(INDEX($A:$AP,ROW(),$F$6)),INDEX($A:$AP,ROW(),$F$6),IFERROR(--SUBSTITUTE(SUBSTITUTE(TRIM(INDEX($A:$AP,ROW(),$F$6)),",",""),"원",""),0))))</f>
        <v/>
      </c>
      <c r="AU511" s="23">
        <f>IF($AS511="","",IF($G$6="",0,IF(ISNUMBER(INDEX($A:$AP,ROW(),$G$6)),INDEX($A:$AP,ROW(),$G$6),IFERROR(--SUBSTITUTE(SUBSTITUTE(TRIM(INDEX($A:$AP,ROW(),$G$6)),",",""),"원",""),0))))</f>
        <v/>
      </c>
      <c r="AV511" s="23">
        <f>IF($AS511="","",IF($H$6="",$AT511+$AU511,IF($H$6="",0,IF(ISNUMBER(INDEX($A:$AP,ROW(),$H$6)),INDEX($A:$AP,ROW(),$H$6),IFERROR(--SUBSTITUTE(SUBSTITUTE(TRIM(INDEX($A:$AP,ROW(),$H$6)),",",""),"원",""),0)))))</f>
        <v/>
      </c>
      <c r="AW511" s="2">
        <f>IF(OR($AS511="",$C$6=""),"",TRIM(INDEX($A:$AP,ROW(),$C$6)&amp;""))</f>
        <v/>
      </c>
      <c r="AX511" s="2">
        <f>IF($AS511="","",IF($AZ511&lt;&gt;"",SUBSTITUTE(SUBSTITUTE($AZ511,"-","")," ",""),$AY511))</f>
        <v/>
      </c>
      <c r="AY511" s="2">
        <f>IF(OR($AS511="",$E$6=""),"",TRIM(INDEX($A:$AP,ROW(),$E$6)&amp;""))</f>
        <v/>
      </c>
      <c r="AZ511" s="2">
        <f>IF(OR($AS511="",$D$6=""),"",TRIM(INDEX($A:$AP,ROW(),$D$6)&amp;""))</f>
        <v/>
      </c>
      <c r="BA511" s="2">
        <f>IF($AS511="","",IF(AND($AS511&gt;=설정!$B$10,$AS511&lt;=설정!$B$11),"포함","기간 밖"))</f>
        <v/>
      </c>
      <c r="BB511" s="2">
        <f>IF($AS511="","",IF(OR($AT511&lt;0,AND($I$6&lt;&gt;"",ISNUMBER(FIND("수정",INDEX($A:$AP,ROW(),IF($I$6="",1,$I$6))&amp;"")))),"수정","일반"))</f>
        <v/>
      </c>
      <c r="BC511" s="2">
        <f>IF($AS511="","",MID(IF($BA511="기간 밖"," / 기간 밖(신고기간 아님)","")&amp;IF(AND($AW511&lt;&gt;"",COUNTIF($AW$8:$AW$1007,$AW511)&gt;1)," / 승인번호 중복(두 번 붙여넣기?)","")&amp;IF(ABS($AU511-ROUND($AT511*0.1,0))&gt;설정!$B$8,IF($AU511=0," / 세액 0원(영세율·면세 여부 확인)"," / 세액이 공급가액 10%와 다름"),"")&amp;IF($BB511="수정"," / 수정세금계산서(합계에서 자동 가감)",""),4,200))</f>
        <v/>
      </c>
      <c r="BD511" s="2">
        <f>IF($BA511&lt;&gt;"포함","",IF(COUNTIFS($AX$8:$AX511,$AX511,$BA$8:$BA511,"포함")=1,MAX($BD$7:BD510)+1,""))</f>
        <v/>
      </c>
      <c r="BE511" s="2">
        <f>IF($BC511="","",MAX($BE$7:BE510)+1)</f>
        <v/>
      </c>
    </row>
    <row r="512">
      <c r="AR512" s="2">
        <f>IF(OR($A$5="",$B$6="",ROW()&lt;$A$5),"",IF(INDEX($A:$AP,ROW(),$B$6)="","",INDEX($A:$AP,ROW(),$B$6)))</f>
        <v/>
      </c>
      <c r="AS512" s="22">
        <f>IF($AR512="","",IF(ISNUMBER($AR512),IF($AR512&gt;=10000000,IFERROR(DATE(INT($AR512/10000),MOD(INT($AR512/100),100),MOD($AR512,100)),""),INT($AR512)),IFERROR(DATE(--LEFT(LEFT(SUBSTITUTE(SUBSTITUTE(SUBSTITUTE(SUBSTITUTE(TRIM($AR512),"-",""),".",""),"/","")," ",""),8),4),--MID(LEFT(SUBSTITUTE(SUBSTITUTE(SUBSTITUTE(SUBSTITUTE(TRIM($AR512),"-",""),".",""),"/","")," ",""),8),5,2),--MID(LEFT(SUBSTITUTE(SUBSTITUTE(SUBSTITUTE(SUBSTITUTE(TRIM($AR512),"-",""),".",""),"/","")," ",""),8),7,2)),"")))</f>
        <v/>
      </c>
      <c r="AT512" s="23">
        <f>IF($AS512="","",IF($F$6="",0,IF(ISNUMBER(INDEX($A:$AP,ROW(),$F$6)),INDEX($A:$AP,ROW(),$F$6),IFERROR(--SUBSTITUTE(SUBSTITUTE(TRIM(INDEX($A:$AP,ROW(),$F$6)),",",""),"원",""),0))))</f>
        <v/>
      </c>
      <c r="AU512" s="23">
        <f>IF($AS512="","",IF($G$6="",0,IF(ISNUMBER(INDEX($A:$AP,ROW(),$G$6)),INDEX($A:$AP,ROW(),$G$6),IFERROR(--SUBSTITUTE(SUBSTITUTE(TRIM(INDEX($A:$AP,ROW(),$G$6)),",",""),"원",""),0))))</f>
        <v/>
      </c>
      <c r="AV512" s="23">
        <f>IF($AS512="","",IF($H$6="",$AT512+$AU512,IF($H$6="",0,IF(ISNUMBER(INDEX($A:$AP,ROW(),$H$6)),INDEX($A:$AP,ROW(),$H$6),IFERROR(--SUBSTITUTE(SUBSTITUTE(TRIM(INDEX($A:$AP,ROW(),$H$6)),",",""),"원",""),0)))))</f>
        <v/>
      </c>
      <c r="AW512" s="2">
        <f>IF(OR($AS512="",$C$6=""),"",TRIM(INDEX($A:$AP,ROW(),$C$6)&amp;""))</f>
        <v/>
      </c>
      <c r="AX512" s="2">
        <f>IF($AS512="","",IF($AZ512&lt;&gt;"",SUBSTITUTE(SUBSTITUTE($AZ512,"-","")," ",""),$AY512))</f>
        <v/>
      </c>
      <c r="AY512" s="2">
        <f>IF(OR($AS512="",$E$6=""),"",TRIM(INDEX($A:$AP,ROW(),$E$6)&amp;""))</f>
        <v/>
      </c>
      <c r="AZ512" s="2">
        <f>IF(OR($AS512="",$D$6=""),"",TRIM(INDEX($A:$AP,ROW(),$D$6)&amp;""))</f>
        <v/>
      </c>
      <c r="BA512" s="2">
        <f>IF($AS512="","",IF(AND($AS512&gt;=설정!$B$10,$AS512&lt;=설정!$B$11),"포함","기간 밖"))</f>
        <v/>
      </c>
      <c r="BB512" s="2">
        <f>IF($AS512="","",IF(OR($AT512&lt;0,AND($I$6&lt;&gt;"",ISNUMBER(FIND("수정",INDEX($A:$AP,ROW(),IF($I$6="",1,$I$6))&amp;"")))),"수정","일반"))</f>
        <v/>
      </c>
      <c r="BC512" s="2">
        <f>IF($AS512="","",MID(IF($BA512="기간 밖"," / 기간 밖(신고기간 아님)","")&amp;IF(AND($AW512&lt;&gt;"",COUNTIF($AW$8:$AW$1007,$AW512)&gt;1)," / 승인번호 중복(두 번 붙여넣기?)","")&amp;IF(ABS($AU512-ROUND($AT512*0.1,0))&gt;설정!$B$8,IF($AU512=0," / 세액 0원(영세율·면세 여부 확인)"," / 세액이 공급가액 10%와 다름"),"")&amp;IF($BB512="수정"," / 수정세금계산서(합계에서 자동 가감)",""),4,200))</f>
        <v/>
      </c>
      <c r="BD512" s="2">
        <f>IF($BA512&lt;&gt;"포함","",IF(COUNTIFS($AX$8:$AX512,$AX512,$BA$8:$BA512,"포함")=1,MAX($BD$7:BD511)+1,""))</f>
        <v/>
      </c>
      <c r="BE512" s="2">
        <f>IF($BC512="","",MAX($BE$7:BE511)+1)</f>
        <v/>
      </c>
    </row>
    <row r="513">
      <c r="AR513" s="2">
        <f>IF(OR($A$5="",$B$6="",ROW()&lt;$A$5),"",IF(INDEX($A:$AP,ROW(),$B$6)="","",INDEX($A:$AP,ROW(),$B$6)))</f>
        <v/>
      </c>
      <c r="AS513" s="22">
        <f>IF($AR513="","",IF(ISNUMBER($AR513),IF($AR513&gt;=10000000,IFERROR(DATE(INT($AR513/10000),MOD(INT($AR513/100),100),MOD($AR513,100)),""),INT($AR513)),IFERROR(DATE(--LEFT(LEFT(SUBSTITUTE(SUBSTITUTE(SUBSTITUTE(SUBSTITUTE(TRIM($AR513),"-",""),".",""),"/","")," ",""),8),4),--MID(LEFT(SUBSTITUTE(SUBSTITUTE(SUBSTITUTE(SUBSTITUTE(TRIM($AR513),"-",""),".",""),"/","")," ",""),8),5,2),--MID(LEFT(SUBSTITUTE(SUBSTITUTE(SUBSTITUTE(SUBSTITUTE(TRIM($AR513),"-",""),".",""),"/","")," ",""),8),7,2)),"")))</f>
        <v/>
      </c>
      <c r="AT513" s="23">
        <f>IF($AS513="","",IF($F$6="",0,IF(ISNUMBER(INDEX($A:$AP,ROW(),$F$6)),INDEX($A:$AP,ROW(),$F$6),IFERROR(--SUBSTITUTE(SUBSTITUTE(TRIM(INDEX($A:$AP,ROW(),$F$6)),",",""),"원",""),0))))</f>
        <v/>
      </c>
      <c r="AU513" s="23">
        <f>IF($AS513="","",IF($G$6="",0,IF(ISNUMBER(INDEX($A:$AP,ROW(),$G$6)),INDEX($A:$AP,ROW(),$G$6),IFERROR(--SUBSTITUTE(SUBSTITUTE(TRIM(INDEX($A:$AP,ROW(),$G$6)),",",""),"원",""),0))))</f>
        <v/>
      </c>
      <c r="AV513" s="23">
        <f>IF($AS513="","",IF($H$6="",$AT513+$AU513,IF($H$6="",0,IF(ISNUMBER(INDEX($A:$AP,ROW(),$H$6)),INDEX($A:$AP,ROW(),$H$6),IFERROR(--SUBSTITUTE(SUBSTITUTE(TRIM(INDEX($A:$AP,ROW(),$H$6)),",",""),"원",""),0)))))</f>
        <v/>
      </c>
      <c r="AW513" s="2">
        <f>IF(OR($AS513="",$C$6=""),"",TRIM(INDEX($A:$AP,ROW(),$C$6)&amp;""))</f>
        <v/>
      </c>
      <c r="AX513" s="2">
        <f>IF($AS513="","",IF($AZ513&lt;&gt;"",SUBSTITUTE(SUBSTITUTE($AZ513,"-","")," ",""),$AY513))</f>
        <v/>
      </c>
      <c r="AY513" s="2">
        <f>IF(OR($AS513="",$E$6=""),"",TRIM(INDEX($A:$AP,ROW(),$E$6)&amp;""))</f>
        <v/>
      </c>
      <c r="AZ513" s="2">
        <f>IF(OR($AS513="",$D$6=""),"",TRIM(INDEX($A:$AP,ROW(),$D$6)&amp;""))</f>
        <v/>
      </c>
      <c r="BA513" s="2">
        <f>IF($AS513="","",IF(AND($AS513&gt;=설정!$B$10,$AS513&lt;=설정!$B$11),"포함","기간 밖"))</f>
        <v/>
      </c>
      <c r="BB513" s="2">
        <f>IF($AS513="","",IF(OR($AT513&lt;0,AND($I$6&lt;&gt;"",ISNUMBER(FIND("수정",INDEX($A:$AP,ROW(),IF($I$6="",1,$I$6))&amp;"")))),"수정","일반"))</f>
        <v/>
      </c>
      <c r="BC513" s="2">
        <f>IF($AS513="","",MID(IF($BA513="기간 밖"," / 기간 밖(신고기간 아님)","")&amp;IF(AND($AW513&lt;&gt;"",COUNTIF($AW$8:$AW$1007,$AW513)&gt;1)," / 승인번호 중복(두 번 붙여넣기?)","")&amp;IF(ABS($AU513-ROUND($AT513*0.1,0))&gt;설정!$B$8,IF($AU513=0," / 세액 0원(영세율·면세 여부 확인)"," / 세액이 공급가액 10%와 다름"),"")&amp;IF($BB513="수정"," / 수정세금계산서(합계에서 자동 가감)",""),4,200))</f>
        <v/>
      </c>
      <c r="BD513" s="2">
        <f>IF($BA513&lt;&gt;"포함","",IF(COUNTIFS($AX$8:$AX513,$AX513,$BA$8:$BA513,"포함")=1,MAX($BD$7:BD512)+1,""))</f>
        <v/>
      </c>
      <c r="BE513" s="2">
        <f>IF($BC513="","",MAX($BE$7:BE512)+1)</f>
        <v/>
      </c>
    </row>
    <row r="514">
      <c r="AR514" s="2">
        <f>IF(OR($A$5="",$B$6="",ROW()&lt;$A$5),"",IF(INDEX($A:$AP,ROW(),$B$6)="","",INDEX($A:$AP,ROW(),$B$6)))</f>
        <v/>
      </c>
      <c r="AS514" s="22">
        <f>IF($AR514="","",IF(ISNUMBER($AR514),IF($AR514&gt;=10000000,IFERROR(DATE(INT($AR514/10000),MOD(INT($AR514/100),100),MOD($AR514,100)),""),INT($AR514)),IFERROR(DATE(--LEFT(LEFT(SUBSTITUTE(SUBSTITUTE(SUBSTITUTE(SUBSTITUTE(TRIM($AR514),"-",""),".",""),"/","")," ",""),8),4),--MID(LEFT(SUBSTITUTE(SUBSTITUTE(SUBSTITUTE(SUBSTITUTE(TRIM($AR514),"-",""),".",""),"/","")," ",""),8),5,2),--MID(LEFT(SUBSTITUTE(SUBSTITUTE(SUBSTITUTE(SUBSTITUTE(TRIM($AR514),"-",""),".",""),"/","")," ",""),8),7,2)),"")))</f>
        <v/>
      </c>
      <c r="AT514" s="23">
        <f>IF($AS514="","",IF($F$6="",0,IF(ISNUMBER(INDEX($A:$AP,ROW(),$F$6)),INDEX($A:$AP,ROW(),$F$6),IFERROR(--SUBSTITUTE(SUBSTITUTE(TRIM(INDEX($A:$AP,ROW(),$F$6)),",",""),"원",""),0))))</f>
        <v/>
      </c>
      <c r="AU514" s="23">
        <f>IF($AS514="","",IF($G$6="",0,IF(ISNUMBER(INDEX($A:$AP,ROW(),$G$6)),INDEX($A:$AP,ROW(),$G$6),IFERROR(--SUBSTITUTE(SUBSTITUTE(TRIM(INDEX($A:$AP,ROW(),$G$6)),",",""),"원",""),0))))</f>
        <v/>
      </c>
      <c r="AV514" s="23">
        <f>IF($AS514="","",IF($H$6="",$AT514+$AU514,IF($H$6="",0,IF(ISNUMBER(INDEX($A:$AP,ROW(),$H$6)),INDEX($A:$AP,ROW(),$H$6),IFERROR(--SUBSTITUTE(SUBSTITUTE(TRIM(INDEX($A:$AP,ROW(),$H$6)),",",""),"원",""),0)))))</f>
        <v/>
      </c>
      <c r="AW514" s="2">
        <f>IF(OR($AS514="",$C$6=""),"",TRIM(INDEX($A:$AP,ROW(),$C$6)&amp;""))</f>
        <v/>
      </c>
      <c r="AX514" s="2">
        <f>IF($AS514="","",IF($AZ514&lt;&gt;"",SUBSTITUTE(SUBSTITUTE($AZ514,"-","")," ",""),$AY514))</f>
        <v/>
      </c>
      <c r="AY514" s="2">
        <f>IF(OR($AS514="",$E$6=""),"",TRIM(INDEX($A:$AP,ROW(),$E$6)&amp;""))</f>
        <v/>
      </c>
      <c r="AZ514" s="2">
        <f>IF(OR($AS514="",$D$6=""),"",TRIM(INDEX($A:$AP,ROW(),$D$6)&amp;""))</f>
        <v/>
      </c>
      <c r="BA514" s="2">
        <f>IF($AS514="","",IF(AND($AS514&gt;=설정!$B$10,$AS514&lt;=설정!$B$11),"포함","기간 밖"))</f>
        <v/>
      </c>
      <c r="BB514" s="2">
        <f>IF($AS514="","",IF(OR($AT514&lt;0,AND($I$6&lt;&gt;"",ISNUMBER(FIND("수정",INDEX($A:$AP,ROW(),IF($I$6="",1,$I$6))&amp;"")))),"수정","일반"))</f>
        <v/>
      </c>
      <c r="BC514" s="2">
        <f>IF($AS514="","",MID(IF($BA514="기간 밖"," / 기간 밖(신고기간 아님)","")&amp;IF(AND($AW514&lt;&gt;"",COUNTIF($AW$8:$AW$1007,$AW514)&gt;1)," / 승인번호 중복(두 번 붙여넣기?)","")&amp;IF(ABS($AU514-ROUND($AT514*0.1,0))&gt;설정!$B$8,IF($AU514=0," / 세액 0원(영세율·면세 여부 확인)"," / 세액이 공급가액 10%와 다름"),"")&amp;IF($BB514="수정"," / 수정세금계산서(합계에서 자동 가감)",""),4,200))</f>
        <v/>
      </c>
      <c r="BD514" s="2">
        <f>IF($BA514&lt;&gt;"포함","",IF(COUNTIFS($AX$8:$AX514,$AX514,$BA$8:$BA514,"포함")=1,MAX($BD$7:BD513)+1,""))</f>
        <v/>
      </c>
      <c r="BE514" s="2">
        <f>IF($BC514="","",MAX($BE$7:BE513)+1)</f>
        <v/>
      </c>
    </row>
    <row r="515">
      <c r="AR515" s="2">
        <f>IF(OR($A$5="",$B$6="",ROW()&lt;$A$5),"",IF(INDEX($A:$AP,ROW(),$B$6)="","",INDEX($A:$AP,ROW(),$B$6)))</f>
        <v/>
      </c>
      <c r="AS515" s="22">
        <f>IF($AR515="","",IF(ISNUMBER($AR515),IF($AR515&gt;=10000000,IFERROR(DATE(INT($AR515/10000),MOD(INT($AR515/100),100),MOD($AR515,100)),""),INT($AR515)),IFERROR(DATE(--LEFT(LEFT(SUBSTITUTE(SUBSTITUTE(SUBSTITUTE(SUBSTITUTE(TRIM($AR515),"-",""),".",""),"/","")," ",""),8),4),--MID(LEFT(SUBSTITUTE(SUBSTITUTE(SUBSTITUTE(SUBSTITUTE(TRIM($AR515),"-",""),".",""),"/","")," ",""),8),5,2),--MID(LEFT(SUBSTITUTE(SUBSTITUTE(SUBSTITUTE(SUBSTITUTE(TRIM($AR515),"-",""),".",""),"/","")," ",""),8),7,2)),"")))</f>
        <v/>
      </c>
      <c r="AT515" s="23">
        <f>IF($AS515="","",IF($F$6="",0,IF(ISNUMBER(INDEX($A:$AP,ROW(),$F$6)),INDEX($A:$AP,ROW(),$F$6),IFERROR(--SUBSTITUTE(SUBSTITUTE(TRIM(INDEX($A:$AP,ROW(),$F$6)),",",""),"원",""),0))))</f>
        <v/>
      </c>
      <c r="AU515" s="23">
        <f>IF($AS515="","",IF($G$6="",0,IF(ISNUMBER(INDEX($A:$AP,ROW(),$G$6)),INDEX($A:$AP,ROW(),$G$6),IFERROR(--SUBSTITUTE(SUBSTITUTE(TRIM(INDEX($A:$AP,ROW(),$G$6)),",",""),"원",""),0))))</f>
        <v/>
      </c>
      <c r="AV515" s="23">
        <f>IF($AS515="","",IF($H$6="",$AT515+$AU515,IF($H$6="",0,IF(ISNUMBER(INDEX($A:$AP,ROW(),$H$6)),INDEX($A:$AP,ROW(),$H$6),IFERROR(--SUBSTITUTE(SUBSTITUTE(TRIM(INDEX($A:$AP,ROW(),$H$6)),",",""),"원",""),0)))))</f>
        <v/>
      </c>
      <c r="AW515" s="2">
        <f>IF(OR($AS515="",$C$6=""),"",TRIM(INDEX($A:$AP,ROW(),$C$6)&amp;""))</f>
        <v/>
      </c>
      <c r="AX515" s="2">
        <f>IF($AS515="","",IF($AZ515&lt;&gt;"",SUBSTITUTE(SUBSTITUTE($AZ515,"-","")," ",""),$AY515))</f>
        <v/>
      </c>
      <c r="AY515" s="2">
        <f>IF(OR($AS515="",$E$6=""),"",TRIM(INDEX($A:$AP,ROW(),$E$6)&amp;""))</f>
        <v/>
      </c>
      <c r="AZ515" s="2">
        <f>IF(OR($AS515="",$D$6=""),"",TRIM(INDEX($A:$AP,ROW(),$D$6)&amp;""))</f>
        <v/>
      </c>
      <c r="BA515" s="2">
        <f>IF($AS515="","",IF(AND($AS515&gt;=설정!$B$10,$AS515&lt;=설정!$B$11),"포함","기간 밖"))</f>
        <v/>
      </c>
      <c r="BB515" s="2">
        <f>IF($AS515="","",IF(OR($AT515&lt;0,AND($I$6&lt;&gt;"",ISNUMBER(FIND("수정",INDEX($A:$AP,ROW(),IF($I$6="",1,$I$6))&amp;"")))),"수정","일반"))</f>
        <v/>
      </c>
      <c r="BC515" s="2">
        <f>IF($AS515="","",MID(IF($BA515="기간 밖"," / 기간 밖(신고기간 아님)","")&amp;IF(AND($AW515&lt;&gt;"",COUNTIF($AW$8:$AW$1007,$AW515)&gt;1)," / 승인번호 중복(두 번 붙여넣기?)","")&amp;IF(ABS($AU515-ROUND($AT515*0.1,0))&gt;설정!$B$8,IF($AU515=0," / 세액 0원(영세율·면세 여부 확인)"," / 세액이 공급가액 10%와 다름"),"")&amp;IF($BB515="수정"," / 수정세금계산서(합계에서 자동 가감)",""),4,200))</f>
        <v/>
      </c>
      <c r="BD515" s="2">
        <f>IF($BA515&lt;&gt;"포함","",IF(COUNTIFS($AX$8:$AX515,$AX515,$BA$8:$BA515,"포함")=1,MAX($BD$7:BD514)+1,""))</f>
        <v/>
      </c>
      <c r="BE515" s="2">
        <f>IF($BC515="","",MAX($BE$7:BE514)+1)</f>
        <v/>
      </c>
    </row>
    <row r="516">
      <c r="AR516" s="2">
        <f>IF(OR($A$5="",$B$6="",ROW()&lt;$A$5),"",IF(INDEX($A:$AP,ROW(),$B$6)="","",INDEX($A:$AP,ROW(),$B$6)))</f>
        <v/>
      </c>
      <c r="AS516" s="22">
        <f>IF($AR516="","",IF(ISNUMBER($AR516),IF($AR516&gt;=10000000,IFERROR(DATE(INT($AR516/10000),MOD(INT($AR516/100),100),MOD($AR516,100)),""),INT($AR516)),IFERROR(DATE(--LEFT(LEFT(SUBSTITUTE(SUBSTITUTE(SUBSTITUTE(SUBSTITUTE(TRIM($AR516),"-",""),".",""),"/","")," ",""),8),4),--MID(LEFT(SUBSTITUTE(SUBSTITUTE(SUBSTITUTE(SUBSTITUTE(TRIM($AR516),"-",""),".",""),"/","")," ",""),8),5,2),--MID(LEFT(SUBSTITUTE(SUBSTITUTE(SUBSTITUTE(SUBSTITUTE(TRIM($AR516),"-",""),".",""),"/","")," ",""),8),7,2)),"")))</f>
        <v/>
      </c>
      <c r="AT516" s="23">
        <f>IF($AS516="","",IF($F$6="",0,IF(ISNUMBER(INDEX($A:$AP,ROW(),$F$6)),INDEX($A:$AP,ROW(),$F$6),IFERROR(--SUBSTITUTE(SUBSTITUTE(TRIM(INDEX($A:$AP,ROW(),$F$6)),",",""),"원",""),0))))</f>
        <v/>
      </c>
      <c r="AU516" s="23">
        <f>IF($AS516="","",IF($G$6="",0,IF(ISNUMBER(INDEX($A:$AP,ROW(),$G$6)),INDEX($A:$AP,ROW(),$G$6),IFERROR(--SUBSTITUTE(SUBSTITUTE(TRIM(INDEX($A:$AP,ROW(),$G$6)),",",""),"원",""),0))))</f>
        <v/>
      </c>
      <c r="AV516" s="23">
        <f>IF($AS516="","",IF($H$6="",$AT516+$AU516,IF($H$6="",0,IF(ISNUMBER(INDEX($A:$AP,ROW(),$H$6)),INDEX($A:$AP,ROW(),$H$6),IFERROR(--SUBSTITUTE(SUBSTITUTE(TRIM(INDEX($A:$AP,ROW(),$H$6)),",",""),"원",""),0)))))</f>
        <v/>
      </c>
      <c r="AW516" s="2">
        <f>IF(OR($AS516="",$C$6=""),"",TRIM(INDEX($A:$AP,ROW(),$C$6)&amp;""))</f>
        <v/>
      </c>
      <c r="AX516" s="2">
        <f>IF($AS516="","",IF($AZ516&lt;&gt;"",SUBSTITUTE(SUBSTITUTE($AZ516,"-","")," ",""),$AY516))</f>
        <v/>
      </c>
      <c r="AY516" s="2">
        <f>IF(OR($AS516="",$E$6=""),"",TRIM(INDEX($A:$AP,ROW(),$E$6)&amp;""))</f>
        <v/>
      </c>
      <c r="AZ516" s="2">
        <f>IF(OR($AS516="",$D$6=""),"",TRIM(INDEX($A:$AP,ROW(),$D$6)&amp;""))</f>
        <v/>
      </c>
      <c r="BA516" s="2">
        <f>IF($AS516="","",IF(AND($AS516&gt;=설정!$B$10,$AS516&lt;=설정!$B$11),"포함","기간 밖"))</f>
        <v/>
      </c>
      <c r="BB516" s="2">
        <f>IF($AS516="","",IF(OR($AT516&lt;0,AND($I$6&lt;&gt;"",ISNUMBER(FIND("수정",INDEX($A:$AP,ROW(),IF($I$6="",1,$I$6))&amp;"")))),"수정","일반"))</f>
        <v/>
      </c>
      <c r="BC516" s="2">
        <f>IF($AS516="","",MID(IF($BA516="기간 밖"," / 기간 밖(신고기간 아님)","")&amp;IF(AND($AW516&lt;&gt;"",COUNTIF($AW$8:$AW$1007,$AW516)&gt;1)," / 승인번호 중복(두 번 붙여넣기?)","")&amp;IF(ABS($AU516-ROUND($AT516*0.1,0))&gt;설정!$B$8,IF($AU516=0," / 세액 0원(영세율·면세 여부 확인)"," / 세액이 공급가액 10%와 다름"),"")&amp;IF($BB516="수정"," / 수정세금계산서(합계에서 자동 가감)",""),4,200))</f>
        <v/>
      </c>
      <c r="BD516" s="2">
        <f>IF($BA516&lt;&gt;"포함","",IF(COUNTIFS($AX$8:$AX516,$AX516,$BA$8:$BA516,"포함")=1,MAX($BD$7:BD515)+1,""))</f>
        <v/>
      </c>
      <c r="BE516" s="2">
        <f>IF($BC516="","",MAX($BE$7:BE515)+1)</f>
        <v/>
      </c>
    </row>
    <row r="517">
      <c r="AR517" s="2">
        <f>IF(OR($A$5="",$B$6="",ROW()&lt;$A$5),"",IF(INDEX($A:$AP,ROW(),$B$6)="","",INDEX($A:$AP,ROW(),$B$6)))</f>
        <v/>
      </c>
      <c r="AS517" s="22">
        <f>IF($AR517="","",IF(ISNUMBER($AR517),IF($AR517&gt;=10000000,IFERROR(DATE(INT($AR517/10000),MOD(INT($AR517/100),100),MOD($AR517,100)),""),INT($AR517)),IFERROR(DATE(--LEFT(LEFT(SUBSTITUTE(SUBSTITUTE(SUBSTITUTE(SUBSTITUTE(TRIM($AR517),"-",""),".",""),"/","")," ",""),8),4),--MID(LEFT(SUBSTITUTE(SUBSTITUTE(SUBSTITUTE(SUBSTITUTE(TRIM($AR517),"-",""),".",""),"/","")," ",""),8),5,2),--MID(LEFT(SUBSTITUTE(SUBSTITUTE(SUBSTITUTE(SUBSTITUTE(TRIM($AR517),"-",""),".",""),"/","")," ",""),8),7,2)),"")))</f>
        <v/>
      </c>
      <c r="AT517" s="23">
        <f>IF($AS517="","",IF($F$6="",0,IF(ISNUMBER(INDEX($A:$AP,ROW(),$F$6)),INDEX($A:$AP,ROW(),$F$6),IFERROR(--SUBSTITUTE(SUBSTITUTE(TRIM(INDEX($A:$AP,ROW(),$F$6)),",",""),"원",""),0))))</f>
        <v/>
      </c>
      <c r="AU517" s="23">
        <f>IF($AS517="","",IF($G$6="",0,IF(ISNUMBER(INDEX($A:$AP,ROW(),$G$6)),INDEX($A:$AP,ROW(),$G$6),IFERROR(--SUBSTITUTE(SUBSTITUTE(TRIM(INDEX($A:$AP,ROW(),$G$6)),",",""),"원",""),0))))</f>
        <v/>
      </c>
      <c r="AV517" s="23">
        <f>IF($AS517="","",IF($H$6="",$AT517+$AU517,IF($H$6="",0,IF(ISNUMBER(INDEX($A:$AP,ROW(),$H$6)),INDEX($A:$AP,ROW(),$H$6),IFERROR(--SUBSTITUTE(SUBSTITUTE(TRIM(INDEX($A:$AP,ROW(),$H$6)),",",""),"원",""),0)))))</f>
        <v/>
      </c>
      <c r="AW517" s="2">
        <f>IF(OR($AS517="",$C$6=""),"",TRIM(INDEX($A:$AP,ROW(),$C$6)&amp;""))</f>
        <v/>
      </c>
      <c r="AX517" s="2">
        <f>IF($AS517="","",IF($AZ517&lt;&gt;"",SUBSTITUTE(SUBSTITUTE($AZ517,"-","")," ",""),$AY517))</f>
        <v/>
      </c>
      <c r="AY517" s="2">
        <f>IF(OR($AS517="",$E$6=""),"",TRIM(INDEX($A:$AP,ROW(),$E$6)&amp;""))</f>
        <v/>
      </c>
      <c r="AZ517" s="2">
        <f>IF(OR($AS517="",$D$6=""),"",TRIM(INDEX($A:$AP,ROW(),$D$6)&amp;""))</f>
        <v/>
      </c>
      <c r="BA517" s="2">
        <f>IF($AS517="","",IF(AND($AS517&gt;=설정!$B$10,$AS517&lt;=설정!$B$11),"포함","기간 밖"))</f>
        <v/>
      </c>
      <c r="BB517" s="2">
        <f>IF($AS517="","",IF(OR($AT517&lt;0,AND($I$6&lt;&gt;"",ISNUMBER(FIND("수정",INDEX($A:$AP,ROW(),IF($I$6="",1,$I$6))&amp;"")))),"수정","일반"))</f>
        <v/>
      </c>
      <c r="BC517" s="2">
        <f>IF($AS517="","",MID(IF($BA517="기간 밖"," / 기간 밖(신고기간 아님)","")&amp;IF(AND($AW517&lt;&gt;"",COUNTIF($AW$8:$AW$1007,$AW517)&gt;1)," / 승인번호 중복(두 번 붙여넣기?)","")&amp;IF(ABS($AU517-ROUND($AT517*0.1,0))&gt;설정!$B$8,IF($AU517=0," / 세액 0원(영세율·면세 여부 확인)"," / 세액이 공급가액 10%와 다름"),"")&amp;IF($BB517="수정"," / 수정세금계산서(합계에서 자동 가감)",""),4,200))</f>
        <v/>
      </c>
      <c r="BD517" s="2">
        <f>IF($BA517&lt;&gt;"포함","",IF(COUNTIFS($AX$8:$AX517,$AX517,$BA$8:$BA517,"포함")=1,MAX($BD$7:BD516)+1,""))</f>
        <v/>
      </c>
      <c r="BE517" s="2">
        <f>IF($BC517="","",MAX($BE$7:BE516)+1)</f>
        <v/>
      </c>
    </row>
    <row r="518">
      <c r="AR518" s="2">
        <f>IF(OR($A$5="",$B$6="",ROW()&lt;$A$5),"",IF(INDEX($A:$AP,ROW(),$B$6)="","",INDEX($A:$AP,ROW(),$B$6)))</f>
        <v/>
      </c>
      <c r="AS518" s="22">
        <f>IF($AR518="","",IF(ISNUMBER($AR518),IF($AR518&gt;=10000000,IFERROR(DATE(INT($AR518/10000),MOD(INT($AR518/100),100),MOD($AR518,100)),""),INT($AR518)),IFERROR(DATE(--LEFT(LEFT(SUBSTITUTE(SUBSTITUTE(SUBSTITUTE(SUBSTITUTE(TRIM($AR518),"-",""),".",""),"/","")," ",""),8),4),--MID(LEFT(SUBSTITUTE(SUBSTITUTE(SUBSTITUTE(SUBSTITUTE(TRIM($AR518),"-",""),".",""),"/","")," ",""),8),5,2),--MID(LEFT(SUBSTITUTE(SUBSTITUTE(SUBSTITUTE(SUBSTITUTE(TRIM($AR518),"-",""),".",""),"/","")," ",""),8),7,2)),"")))</f>
        <v/>
      </c>
      <c r="AT518" s="23">
        <f>IF($AS518="","",IF($F$6="",0,IF(ISNUMBER(INDEX($A:$AP,ROW(),$F$6)),INDEX($A:$AP,ROW(),$F$6),IFERROR(--SUBSTITUTE(SUBSTITUTE(TRIM(INDEX($A:$AP,ROW(),$F$6)),",",""),"원",""),0))))</f>
        <v/>
      </c>
      <c r="AU518" s="23">
        <f>IF($AS518="","",IF($G$6="",0,IF(ISNUMBER(INDEX($A:$AP,ROW(),$G$6)),INDEX($A:$AP,ROW(),$G$6),IFERROR(--SUBSTITUTE(SUBSTITUTE(TRIM(INDEX($A:$AP,ROW(),$G$6)),",",""),"원",""),0))))</f>
        <v/>
      </c>
      <c r="AV518" s="23">
        <f>IF($AS518="","",IF($H$6="",$AT518+$AU518,IF($H$6="",0,IF(ISNUMBER(INDEX($A:$AP,ROW(),$H$6)),INDEX($A:$AP,ROW(),$H$6),IFERROR(--SUBSTITUTE(SUBSTITUTE(TRIM(INDEX($A:$AP,ROW(),$H$6)),",",""),"원",""),0)))))</f>
        <v/>
      </c>
      <c r="AW518" s="2">
        <f>IF(OR($AS518="",$C$6=""),"",TRIM(INDEX($A:$AP,ROW(),$C$6)&amp;""))</f>
        <v/>
      </c>
      <c r="AX518" s="2">
        <f>IF($AS518="","",IF($AZ518&lt;&gt;"",SUBSTITUTE(SUBSTITUTE($AZ518,"-","")," ",""),$AY518))</f>
        <v/>
      </c>
      <c r="AY518" s="2">
        <f>IF(OR($AS518="",$E$6=""),"",TRIM(INDEX($A:$AP,ROW(),$E$6)&amp;""))</f>
        <v/>
      </c>
      <c r="AZ518" s="2">
        <f>IF(OR($AS518="",$D$6=""),"",TRIM(INDEX($A:$AP,ROW(),$D$6)&amp;""))</f>
        <v/>
      </c>
      <c r="BA518" s="2">
        <f>IF($AS518="","",IF(AND($AS518&gt;=설정!$B$10,$AS518&lt;=설정!$B$11),"포함","기간 밖"))</f>
        <v/>
      </c>
      <c r="BB518" s="2">
        <f>IF($AS518="","",IF(OR($AT518&lt;0,AND($I$6&lt;&gt;"",ISNUMBER(FIND("수정",INDEX($A:$AP,ROW(),IF($I$6="",1,$I$6))&amp;"")))),"수정","일반"))</f>
        <v/>
      </c>
      <c r="BC518" s="2">
        <f>IF($AS518="","",MID(IF($BA518="기간 밖"," / 기간 밖(신고기간 아님)","")&amp;IF(AND($AW518&lt;&gt;"",COUNTIF($AW$8:$AW$1007,$AW518)&gt;1)," / 승인번호 중복(두 번 붙여넣기?)","")&amp;IF(ABS($AU518-ROUND($AT518*0.1,0))&gt;설정!$B$8,IF($AU518=0," / 세액 0원(영세율·면세 여부 확인)"," / 세액이 공급가액 10%와 다름"),"")&amp;IF($BB518="수정"," / 수정세금계산서(합계에서 자동 가감)",""),4,200))</f>
        <v/>
      </c>
      <c r="BD518" s="2">
        <f>IF($BA518&lt;&gt;"포함","",IF(COUNTIFS($AX$8:$AX518,$AX518,$BA$8:$BA518,"포함")=1,MAX($BD$7:BD517)+1,""))</f>
        <v/>
      </c>
      <c r="BE518" s="2">
        <f>IF($BC518="","",MAX($BE$7:BE517)+1)</f>
        <v/>
      </c>
    </row>
    <row r="519">
      <c r="AR519" s="2">
        <f>IF(OR($A$5="",$B$6="",ROW()&lt;$A$5),"",IF(INDEX($A:$AP,ROW(),$B$6)="","",INDEX($A:$AP,ROW(),$B$6)))</f>
        <v/>
      </c>
      <c r="AS519" s="22">
        <f>IF($AR519="","",IF(ISNUMBER($AR519),IF($AR519&gt;=10000000,IFERROR(DATE(INT($AR519/10000),MOD(INT($AR519/100),100),MOD($AR519,100)),""),INT($AR519)),IFERROR(DATE(--LEFT(LEFT(SUBSTITUTE(SUBSTITUTE(SUBSTITUTE(SUBSTITUTE(TRIM($AR519),"-",""),".",""),"/","")," ",""),8),4),--MID(LEFT(SUBSTITUTE(SUBSTITUTE(SUBSTITUTE(SUBSTITUTE(TRIM($AR519),"-",""),".",""),"/","")," ",""),8),5,2),--MID(LEFT(SUBSTITUTE(SUBSTITUTE(SUBSTITUTE(SUBSTITUTE(TRIM($AR519),"-",""),".",""),"/","")," ",""),8),7,2)),"")))</f>
        <v/>
      </c>
      <c r="AT519" s="23">
        <f>IF($AS519="","",IF($F$6="",0,IF(ISNUMBER(INDEX($A:$AP,ROW(),$F$6)),INDEX($A:$AP,ROW(),$F$6),IFERROR(--SUBSTITUTE(SUBSTITUTE(TRIM(INDEX($A:$AP,ROW(),$F$6)),",",""),"원",""),0))))</f>
        <v/>
      </c>
      <c r="AU519" s="23">
        <f>IF($AS519="","",IF($G$6="",0,IF(ISNUMBER(INDEX($A:$AP,ROW(),$G$6)),INDEX($A:$AP,ROW(),$G$6),IFERROR(--SUBSTITUTE(SUBSTITUTE(TRIM(INDEX($A:$AP,ROW(),$G$6)),",",""),"원",""),0))))</f>
        <v/>
      </c>
      <c r="AV519" s="23">
        <f>IF($AS519="","",IF($H$6="",$AT519+$AU519,IF($H$6="",0,IF(ISNUMBER(INDEX($A:$AP,ROW(),$H$6)),INDEX($A:$AP,ROW(),$H$6),IFERROR(--SUBSTITUTE(SUBSTITUTE(TRIM(INDEX($A:$AP,ROW(),$H$6)),",",""),"원",""),0)))))</f>
        <v/>
      </c>
      <c r="AW519" s="2">
        <f>IF(OR($AS519="",$C$6=""),"",TRIM(INDEX($A:$AP,ROW(),$C$6)&amp;""))</f>
        <v/>
      </c>
      <c r="AX519" s="2">
        <f>IF($AS519="","",IF($AZ519&lt;&gt;"",SUBSTITUTE(SUBSTITUTE($AZ519,"-","")," ",""),$AY519))</f>
        <v/>
      </c>
      <c r="AY519" s="2">
        <f>IF(OR($AS519="",$E$6=""),"",TRIM(INDEX($A:$AP,ROW(),$E$6)&amp;""))</f>
        <v/>
      </c>
      <c r="AZ519" s="2">
        <f>IF(OR($AS519="",$D$6=""),"",TRIM(INDEX($A:$AP,ROW(),$D$6)&amp;""))</f>
        <v/>
      </c>
      <c r="BA519" s="2">
        <f>IF($AS519="","",IF(AND($AS519&gt;=설정!$B$10,$AS519&lt;=설정!$B$11),"포함","기간 밖"))</f>
        <v/>
      </c>
      <c r="BB519" s="2">
        <f>IF($AS519="","",IF(OR($AT519&lt;0,AND($I$6&lt;&gt;"",ISNUMBER(FIND("수정",INDEX($A:$AP,ROW(),IF($I$6="",1,$I$6))&amp;"")))),"수정","일반"))</f>
        <v/>
      </c>
      <c r="BC519" s="2">
        <f>IF($AS519="","",MID(IF($BA519="기간 밖"," / 기간 밖(신고기간 아님)","")&amp;IF(AND($AW519&lt;&gt;"",COUNTIF($AW$8:$AW$1007,$AW519)&gt;1)," / 승인번호 중복(두 번 붙여넣기?)","")&amp;IF(ABS($AU519-ROUND($AT519*0.1,0))&gt;설정!$B$8,IF($AU519=0," / 세액 0원(영세율·면세 여부 확인)"," / 세액이 공급가액 10%와 다름"),"")&amp;IF($BB519="수정"," / 수정세금계산서(합계에서 자동 가감)",""),4,200))</f>
        <v/>
      </c>
      <c r="BD519" s="2">
        <f>IF($BA519&lt;&gt;"포함","",IF(COUNTIFS($AX$8:$AX519,$AX519,$BA$8:$BA519,"포함")=1,MAX($BD$7:BD518)+1,""))</f>
        <v/>
      </c>
      <c r="BE519" s="2">
        <f>IF($BC519="","",MAX($BE$7:BE518)+1)</f>
        <v/>
      </c>
    </row>
    <row r="520">
      <c r="AR520" s="2">
        <f>IF(OR($A$5="",$B$6="",ROW()&lt;$A$5),"",IF(INDEX($A:$AP,ROW(),$B$6)="","",INDEX($A:$AP,ROW(),$B$6)))</f>
        <v/>
      </c>
      <c r="AS520" s="22">
        <f>IF($AR520="","",IF(ISNUMBER($AR520),IF($AR520&gt;=10000000,IFERROR(DATE(INT($AR520/10000),MOD(INT($AR520/100),100),MOD($AR520,100)),""),INT($AR520)),IFERROR(DATE(--LEFT(LEFT(SUBSTITUTE(SUBSTITUTE(SUBSTITUTE(SUBSTITUTE(TRIM($AR520),"-",""),".",""),"/","")," ",""),8),4),--MID(LEFT(SUBSTITUTE(SUBSTITUTE(SUBSTITUTE(SUBSTITUTE(TRIM($AR520),"-",""),".",""),"/","")," ",""),8),5,2),--MID(LEFT(SUBSTITUTE(SUBSTITUTE(SUBSTITUTE(SUBSTITUTE(TRIM($AR520),"-",""),".",""),"/","")," ",""),8),7,2)),"")))</f>
        <v/>
      </c>
      <c r="AT520" s="23">
        <f>IF($AS520="","",IF($F$6="",0,IF(ISNUMBER(INDEX($A:$AP,ROW(),$F$6)),INDEX($A:$AP,ROW(),$F$6),IFERROR(--SUBSTITUTE(SUBSTITUTE(TRIM(INDEX($A:$AP,ROW(),$F$6)),",",""),"원",""),0))))</f>
        <v/>
      </c>
      <c r="AU520" s="23">
        <f>IF($AS520="","",IF($G$6="",0,IF(ISNUMBER(INDEX($A:$AP,ROW(),$G$6)),INDEX($A:$AP,ROW(),$G$6),IFERROR(--SUBSTITUTE(SUBSTITUTE(TRIM(INDEX($A:$AP,ROW(),$G$6)),",",""),"원",""),0))))</f>
        <v/>
      </c>
      <c r="AV520" s="23">
        <f>IF($AS520="","",IF($H$6="",$AT520+$AU520,IF($H$6="",0,IF(ISNUMBER(INDEX($A:$AP,ROW(),$H$6)),INDEX($A:$AP,ROW(),$H$6),IFERROR(--SUBSTITUTE(SUBSTITUTE(TRIM(INDEX($A:$AP,ROW(),$H$6)),",",""),"원",""),0)))))</f>
        <v/>
      </c>
      <c r="AW520" s="2">
        <f>IF(OR($AS520="",$C$6=""),"",TRIM(INDEX($A:$AP,ROW(),$C$6)&amp;""))</f>
        <v/>
      </c>
      <c r="AX520" s="2">
        <f>IF($AS520="","",IF($AZ520&lt;&gt;"",SUBSTITUTE(SUBSTITUTE($AZ520,"-","")," ",""),$AY520))</f>
        <v/>
      </c>
      <c r="AY520" s="2">
        <f>IF(OR($AS520="",$E$6=""),"",TRIM(INDEX($A:$AP,ROW(),$E$6)&amp;""))</f>
        <v/>
      </c>
      <c r="AZ520" s="2">
        <f>IF(OR($AS520="",$D$6=""),"",TRIM(INDEX($A:$AP,ROW(),$D$6)&amp;""))</f>
        <v/>
      </c>
      <c r="BA520" s="2">
        <f>IF($AS520="","",IF(AND($AS520&gt;=설정!$B$10,$AS520&lt;=설정!$B$11),"포함","기간 밖"))</f>
        <v/>
      </c>
      <c r="BB520" s="2">
        <f>IF($AS520="","",IF(OR($AT520&lt;0,AND($I$6&lt;&gt;"",ISNUMBER(FIND("수정",INDEX($A:$AP,ROW(),IF($I$6="",1,$I$6))&amp;"")))),"수정","일반"))</f>
        <v/>
      </c>
      <c r="BC520" s="2">
        <f>IF($AS520="","",MID(IF($BA520="기간 밖"," / 기간 밖(신고기간 아님)","")&amp;IF(AND($AW520&lt;&gt;"",COUNTIF($AW$8:$AW$1007,$AW520)&gt;1)," / 승인번호 중복(두 번 붙여넣기?)","")&amp;IF(ABS($AU520-ROUND($AT520*0.1,0))&gt;설정!$B$8,IF($AU520=0," / 세액 0원(영세율·면세 여부 확인)"," / 세액이 공급가액 10%와 다름"),"")&amp;IF($BB520="수정"," / 수정세금계산서(합계에서 자동 가감)",""),4,200))</f>
        <v/>
      </c>
      <c r="BD520" s="2">
        <f>IF($BA520&lt;&gt;"포함","",IF(COUNTIFS($AX$8:$AX520,$AX520,$BA$8:$BA520,"포함")=1,MAX($BD$7:BD519)+1,""))</f>
        <v/>
      </c>
      <c r="BE520" s="2">
        <f>IF($BC520="","",MAX($BE$7:BE519)+1)</f>
        <v/>
      </c>
    </row>
    <row r="521">
      <c r="AR521" s="2">
        <f>IF(OR($A$5="",$B$6="",ROW()&lt;$A$5),"",IF(INDEX($A:$AP,ROW(),$B$6)="","",INDEX($A:$AP,ROW(),$B$6)))</f>
        <v/>
      </c>
      <c r="AS521" s="22">
        <f>IF($AR521="","",IF(ISNUMBER($AR521),IF($AR521&gt;=10000000,IFERROR(DATE(INT($AR521/10000),MOD(INT($AR521/100),100),MOD($AR521,100)),""),INT($AR521)),IFERROR(DATE(--LEFT(LEFT(SUBSTITUTE(SUBSTITUTE(SUBSTITUTE(SUBSTITUTE(TRIM($AR521),"-",""),".",""),"/","")," ",""),8),4),--MID(LEFT(SUBSTITUTE(SUBSTITUTE(SUBSTITUTE(SUBSTITUTE(TRIM($AR521),"-",""),".",""),"/","")," ",""),8),5,2),--MID(LEFT(SUBSTITUTE(SUBSTITUTE(SUBSTITUTE(SUBSTITUTE(TRIM($AR521),"-",""),".",""),"/","")," ",""),8),7,2)),"")))</f>
        <v/>
      </c>
      <c r="AT521" s="23">
        <f>IF($AS521="","",IF($F$6="",0,IF(ISNUMBER(INDEX($A:$AP,ROW(),$F$6)),INDEX($A:$AP,ROW(),$F$6),IFERROR(--SUBSTITUTE(SUBSTITUTE(TRIM(INDEX($A:$AP,ROW(),$F$6)),",",""),"원",""),0))))</f>
        <v/>
      </c>
      <c r="AU521" s="23">
        <f>IF($AS521="","",IF($G$6="",0,IF(ISNUMBER(INDEX($A:$AP,ROW(),$G$6)),INDEX($A:$AP,ROW(),$G$6),IFERROR(--SUBSTITUTE(SUBSTITUTE(TRIM(INDEX($A:$AP,ROW(),$G$6)),",",""),"원",""),0))))</f>
        <v/>
      </c>
      <c r="AV521" s="23">
        <f>IF($AS521="","",IF($H$6="",$AT521+$AU521,IF($H$6="",0,IF(ISNUMBER(INDEX($A:$AP,ROW(),$H$6)),INDEX($A:$AP,ROW(),$H$6),IFERROR(--SUBSTITUTE(SUBSTITUTE(TRIM(INDEX($A:$AP,ROW(),$H$6)),",",""),"원",""),0)))))</f>
        <v/>
      </c>
      <c r="AW521" s="2">
        <f>IF(OR($AS521="",$C$6=""),"",TRIM(INDEX($A:$AP,ROW(),$C$6)&amp;""))</f>
        <v/>
      </c>
      <c r="AX521" s="2">
        <f>IF($AS521="","",IF($AZ521&lt;&gt;"",SUBSTITUTE(SUBSTITUTE($AZ521,"-","")," ",""),$AY521))</f>
        <v/>
      </c>
      <c r="AY521" s="2">
        <f>IF(OR($AS521="",$E$6=""),"",TRIM(INDEX($A:$AP,ROW(),$E$6)&amp;""))</f>
        <v/>
      </c>
      <c r="AZ521" s="2">
        <f>IF(OR($AS521="",$D$6=""),"",TRIM(INDEX($A:$AP,ROW(),$D$6)&amp;""))</f>
        <v/>
      </c>
      <c r="BA521" s="2">
        <f>IF($AS521="","",IF(AND($AS521&gt;=설정!$B$10,$AS521&lt;=설정!$B$11),"포함","기간 밖"))</f>
        <v/>
      </c>
      <c r="BB521" s="2">
        <f>IF($AS521="","",IF(OR($AT521&lt;0,AND($I$6&lt;&gt;"",ISNUMBER(FIND("수정",INDEX($A:$AP,ROW(),IF($I$6="",1,$I$6))&amp;"")))),"수정","일반"))</f>
        <v/>
      </c>
      <c r="BC521" s="2">
        <f>IF($AS521="","",MID(IF($BA521="기간 밖"," / 기간 밖(신고기간 아님)","")&amp;IF(AND($AW521&lt;&gt;"",COUNTIF($AW$8:$AW$1007,$AW521)&gt;1)," / 승인번호 중복(두 번 붙여넣기?)","")&amp;IF(ABS($AU521-ROUND($AT521*0.1,0))&gt;설정!$B$8,IF($AU521=0," / 세액 0원(영세율·면세 여부 확인)"," / 세액이 공급가액 10%와 다름"),"")&amp;IF($BB521="수정"," / 수정세금계산서(합계에서 자동 가감)",""),4,200))</f>
        <v/>
      </c>
      <c r="BD521" s="2">
        <f>IF($BA521&lt;&gt;"포함","",IF(COUNTIFS($AX$8:$AX521,$AX521,$BA$8:$BA521,"포함")=1,MAX($BD$7:BD520)+1,""))</f>
        <v/>
      </c>
      <c r="BE521" s="2">
        <f>IF($BC521="","",MAX($BE$7:BE520)+1)</f>
        <v/>
      </c>
    </row>
    <row r="522">
      <c r="AR522" s="2">
        <f>IF(OR($A$5="",$B$6="",ROW()&lt;$A$5),"",IF(INDEX($A:$AP,ROW(),$B$6)="","",INDEX($A:$AP,ROW(),$B$6)))</f>
        <v/>
      </c>
      <c r="AS522" s="22">
        <f>IF($AR522="","",IF(ISNUMBER($AR522),IF($AR522&gt;=10000000,IFERROR(DATE(INT($AR522/10000),MOD(INT($AR522/100),100),MOD($AR522,100)),""),INT($AR522)),IFERROR(DATE(--LEFT(LEFT(SUBSTITUTE(SUBSTITUTE(SUBSTITUTE(SUBSTITUTE(TRIM($AR522),"-",""),".",""),"/","")," ",""),8),4),--MID(LEFT(SUBSTITUTE(SUBSTITUTE(SUBSTITUTE(SUBSTITUTE(TRIM($AR522),"-",""),".",""),"/","")," ",""),8),5,2),--MID(LEFT(SUBSTITUTE(SUBSTITUTE(SUBSTITUTE(SUBSTITUTE(TRIM($AR522),"-",""),".",""),"/","")," ",""),8),7,2)),"")))</f>
        <v/>
      </c>
      <c r="AT522" s="23">
        <f>IF($AS522="","",IF($F$6="",0,IF(ISNUMBER(INDEX($A:$AP,ROW(),$F$6)),INDEX($A:$AP,ROW(),$F$6),IFERROR(--SUBSTITUTE(SUBSTITUTE(TRIM(INDEX($A:$AP,ROW(),$F$6)),",",""),"원",""),0))))</f>
        <v/>
      </c>
      <c r="AU522" s="23">
        <f>IF($AS522="","",IF($G$6="",0,IF(ISNUMBER(INDEX($A:$AP,ROW(),$G$6)),INDEX($A:$AP,ROW(),$G$6),IFERROR(--SUBSTITUTE(SUBSTITUTE(TRIM(INDEX($A:$AP,ROW(),$G$6)),",",""),"원",""),0))))</f>
        <v/>
      </c>
      <c r="AV522" s="23">
        <f>IF($AS522="","",IF($H$6="",$AT522+$AU522,IF($H$6="",0,IF(ISNUMBER(INDEX($A:$AP,ROW(),$H$6)),INDEX($A:$AP,ROW(),$H$6),IFERROR(--SUBSTITUTE(SUBSTITUTE(TRIM(INDEX($A:$AP,ROW(),$H$6)),",",""),"원",""),0)))))</f>
        <v/>
      </c>
      <c r="AW522" s="2">
        <f>IF(OR($AS522="",$C$6=""),"",TRIM(INDEX($A:$AP,ROW(),$C$6)&amp;""))</f>
        <v/>
      </c>
      <c r="AX522" s="2">
        <f>IF($AS522="","",IF($AZ522&lt;&gt;"",SUBSTITUTE(SUBSTITUTE($AZ522,"-","")," ",""),$AY522))</f>
        <v/>
      </c>
      <c r="AY522" s="2">
        <f>IF(OR($AS522="",$E$6=""),"",TRIM(INDEX($A:$AP,ROW(),$E$6)&amp;""))</f>
        <v/>
      </c>
      <c r="AZ522" s="2">
        <f>IF(OR($AS522="",$D$6=""),"",TRIM(INDEX($A:$AP,ROW(),$D$6)&amp;""))</f>
        <v/>
      </c>
      <c r="BA522" s="2">
        <f>IF($AS522="","",IF(AND($AS522&gt;=설정!$B$10,$AS522&lt;=설정!$B$11),"포함","기간 밖"))</f>
        <v/>
      </c>
      <c r="BB522" s="2">
        <f>IF($AS522="","",IF(OR($AT522&lt;0,AND($I$6&lt;&gt;"",ISNUMBER(FIND("수정",INDEX($A:$AP,ROW(),IF($I$6="",1,$I$6))&amp;"")))),"수정","일반"))</f>
        <v/>
      </c>
      <c r="BC522" s="2">
        <f>IF($AS522="","",MID(IF($BA522="기간 밖"," / 기간 밖(신고기간 아님)","")&amp;IF(AND($AW522&lt;&gt;"",COUNTIF($AW$8:$AW$1007,$AW522)&gt;1)," / 승인번호 중복(두 번 붙여넣기?)","")&amp;IF(ABS($AU522-ROUND($AT522*0.1,0))&gt;설정!$B$8,IF($AU522=0," / 세액 0원(영세율·면세 여부 확인)"," / 세액이 공급가액 10%와 다름"),"")&amp;IF($BB522="수정"," / 수정세금계산서(합계에서 자동 가감)",""),4,200))</f>
        <v/>
      </c>
      <c r="BD522" s="2">
        <f>IF($BA522&lt;&gt;"포함","",IF(COUNTIFS($AX$8:$AX522,$AX522,$BA$8:$BA522,"포함")=1,MAX($BD$7:BD521)+1,""))</f>
        <v/>
      </c>
      <c r="BE522" s="2">
        <f>IF($BC522="","",MAX($BE$7:BE521)+1)</f>
        <v/>
      </c>
    </row>
    <row r="523">
      <c r="AR523" s="2">
        <f>IF(OR($A$5="",$B$6="",ROW()&lt;$A$5),"",IF(INDEX($A:$AP,ROW(),$B$6)="","",INDEX($A:$AP,ROW(),$B$6)))</f>
        <v/>
      </c>
      <c r="AS523" s="22">
        <f>IF($AR523="","",IF(ISNUMBER($AR523),IF($AR523&gt;=10000000,IFERROR(DATE(INT($AR523/10000),MOD(INT($AR523/100),100),MOD($AR523,100)),""),INT($AR523)),IFERROR(DATE(--LEFT(LEFT(SUBSTITUTE(SUBSTITUTE(SUBSTITUTE(SUBSTITUTE(TRIM($AR523),"-",""),".",""),"/","")," ",""),8),4),--MID(LEFT(SUBSTITUTE(SUBSTITUTE(SUBSTITUTE(SUBSTITUTE(TRIM($AR523),"-",""),".",""),"/","")," ",""),8),5,2),--MID(LEFT(SUBSTITUTE(SUBSTITUTE(SUBSTITUTE(SUBSTITUTE(TRIM($AR523),"-",""),".",""),"/","")," ",""),8),7,2)),"")))</f>
        <v/>
      </c>
      <c r="AT523" s="23">
        <f>IF($AS523="","",IF($F$6="",0,IF(ISNUMBER(INDEX($A:$AP,ROW(),$F$6)),INDEX($A:$AP,ROW(),$F$6),IFERROR(--SUBSTITUTE(SUBSTITUTE(TRIM(INDEX($A:$AP,ROW(),$F$6)),",",""),"원",""),0))))</f>
        <v/>
      </c>
      <c r="AU523" s="23">
        <f>IF($AS523="","",IF($G$6="",0,IF(ISNUMBER(INDEX($A:$AP,ROW(),$G$6)),INDEX($A:$AP,ROW(),$G$6),IFERROR(--SUBSTITUTE(SUBSTITUTE(TRIM(INDEX($A:$AP,ROW(),$G$6)),",",""),"원",""),0))))</f>
        <v/>
      </c>
      <c r="AV523" s="23">
        <f>IF($AS523="","",IF($H$6="",$AT523+$AU523,IF($H$6="",0,IF(ISNUMBER(INDEX($A:$AP,ROW(),$H$6)),INDEX($A:$AP,ROW(),$H$6),IFERROR(--SUBSTITUTE(SUBSTITUTE(TRIM(INDEX($A:$AP,ROW(),$H$6)),",",""),"원",""),0)))))</f>
        <v/>
      </c>
      <c r="AW523" s="2">
        <f>IF(OR($AS523="",$C$6=""),"",TRIM(INDEX($A:$AP,ROW(),$C$6)&amp;""))</f>
        <v/>
      </c>
      <c r="AX523" s="2">
        <f>IF($AS523="","",IF($AZ523&lt;&gt;"",SUBSTITUTE(SUBSTITUTE($AZ523,"-","")," ",""),$AY523))</f>
        <v/>
      </c>
      <c r="AY523" s="2">
        <f>IF(OR($AS523="",$E$6=""),"",TRIM(INDEX($A:$AP,ROW(),$E$6)&amp;""))</f>
        <v/>
      </c>
      <c r="AZ523" s="2">
        <f>IF(OR($AS523="",$D$6=""),"",TRIM(INDEX($A:$AP,ROW(),$D$6)&amp;""))</f>
        <v/>
      </c>
      <c r="BA523" s="2">
        <f>IF($AS523="","",IF(AND($AS523&gt;=설정!$B$10,$AS523&lt;=설정!$B$11),"포함","기간 밖"))</f>
        <v/>
      </c>
      <c r="BB523" s="2">
        <f>IF($AS523="","",IF(OR($AT523&lt;0,AND($I$6&lt;&gt;"",ISNUMBER(FIND("수정",INDEX($A:$AP,ROW(),IF($I$6="",1,$I$6))&amp;"")))),"수정","일반"))</f>
        <v/>
      </c>
      <c r="BC523" s="2">
        <f>IF($AS523="","",MID(IF($BA523="기간 밖"," / 기간 밖(신고기간 아님)","")&amp;IF(AND($AW523&lt;&gt;"",COUNTIF($AW$8:$AW$1007,$AW523)&gt;1)," / 승인번호 중복(두 번 붙여넣기?)","")&amp;IF(ABS($AU523-ROUND($AT523*0.1,0))&gt;설정!$B$8,IF($AU523=0," / 세액 0원(영세율·면세 여부 확인)"," / 세액이 공급가액 10%와 다름"),"")&amp;IF($BB523="수정"," / 수정세금계산서(합계에서 자동 가감)",""),4,200))</f>
        <v/>
      </c>
      <c r="BD523" s="2">
        <f>IF($BA523&lt;&gt;"포함","",IF(COUNTIFS($AX$8:$AX523,$AX523,$BA$8:$BA523,"포함")=1,MAX($BD$7:BD522)+1,""))</f>
        <v/>
      </c>
      <c r="BE523" s="2">
        <f>IF($BC523="","",MAX($BE$7:BE522)+1)</f>
        <v/>
      </c>
    </row>
    <row r="524">
      <c r="AR524" s="2">
        <f>IF(OR($A$5="",$B$6="",ROW()&lt;$A$5),"",IF(INDEX($A:$AP,ROW(),$B$6)="","",INDEX($A:$AP,ROW(),$B$6)))</f>
        <v/>
      </c>
      <c r="AS524" s="22">
        <f>IF($AR524="","",IF(ISNUMBER($AR524),IF($AR524&gt;=10000000,IFERROR(DATE(INT($AR524/10000),MOD(INT($AR524/100),100),MOD($AR524,100)),""),INT($AR524)),IFERROR(DATE(--LEFT(LEFT(SUBSTITUTE(SUBSTITUTE(SUBSTITUTE(SUBSTITUTE(TRIM($AR524),"-",""),".",""),"/","")," ",""),8),4),--MID(LEFT(SUBSTITUTE(SUBSTITUTE(SUBSTITUTE(SUBSTITUTE(TRIM($AR524),"-",""),".",""),"/","")," ",""),8),5,2),--MID(LEFT(SUBSTITUTE(SUBSTITUTE(SUBSTITUTE(SUBSTITUTE(TRIM($AR524),"-",""),".",""),"/","")," ",""),8),7,2)),"")))</f>
        <v/>
      </c>
      <c r="AT524" s="23">
        <f>IF($AS524="","",IF($F$6="",0,IF(ISNUMBER(INDEX($A:$AP,ROW(),$F$6)),INDEX($A:$AP,ROW(),$F$6),IFERROR(--SUBSTITUTE(SUBSTITUTE(TRIM(INDEX($A:$AP,ROW(),$F$6)),",",""),"원",""),0))))</f>
        <v/>
      </c>
      <c r="AU524" s="23">
        <f>IF($AS524="","",IF($G$6="",0,IF(ISNUMBER(INDEX($A:$AP,ROW(),$G$6)),INDEX($A:$AP,ROW(),$G$6),IFERROR(--SUBSTITUTE(SUBSTITUTE(TRIM(INDEX($A:$AP,ROW(),$G$6)),",",""),"원",""),0))))</f>
        <v/>
      </c>
      <c r="AV524" s="23">
        <f>IF($AS524="","",IF($H$6="",$AT524+$AU524,IF($H$6="",0,IF(ISNUMBER(INDEX($A:$AP,ROW(),$H$6)),INDEX($A:$AP,ROW(),$H$6),IFERROR(--SUBSTITUTE(SUBSTITUTE(TRIM(INDEX($A:$AP,ROW(),$H$6)),",",""),"원",""),0)))))</f>
        <v/>
      </c>
      <c r="AW524" s="2">
        <f>IF(OR($AS524="",$C$6=""),"",TRIM(INDEX($A:$AP,ROW(),$C$6)&amp;""))</f>
        <v/>
      </c>
      <c r="AX524" s="2">
        <f>IF($AS524="","",IF($AZ524&lt;&gt;"",SUBSTITUTE(SUBSTITUTE($AZ524,"-","")," ",""),$AY524))</f>
        <v/>
      </c>
      <c r="AY524" s="2">
        <f>IF(OR($AS524="",$E$6=""),"",TRIM(INDEX($A:$AP,ROW(),$E$6)&amp;""))</f>
        <v/>
      </c>
      <c r="AZ524" s="2">
        <f>IF(OR($AS524="",$D$6=""),"",TRIM(INDEX($A:$AP,ROW(),$D$6)&amp;""))</f>
        <v/>
      </c>
      <c r="BA524" s="2">
        <f>IF($AS524="","",IF(AND($AS524&gt;=설정!$B$10,$AS524&lt;=설정!$B$11),"포함","기간 밖"))</f>
        <v/>
      </c>
      <c r="BB524" s="2">
        <f>IF($AS524="","",IF(OR($AT524&lt;0,AND($I$6&lt;&gt;"",ISNUMBER(FIND("수정",INDEX($A:$AP,ROW(),IF($I$6="",1,$I$6))&amp;"")))),"수정","일반"))</f>
        <v/>
      </c>
      <c r="BC524" s="2">
        <f>IF($AS524="","",MID(IF($BA524="기간 밖"," / 기간 밖(신고기간 아님)","")&amp;IF(AND($AW524&lt;&gt;"",COUNTIF($AW$8:$AW$1007,$AW524)&gt;1)," / 승인번호 중복(두 번 붙여넣기?)","")&amp;IF(ABS($AU524-ROUND($AT524*0.1,0))&gt;설정!$B$8,IF($AU524=0," / 세액 0원(영세율·면세 여부 확인)"," / 세액이 공급가액 10%와 다름"),"")&amp;IF($BB524="수정"," / 수정세금계산서(합계에서 자동 가감)",""),4,200))</f>
        <v/>
      </c>
      <c r="BD524" s="2">
        <f>IF($BA524&lt;&gt;"포함","",IF(COUNTIFS($AX$8:$AX524,$AX524,$BA$8:$BA524,"포함")=1,MAX($BD$7:BD523)+1,""))</f>
        <v/>
      </c>
      <c r="BE524" s="2">
        <f>IF($BC524="","",MAX($BE$7:BE523)+1)</f>
        <v/>
      </c>
    </row>
    <row r="525">
      <c r="AR525" s="2">
        <f>IF(OR($A$5="",$B$6="",ROW()&lt;$A$5),"",IF(INDEX($A:$AP,ROW(),$B$6)="","",INDEX($A:$AP,ROW(),$B$6)))</f>
        <v/>
      </c>
      <c r="AS525" s="22">
        <f>IF($AR525="","",IF(ISNUMBER($AR525),IF($AR525&gt;=10000000,IFERROR(DATE(INT($AR525/10000),MOD(INT($AR525/100),100),MOD($AR525,100)),""),INT($AR525)),IFERROR(DATE(--LEFT(LEFT(SUBSTITUTE(SUBSTITUTE(SUBSTITUTE(SUBSTITUTE(TRIM($AR525),"-",""),".",""),"/","")," ",""),8),4),--MID(LEFT(SUBSTITUTE(SUBSTITUTE(SUBSTITUTE(SUBSTITUTE(TRIM($AR525),"-",""),".",""),"/","")," ",""),8),5,2),--MID(LEFT(SUBSTITUTE(SUBSTITUTE(SUBSTITUTE(SUBSTITUTE(TRIM($AR525),"-",""),".",""),"/","")," ",""),8),7,2)),"")))</f>
        <v/>
      </c>
      <c r="AT525" s="23">
        <f>IF($AS525="","",IF($F$6="",0,IF(ISNUMBER(INDEX($A:$AP,ROW(),$F$6)),INDEX($A:$AP,ROW(),$F$6),IFERROR(--SUBSTITUTE(SUBSTITUTE(TRIM(INDEX($A:$AP,ROW(),$F$6)),",",""),"원",""),0))))</f>
        <v/>
      </c>
      <c r="AU525" s="23">
        <f>IF($AS525="","",IF($G$6="",0,IF(ISNUMBER(INDEX($A:$AP,ROW(),$G$6)),INDEX($A:$AP,ROW(),$G$6),IFERROR(--SUBSTITUTE(SUBSTITUTE(TRIM(INDEX($A:$AP,ROW(),$G$6)),",",""),"원",""),0))))</f>
        <v/>
      </c>
      <c r="AV525" s="23">
        <f>IF($AS525="","",IF($H$6="",$AT525+$AU525,IF($H$6="",0,IF(ISNUMBER(INDEX($A:$AP,ROW(),$H$6)),INDEX($A:$AP,ROW(),$H$6),IFERROR(--SUBSTITUTE(SUBSTITUTE(TRIM(INDEX($A:$AP,ROW(),$H$6)),",",""),"원",""),0)))))</f>
        <v/>
      </c>
      <c r="AW525" s="2">
        <f>IF(OR($AS525="",$C$6=""),"",TRIM(INDEX($A:$AP,ROW(),$C$6)&amp;""))</f>
        <v/>
      </c>
      <c r="AX525" s="2">
        <f>IF($AS525="","",IF($AZ525&lt;&gt;"",SUBSTITUTE(SUBSTITUTE($AZ525,"-","")," ",""),$AY525))</f>
        <v/>
      </c>
      <c r="AY525" s="2">
        <f>IF(OR($AS525="",$E$6=""),"",TRIM(INDEX($A:$AP,ROW(),$E$6)&amp;""))</f>
        <v/>
      </c>
      <c r="AZ525" s="2">
        <f>IF(OR($AS525="",$D$6=""),"",TRIM(INDEX($A:$AP,ROW(),$D$6)&amp;""))</f>
        <v/>
      </c>
      <c r="BA525" s="2">
        <f>IF($AS525="","",IF(AND($AS525&gt;=설정!$B$10,$AS525&lt;=설정!$B$11),"포함","기간 밖"))</f>
        <v/>
      </c>
      <c r="BB525" s="2">
        <f>IF($AS525="","",IF(OR($AT525&lt;0,AND($I$6&lt;&gt;"",ISNUMBER(FIND("수정",INDEX($A:$AP,ROW(),IF($I$6="",1,$I$6))&amp;"")))),"수정","일반"))</f>
        <v/>
      </c>
      <c r="BC525" s="2">
        <f>IF($AS525="","",MID(IF($BA525="기간 밖"," / 기간 밖(신고기간 아님)","")&amp;IF(AND($AW525&lt;&gt;"",COUNTIF($AW$8:$AW$1007,$AW525)&gt;1)," / 승인번호 중복(두 번 붙여넣기?)","")&amp;IF(ABS($AU525-ROUND($AT525*0.1,0))&gt;설정!$B$8,IF($AU525=0," / 세액 0원(영세율·면세 여부 확인)"," / 세액이 공급가액 10%와 다름"),"")&amp;IF($BB525="수정"," / 수정세금계산서(합계에서 자동 가감)",""),4,200))</f>
        <v/>
      </c>
      <c r="BD525" s="2">
        <f>IF($BA525&lt;&gt;"포함","",IF(COUNTIFS($AX$8:$AX525,$AX525,$BA$8:$BA525,"포함")=1,MAX($BD$7:BD524)+1,""))</f>
        <v/>
      </c>
      <c r="BE525" s="2">
        <f>IF($BC525="","",MAX($BE$7:BE524)+1)</f>
        <v/>
      </c>
    </row>
    <row r="526">
      <c r="AR526" s="2">
        <f>IF(OR($A$5="",$B$6="",ROW()&lt;$A$5),"",IF(INDEX($A:$AP,ROW(),$B$6)="","",INDEX($A:$AP,ROW(),$B$6)))</f>
        <v/>
      </c>
      <c r="AS526" s="22">
        <f>IF($AR526="","",IF(ISNUMBER($AR526),IF($AR526&gt;=10000000,IFERROR(DATE(INT($AR526/10000),MOD(INT($AR526/100),100),MOD($AR526,100)),""),INT($AR526)),IFERROR(DATE(--LEFT(LEFT(SUBSTITUTE(SUBSTITUTE(SUBSTITUTE(SUBSTITUTE(TRIM($AR526),"-",""),".",""),"/","")," ",""),8),4),--MID(LEFT(SUBSTITUTE(SUBSTITUTE(SUBSTITUTE(SUBSTITUTE(TRIM($AR526),"-",""),".",""),"/","")," ",""),8),5,2),--MID(LEFT(SUBSTITUTE(SUBSTITUTE(SUBSTITUTE(SUBSTITUTE(TRIM($AR526),"-",""),".",""),"/","")," ",""),8),7,2)),"")))</f>
        <v/>
      </c>
      <c r="AT526" s="23">
        <f>IF($AS526="","",IF($F$6="",0,IF(ISNUMBER(INDEX($A:$AP,ROW(),$F$6)),INDEX($A:$AP,ROW(),$F$6),IFERROR(--SUBSTITUTE(SUBSTITUTE(TRIM(INDEX($A:$AP,ROW(),$F$6)),",",""),"원",""),0))))</f>
        <v/>
      </c>
      <c r="AU526" s="23">
        <f>IF($AS526="","",IF($G$6="",0,IF(ISNUMBER(INDEX($A:$AP,ROW(),$G$6)),INDEX($A:$AP,ROW(),$G$6),IFERROR(--SUBSTITUTE(SUBSTITUTE(TRIM(INDEX($A:$AP,ROW(),$G$6)),",",""),"원",""),0))))</f>
        <v/>
      </c>
      <c r="AV526" s="23">
        <f>IF($AS526="","",IF($H$6="",$AT526+$AU526,IF($H$6="",0,IF(ISNUMBER(INDEX($A:$AP,ROW(),$H$6)),INDEX($A:$AP,ROW(),$H$6),IFERROR(--SUBSTITUTE(SUBSTITUTE(TRIM(INDEX($A:$AP,ROW(),$H$6)),",",""),"원",""),0)))))</f>
        <v/>
      </c>
      <c r="AW526" s="2">
        <f>IF(OR($AS526="",$C$6=""),"",TRIM(INDEX($A:$AP,ROW(),$C$6)&amp;""))</f>
        <v/>
      </c>
      <c r="AX526" s="2">
        <f>IF($AS526="","",IF($AZ526&lt;&gt;"",SUBSTITUTE(SUBSTITUTE($AZ526,"-","")," ",""),$AY526))</f>
        <v/>
      </c>
      <c r="AY526" s="2">
        <f>IF(OR($AS526="",$E$6=""),"",TRIM(INDEX($A:$AP,ROW(),$E$6)&amp;""))</f>
        <v/>
      </c>
      <c r="AZ526" s="2">
        <f>IF(OR($AS526="",$D$6=""),"",TRIM(INDEX($A:$AP,ROW(),$D$6)&amp;""))</f>
        <v/>
      </c>
      <c r="BA526" s="2">
        <f>IF($AS526="","",IF(AND($AS526&gt;=설정!$B$10,$AS526&lt;=설정!$B$11),"포함","기간 밖"))</f>
        <v/>
      </c>
      <c r="BB526" s="2">
        <f>IF($AS526="","",IF(OR($AT526&lt;0,AND($I$6&lt;&gt;"",ISNUMBER(FIND("수정",INDEX($A:$AP,ROW(),IF($I$6="",1,$I$6))&amp;"")))),"수정","일반"))</f>
        <v/>
      </c>
      <c r="BC526" s="2">
        <f>IF($AS526="","",MID(IF($BA526="기간 밖"," / 기간 밖(신고기간 아님)","")&amp;IF(AND($AW526&lt;&gt;"",COUNTIF($AW$8:$AW$1007,$AW526)&gt;1)," / 승인번호 중복(두 번 붙여넣기?)","")&amp;IF(ABS($AU526-ROUND($AT526*0.1,0))&gt;설정!$B$8,IF($AU526=0," / 세액 0원(영세율·면세 여부 확인)"," / 세액이 공급가액 10%와 다름"),"")&amp;IF($BB526="수정"," / 수정세금계산서(합계에서 자동 가감)",""),4,200))</f>
        <v/>
      </c>
      <c r="BD526" s="2">
        <f>IF($BA526&lt;&gt;"포함","",IF(COUNTIFS($AX$8:$AX526,$AX526,$BA$8:$BA526,"포함")=1,MAX($BD$7:BD525)+1,""))</f>
        <v/>
      </c>
      <c r="BE526" s="2">
        <f>IF($BC526="","",MAX($BE$7:BE525)+1)</f>
        <v/>
      </c>
    </row>
    <row r="527">
      <c r="AR527" s="2">
        <f>IF(OR($A$5="",$B$6="",ROW()&lt;$A$5),"",IF(INDEX($A:$AP,ROW(),$B$6)="","",INDEX($A:$AP,ROW(),$B$6)))</f>
        <v/>
      </c>
      <c r="AS527" s="22">
        <f>IF($AR527="","",IF(ISNUMBER($AR527),IF($AR527&gt;=10000000,IFERROR(DATE(INT($AR527/10000),MOD(INT($AR527/100),100),MOD($AR527,100)),""),INT($AR527)),IFERROR(DATE(--LEFT(LEFT(SUBSTITUTE(SUBSTITUTE(SUBSTITUTE(SUBSTITUTE(TRIM($AR527),"-",""),".",""),"/","")," ",""),8),4),--MID(LEFT(SUBSTITUTE(SUBSTITUTE(SUBSTITUTE(SUBSTITUTE(TRIM($AR527),"-",""),".",""),"/","")," ",""),8),5,2),--MID(LEFT(SUBSTITUTE(SUBSTITUTE(SUBSTITUTE(SUBSTITUTE(TRIM($AR527),"-",""),".",""),"/","")," ",""),8),7,2)),"")))</f>
        <v/>
      </c>
      <c r="AT527" s="23">
        <f>IF($AS527="","",IF($F$6="",0,IF(ISNUMBER(INDEX($A:$AP,ROW(),$F$6)),INDEX($A:$AP,ROW(),$F$6),IFERROR(--SUBSTITUTE(SUBSTITUTE(TRIM(INDEX($A:$AP,ROW(),$F$6)),",",""),"원",""),0))))</f>
        <v/>
      </c>
      <c r="AU527" s="23">
        <f>IF($AS527="","",IF($G$6="",0,IF(ISNUMBER(INDEX($A:$AP,ROW(),$G$6)),INDEX($A:$AP,ROW(),$G$6),IFERROR(--SUBSTITUTE(SUBSTITUTE(TRIM(INDEX($A:$AP,ROW(),$G$6)),",",""),"원",""),0))))</f>
        <v/>
      </c>
      <c r="AV527" s="23">
        <f>IF($AS527="","",IF($H$6="",$AT527+$AU527,IF($H$6="",0,IF(ISNUMBER(INDEX($A:$AP,ROW(),$H$6)),INDEX($A:$AP,ROW(),$H$6),IFERROR(--SUBSTITUTE(SUBSTITUTE(TRIM(INDEX($A:$AP,ROW(),$H$6)),",",""),"원",""),0)))))</f>
        <v/>
      </c>
      <c r="AW527" s="2">
        <f>IF(OR($AS527="",$C$6=""),"",TRIM(INDEX($A:$AP,ROW(),$C$6)&amp;""))</f>
        <v/>
      </c>
      <c r="AX527" s="2">
        <f>IF($AS527="","",IF($AZ527&lt;&gt;"",SUBSTITUTE(SUBSTITUTE($AZ527,"-","")," ",""),$AY527))</f>
        <v/>
      </c>
      <c r="AY527" s="2">
        <f>IF(OR($AS527="",$E$6=""),"",TRIM(INDEX($A:$AP,ROW(),$E$6)&amp;""))</f>
        <v/>
      </c>
      <c r="AZ527" s="2">
        <f>IF(OR($AS527="",$D$6=""),"",TRIM(INDEX($A:$AP,ROW(),$D$6)&amp;""))</f>
        <v/>
      </c>
      <c r="BA527" s="2">
        <f>IF($AS527="","",IF(AND($AS527&gt;=설정!$B$10,$AS527&lt;=설정!$B$11),"포함","기간 밖"))</f>
        <v/>
      </c>
      <c r="BB527" s="2">
        <f>IF($AS527="","",IF(OR($AT527&lt;0,AND($I$6&lt;&gt;"",ISNUMBER(FIND("수정",INDEX($A:$AP,ROW(),IF($I$6="",1,$I$6))&amp;"")))),"수정","일반"))</f>
        <v/>
      </c>
      <c r="BC527" s="2">
        <f>IF($AS527="","",MID(IF($BA527="기간 밖"," / 기간 밖(신고기간 아님)","")&amp;IF(AND($AW527&lt;&gt;"",COUNTIF($AW$8:$AW$1007,$AW527)&gt;1)," / 승인번호 중복(두 번 붙여넣기?)","")&amp;IF(ABS($AU527-ROUND($AT527*0.1,0))&gt;설정!$B$8,IF($AU527=0," / 세액 0원(영세율·면세 여부 확인)"," / 세액이 공급가액 10%와 다름"),"")&amp;IF($BB527="수정"," / 수정세금계산서(합계에서 자동 가감)",""),4,200))</f>
        <v/>
      </c>
      <c r="BD527" s="2">
        <f>IF($BA527&lt;&gt;"포함","",IF(COUNTIFS($AX$8:$AX527,$AX527,$BA$8:$BA527,"포함")=1,MAX($BD$7:BD526)+1,""))</f>
        <v/>
      </c>
      <c r="BE527" s="2">
        <f>IF($BC527="","",MAX($BE$7:BE526)+1)</f>
        <v/>
      </c>
    </row>
    <row r="528">
      <c r="AR528" s="2">
        <f>IF(OR($A$5="",$B$6="",ROW()&lt;$A$5),"",IF(INDEX($A:$AP,ROW(),$B$6)="","",INDEX($A:$AP,ROW(),$B$6)))</f>
        <v/>
      </c>
      <c r="AS528" s="22">
        <f>IF($AR528="","",IF(ISNUMBER($AR528),IF($AR528&gt;=10000000,IFERROR(DATE(INT($AR528/10000),MOD(INT($AR528/100),100),MOD($AR528,100)),""),INT($AR528)),IFERROR(DATE(--LEFT(LEFT(SUBSTITUTE(SUBSTITUTE(SUBSTITUTE(SUBSTITUTE(TRIM($AR528),"-",""),".",""),"/","")," ",""),8),4),--MID(LEFT(SUBSTITUTE(SUBSTITUTE(SUBSTITUTE(SUBSTITUTE(TRIM($AR528),"-",""),".",""),"/","")," ",""),8),5,2),--MID(LEFT(SUBSTITUTE(SUBSTITUTE(SUBSTITUTE(SUBSTITUTE(TRIM($AR528),"-",""),".",""),"/","")," ",""),8),7,2)),"")))</f>
        <v/>
      </c>
      <c r="AT528" s="23">
        <f>IF($AS528="","",IF($F$6="",0,IF(ISNUMBER(INDEX($A:$AP,ROW(),$F$6)),INDEX($A:$AP,ROW(),$F$6),IFERROR(--SUBSTITUTE(SUBSTITUTE(TRIM(INDEX($A:$AP,ROW(),$F$6)),",",""),"원",""),0))))</f>
        <v/>
      </c>
      <c r="AU528" s="23">
        <f>IF($AS528="","",IF($G$6="",0,IF(ISNUMBER(INDEX($A:$AP,ROW(),$G$6)),INDEX($A:$AP,ROW(),$G$6),IFERROR(--SUBSTITUTE(SUBSTITUTE(TRIM(INDEX($A:$AP,ROW(),$G$6)),",",""),"원",""),0))))</f>
        <v/>
      </c>
      <c r="AV528" s="23">
        <f>IF($AS528="","",IF($H$6="",$AT528+$AU528,IF($H$6="",0,IF(ISNUMBER(INDEX($A:$AP,ROW(),$H$6)),INDEX($A:$AP,ROW(),$H$6),IFERROR(--SUBSTITUTE(SUBSTITUTE(TRIM(INDEX($A:$AP,ROW(),$H$6)),",",""),"원",""),0)))))</f>
        <v/>
      </c>
      <c r="AW528" s="2">
        <f>IF(OR($AS528="",$C$6=""),"",TRIM(INDEX($A:$AP,ROW(),$C$6)&amp;""))</f>
        <v/>
      </c>
      <c r="AX528" s="2">
        <f>IF($AS528="","",IF($AZ528&lt;&gt;"",SUBSTITUTE(SUBSTITUTE($AZ528,"-","")," ",""),$AY528))</f>
        <v/>
      </c>
      <c r="AY528" s="2">
        <f>IF(OR($AS528="",$E$6=""),"",TRIM(INDEX($A:$AP,ROW(),$E$6)&amp;""))</f>
        <v/>
      </c>
      <c r="AZ528" s="2">
        <f>IF(OR($AS528="",$D$6=""),"",TRIM(INDEX($A:$AP,ROW(),$D$6)&amp;""))</f>
        <v/>
      </c>
      <c r="BA528" s="2">
        <f>IF($AS528="","",IF(AND($AS528&gt;=설정!$B$10,$AS528&lt;=설정!$B$11),"포함","기간 밖"))</f>
        <v/>
      </c>
      <c r="BB528" s="2">
        <f>IF($AS528="","",IF(OR($AT528&lt;0,AND($I$6&lt;&gt;"",ISNUMBER(FIND("수정",INDEX($A:$AP,ROW(),IF($I$6="",1,$I$6))&amp;"")))),"수정","일반"))</f>
        <v/>
      </c>
      <c r="BC528" s="2">
        <f>IF($AS528="","",MID(IF($BA528="기간 밖"," / 기간 밖(신고기간 아님)","")&amp;IF(AND($AW528&lt;&gt;"",COUNTIF($AW$8:$AW$1007,$AW528)&gt;1)," / 승인번호 중복(두 번 붙여넣기?)","")&amp;IF(ABS($AU528-ROUND($AT528*0.1,0))&gt;설정!$B$8,IF($AU528=0," / 세액 0원(영세율·면세 여부 확인)"," / 세액이 공급가액 10%와 다름"),"")&amp;IF($BB528="수정"," / 수정세금계산서(합계에서 자동 가감)",""),4,200))</f>
        <v/>
      </c>
      <c r="BD528" s="2">
        <f>IF($BA528&lt;&gt;"포함","",IF(COUNTIFS($AX$8:$AX528,$AX528,$BA$8:$BA528,"포함")=1,MAX($BD$7:BD527)+1,""))</f>
        <v/>
      </c>
      <c r="BE528" s="2">
        <f>IF($BC528="","",MAX($BE$7:BE527)+1)</f>
        <v/>
      </c>
    </row>
    <row r="529">
      <c r="AR529" s="2">
        <f>IF(OR($A$5="",$B$6="",ROW()&lt;$A$5),"",IF(INDEX($A:$AP,ROW(),$B$6)="","",INDEX($A:$AP,ROW(),$B$6)))</f>
        <v/>
      </c>
      <c r="AS529" s="22">
        <f>IF($AR529="","",IF(ISNUMBER($AR529),IF($AR529&gt;=10000000,IFERROR(DATE(INT($AR529/10000),MOD(INT($AR529/100),100),MOD($AR529,100)),""),INT($AR529)),IFERROR(DATE(--LEFT(LEFT(SUBSTITUTE(SUBSTITUTE(SUBSTITUTE(SUBSTITUTE(TRIM($AR529),"-",""),".",""),"/","")," ",""),8),4),--MID(LEFT(SUBSTITUTE(SUBSTITUTE(SUBSTITUTE(SUBSTITUTE(TRIM($AR529),"-",""),".",""),"/","")," ",""),8),5,2),--MID(LEFT(SUBSTITUTE(SUBSTITUTE(SUBSTITUTE(SUBSTITUTE(TRIM($AR529),"-",""),".",""),"/","")," ",""),8),7,2)),"")))</f>
        <v/>
      </c>
      <c r="AT529" s="23">
        <f>IF($AS529="","",IF($F$6="",0,IF(ISNUMBER(INDEX($A:$AP,ROW(),$F$6)),INDEX($A:$AP,ROW(),$F$6),IFERROR(--SUBSTITUTE(SUBSTITUTE(TRIM(INDEX($A:$AP,ROW(),$F$6)),",",""),"원",""),0))))</f>
        <v/>
      </c>
      <c r="AU529" s="23">
        <f>IF($AS529="","",IF($G$6="",0,IF(ISNUMBER(INDEX($A:$AP,ROW(),$G$6)),INDEX($A:$AP,ROW(),$G$6),IFERROR(--SUBSTITUTE(SUBSTITUTE(TRIM(INDEX($A:$AP,ROW(),$G$6)),",",""),"원",""),0))))</f>
        <v/>
      </c>
      <c r="AV529" s="23">
        <f>IF($AS529="","",IF($H$6="",$AT529+$AU529,IF($H$6="",0,IF(ISNUMBER(INDEX($A:$AP,ROW(),$H$6)),INDEX($A:$AP,ROW(),$H$6),IFERROR(--SUBSTITUTE(SUBSTITUTE(TRIM(INDEX($A:$AP,ROW(),$H$6)),",",""),"원",""),0)))))</f>
        <v/>
      </c>
      <c r="AW529" s="2">
        <f>IF(OR($AS529="",$C$6=""),"",TRIM(INDEX($A:$AP,ROW(),$C$6)&amp;""))</f>
        <v/>
      </c>
      <c r="AX529" s="2">
        <f>IF($AS529="","",IF($AZ529&lt;&gt;"",SUBSTITUTE(SUBSTITUTE($AZ529,"-","")," ",""),$AY529))</f>
        <v/>
      </c>
      <c r="AY529" s="2">
        <f>IF(OR($AS529="",$E$6=""),"",TRIM(INDEX($A:$AP,ROW(),$E$6)&amp;""))</f>
        <v/>
      </c>
      <c r="AZ529" s="2">
        <f>IF(OR($AS529="",$D$6=""),"",TRIM(INDEX($A:$AP,ROW(),$D$6)&amp;""))</f>
        <v/>
      </c>
      <c r="BA529" s="2">
        <f>IF($AS529="","",IF(AND($AS529&gt;=설정!$B$10,$AS529&lt;=설정!$B$11),"포함","기간 밖"))</f>
        <v/>
      </c>
      <c r="BB529" s="2">
        <f>IF($AS529="","",IF(OR($AT529&lt;0,AND($I$6&lt;&gt;"",ISNUMBER(FIND("수정",INDEX($A:$AP,ROW(),IF($I$6="",1,$I$6))&amp;"")))),"수정","일반"))</f>
        <v/>
      </c>
      <c r="BC529" s="2">
        <f>IF($AS529="","",MID(IF($BA529="기간 밖"," / 기간 밖(신고기간 아님)","")&amp;IF(AND($AW529&lt;&gt;"",COUNTIF($AW$8:$AW$1007,$AW529)&gt;1)," / 승인번호 중복(두 번 붙여넣기?)","")&amp;IF(ABS($AU529-ROUND($AT529*0.1,0))&gt;설정!$B$8,IF($AU529=0," / 세액 0원(영세율·면세 여부 확인)"," / 세액이 공급가액 10%와 다름"),"")&amp;IF($BB529="수정"," / 수정세금계산서(합계에서 자동 가감)",""),4,200))</f>
        <v/>
      </c>
      <c r="BD529" s="2">
        <f>IF($BA529&lt;&gt;"포함","",IF(COUNTIFS($AX$8:$AX529,$AX529,$BA$8:$BA529,"포함")=1,MAX($BD$7:BD528)+1,""))</f>
        <v/>
      </c>
      <c r="BE529" s="2">
        <f>IF($BC529="","",MAX($BE$7:BE528)+1)</f>
        <v/>
      </c>
    </row>
    <row r="530">
      <c r="AR530" s="2">
        <f>IF(OR($A$5="",$B$6="",ROW()&lt;$A$5),"",IF(INDEX($A:$AP,ROW(),$B$6)="","",INDEX($A:$AP,ROW(),$B$6)))</f>
        <v/>
      </c>
      <c r="AS530" s="22">
        <f>IF($AR530="","",IF(ISNUMBER($AR530),IF($AR530&gt;=10000000,IFERROR(DATE(INT($AR530/10000),MOD(INT($AR530/100),100),MOD($AR530,100)),""),INT($AR530)),IFERROR(DATE(--LEFT(LEFT(SUBSTITUTE(SUBSTITUTE(SUBSTITUTE(SUBSTITUTE(TRIM($AR530),"-",""),".",""),"/","")," ",""),8),4),--MID(LEFT(SUBSTITUTE(SUBSTITUTE(SUBSTITUTE(SUBSTITUTE(TRIM($AR530),"-",""),".",""),"/","")," ",""),8),5,2),--MID(LEFT(SUBSTITUTE(SUBSTITUTE(SUBSTITUTE(SUBSTITUTE(TRIM($AR530),"-",""),".",""),"/","")," ",""),8),7,2)),"")))</f>
        <v/>
      </c>
      <c r="AT530" s="23">
        <f>IF($AS530="","",IF($F$6="",0,IF(ISNUMBER(INDEX($A:$AP,ROW(),$F$6)),INDEX($A:$AP,ROW(),$F$6),IFERROR(--SUBSTITUTE(SUBSTITUTE(TRIM(INDEX($A:$AP,ROW(),$F$6)),",",""),"원",""),0))))</f>
        <v/>
      </c>
      <c r="AU530" s="23">
        <f>IF($AS530="","",IF($G$6="",0,IF(ISNUMBER(INDEX($A:$AP,ROW(),$G$6)),INDEX($A:$AP,ROW(),$G$6),IFERROR(--SUBSTITUTE(SUBSTITUTE(TRIM(INDEX($A:$AP,ROW(),$G$6)),",",""),"원",""),0))))</f>
        <v/>
      </c>
      <c r="AV530" s="23">
        <f>IF($AS530="","",IF($H$6="",$AT530+$AU530,IF($H$6="",0,IF(ISNUMBER(INDEX($A:$AP,ROW(),$H$6)),INDEX($A:$AP,ROW(),$H$6),IFERROR(--SUBSTITUTE(SUBSTITUTE(TRIM(INDEX($A:$AP,ROW(),$H$6)),",",""),"원",""),0)))))</f>
        <v/>
      </c>
      <c r="AW530" s="2">
        <f>IF(OR($AS530="",$C$6=""),"",TRIM(INDEX($A:$AP,ROW(),$C$6)&amp;""))</f>
        <v/>
      </c>
      <c r="AX530" s="2">
        <f>IF($AS530="","",IF($AZ530&lt;&gt;"",SUBSTITUTE(SUBSTITUTE($AZ530,"-","")," ",""),$AY530))</f>
        <v/>
      </c>
      <c r="AY530" s="2">
        <f>IF(OR($AS530="",$E$6=""),"",TRIM(INDEX($A:$AP,ROW(),$E$6)&amp;""))</f>
        <v/>
      </c>
      <c r="AZ530" s="2">
        <f>IF(OR($AS530="",$D$6=""),"",TRIM(INDEX($A:$AP,ROW(),$D$6)&amp;""))</f>
        <v/>
      </c>
      <c r="BA530" s="2">
        <f>IF($AS530="","",IF(AND($AS530&gt;=설정!$B$10,$AS530&lt;=설정!$B$11),"포함","기간 밖"))</f>
        <v/>
      </c>
      <c r="BB530" s="2">
        <f>IF($AS530="","",IF(OR($AT530&lt;0,AND($I$6&lt;&gt;"",ISNUMBER(FIND("수정",INDEX($A:$AP,ROW(),IF($I$6="",1,$I$6))&amp;"")))),"수정","일반"))</f>
        <v/>
      </c>
      <c r="BC530" s="2">
        <f>IF($AS530="","",MID(IF($BA530="기간 밖"," / 기간 밖(신고기간 아님)","")&amp;IF(AND($AW530&lt;&gt;"",COUNTIF($AW$8:$AW$1007,$AW530)&gt;1)," / 승인번호 중복(두 번 붙여넣기?)","")&amp;IF(ABS($AU530-ROUND($AT530*0.1,0))&gt;설정!$B$8,IF($AU530=0," / 세액 0원(영세율·면세 여부 확인)"," / 세액이 공급가액 10%와 다름"),"")&amp;IF($BB530="수정"," / 수정세금계산서(합계에서 자동 가감)",""),4,200))</f>
        <v/>
      </c>
      <c r="BD530" s="2">
        <f>IF($BA530&lt;&gt;"포함","",IF(COUNTIFS($AX$8:$AX530,$AX530,$BA$8:$BA530,"포함")=1,MAX($BD$7:BD529)+1,""))</f>
        <v/>
      </c>
      <c r="BE530" s="2">
        <f>IF($BC530="","",MAX($BE$7:BE529)+1)</f>
        <v/>
      </c>
    </row>
    <row r="531">
      <c r="AR531" s="2">
        <f>IF(OR($A$5="",$B$6="",ROW()&lt;$A$5),"",IF(INDEX($A:$AP,ROW(),$B$6)="","",INDEX($A:$AP,ROW(),$B$6)))</f>
        <v/>
      </c>
      <c r="AS531" s="22">
        <f>IF($AR531="","",IF(ISNUMBER($AR531),IF($AR531&gt;=10000000,IFERROR(DATE(INT($AR531/10000),MOD(INT($AR531/100),100),MOD($AR531,100)),""),INT($AR531)),IFERROR(DATE(--LEFT(LEFT(SUBSTITUTE(SUBSTITUTE(SUBSTITUTE(SUBSTITUTE(TRIM($AR531),"-",""),".",""),"/","")," ",""),8),4),--MID(LEFT(SUBSTITUTE(SUBSTITUTE(SUBSTITUTE(SUBSTITUTE(TRIM($AR531),"-",""),".",""),"/","")," ",""),8),5,2),--MID(LEFT(SUBSTITUTE(SUBSTITUTE(SUBSTITUTE(SUBSTITUTE(TRIM($AR531),"-",""),".",""),"/","")," ",""),8),7,2)),"")))</f>
        <v/>
      </c>
      <c r="AT531" s="23">
        <f>IF($AS531="","",IF($F$6="",0,IF(ISNUMBER(INDEX($A:$AP,ROW(),$F$6)),INDEX($A:$AP,ROW(),$F$6),IFERROR(--SUBSTITUTE(SUBSTITUTE(TRIM(INDEX($A:$AP,ROW(),$F$6)),",",""),"원",""),0))))</f>
        <v/>
      </c>
      <c r="AU531" s="23">
        <f>IF($AS531="","",IF($G$6="",0,IF(ISNUMBER(INDEX($A:$AP,ROW(),$G$6)),INDEX($A:$AP,ROW(),$G$6),IFERROR(--SUBSTITUTE(SUBSTITUTE(TRIM(INDEX($A:$AP,ROW(),$G$6)),",",""),"원",""),0))))</f>
        <v/>
      </c>
      <c r="AV531" s="23">
        <f>IF($AS531="","",IF($H$6="",$AT531+$AU531,IF($H$6="",0,IF(ISNUMBER(INDEX($A:$AP,ROW(),$H$6)),INDEX($A:$AP,ROW(),$H$6),IFERROR(--SUBSTITUTE(SUBSTITUTE(TRIM(INDEX($A:$AP,ROW(),$H$6)),",",""),"원",""),0)))))</f>
        <v/>
      </c>
      <c r="AW531" s="2">
        <f>IF(OR($AS531="",$C$6=""),"",TRIM(INDEX($A:$AP,ROW(),$C$6)&amp;""))</f>
        <v/>
      </c>
      <c r="AX531" s="2">
        <f>IF($AS531="","",IF($AZ531&lt;&gt;"",SUBSTITUTE(SUBSTITUTE($AZ531,"-","")," ",""),$AY531))</f>
        <v/>
      </c>
      <c r="AY531" s="2">
        <f>IF(OR($AS531="",$E$6=""),"",TRIM(INDEX($A:$AP,ROW(),$E$6)&amp;""))</f>
        <v/>
      </c>
      <c r="AZ531" s="2">
        <f>IF(OR($AS531="",$D$6=""),"",TRIM(INDEX($A:$AP,ROW(),$D$6)&amp;""))</f>
        <v/>
      </c>
      <c r="BA531" s="2">
        <f>IF($AS531="","",IF(AND($AS531&gt;=설정!$B$10,$AS531&lt;=설정!$B$11),"포함","기간 밖"))</f>
        <v/>
      </c>
      <c r="BB531" s="2">
        <f>IF($AS531="","",IF(OR($AT531&lt;0,AND($I$6&lt;&gt;"",ISNUMBER(FIND("수정",INDEX($A:$AP,ROW(),IF($I$6="",1,$I$6))&amp;"")))),"수정","일반"))</f>
        <v/>
      </c>
      <c r="BC531" s="2">
        <f>IF($AS531="","",MID(IF($BA531="기간 밖"," / 기간 밖(신고기간 아님)","")&amp;IF(AND($AW531&lt;&gt;"",COUNTIF($AW$8:$AW$1007,$AW531)&gt;1)," / 승인번호 중복(두 번 붙여넣기?)","")&amp;IF(ABS($AU531-ROUND($AT531*0.1,0))&gt;설정!$B$8,IF($AU531=0," / 세액 0원(영세율·면세 여부 확인)"," / 세액이 공급가액 10%와 다름"),"")&amp;IF($BB531="수정"," / 수정세금계산서(합계에서 자동 가감)",""),4,200))</f>
        <v/>
      </c>
      <c r="BD531" s="2">
        <f>IF($BA531&lt;&gt;"포함","",IF(COUNTIFS($AX$8:$AX531,$AX531,$BA$8:$BA531,"포함")=1,MAX($BD$7:BD530)+1,""))</f>
        <v/>
      </c>
      <c r="BE531" s="2">
        <f>IF($BC531="","",MAX($BE$7:BE530)+1)</f>
        <v/>
      </c>
    </row>
    <row r="532">
      <c r="AR532" s="2">
        <f>IF(OR($A$5="",$B$6="",ROW()&lt;$A$5),"",IF(INDEX($A:$AP,ROW(),$B$6)="","",INDEX($A:$AP,ROW(),$B$6)))</f>
        <v/>
      </c>
      <c r="AS532" s="22">
        <f>IF($AR532="","",IF(ISNUMBER($AR532),IF($AR532&gt;=10000000,IFERROR(DATE(INT($AR532/10000),MOD(INT($AR532/100),100),MOD($AR532,100)),""),INT($AR532)),IFERROR(DATE(--LEFT(LEFT(SUBSTITUTE(SUBSTITUTE(SUBSTITUTE(SUBSTITUTE(TRIM($AR532),"-",""),".",""),"/","")," ",""),8),4),--MID(LEFT(SUBSTITUTE(SUBSTITUTE(SUBSTITUTE(SUBSTITUTE(TRIM($AR532),"-",""),".",""),"/","")," ",""),8),5,2),--MID(LEFT(SUBSTITUTE(SUBSTITUTE(SUBSTITUTE(SUBSTITUTE(TRIM($AR532),"-",""),".",""),"/","")," ",""),8),7,2)),"")))</f>
        <v/>
      </c>
      <c r="AT532" s="23">
        <f>IF($AS532="","",IF($F$6="",0,IF(ISNUMBER(INDEX($A:$AP,ROW(),$F$6)),INDEX($A:$AP,ROW(),$F$6),IFERROR(--SUBSTITUTE(SUBSTITUTE(TRIM(INDEX($A:$AP,ROW(),$F$6)),",",""),"원",""),0))))</f>
        <v/>
      </c>
      <c r="AU532" s="23">
        <f>IF($AS532="","",IF($G$6="",0,IF(ISNUMBER(INDEX($A:$AP,ROW(),$G$6)),INDEX($A:$AP,ROW(),$G$6),IFERROR(--SUBSTITUTE(SUBSTITUTE(TRIM(INDEX($A:$AP,ROW(),$G$6)),",",""),"원",""),0))))</f>
        <v/>
      </c>
      <c r="AV532" s="23">
        <f>IF($AS532="","",IF($H$6="",$AT532+$AU532,IF($H$6="",0,IF(ISNUMBER(INDEX($A:$AP,ROW(),$H$6)),INDEX($A:$AP,ROW(),$H$6),IFERROR(--SUBSTITUTE(SUBSTITUTE(TRIM(INDEX($A:$AP,ROW(),$H$6)),",",""),"원",""),0)))))</f>
        <v/>
      </c>
      <c r="AW532" s="2">
        <f>IF(OR($AS532="",$C$6=""),"",TRIM(INDEX($A:$AP,ROW(),$C$6)&amp;""))</f>
        <v/>
      </c>
      <c r="AX532" s="2">
        <f>IF($AS532="","",IF($AZ532&lt;&gt;"",SUBSTITUTE(SUBSTITUTE($AZ532,"-","")," ",""),$AY532))</f>
        <v/>
      </c>
      <c r="AY532" s="2">
        <f>IF(OR($AS532="",$E$6=""),"",TRIM(INDEX($A:$AP,ROW(),$E$6)&amp;""))</f>
        <v/>
      </c>
      <c r="AZ532" s="2">
        <f>IF(OR($AS532="",$D$6=""),"",TRIM(INDEX($A:$AP,ROW(),$D$6)&amp;""))</f>
        <v/>
      </c>
      <c r="BA532" s="2">
        <f>IF($AS532="","",IF(AND($AS532&gt;=설정!$B$10,$AS532&lt;=설정!$B$11),"포함","기간 밖"))</f>
        <v/>
      </c>
      <c r="BB532" s="2">
        <f>IF($AS532="","",IF(OR($AT532&lt;0,AND($I$6&lt;&gt;"",ISNUMBER(FIND("수정",INDEX($A:$AP,ROW(),IF($I$6="",1,$I$6))&amp;"")))),"수정","일반"))</f>
        <v/>
      </c>
      <c r="BC532" s="2">
        <f>IF($AS532="","",MID(IF($BA532="기간 밖"," / 기간 밖(신고기간 아님)","")&amp;IF(AND($AW532&lt;&gt;"",COUNTIF($AW$8:$AW$1007,$AW532)&gt;1)," / 승인번호 중복(두 번 붙여넣기?)","")&amp;IF(ABS($AU532-ROUND($AT532*0.1,0))&gt;설정!$B$8,IF($AU532=0," / 세액 0원(영세율·면세 여부 확인)"," / 세액이 공급가액 10%와 다름"),"")&amp;IF($BB532="수정"," / 수정세금계산서(합계에서 자동 가감)",""),4,200))</f>
        <v/>
      </c>
      <c r="BD532" s="2">
        <f>IF($BA532&lt;&gt;"포함","",IF(COUNTIFS($AX$8:$AX532,$AX532,$BA$8:$BA532,"포함")=1,MAX($BD$7:BD531)+1,""))</f>
        <v/>
      </c>
      <c r="BE532" s="2">
        <f>IF($BC532="","",MAX($BE$7:BE531)+1)</f>
        <v/>
      </c>
    </row>
    <row r="533">
      <c r="AR533" s="2">
        <f>IF(OR($A$5="",$B$6="",ROW()&lt;$A$5),"",IF(INDEX($A:$AP,ROW(),$B$6)="","",INDEX($A:$AP,ROW(),$B$6)))</f>
        <v/>
      </c>
      <c r="AS533" s="22">
        <f>IF($AR533="","",IF(ISNUMBER($AR533),IF($AR533&gt;=10000000,IFERROR(DATE(INT($AR533/10000),MOD(INT($AR533/100),100),MOD($AR533,100)),""),INT($AR533)),IFERROR(DATE(--LEFT(LEFT(SUBSTITUTE(SUBSTITUTE(SUBSTITUTE(SUBSTITUTE(TRIM($AR533),"-",""),".",""),"/","")," ",""),8),4),--MID(LEFT(SUBSTITUTE(SUBSTITUTE(SUBSTITUTE(SUBSTITUTE(TRIM($AR533),"-",""),".",""),"/","")," ",""),8),5,2),--MID(LEFT(SUBSTITUTE(SUBSTITUTE(SUBSTITUTE(SUBSTITUTE(TRIM($AR533),"-",""),".",""),"/","")," ",""),8),7,2)),"")))</f>
        <v/>
      </c>
      <c r="AT533" s="23">
        <f>IF($AS533="","",IF($F$6="",0,IF(ISNUMBER(INDEX($A:$AP,ROW(),$F$6)),INDEX($A:$AP,ROW(),$F$6),IFERROR(--SUBSTITUTE(SUBSTITUTE(TRIM(INDEX($A:$AP,ROW(),$F$6)),",",""),"원",""),0))))</f>
        <v/>
      </c>
      <c r="AU533" s="23">
        <f>IF($AS533="","",IF($G$6="",0,IF(ISNUMBER(INDEX($A:$AP,ROW(),$G$6)),INDEX($A:$AP,ROW(),$G$6),IFERROR(--SUBSTITUTE(SUBSTITUTE(TRIM(INDEX($A:$AP,ROW(),$G$6)),",",""),"원",""),0))))</f>
        <v/>
      </c>
      <c r="AV533" s="23">
        <f>IF($AS533="","",IF($H$6="",$AT533+$AU533,IF($H$6="",0,IF(ISNUMBER(INDEX($A:$AP,ROW(),$H$6)),INDEX($A:$AP,ROW(),$H$6),IFERROR(--SUBSTITUTE(SUBSTITUTE(TRIM(INDEX($A:$AP,ROW(),$H$6)),",",""),"원",""),0)))))</f>
        <v/>
      </c>
      <c r="AW533" s="2">
        <f>IF(OR($AS533="",$C$6=""),"",TRIM(INDEX($A:$AP,ROW(),$C$6)&amp;""))</f>
        <v/>
      </c>
      <c r="AX533" s="2">
        <f>IF($AS533="","",IF($AZ533&lt;&gt;"",SUBSTITUTE(SUBSTITUTE($AZ533,"-","")," ",""),$AY533))</f>
        <v/>
      </c>
      <c r="AY533" s="2">
        <f>IF(OR($AS533="",$E$6=""),"",TRIM(INDEX($A:$AP,ROW(),$E$6)&amp;""))</f>
        <v/>
      </c>
      <c r="AZ533" s="2">
        <f>IF(OR($AS533="",$D$6=""),"",TRIM(INDEX($A:$AP,ROW(),$D$6)&amp;""))</f>
        <v/>
      </c>
      <c r="BA533" s="2">
        <f>IF($AS533="","",IF(AND($AS533&gt;=설정!$B$10,$AS533&lt;=설정!$B$11),"포함","기간 밖"))</f>
        <v/>
      </c>
      <c r="BB533" s="2">
        <f>IF($AS533="","",IF(OR($AT533&lt;0,AND($I$6&lt;&gt;"",ISNUMBER(FIND("수정",INDEX($A:$AP,ROW(),IF($I$6="",1,$I$6))&amp;"")))),"수정","일반"))</f>
        <v/>
      </c>
      <c r="BC533" s="2">
        <f>IF($AS533="","",MID(IF($BA533="기간 밖"," / 기간 밖(신고기간 아님)","")&amp;IF(AND($AW533&lt;&gt;"",COUNTIF($AW$8:$AW$1007,$AW533)&gt;1)," / 승인번호 중복(두 번 붙여넣기?)","")&amp;IF(ABS($AU533-ROUND($AT533*0.1,0))&gt;설정!$B$8,IF($AU533=0," / 세액 0원(영세율·면세 여부 확인)"," / 세액이 공급가액 10%와 다름"),"")&amp;IF($BB533="수정"," / 수정세금계산서(합계에서 자동 가감)",""),4,200))</f>
        <v/>
      </c>
      <c r="BD533" s="2">
        <f>IF($BA533&lt;&gt;"포함","",IF(COUNTIFS($AX$8:$AX533,$AX533,$BA$8:$BA533,"포함")=1,MAX($BD$7:BD532)+1,""))</f>
        <v/>
      </c>
      <c r="BE533" s="2">
        <f>IF($BC533="","",MAX($BE$7:BE532)+1)</f>
        <v/>
      </c>
    </row>
    <row r="534">
      <c r="AR534" s="2">
        <f>IF(OR($A$5="",$B$6="",ROW()&lt;$A$5),"",IF(INDEX($A:$AP,ROW(),$B$6)="","",INDEX($A:$AP,ROW(),$B$6)))</f>
        <v/>
      </c>
      <c r="AS534" s="22">
        <f>IF($AR534="","",IF(ISNUMBER($AR534),IF($AR534&gt;=10000000,IFERROR(DATE(INT($AR534/10000),MOD(INT($AR534/100),100),MOD($AR534,100)),""),INT($AR534)),IFERROR(DATE(--LEFT(LEFT(SUBSTITUTE(SUBSTITUTE(SUBSTITUTE(SUBSTITUTE(TRIM($AR534),"-",""),".",""),"/","")," ",""),8),4),--MID(LEFT(SUBSTITUTE(SUBSTITUTE(SUBSTITUTE(SUBSTITUTE(TRIM($AR534),"-",""),".",""),"/","")," ",""),8),5,2),--MID(LEFT(SUBSTITUTE(SUBSTITUTE(SUBSTITUTE(SUBSTITUTE(TRIM($AR534),"-",""),".",""),"/","")," ",""),8),7,2)),"")))</f>
        <v/>
      </c>
      <c r="AT534" s="23">
        <f>IF($AS534="","",IF($F$6="",0,IF(ISNUMBER(INDEX($A:$AP,ROW(),$F$6)),INDEX($A:$AP,ROW(),$F$6),IFERROR(--SUBSTITUTE(SUBSTITUTE(TRIM(INDEX($A:$AP,ROW(),$F$6)),",",""),"원",""),0))))</f>
        <v/>
      </c>
      <c r="AU534" s="23">
        <f>IF($AS534="","",IF($G$6="",0,IF(ISNUMBER(INDEX($A:$AP,ROW(),$G$6)),INDEX($A:$AP,ROW(),$G$6),IFERROR(--SUBSTITUTE(SUBSTITUTE(TRIM(INDEX($A:$AP,ROW(),$G$6)),",",""),"원",""),0))))</f>
        <v/>
      </c>
      <c r="AV534" s="23">
        <f>IF($AS534="","",IF($H$6="",$AT534+$AU534,IF($H$6="",0,IF(ISNUMBER(INDEX($A:$AP,ROW(),$H$6)),INDEX($A:$AP,ROW(),$H$6),IFERROR(--SUBSTITUTE(SUBSTITUTE(TRIM(INDEX($A:$AP,ROW(),$H$6)),",",""),"원",""),0)))))</f>
        <v/>
      </c>
      <c r="AW534" s="2">
        <f>IF(OR($AS534="",$C$6=""),"",TRIM(INDEX($A:$AP,ROW(),$C$6)&amp;""))</f>
        <v/>
      </c>
      <c r="AX534" s="2">
        <f>IF($AS534="","",IF($AZ534&lt;&gt;"",SUBSTITUTE(SUBSTITUTE($AZ534,"-","")," ",""),$AY534))</f>
        <v/>
      </c>
      <c r="AY534" s="2">
        <f>IF(OR($AS534="",$E$6=""),"",TRIM(INDEX($A:$AP,ROW(),$E$6)&amp;""))</f>
        <v/>
      </c>
      <c r="AZ534" s="2">
        <f>IF(OR($AS534="",$D$6=""),"",TRIM(INDEX($A:$AP,ROW(),$D$6)&amp;""))</f>
        <v/>
      </c>
      <c r="BA534" s="2">
        <f>IF($AS534="","",IF(AND($AS534&gt;=설정!$B$10,$AS534&lt;=설정!$B$11),"포함","기간 밖"))</f>
        <v/>
      </c>
      <c r="BB534" s="2">
        <f>IF($AS534="","",IF(OR($AT534&lt;0,AND($I$6&lt;&gt;"",ISNUMBER(FIND("수정",INDEX($A:$AP,ROW(),IF($I$6="",1,$I$6))&amp;"")))),"수정","일반"))</f>
        <v/>
      </c>
      <c r="BC534" s="2">
        <f>IF($AS534="","",MID(IF($BA534="기간 밖"," / 기간 밖(신고기간 아님)","")&amp;IF(AND($AW534&lt;&gt;"",COUNTIF($AW$8:$AW$1007,$AW534)&gt;1)," / 승인번호 중복(두 번 붙여넣기?)","")&amp;IF(ABS($AU534-ROUND($AT534*0.1,0))&gt;설정!$B$8,IF($AU534=0," / 세액 0원(영세율·면세 여부 확인)"," / 세액이 공급가액 10%와 다름"),"")&amp;IF($BB534="수정"," / 수정세금계산서(합계에서 자동 가감)",""),4,200))</f>
        <v/>
      </c>
      <c r="BD534" s="2">
        <f>IF($BA534&lt;&gt;"포함","",IF(COUNTIFS($AX$8:$AX534,$AX534,$BA$8:$BA534,"포함")=1,MAX($BD$7:BD533)+1,""))</f>
        <v/>
      </c>
      <c r="BE534" s="2">
        <f>IF($BC534="","",MAX($BE$7:BE533)+1)</f>
        <v/>
      </c>
    </row>
    <row r="535">
      <c r="AR535" s="2">
        <f>IF(OR($A$5="",$B$6="",ROW()&lt;$A$5),"",IF(INDEX($A:$AP,ROW(),$B$6)="","",INDEX($A:$AP,ROW(),$B$6)))</f>
        <v/>
      </c>
      <c r="AS535" s="22">
        <f>IF($AR535="","",IF(ISNUMBER($AR535),IF($AR535&gt;=10000000,IFERROR(DATE(INT($AR535/10000),MOD(INT($AR535/100),100),MOD($AR535,100)),""),INT($AR535)),IFERROR(DATE(--LEFT(LEFT(SUBSTITUTE(SUBSTITUTE(SUBSTITUTE(SUBSTITUTE(TRIM($AR535),"-",""),".",""),"/","")," ",""),8),4),--MID(LEFT(SUBSTITUTE(SUBSTITUTE(SUBSTITUTE(SUBSTITUTE(TRIM($AR535),"-",""),".",""),"/","")," ",""),8),5,2),--MID(LEFT(SUBSTITUTE(SUBSTITUTE(SUBSTITUTE(SUBSTITUTE(TRIM($AR535),"-",""),".",""),"/","")," ",""),8),7,2)),"")))</f>
        <v/>
      </c>
      <c r="AT535" s="23">
        <f>IF($AS535="","",IF($F$6="",0,IF(ISNUMBER(INDEX($A:$AP,ROW(),$F$6)),INDEX($A:$AP,ROW(),$F$6),IFERROR(--SUBSTITUTE(SUBSTITUTE(TRIM(INDEX($A:$AP,ROW(),$F$6)),",",""),"원",""),0))))</f>
        <v/>
      </c>
      <c r="AU535" s="23">
        <f>IF($AS535="","",IF($G$6="",0,IF(ISNUMBER(INDEX($A:$AP,ROW(),$G$6)),INDEX($A:$AP,ROW(),$G$6),IFERROR(--SUBSTITUTE(SUBSTITUTE(TRIM(INDEX($A:$AP,ROW(),$G$6)),",",""),"원",""),0))))</f>
        <v/>
      </c>
      <c r="AV535" s="23">
        <f>IF($AS535="","",IF($H$6="",$AT535+$AU535,IF($H$6="",0,IF(ISNUMBER(INDEX($A:$AP,ROW(),$H$6)),INDEX($A:$AP,ROW(),$H$6),IFERROR(--SUBSTITUTE(SUBSTITUTE(TRIM(INDEX($A:$AP,ROW(),$H$6)),",",""),"원",""),0)))))</f>
        <v/>
      </c>
      <c r="AW535" s="2">
        <f>IF(OR($AS535="",$C$6=""),"",TRIM(INDEX($A:$AP,ROW(),$C$6)&amp;""))</f>
        <v/>
      </c>
      <c r="AX535" s="2">
        <f>IF($AS535="","",IF($AZ535&lt;&gt;"",SUBSTITUTE(SUBSTITUTE($AZ535,"-","")," ",""),$AY535))</f>
        <v/>
      </c>
      <c r="AY535" s="2">
        <f>IF(OR($AS535="",$E$6=""),"",TRIM(INDEX($A:$AP,ROW(),$E$6)&amp;""))</f>
        <v/>
      </c>
      <c r="AZ535" s="2">
        <f>IF(OR($AS535="",$D$6=""),"",TRIM(INDEX($A:$AP,ROW(),$D$6)&amp;""))</f>
        <v/>
      </c>
      <c r="BA535" s="2">
        <f>IF($AS535="","",IF(AND($AS535&gt;=설정!$B$10,$AS535&lt;=설정!$B$11),"포함","기간 밖"))</f>
        <v/>
      </c>
      <c r="BB535" s="2">
        <f>IF($AS535="","",IF(OR($AT535&lt;0,AND($I$6&lt;&gt;"",ISNUMBER(FIND("수정",INDEX($A:$AP,ROW(),IF($I$6="",1,$I$6))&amp;"")))),"수정","일반"))</f>
        <v/>
      </c>
      <c r="BC535" s="2">
        <f>IF($AS535="","",MID(IF($BA535="기간 밖"," / 기간 밖(신고기간 아님)","")&amp;IF(AND($AW535&lt;&gt;"",COUNTIF($AW$8:$AW$1007,$AW535)&gt;1)," / 승인번호 중복(두 번 붙여넣기?)","")&amp;IF(ABS($AU535-ROUND($AT535*0.1,0))&gt;설정!$B$8,IF($AU535=0," / 세액 0원(영세율·면세 여부 확인)"," / 세액이 공급가액 10%와 다름"),"")&amp;IF($BB535="수정"," / 수정세금계산서(합계에서 자동 가감)",""),4,200))</f>
        <v/>
      </c>
      <c r="BD535" s="2">
        <f>IF($BA535&lt;&gt;"포함","",IF(COUNTIFS($AX$8:$AX535,$AX535,$BA$8:$BA535,"포함")=1,MAX($BD$7:BD534)+1,""))</f>
        <v/>
      </c>
      <c r="BE535" s="2">
        <f>IF($BC535="","",MAX($BE$7:BE534)+1)</f>
        <v/>
      </c>
    </row>
    <row r="536">
      <c r="AR536" s="2">
        <f>IF(OR($A$5="",$B$6="",ROW()&lt;$A$5),"",IF(INDEX($A:$AP,ROW(),$B$6)="","",INDEX($A:$AP,ROW(),$B$6)))</f>
        <v/>
      </c>
      <c r="AS536" s="22">
        <f>IF($AR536="","",IF(ISNUMBER($AR536),IF($AR536&gt;=10000000,IFERROR(DATE(INT($AR536/10000),MOD(INT($AR536/100),100),MOD($AR536,100)),""),INT($AR536)),IFERROR(DATE(--LEFT(LEFT(SUBSTITUTE(SUBSTITUTE(SUBSTITUTE(SUBSTITUTE(TRIM($AR536),"-",""),".",""),"/","")," ",""),8),4),--MID(LEFT(SUBSTITUTE(SUBSTITUTE(SUBSTITUTE(SUBSTITUTE(TRIM($AR536),"-",""),".",""),"/","")," ",""),8),5,2),--MID(LEFT(SUBSTITUTE(SUBSTITUTE(SUBSTITUTE(SUBSTITUTE(TRIM($AR536),"-",""),".",""),"/","")," ",""),8),7,2)),"")))</f>
        <v/>
      </c>
      <c r="AT536" s="23">
        <f>IF($AS536="","",IF($F$6="",0,IF(ISNUMBER(INDEX($A:$AP,ROW(),$F$6)),INDEX($A:$AP,ROW(),$F$6),IFERROR(--SUBSTITUTE(SUBSTITUTE(TRIM(INDEX($A:$AP,ROW(),$F$6)),",",""),"원",""),0))))</f>
        <v/>
      </c>
      <c r="AU536" s="23">
        <f>IF($AS536="","",IF($G$6="",0,IF(ISNUMBER(INDEX($A:$AP,ROW(),$G$6)),INDEX($A:$AP,ROW(),$G$6),IFERROR(--SUBSTITUTE(SUBSTITUTE(TRIM(INDEX($A:$AP,ROW(),$G$6)),",",""),"원",""),0))))</f>
        <v/>
      </c>
      <c r="AV536" s="23">
        <f>IF($AS536="","",IF($H$6="",$AT536+$AU536,IF($H$6="",0,IF(ISNUMBER(INDEX($A:$AP,ROW(),$H$6)),INDEX($A:$AP,ROW(),$H$6),IFERROR(--SUBSTITUTE(SUBSTITUTE(TRIM(INDEX($A:$AP,ROW(),$H$6)),",",""),"원",""),0)))))</f>
        <v/>
      </c>
      <c r="AW536" s="2">
        <f>IF(OR($AS536="",$C$6=""),"",TRIM(INDEX($A:$AP,ROW(),$C$6)&amp;""))</f>
        <v/>
      </c>
      <c r="AX536" s="2">
        <f>IF($AS536="","",IF($AZ536&lt;&gt;"",SUBSTITUTE(SUBSTITUTE($AZ536,"-","")," ",""),$AY536))</f>
        <v/>
      </c>
      <c r="AY536" s="2">
        <f>IF(OR($AS536="",$E$6=""),"",TRIM(INDEX($A:$AP,ROW(),$E$6)&amp;""))</f>
        <v/>
      </c>
      <c r="AZ536" s="2">
        <f>IF(OR($AS536="",$D$6=""),"",TRIM(INDEX($A:$AP,ROW(),$D$6)&amp;""))</f>
        <v/>
      </c>
      <c r="BA536" s="2">
        <f>IF($AS536="","",IF(AND($AS536&gt;=설정!$B$10,$AS536&lt;=설정!$B$11),"포함","기간 밖"))</f>
        <v/>
      </c>
      <c r="BB536" s="2">
        <f>IF($AS536="","",IF(OR($AT536&lt;0,AND($I$6&lt;&gt;"",ISNUMBER(FIND("수정",INDEX($A:$AP,ROW(),IF($I$6="",1,$I$6))&amp;"")))),"수정","일반"))</f>
        <v/>
      </c>
      <c r="BC536" s="2">
        <f>IF($AS536="","",MID(IF($BA536="기간 밖"," / 기간 밖(신고기간 아님)","")&amp;IF(AND($AW536&lt;&gt;"",COUNTIF($AW$8:$AW$1007,$AW536)&gt;1)," / 승인번호 중복(두 번 붙여넣기?)","")&amp;IF(ABS($AU536-ROUND($AT536*0.1,0))&gt;설정!$B$8,IF($AU536=0," / 세액 0원(영세율·면세 여부 확인)"," / 세액이 공급가액 10%와 다름"),"")&amp;IF($BB536="수정"," / 수정세금계산서(합계에서 자동 가감)",""),4,200))</f>
        <v/>
      </c>
      <c r="BD536" s="2">
        <f>IF($BA536&lt;&gt;"포함","",IF(COUNTIFS($AX$8:$AX536,$AX536,$BA$8:$BA536,"포함")=1,MAX($BD$7:BD535)+1,""))</f>
        <v/>
      </c>
      <c r="BE536" s="2">
        <f>IF($BC536="","",MAX($BE$7:BE535)+1)</f>
        <v/>
      </c>
    </row>
    <row r="537">
      <c r="AR537" s="2">
        <f>IF(OR($A$5="",$B$6="",ROW()&lt;$A$5),"",IF(INDEX($A:$AP,ROW(),$B$6)="","",INDEX($A:$AP,ROW(),$B$6)))</f>
        <v/>
      </c>
      <c r="AS537" s="22">
        <f>IF($AR537="","",IF(ISNUMBER($AR537),IF($AR537&gt;=10000000,IFERROR(DATE(INT($AR537/10000),MOD(INT($AR537/100),100),MOD($AR537,100)),""),INT($AR537)),IFERROR(DATE(--LEFT(LEFT(SUBSTITUTE(SUBSTITUTE(SUBSTITUTE(SUBSTITUTE(TRIM($AR537),"-",""),".",""),"/","")," ",""),8),4),--MID(LEFT(SUBSTITUTE(SUBSTITUTE(SUBSTITUTE(SUBSTITUTE(TRIM($AR537),"-",""),".",""),"/","")," ",""),8),5,2),--MID(LEFT(SUBSTITUTE(SUBSTITUTE(SUBSTITUTE(SUBSTITUTE(TRIM($AR537),"-",""),".",""),"/","")," ",""),8),7,2)),"")))</f>
        <v/>
      </c>
      <c r="AT537" s="23">
        <f>IF($AS537="","",IF($F$6="",0,IF(ISNUMBER(INDEX($A:$AP,ROW(),$F$6)),INDEX($A:$AP,ROW(),$F$6),IFERROR(--SUBSTITUTE(SUBSTITUTE(TRIM(INDEX($A:$AP,ROW(),$F$6)),",",""),"원",""),0))))</f>
        <v/>
      </c>
      <c r="AU537" s="23">
        <f>IF($AS537="","",IF($G$6="",0,IF(ISNUMBER(INDEX($A:$AP,ROW(),$G$6)),INDEX($A:$AP,ROW(),$G$6),IFERROR(--SUBSTITUTE(SUBSTITUTE(TRIM(INDEX($A:$AP,ROW(),$G$6)),",",""),"원",""),0))))</f>
        <v/>
      </c>
      <c r="AV537" s="23">
        <f>IF($AS537="","",IF($H$6="",$AT537+$AU537,IF($H$6="",0,IF(ISNUMBER(INDEX($A:$AP,ROW(),$H$6)),INDEX($A:$AP,ROW(),$H$6),IFERROR(--SUBSTITUTE(SUBSTITUTE(TRIM(INDEX($A:$AP,ROW(),$H$6)),",",""),"원",""),0)))))</f>
        <v/>
      </c>
      <c r="AW537" s="2">
        <f>IF(OR($AS537="",$C$6=""),"",TRIM(INDEX($A:$AP,ROW(),$C$6)&amp;""))</f>
        <v/>
      </c>
      <c r="AX537" s="2">
        <f>IF($AS537="","",IF($AZ537&lt;&gt;"",SUBSTITUTE(SUBSTITUTE($AZ537,"-","")," ",""),$AY537))</f>
        <v/>
      </c>
      <c r="AY537" s="2">
        <f>IF(OR($AS537="",$E$6=""),"",TRIM(INDEX($A:$AP,ROW(),$E$6)&amp;""))</f>
        <v/>
      </c>
      <c r="AZ537" s="2">
        <f>IF(OR($AS537="",$D$6=""),"",TRIM(INDEX($A:$AP,ROW(),$D$6)&amp;""))</f>
        <v/>
      </c>
      <c r="BA537" s="2">
        <f>IF($AS537="","",IF(AND($AS537&gt;=설정!$B$10,$AS537&lt;=설정!$B$11),"포함","기간 밖"))</f>
        <v/>
      </c>
      <c r="BB537" s="2">
        <f>IF($AS537="","",IF(OR($AT537&lt;0,AND($I$6&lt;&gt;"",ISNUMBER(FIND("수정",INDEX($A:$AP,ROW(),IF($I$6="",1,$I$6))&amp;"")))),"수정","일반"))</f>
        <v/>
      </c>
      <c r="BC537" s="2">
        <f>IF($AS537="","",MID(IF($BA537="기간 밖"," / 기간 밖(신고기간 아님)","")&amp;IF(AND($AW537&lt;&gt;"",COUNTIF($AW$8:$AW$1007,$AW537)&gt;1)," / 승인번호 중복(두 번 붙여넣기?)","")&amp;IF(ABS($AU537-ROUND($AT537*0.1,0))&gt;설정!$B$8,IF($AU537=0," / 세액 0원(영세율·면세 여부 확인)"," / 세액이 공급가액 10%와 다름"),"")&amp;IF($BB537="수정"," / 수정세금계산서(합계에서 자동 가감)",""),4,200))</f>
        <v/>
      </c>
      <c r="BD537" s="2">
        <f>IF($BA537&lt;&gt;"포함","",IF(COUNTIFS($AX$8:$AX537,$AX537,$BA$8:$BA537,"포함")=1,MAX($BD$7:BD536)+1,""))</f>
        <v/>
      </c>
      <c r="BE537" s="2">
        <f>IF($BC537="","",MAX($BE$7:BE536)+1)</f>
        <v/>
      </c>
    </row>
    <row r="538">
      <c r="AR538" s="2">
        <f>IF(OR($A$5="",$B$6="",ROW()&lt;$A$5),"",IF(INDEX($A:$AP,ROW(),$B$6)="","",INDEX($A:$AP,ROW(),$B$6)))</f>
        <v/>
      </c>
      <c r="AS538" s="22">
        <f>IF($AR538="","",IF(ISNUMBER($AR538),IF($AR538&gt;=10000000,IFERROR(DATE(INT($AR538/10000),MOD(INT($AR538/100),100),MOD($AR538,100)),""),INT($AR538)),IFERROR(DATE(--LEFT(LEFT(SUBSTITUTE(SUBSTITUTE(SUBSTITUTE(SUBSTITUTE(TRIM($AR538),"-",""),".",""),"/","")," ",""),8),4),--MID(LEFT(SUBSTITUTE(SUBSTITUTE(SUBSTITUTE(SUBSTITUTE(TRIM($AR538),"-",""),".",""),"/","")," ",""),8),5,2),--MID(LEFT(SUBSTITUTE(SUBSTITUTE(SUBSTITUTE(SUBSTITUTE(TRIM($AR538),"-",""),".",""),"/","")," ",""),8),7,2)),"")))</f>
        <v/>
      </c>
      <c r="AT538" s="23">
        <f>IF($AS538="","",IF($F$6="",0,IF(ISNUMBER(INDEX($A:$AP,ROW(),$F$6)),INDEX($A:$AP,ROW(),$F$6),IFERROR(--SUBSTITUTE(SUBSTITUTE(TRIM(INDEX($A:$AP,ROW(),$F$6)),",",""),"원",""),0))))</f>
        <v/>
      </c>
      <c r="AU538" s="23">
        <f>IF($AS538="","",IF($G$6="",0,IF(ISNUMBER(INDEX($A:$AP,ROW(),$G$6)),INDEX($A:$AP,ROW(),$G$6),IFERROR(--SUBSTITUTE(SUBSTITUTE(TRIM(INDEX($A:$AP,ROW(),$G$6)),",",""),"원",""),0))))</f>
        <v/>
      </c>
      <c r="AV538" s="23">
        <f>IF($AS538="","",IF($H$6="",$AT538+$AU538,IF($H$6="",0,IF(ISNUMBER(INDEX($A:$AP,ROW(),$H$6)),INDEX($A:$AP,ROW(),$H$6),IFERROR(--SUBSTITUTE(SUBSTITUTE(TRIM(INDEX($A:$AP,ROW(),$H$6)),",",""),"원",""),0)))))</f>
        <v/>
      </c>
      <c r="AW538" s="2">
        <f>IF(OR($AS538="",$C$6=""),"",TRIM(INDEX($A:$AP,ROW(),$C$6)&amp;""))</f>
        <v/>
      </c>
      <c r="AX538" s="2">
        <f>IF($AS538="","",IF($AZ538&lt;&gt;"",SUBSTITUTE(SUBSTITUTE($AZ538,"-","")," ",""),$AY538))</f>
        <v/>
      </c>
      <c r="AY538" s="2">
        <f>IF(OR($AS538="",$E$6=""),"",TRIM(INDEX($A:$AP,ROW(),$E$6)&amp;""))</f>
        <v/>
      </c>
      <c r="AZ538" s="2">
        <f>IF(OR($AS538="",$D$6=""),"",TRIM(INDEX($A:$AP,ROW(),$D$6)&amp;""))</f>
        <v/>
      </c>
      <c r="BA538" s="2">
        <f>IF($AS538="","",IF(AND($AS538&gt;=설정!$B$10,$AS538&lt;=설정!$B$11),"포함","기간 밖"))</f>
        <v/>
      </c>
      <c r="BB538" s="2">
        <f>IF($AS538="","",IF(OR($AT538&lt;0,AND($I$6&lt;&gt;"",ISNUMBER(FIND("수정",INDEX($A:$AP,ROW(),IF($I$6="",1,$I$6))&amp;"")))),"수정","일반"))</f>
        <v/>
      </c>
      <c r="BC538" s="2">
        <f>IF($AS538="","",MID(IF($BA538="기간 밖"," / 기간 밖(신고기간 아님)","")&amp;IF(AND($AW538&lt;&gt;"",COUNTIF($AW$8:$AW$1007,$AW538)&gt;1)," / 승인번호 중복(두 번 붙여넣기?)","")&amp;IF(ABS($AU538-ROUND($AT538*0.1,0))&gt;설정!$B$8,IF($AU538=0," / 세액 0원(영세율·면세 여부 확인)"," / 세액이 공급가액 10%와 다름"),"")&amp;IF($BB538="수정"," / 수정세금계산서(합계에서 자동 가감)",""),4,200))</f>
        <v/>
      </c>
      <c r="BD538" s="2">
        <f>IF($BA538&lt;&gt;"포함","",IF(COUNTIFS($AX$8:$AX538,$AX538,$BA$8:$BA538,"포함")=1,MAX($BD$7:BD537)+1,""))</f>
        <v/>
      </c>
      <c r="BE538" s="2">
        <f>IF($BC538="","",MAX($BE$7:BE537)+1)</f>
        <v/>
      </c>
    </row>
    <row r="539">
      <c r="AR539" s="2">
        <f>IF(OR($A$5="",$B$6="",ROW()&lt;$A$5),"",IF(INDEX($A:$AP,ROW(),$B$6)="","",INDEX($A:$AP,ROW(),$B$6)))</f>
        <v/>
      </c>
      <c r="AS539" s="22">
        <f>IF($AR539="","",IF(ISNUMBER($AR539),IF($AR539&gt;=10000000,IFERROR(DATE(INT($AR539/10000),MOD(INT($AR539/100),100),MOD($AR539,100)),""),INT($AR539)),IFERROR(DATE(--LEFT(LEFT(SUBSTITUTE(SUBSTITUTE(SUBSTITUTE(SUBSTITUTE(TRIM($AR539),"-",""),".",""),"/","")," ",""),8),4),--MID(LEFT(SUBSTITUTE(SUBSTITUTE(SUBSTITUTE(SUBSTITUTE(TRIM($AR539),"-",""),".",""),"/","")," ",""),8),5,2),--MID(LEFT(SUBSTITUTE(SUBSTITUTE(SUBSTITUTE(SUBSTITUTE(TRIM($AR539),"-",""),".",""),"/","")," ",""),8),7,2)),"")))</f>
        <v/>
      </c>
      <c r="AT539" s="23">
        <f>IF($AS539="","",IF($F$6="",0,IF(ISNUMBER(INDEX($A:$AP,ROW(),$F$6)),INDEX($A:$AP,ROW(),$F$6),IFERROR(--SUBSTITUTE(SUBSTITUTE(TRIM(INDEX($A:$AP,ROW(),$F$6)),",",""),"원",""),0))))</f>
        <v/>
      </c>
      <c r="AU539" s="23">
        <f>IF($AS539="","",IF($G$6="",0,IF(ISNUMBER(INDEX($A:$AP,ROW(),$G$6)),INDEX($A:$AP,ROW(),$G$6),IFERROR(--SUBSTITUTE(SUBSTITUTE(TRIM(INDEX($A:$AP,ROW(),$G$6)),",",""),"원",""),0))))</f>
        <v/>
      </c>
      <c r="AV539" s="23">
        <f>IF($AS539="","",IF($H$6="",$AT539+$AU539,IF($H$6="",0,IF(ISNUMBER(INDEX($A:$AP,ROW(),$H$6)),INDEX($A:$AP,ROW(),$H$6),IFERROR(--SUBSTITUTE(SUBSTITUTE(TRIM(INDEX($A:$AP,ROW(),$H$6)),",",""),"원",""),0)))))</f>
        <v/>
      </c>
      <c r="AW539" s="2">
        <f>IF(OR($AS539="",$C$6=""),"",TRIM(INDEX($A:$AP,ROW(),$C$6)&amp;""))</f>
        <v/>
      </c>
      <c r="AX539" s="2">
        <f>IF($AS539="","",IF($AZ539&lt;&gt;"",SUBSTITUTE(SUBSTITUTE($AZ539,"-","")," ",""),$AY539))</f>
        <v/>
      </c>
      <c r="AY539" s="2">
        <f>IF(OR($AS539="",$E$6=""),"",TRIM(INDEX($A:$AP,ROW(),$E$6)&amp;""))</f>
        <v/>
      </c>
      <c r="AZ539" s="2">
        <f>IF(OR($AS539="",$D$6=""),"",TRIM(INDEX($A:$AP,ROW(),$D$6)&amp;""))</f>
        <v/>
      </c>
      <c r="BA539" s="2">
        <f>IF($AS539="","",IF(AND($AS539&gt;=설정!$B$10,$AS539&lt;=설정!$B$11),"포함","기간 밖"))</f>
        <v/>
      </c>
      <c r="BB539" s="2">
        <f>IF($AS539="","",IF(OR($AT539&lt;0,AND($I$6&lt;&gt;"",ISNUMBER(FIND("수정",INDEX($A:$AP,ROW(),IF($I$6="",1,$I$6))&amp;"")))),"수정","일반"))</f>
        <v/>
      </c>
      <c r="BC539" s="2">
        <f>IF($AS539="","",MID(IF($BA539="기간 밖"," / 기간 밖(신고기간 아님)","")&amp;IF(AND($AW539&lt;&gt;"",COUNTIF($AW$8:$AW$1007,$AW539)&gt;1)," / 승인번호 중복(두 번 붙여넣기?)","")&amp;IF(ABS($AU539-ROUND($AT539*0.1,0))&gt;설정!$B$8,IF($AU539=0," / 세액 0원(영세율·면세 여부 확인)"," / 세액이 공급가액 10%와 다름"),"")&amp;IF($BB539="수정"," / 수정세금계산서(합계에서 자동 가감)",""),4,200))</f>
        <v/>
      </c>
      <c r="BD539" s="2">
        <f>IF($BA539&lt;&gt;"포함","",IF(COUNTIFS($AX$8:$AX539,$AX539,$BA$8:$BA539,"포함")=1,MAX($BD$7:BD538)+1,""))</f>
        <v/>
      </c>
      <c r="BE539" s="2">
        <f>IF($BC539="","",MAX($BE$7:BE538)+1)</f>
        <v/>
      </c>
    </row>
    <row r="540">
      <c r="AR540" s="2">
        <f>IF(OR($A$5="",$B$6="",ROW()&lt;$A$5),"",IF(INDEX($A:$AP,ROW(),$B$6)="","",INDEX($A:$AP,ROW(),$B$6)))</f>
        <v/>
      </c>
      <c r="AS540" s="22">
        <f>IF($AR540="","",IF(ISNUMBER($AR540),IF($AR540&gt;=10000000,IFERROR(DATE(INT($AR540/10000),MOD(INT($AR540/100),100),MOD($AR540,100)),""),INT($AR540)),IFERROR(DATE(--LEFT(LEFT(SUBSTITUTE(SUBSTITUTE(SUBSTITUTE(SUBSTITUTE(TRIM($AR540),"-",""),".",""),"/","")," ",""),8),4),--MID(LEFT(SUBSTITUTE(SUBSTITUTE(SUBSTITUTE(SUBSTITUTE(TRIM($AR540),"-",""),".",""),"/","")," ",""),8),5,2),--MID(LEFT(SUBSTITUTE(SUBSTITUTE(SUBSTITUTE(SUBSTITUTE(TRIM($AR540),"-",""),".",""),"/","")," ",""),8),7,2)),"")))</f>
        <v/>
      </c>
      <c r="AT540" s="23">
        <f>IF($AS540="","",IF($F$6="",0,IF(ISNUMBER(INDEX($A:$AP,ROW(),$F$6)),INDEX($A:$AP,ROW(),$F$6),IFERROR(--SUBSTITUTE(SUBSTITUTE(TRIM(INDEX($A:$AP,ROW(),$F$6)),",",""),"원",""),0))))</f>
        <v/>
      </c>
      <c r="AU540" s="23">
        <f>IF($AS540="","",IF($G$6="",0,IF(ISNUMBER(INDEX($A:$AP,ROW(),$G$6)),INDEX($A:$AP,ROW(),$G$6),IFERROR(--SUBSTITUTE(SUBSTITUTE(TRIM(INDEX($A:$AP,ROW(),$G$6)),",",""),"원",""),0))))</f>
        <v/>
      </c>
      <c r="AV540" s="23">
        <f>IF($AS540="","",IF($H$6="",$AT540+$AU540,IF($H$6="",0,IF(ISNUMBER(INDEX($A:$AP,ROW(),$H$6)),INDEX($A:$AP,ROW(),$H$6),IFERROR(--SUBSTITUTE(SUBSTITUTE(TRIM(INDEX($A:$AP,ROW(),$H$6)),",",""),"원",""),0)))))</f>
        <v/>
      </c>
      <c r="AW540" s="2">
        <f>IF(OR($AS540="",$C$6=""),"",TRIM(INDEX($A:$AP,ROW(),$C$6)&amp;""))</f>
        <v/>
      </c>
      <c r="AX540" s="2">
        <f>IF($AS540="","",IF($AZ540&lt;&gt;"",SUBSTITUTE(SUBSTITUTE($AZ540,"-","")," ",""),$AY540))</f>
        <v/>
      </c>
      <c r="AY540" s="2">
        <f>IF(OR($AS540="",$E$6=""),"",TRIM(INDEX($A:$AP,ROW(),$E$6)&amp;""))</f>
        <v/>
      </c>
      <c r="AZ540" s="2">
        <f>IF(OR($AS540="",$D$6=""),"",TRIM(INDEX($A:$AP,ROW(),$D$6)&amp;""))</f>
        <v/>
      </c>
      <c r="BA540" s="2">
        <f>IF($AS540="","",IF(AND($AS540&gt;=설정!$B$10,$AS540&lt;=설정!$B$11),"포함","기간 밖"))</f>
        <v/>
      </c>
      <c r="BB540" s="2">
        <f>IF($AS540="","",IF(OR($AT540&lt;0,AND($I$6&lt;&gt;"",ISNUMBER(FIND("수정",INDEX($A:$AP,ROW(),IF($I$6="",1,$I$6))&amp;"")))),"수정","일반"))</f>
        <v/>
      </c>
      <c r="BC540" s="2">
        <f>IF($AS540="","",MID(IF($BA540="기간 밖"," / 기간 밖(신고기간 아님)","")&amp;IF(AND($AW540&lt;&gt;"",COUNTIF($AW$8:$AW$1007,$AW540)&gt;1)," / 승인번호 중복(두 번 붙여넣기?)","")&amp;IF(ABS($AU540-ROUND($AT540*0.1,0))&gt;설정!$B$8,IF($AU540=0," / 세액 0원(영세율·면세 여부 확인)"," / 세액이 공급가액 10%와 다름"),"")&amp;IF($BB540="수정"," / 수정세금계산서(합계에서 자동 가감)",""),4,200))</f>
        <v/>
      </c>
      <c r="BD540" s="2">
        <f>IF($BA540&lt;&gt;"포함","",IF(COUNTIFS($AX$8:$AX540,$AX540,$BA$8:$BA540,"포함")=1,MAX($BD$7:BD539)+1,""))</f>
        <v/>
      </c>
      <c r="BE540" s="2">
        <f>IF($BC540="","",MAX($BE$7:BE539)+1)</f>
        <v/>
      </c>
    </row>
    <row r="541">
      <c r="AR541" s="2">
        <f>IF(OR($A$5="",$B$6="",ROW()&lt;$A$5),"",IF(INDEX($A:$AP,ROW(),$B$6)="","",INDEX($A:$AP,ROW(),$B$6)))</f>
        <v/>
      </c>
      <c r="AS541" s="22">
        <f>IF($AR541="","",IF(ISNUMBER($AR541),IF($AR541&gt;=10000000,IFERROR(DATE(INT($AR541/10000),MOD(INT($AR541/100),100),MOD($AR541,100)),""),INT($AR541)),IFERROR(DATE(--LEFT(LEFT(SUBSTITUTE(SUBSTITUTE(SUBSTITUTE(SUBSTITUTE(TRIM($AR541),"-",""),".",""),"/","")," ",""),8),4),--MID(LEFT(SUBSTITUTE(SUBSTITUTE(SUBSTITUTE(SUBSTITUTE(TRIM($AR541),"-",""),".",""),"/","")," ",""),8),5,2),--MID(LEFT(SUBSTITUTE(SUBSTITUTE(SUBSTITUTE(SUBSTITUTE(TRIM($AR541),"-",""),".",""),"/","")," ",""),8),7,2)),"")))</f>
        <v/>
      </c>
      <c r="AT541" s="23">
        <f>IF($AS541="","",IF($F$6="",0,IF(ISNUMBER(INDEX($A:$AP,ROW(),$F$6)),INDEX($A:$AP,ROW(),$F$6),IFERROR(--SUBSTITUTE(SUBSTITUTE(TRIM(INDEX($A:$AP,ROW(),$F$6)),",",""),"원",""),0))))</f>
        <v/>
      </c>
      <c r="AU541" s="23">
        <f>IF($AS541="","",IF($G$6="",0,IF(ISNUMBER(INDEX($A:$AP,ROW(),$G$6)),INDEX($A:$AP,ROW(),$G$6),IFERROR(--SUBSTITUTE(SUBSTITUTE(TRIM(INDEX($A:$AP,ROW(),$G$6)),",",""),"원",""),0))))</f>
        <v/>
      </c>
      <c r="AV541" s="23">
        <f>IF($AS541="","",IF($H$6="",$AT541+$AU541,IF($H$6="",0,IF(ISNUMBER(INDEX($A:$AP,ROW(),$H$6)),INDEX($A:$AP,ROW(),$H$6),IFERROR(--SUBSTITUTE(SUBSTITUTE(TRIM(INDEX($A:$AP,ROW(),$H$6)),",",""),"원",""),0)))))</f>
        <v/>
      </c>
      <c r="AW541" s="2">
        <f>IF(OR($AS541="",$C$6=""),"",TRIM(INDEX($A:$AP,ROW(),$C$6)&amp;""))</f>
        <v/>
      </c>
      <c r="AX541" s="2">
        <f>IF($AS541="","",IF($AZ541&lt;&gt;"",SUBSTITUTE(SUBSTITUTE($AZ541,"-","")," ",""),$AY541))</f>
        <v/>
      </c>
      <c r="AY541" s="2">
        <f>IF(OR($AS541="",$E$6=""),"",TRIM(INDEX($A:$AP,ROW(),$E$6)&amp;""))</f>
        <v/>
      </c>
      <c r="AZ541" s="2">
        <f>IF(OR($AS541="",$D$6=""),"",TRIM(INDEX($A:$AP,ROW(),$D$6)&amp;""))</f>
        <v/>
      </c>
      <c r="BA541" s="2">
        <f>IF($AS541="","",IF(AND($AS541&gt;=설정!$B$10,$AS541&lt;=설정!$B$11),"포함","기간 밖"))</f>
        <v/>
      </c>
      <c r="BB541" s="2">
        <f>IF($AS541="","",IF(OR($AT541&lt;0,AND($I$6&lt;&gt;"",ISNUMBER(FIND("수정",INDEX($A:$AP,ROW(),IF($I$6="",1,$I$6))&amp;"")))),"수정","일반"))</f>
        <v/>
      </c>
      <c r="BC541" s="2">
        <f>IF($AS541="","",MID(IF($BA541="기간 밖"," / 기간 밖(신고기간 아님)","")&amp;IF(AND($AW541&lt;&gt;"",COUNTIF($AW$8:$AW$1007,$AW541)&gt;1)," / 승인번호 중복(두 번 붙여넣기?)","")&amp;IF(ABS($AU541-ROUND($AT541*0.1,0))&gt;설정!$B$8,IF($AU541=0," / 세액 0원(영세율·면세 여부 확인)"," / 세액이 공급가액 10%와 다름"),"")&amp;IF($BB541="수정"," / 수정세금계산서(합계에서 자동 가감)",""),4,200))</f>
        <v/>
      </c>
      <c r="BD541" s="2">
        <f>IF($BA541&lt;&gt;"포함","",IF(COUNTIFS($AX$8:$AX541,$AX541,$BA$8:$BA541,"포함")=1,MAX($BD$7:BD540)+1,""))</f>
        <v/>
      </c>
      <c r="BE541" s="2">
        <f>IF($BC541="","",MAX($BE$7:BE540)+1)</f>
        <v/>
      </c>
    </row>
    <row r="542">
      <c r="AR542" s="2">
        <f>IF(OR($A$5="",$B$6="",ROW()&lt;$A$5),"",IF(INDEX($A:$AP,ROW(),$B$6)="","",INDEX($A:$AP,ROW(),$B$6)))</f>
        <v/>
      </c>
      <c r="AS542" s="22">
        <f>IF($AR542="","",IF(ISNUMBER($AR542),IF($AR542&gt;=10000000,IFERROR(DATE(INT($AR542/10000),MOD(INT($AR542/100),100),MOD($AR542,100)),""),INT($AR542)),IFERROR(DATE(--LEFT(LEFT(SUBSTITUTE(SUBSTITUTE(SUBSTITUTE(SUBSTITUTE(TRIM($AR542),"-",""),".",""),"/","")," ",""),8),4),--MID(LEFT(SUBSTITUTE(SUBSTITUTE(SUBSTITUTE(SUBSTITUTE(TRIM($AR542),"-",""),".",""),"/","")," ",""),8),5,2),--MID(LEFT(SUBSTITUTE(SUBSTITUTE(SUBSTITUTE(SUBSTITUTE(TRIM($AR542),"-",""),".",""),"/","")," ",""),8),7,2)),"")))</f>
        <v/>
      </c>
      <c r="AT542" s="23">
        <f>IF($AS542="","",IF($F$6="",0,IF(ISNUMBER(INDEX($A:$AP,ROW(),$F$6)),INDEX($A:$AP,ROW(),$F$6),IFERROR(--SUBSTITUTE(SUBSTITUTE(TRIM(INDEX($A:$AP,ROW(),$F$6)),",",""),"원",""),0))))</f>
        <v/>
      </c>
      <c r="AU542" s="23">
        <f>IF($AS542="","",IF($G$6="",0,IF(ISNUMBER(INDEX($A:$AP,ROW(),$G$6)),INDEX($A:$AP,ROW(),$G$6),IFERROR(--SUBSTITUTE(SUBSTITUTE(TRIM(INDEX($A:$AP,ROW(),$G$6)),",",""),"원",""),0))))</f>
        <v/>
      </c>
      <c r="AV542" s="23">
        <f>IF($AS542="","",IF($H$6="",$AT542+$AU542,IF($H$6="",0,IF(ISNUMBER(INDEX($A:$AP,ROW(),$H$6)),INDEX($A:$AP,ROW(),$H$6),IFERROR(--SUBSTITUTE(SUBSTITUTE(TRIM(INDEX($A:$AP,ROW(),$H$6)),",",""),"원",""),0)))))</f>
        <v/>
      </c>
      <c r="AW542" s="2">
        <f>IF(OR($AS542="",$C$6=""),"",TRIM(INDEX($A:$AP,ROW(),$C$6)&amp;""))</f>
        <v/>
      </c>
      <c r="AX542" s="2">
        <f>IF($AS542="","",IF($AZ542&lt;&gt;"",SUBSTITUTE(SUBSTITUTE($AZ542,"-","")," ",""),$AY542))</f>
        <v/>
      </c>
      <c r="AY542" s="2">
        <f>IF(OR($AS542="",$E$6=""),"",TRIM(INDEX($A:$AP,ROW(),$E$6)&amp;""))</f>
        <v/>
      </c>
      <c r="AZ542" s="2">
        <f>IF(OR($AS542="",$D$6=""),"",TRIM(INDEX($A:$AP,ROW(),$D$6)&amp;""))</f>
        <v/>
      </c>
      <c r="BA542" s="2">
        <f>IF($AS542="","",IF(AND($AS542&gt;=설정!$B$10,$AS542&lt;=설정!$B$11),"포함","기간 밖"))</f>
        <v/>
      </c>
      <c r="BB542" s="2">
        <f>IF($AS542="","",IF(OR($AT542&lt;0,AND($I$6&lt;&gt;"",ISNUMBER(FIND("수정",INDEX($A:$AP,ROW(),IF($I$6="",1,$I$6))&amp;"")))),"수정","일반"))</f>
        <v/>
      </c>
      <c r="BC542" s="2">
        <f>IF($AS542="","",MID(IF($BA542="기간 밖"," / 기간 밖(신고기간 아님)","")&amp;IF(AND($AW542&lt;&gt;"",COUNTIF($AW$8:$AW$1007,$AW542)&gt;1)," / 승인번호 중복(두 번 붙여넣기?)","")&amp;IF(ABS($AU542-ROUND($AT542*0.1,0))&gt;설정!$B$8,IF($AU542=0," / 세액 0원(영세율·면세 여부 확인)"," / 세액이 공급가액 10%와 다름"),"")&amp;IF($BB542="수정"," / 수정세금계산서(합계에서 자동 가감)",""),4,200))</f>
        <v/>
      </c>
      <c r="BD542" s="2">
        <f>IF($BA542&lt;&gt;"포함","",IF(COUNTIFS($AX$8:$AX542,$AX542,$BA$8:$BA542,"포함")=1,MAX($BD$7:BD541)+1,""))</f>
        <v/>
      </c>
      <c r="BE542" s="2">
        <f>IF($BC542="","",MAX($BE$7:BE541)+1)</f>
        <v/>
      </c>
    </row>
    <row r="543">
      <c r="AR543" s="2">
        <f>IF(OR($A$5="",$B$6="",ROW()&lt;$A$5),"",IF(INDEX($A:$AP,ROW(),$B$6)="","",INDEX($A:$AP,ROW(),$B$6)))</f>
        <v/>
      </c>
      <c r="AS543" s="22">
        <f>IF($AR543="","",IF(ISNUMBER($AR543),IF($AR543&gt;=10000000,IFERROR(DATE(INT($AR543/10000),MOD(INT($AR543/100),100),MOD($AR543,100)),""),INT($AR543)),IFERROR(DATE(--LEFT(LEFT(SUBSTITUTE(SUBSTITUTE(SUBSTITUTE(SUBSTITUTE(TRIM($AR543),"-",""),".",""),"/","")," ",""),8),4),--MID(LEFT(SUBSTITUTE(SUBSTITUTE(SUBSTITUTE(SUBSTITUTE(TRIM($AR543),"-",""),".",""),"/","")," ",""),8),5,2),--MID(LEFT(SUBSTITUTE(SUBSTITUTE(SUBSTITUTE(SUBSTITUTE(TRIM($AR543),"-",""),".",""),"/","")," ",""),8),7,2)),"")))</f>
        <v/>
      </c>
      <c r="AT543" s="23">
        <f>IF($AS543="","",IF($F$6="",0,IF(ISNUMBER(INDEX($A:$AP,ROW(),$F$6)),INDEX($A:$AP,ROW(),$F$6),IFERROR(--SUBSTITUTE(SUBSTITUTE(TRIM(INDEX($A:$AP,ROW(),$F$6)),",",""),"원",""),0))))</f>
        <v/>
      </c>
      <c r="AU543" s="23">
        <f>IF($AS543="","",IF($G$6="",0,IF(ISNUMBER(INDEX($A:$AP,ROW(),$G$6)),INDEX($A:$AP,ROW(),$G$6),IFERROR(--SUBSTITUTE(SUBSTITUTE(TRIM(INDEX($A:$AP,ROW(),$G$6)),",",""),"원",""),0))))</f>
        <v/>
      </c>
      <c r="AV543" s="23">
        <f>IF($AS543="","",IF($H$6="",$AT543+$AU543,IF($H$6="",0,IF(ISNUMBER(INDEX($A:$AP,ROW(),$H$6)),INDEX($A:$AP,ROW(),$H$6),IFERROR(--SUBSTITUTE(SUBSTITUTE(TRIM(INDEX($A:$AP,ROW(),$H$6)),",",""),"원",""),0)))))</f>
        <v/>
      </c>
      <c r="AW543" s="2">
        <f>IF(OR($AS543="",$C$6=""),"",TRIM(INDEX($A:$AP,ROW(),$C$6)&amp;""))</f>
        <v/>
      </c>
      <c r="AX543" s="2">
        <f>IF($AS543="","",IF($AZ543&lt;&gt;"",SUBSTITUTE(SUBSTITUTE($AZ543,"-","")," ",""),$AY543))</f>
        <v/>
      </c>
      <c r="AY543" s="2">
        <f>IF(OR($AS543="",$E$6=""),"",TRIM(INDEX($A:$AP,ROW(),$E$6)&amp;""))</f>
        <v/>
      </c>
      <c r="AZ543" s="2">
        <f>IF(OR($AS543="",$D$6=""),"",TRIM(INDEX($A:$AP,ROW(),$D$6)&amp;""))</f>
        <v/>
      </c>
      <c r="BA543" s="2">
        <f>IF($AS543="","",IF(AND($AS543&gt;=설정!$B$10,$AS543&lt;=설정!$B$11),"포함","기간 밖"))</f>
        <v/>
      </c>
      <c r="BB543" s="2">
        <f>IF($AS543="","",IF(OR($AT543&lt;0,AND($I$6&lt;&gt;"",ISNUMBER(FIND("수정",INDEX($A:$AP,ROW(),IF($I$6="",1,$I$6))&amp;"")))),"수정","일반"))</f>
        <v/>
      </c>
      <c r="BC543" s="2">
        <f>IF($AS543="","",MID(IF($BA543="기간 밖"," / 기간 밖(신고기간 아님)","")&amp;IF(AND($AW543&lt;&gt;"",COUNTIF($AW$8:$AW$1007,$AW543)&gt;1)," / 승인번호 중복(두 번 붙여넣기?)","")&amp;IF(ABS($AU543-ROUND($AT543*0.1,0))&gt;설정!$B$8,IF($AU543=0," / 세액 0원(영세율·면세 여부 확인)"," / 세액이 공급가액 10%와 다름"),"")&amp;IF($BB543="수정"," / 수정세금계산서(합계에서 자동 가감)",""),4,200))</f>
        <v/>
      </c>
      <c r="BD543" s="2">
        <f>IF($BA543&lt;&gt;"포함","",IF(COUNTIFS($AX$8:$AX543,$AX543,$BA$8:$BA543,"포함")=1,MAX($BD$7:BD542)+1,""))</f>
        <v/>
      </c>
      <c r="BE543" s="2">
        <f>IF($BC543="","",MAX($BE$7:BE542)+1)</f>
        <v/>
      </c>
    </row>
    <row r="544">
      <c r="AR544" s="2">
        <f>IF(OR($A$5="",$B$6="",ROW()&lt;$A$5),"",IF(INDEX($A:$AP,ROW(),$B$6)="","",INDEX($A:$AP,ROW(),$B$6)))</f>
        <v/>
      </c>
      <c r="AS544" s="22">
        <f>IF($AR544="","",IF(ISNUMBER($AR544),IF($AR544&gt;=10000000,IFERROR(DATE(INT($AR544/10000),MOD(INT($AR544/100),100),MOD($AR544,100)),""),INT($AR544)),IFERROR(DATE(--LEFT(LEFT(SUBSTITUTE(SUBSTITUTE(SUBSTITUTE(SUBSTITUTE(TRIM($AR544),"-",""),".",""),"/","")," ",""),8),4),--MID(LEFT(SUBSTITUTE(SUBSTITUTE(SUBSTITUTE(SUBSTITUTE(TRIM($AR544),"-",""),".",""),"/","")," ",""),8),5,2),--MID(LEFT(SUBSTITUTE(SUBSTITUTE(SUBSTITUTE(SUBSTITUTE(TRIM($AR544),"-",""),".",""),"/","")," ",""),8),7,2)),"")))</f>
        <v/>
      </c>
      <c r="AT544" s="23">
        <f>IF($AS544="","",IF($F$6="",0,IF(ISNUMBER(INDEX($A:$AP,ROW(),$F$6)),INDEX($A:$AP,ROW(),$F$6),IFERROR(--SUBSTITUTE(SUBSTITUTE(TRIM(INDEX($A:$AP,ROW(),$F$6)),",",""),"원",""),0))))</f>
        <v/>
      </c>
      <c r="AU544" s="23">
        <f>IF($AS544="","",IF($G$6="",0,IF(ISNUMBER(INDEX($A:$AP,ROW(),$G$6)),INDEX($A:$AP,ROW(),$G$6),IFERROR(--SUBSTITUTE(SUBSTITUTE(TRIM(INDEX($A:$AP,ROW(),$G$6)),",",""),"원",""),0))))</f>
        <v/>
      </c>
      <c r="AV544" s="23">
        <f>IF($AS544="","",IF($H$6="",$AT544+$AU544,IF($H$6="",0,IF(ISNUMBER(INDEX($A:$AP,ROW(),$H$6)),INDEX($A:$AP,ROW(),$H$6),IFERROR(--SUBSTITUTE(SUBSTITUTE(TRIM(INDEX($A:$AP,ROW(),$H$6)),",",""),"원",""),0)))))</f>
        <v/>
      </c>
      <c r="AW544" s="2">
        <f>IF(OR($AS544="",$C$6=""),"",TRIM(INDEX($A:$AP,ROW(),$C$6)&amp;""))</f>
        <v/>
      </c>
      <c r="AX544" s="2">
        <f>IF($AS544="","",IF($AZ544&lt;&gt;"",SUBSTITUTE(SUBSTITUTE($AZ544,"-","")," ",""),$AY544))</f>
        <v/>
      </c>
      <c r="AY544" s="2">
        <f>IF(OR($AS544="",$E$6=""),"",TRIM(INDEX($A:$AP,ROW(),$E$6)&amp;""))</f>
        <v/>
      </c>
      <c r="AZ544" s="2">
        <f>IF(OR($AS544="",$D$6=""),"",TRIM(INDEX($A:$AP,ROW(),$D$6)&amp;""))</f>
        <v/>
      </c>
      <c r="BA544" s="2">
        <f>IF($AS544="","",IF(AND($AS544&gt;=설정!$B$10,$AS544&lt;=설정!$B$11),"포함","기간 밖"))</f>
        <v/>
      </c>
      <c r="BB544" s="2">
        <f>IF($AS544="","",IF(OR($AT544&lt;0,AND($I$6&lt;&gt;"",ISNUMBER(FIND("수정",INDEX($A:$AP,ROW(),IF($I$6="",1,$I$6))&amp;"")))),"수정","일반"))</f>
        <v/>
      </c>
      <c r="BC544" s="2">
        <f>IF($AS544="","",MID(IF($BA544="기간 밖"," / 기간 밖(신고기간 아님)","")&amp;IF(AND($AW544&lt;&gt;"",COUNTIF($AW$8:$AW$1007,$AW544)&gt;1)," / 승인번호 중복(두 번 붙여넣기?)","")&amp;IF(ABS($AU544-ROUND($AT544*0.1,0))&gt;설정!$B$8,IF($AU544=0," / 세액 0원(영세율·면세 여부 확인)"," / 세액이 공급가액 10%와 다름"),"")&amp;IF($BB544="수정"," / 수정세금계산서(합계에서 자동 가감)",""),4,200))</f>
        <v/>
      </c>
      <c r="BD544" s="2">
        <f>IF($BA544&lt;&gt;"포함","",IF(COUNTIFS($AX$8:$AX544,$AX544,$BA$8:$BA544,"포함")=1,MAX($BD$7:BD543)+1,""))</f>
        <v/>
      </c>
      <c r="BE544" s="2">
        <f>IF($BC544="","",MAX($BE$7:BE543)+1)</f>
        <v/>
      </c>
    </row>
    <row r="545">
      <c r="AR545" s="2">
        <f>IF(OR($A$5="",$B$6="",ROW()&lt;$A$5),"",IF(INDEX($A:$AP,ROW(),$B$6)="","",INDEX($A:$AP,ROW(),$B$6)))</f>
        <v/>
      </c>
      <c r="AS545" s="22">
        <f>IF($AR545="","",IF(ISNUMBER($AR545),IF($AR545&gt;=10000000,IFERROR(DATE(INT($AR545/10000),MOD(INT($AR545/100),100),MOD($AR545,100)),""),INT($AR545)),IFERROR(DATE(--LEFT(LEFT(SUBSTITUTE(SUBSTITUTE(SUBSTITUTE(SUBSTITUTE(TRIM($AR545),"-",""),".",""),"/","")," ",""),8),4),--MID(LEFT(SUBSTITUTE(SUBSTITUTE(SUBSTITUTE(SUBSTITUTE(TRIM($AR545),"-",""),".",""),"/","")," ",""),8),5,2),--MID(LEFT(SUBSTITUTE(SUBSTITUTE(SUBSTITUTE(SUBSTITUTE(TRIM($AR545),"-",""),".",""),"/","")," ",""),8),7,2)),"")))</f>
        <v/>
      </c>
      <c r="AT545" s="23">
        <f>IF($AS545="","",IF($F$6="",0,IF(ISNUMBER(INDEX($A:$AP,ROW(),$F$6)),INDEX($A:$AP,ROW(),$F$6),IFERROR(--SUBSTITUTE(SUBSTITUTE(TRIM(INDEX($A:$AP,ROW(),$F$6)),",",""),"원",""),0))))</f>
        <v/>
      </c>
      <c r="AU545" s="23">
        <f>IF($AS545="","",IF($G$6="",0,IF(ISNUMBER(INDEX($A:$AP,ROW(),$G$6)),INDEX($A:$AP,ROW(),$G$6),IFERROR(--SUBSTITUTE(SUBSTITUTE(TRIM(INDEX($A:$AP,ROW(),$G$6)),",",""),"원",""),0))))</f>
        <v/>
      </c>
      <c r="AV545" s="23">
        <f>IF($AS545="","",IF($H$6="",$AT545+$AU545,IF($H$6="",0,IF(ISNUMBER(INDEX($A:$AP,ROW(),$H$6)),INDEX($A:$AP,ROW(),$H$6),IFERROR(--SUBSTITUTE(SUBSTITUTE(TRIM(INDEX($A:$AP,ROW(),$H$6)),",",""),"원",""),0)))))</f>
        <v/>
      </c>
      <c r="AW545" s="2">
        <f>IF(OR($AS545="",$C$6=""),"",TRIM(INDEX($A:$AP,ROW(),$C$6)&amp;""))</f>
        <v/>
      </c>
      <c r="AX545" s="2">
        <f>IF($AS545="","",IF($AZ545&lt;&gt;"",SUBSTITUTE(SUBSTITUTE($AZ545,"-","")," ",""),$AY545))</f>
        <v/>
      </c>
      <c r="AY545" s="2">
        <f>IF(OR($AS545="",$E$6=""),"",TRIM(INDEX($A:$AP,ROW(),$E$6)&amp;""))</f>
        <v/>
      </c>
      <c r="AZ545" s="2">
        <f>IF(OR($AS545="",$D$6=""),"",TRIM(INDEX($A:$AP,ROW(),$D$6)&amp;""))</f>
        <v/>
      </c>
      <c r="BA545" s="2">
        <f>IF($AS545="","",IF(AND($AS545&gt;=설정!$B$10,$AS545&lt;=설정!$B$11),"포함","기간 밖"))</f>
        <v/>
      </c>
      <c r="BB545" s="2">
        <f>IF($AS545="","",IF(OR($AT545&lt;0,AND($I$6&lt;&gt;"",ISNUMBER(FIND("수정",INDEX($A:$AP,ROW(),IF($I$6="",1,$I$6))&amp;"")))),"수정","일반"))</f>
        <v/>
      </c>
      <c r="BC545" s="2">
        <f>IF($AS545="","",MID(IF($BA545="기간 밖"," / 기간 밖(신고기간 아님)","")&amp;IF(AND($AW545&lt;&gt;"",COUNTIF($AW$8:$AW$1007,$AW545)&gt;1)," / 승인번호 중복(두 번 붙여넣기?)","")&amp;IF(ABS($AU545-ROUND($AT545*0.1,0))&gt;설정!$B$8,IF($AU545=0," / 세액 0원(영세율·면세 여부 확인)"," / 세액이 공급가액 10%와 다름"),"")&amp;IF($BB545="수정"," / 수정세금계산서(합계에서 자동 가감)",""),4,200))</f>
        <v/>
      </c>
      <c r="BD545" s="2">
        <f>IF($BA545&lt;&gt;"포함","",IF(COUNTIFS($AX$8:$AX545,$AX545,$BA$8:$BA545,"포함")=1,MAX($BD$7:BD544)+1,""))</f>
        <v/>
      </c>
      <c r="BE545" s="2">
        <f>IF($BC545="","",MAX($BE$7:BE544)+1)</f>
        <v/>
      </c>
    </row>
    <row r="546">
      <c r="AR546" s="2">
        <f>IF(OR($A$5="",$B$6="",ROW()&lt;$A$5),"",IF(INDEX($A:$AP,ROW(),$B$6)="","",INDEX($A:$AP,ROW(),$B$6)))</f>
        <v/>
      </c>
      <c r="AS546" s="22">
        <f>IF($AR546="","",IF(ISNUMBER($AR546),IF($AR546&gt;=10000000,IFERROR(DATE(INT($AR546/10000),MOD(INT($AR546/100),100),MOD($AR546,100)),""),INT($AR546)),IFERROR(DATE(--LEFT(LEFT(SUBSTITUTE(SUBSTITUTE(SUBSTITUTE(SUBSTITUTE(TRIM($AR546),"-",""),".",""),"/","")," ",""),8),4),--MID(LEFT(SUBSTITUTE(SUBSTITUTE(SUBSTITUTE(SUBSTITUTE(TRIM($AR546),"-",""),".",""),"/","")," ",""),8),5,2),--MID(LEFT(SUBSTITUTE(SUBSTITUTE(SUBSTITUTE(SUBSTITUTE(TRIM($AR546),"-",""),".",""),"/","")," ",""),8),7,2)),"")))</f>
        <v/>
      </c>
      <c r="AT546" s="23">
        <f>IF($AS546="","",IF($F$6="",0,IF(ISNUMBER(INDEX($A:$AP,ROW(),$F$6)),INDEX($A:$AP,ROW(),$F$6),IFERROR(--SUBSTITUTE(SUBSTITUTE(TRIM(INDEX($A:$AP,ROW(),$F$6)),",",""),"원",""),0))))</f>
        <v/>
      </c>
      <c r="AU546" s="23">
        <f>IF($AS546="","",IF($G$6="",0,IF(ISNUMBER(INDEX($A:$AP,ROW(),$G$6)),INDEX($A:$AP,ROW(),$G$6),IFERROR(--SUBSTITUTE(SUBSTITUTE(TRIM(INDEX($A:$AP,ROW(),$G$6)),",",""),"원",""),0))))</f>
        <v/>
      </c>
      <c r="AV546" s="23">
        <f>IF($AS546="","",IF($H$6="",$AT546+$AU546,IF($H$6="",0,IF(ISNUMBER(INDEX($A:$AP,ROW(),$H$6)),INDEX($A:$AP,ROW(),$H$6),IFERROR(--SUBSTITUTE(SUBSTITUTE(TRIM(INDEX($A:$AP,ROW(),$H$6)),",",""),"원",""),0)))))</f>
        <v/>
      </c>
      <c r="AW546" s="2">
        <f>IF(OR($AS546="",$C$6=""),"",TRIM(INDEX($A:$AP,ROW(),$C$6)&amp;""))</f>
        <v/>
      </c>
      <c r="AX546" s="2">
        <f>IF($AS546="","",IF($AZ546&lt;&gt;"",SUBSTITUTE(SUBSTITUTE($AZ546,"-","")," ",""),$AY546))</f>
        <v/>
      </c>
      <c r="AY546" s="2">
        <f>IF(OR($AS546="",$E$6=""),"",TRIM(INDEX($A:$AP,ROW(),$E$6)&amp;""))</f>
        <v/>
      </c>
      <c r="AZ546" s="2">
        <f>IF(OR($AS546="",$D$6=""),"",TRIM(INDEX($A:$AP,ROW(),$D$6)&amp;""))</f>
        <v/>
      </c>
      <c r="BA546" s="2">
        <f>IF($AS546="","",IF(AND($AS546&gt;=설정!$B$10,$AS546&lt;=설정!$B$11),"포함","기간 밖"))</f>
        <v/>
      </c>
      <c r="BB546" s="2">
        <f>IF($AS546="","",IF(OR($AT546&lt;0,AND($I$6&lt;&gt;"",ISNUMBER(FIND("수정",INDEX($A:$AP,ROW(),IF($I$6="",1,$I$6))&amp;"")))),"수정","일반"))</f>
        <v/>
      </c>
      <c r="BC546" s="2">
        <f>IF($AS546="","",MID(IF($BA546="기간 밖"," / 기간 밖(신고기간 아님)","")&amp;IF(AND($AW546&lt;&gt;"",COUNTIF($AW$8:$AW$1007,$AW546)&gt;1)," / 승인번호 중복(두 번 붙여넣기?)","")&amp;IF(ABS($AU546-ROUND($AT546*0.1,0))&gt;설정!$B$8,IF($AU546=0," / 세액 0원(영세율·면세 여부 확인)"," / 세액이 공급가액 10%와 다름"),"")&amp;IF($BB546="수정"," / 수정세금계산서(합계에서 자동 가감)",""),4,200))</f>
        <v/>
      </c>
      <c r="BD546" s="2">
        <f>IF($BA546&lt;&gt;"포함","",IF(COUNTIFS($AX$8:$AX546,$AX546,$BA$8:$BA546,"포함")=1,MAX($BD$7:BD545)+1,""))</f>
        <v/>
      </c>
      <c r="BE546" s="2">
        <f>IF($BC546="","",MAX($BE$7:BE545)+1)</f>
        <v/>
      </c>
    </row>
    <row r="547">
      <c r="AR547" s="2">
        <f>IF(OR($A$5="",$B$6="",ROW()&lt;$A$5),"",IF(INDEX($A:$AP,ROW(),$B$6)="","",INDEX($A:$AP,ROW(),$B$6)))</f>
        <v/>
      </c>
      <c r="AS547" s="22">
        <f>IF($AR547="","",IF(ISNUMBER($AR547),IF($AR547&gt;=10000000,IFERROR(DATE(INT($AR547/10000),MOD(INT($AR547/100),100),MOD($AR547,100)),""),INT($AR547)),IFERROR(DATE(--LEFT(LEFT(SUBSTITUTE(SUBSTITUTE(SUBSTITUTE(SUBSTITUTE(TRIM($AR547),"-",""),".",""),"/","")," ",""),8),4),--MID(LEFT(SUBSTITUTE(SUBSTITUTE(SUBSTITUTE(SUBSTITUTE(TRIM($AR547),"-",""),".",""),"/","")," ",""),8),5,2),--MID(LEFT(SUBSTITUTE(SUBSTITUTE(SUBSTITUTE(SUBSTITUTE(TRIM($AR547),"-",""),".",""),"/","")," ",""),8),7,2)),"")))</f>
        <v/>
      </c>
      <c r="AT547" s="23">
        <f>IF($AS547="","",IF($F$6="",0,IF(ISNUMBER(INDEX($A:$AP,ROW(),$F$6)),INDEX($A:$AP,ROW(),$F$6),IFERROR(--SUBSTITUTE(SUBSTITUTE(TRIM(INDEX($A:$AP,ROW(),$F$6)),",",""),"원",""),0))))</f>
        <v/>
      </c>
      <c r="AU547" s="23">
        <f>IF($AS547="","",IF($G$6="",0,IF(ISNUMBER(INDEX($A:$AP,ROW(),$G$6)),INDEX($A:$AP,ROW(),$G$6),IFERROR(--SUBSTITUTE(SUBSTITUTE(TRIM(INDEX($A:$AP,ROW(),$G$6)),",",""),"원",""),0))))</f>
        <v/>
      </c>
      <c r="AV547" s="23">
        <f>IF($AS547="","",IF($H$6="",$AT547+$AU547,IF($H$6="",0,IF(ISNUMBER(INDEX($A:$AP,ROW(),$H$6)),INDEX($A:$AP,ROW(),$H$6),IFERROR(--SUBSTITUTE(SUBSTITUTE(TRIM(INDEX($A:$AP,ROW(),$H$6)),",",""),"원",""),0)))))</f>
        <v/>
      </c>
      <c r="AW547" s="2">
        <f>IF(OR($AS547="",$C$6=""),"",TRIM(INDEX($A:$AP,ROW(),$C$6)&amp;""))</f>
        <v/>
      </c>
      <c r="AX547" s="2">
        <f>IF($AS547="","",IF($AZ547&lt;&gt;"",SUBSTITUTE(SUBSTITUTE($AZ547,"-","")," ",""),$AY547))</f>
        <v/>
      </c>
      <c r="AY547" s="2">
        <f>IF(OR($AS547="",$E$6=""),"",TRIM(INDEX($A:$AP,ROW(),$E$6)&amp;""))</f>
        <v/>
      </c>
      <c r="AZ547" s="2">
        <f>IF(OR($AS547="",$D$6=""),"",TRIM(INDEX($A:$AP,ROW(),$D$6)&amp;""))</f>
        <v/>
      </c>
      <c r="BA547" s="2">
        <f>IF($AS547="","",IF(AND($AS547&gt;=설정!$B$10,$AS547&lt;=설정!$B$11),"포함","기간 밖"))</f>
        <v/>
      </c>
      <c r="BB547" s="2">
        <f>IF($AS547="","",IF(OR($AT547&lt;0,AND($I$6&lt;&gt;"",ISNUMBER(FIND("수정",INDEX($A:$AP,ROW(),IF($I$6="",1,$I$6))&amp;"")))),"수정","일반"))</f>
        <v/>
      </c>
      <c r="BC547" s="2">
        <f>IF($AS547="","",MID(IF($BA547="기간 밖"," / 기간 밖(신고기간 아님)","")&amp;IF(AND($AW547&lt;&gt;"",COUNTIF($AW$8:$AW$1007,$AW547)&gt;1)," / 승인번호 중복(두 번 붙여넣기?)","")&amp;IF(ABS($AU547-ROUND($AT547*0.1,0))&gt;설정!$B$8,IF($AU547=0," / 세액 0원(영세율·면세 여부 확인)"," / 세액이 공급가액 10%와 다름"),"")&amp;IF($BB547="수정"," / 수정세금계산서(합계에서 자동 가감)",""),4,200))</f>
        <v/>
      </c>
      <c r="BD547" s="2">
        <f>IF($BA547&lt;&gt;"포함","",IF(COUNTIFS($AX$8:$AX547,$AX547,$BA$8:$BA547,"포함")=1,MAX($BD$7:BD546)+1,""))</f>
        <v/>
      </c>
      <c r="BE547" s="2">
        <f>IF($BC547="","",MAX($BE$7:BE546)+1)</f>
        <v/>
      </c>
    </row>
    <row r="548">
      <c r="AR548" s="2">
        <f>IF(OR($A$5="",$B$6="",ROW()&lt;$A$5),"",IF(INDEX($A:$AP,ROW(),$B$6)="","",INDEX($A:$AP,ROW(),$B$6)))</f>
        <v/>
      </c>
      <c r="AS548" s="22">
        <f>IF($AR548="","",IF(ISNUMBER($AR548),IF($AR548&gt;=10000000,IFERROR(DATE(INT($AR548/10000),MOD(INT($AR548/100),100),MOD($AR548,100)),""),INT($AR548)),IFERROR(DATE(--LEFT(LEFT(SUBSTITUTE(SUBSTITUTE(SUBSTITUTE(SUBSTITUTE(TRIM($AR548),"-",""),".",""),"/","")," ",""),8),4),--MID(LEFT(SUBSTITUTE(SUBSTITUTE(SUBSTITUTE(SUBSTITUTE(TRIM($AR548),"-",""),".",""),"/","")," ",""),8),5,2),--MID(LEFT(SUBSTITUTE(SUBSTITUTE(SUBSTITUTE(SUBSTITUTE(TRIM($AR548),"-",""),".",""),"/","")," ",""),8),7,2)),"")))</f>
        <v/>
      </c>
      <c r="AT548" s="23">
        <f>IF($AS548="","",IF($F$6="",0,IF(ISNUMBER(INDEX($A:$AP,ROW(),$F$6)),INDEX($A:$AP,ROW(),$F$6),IFERROR(--SUBSTITUTE(SUBSTITUTE(TRIM(INDEX($A:$AP,ROW(),$F$6)),",",""),"원",""),0))))</f>
        <v/>
      </c>
      <c r="AU548" s="23">
        <f>IF($AS548="","",IF($G$6="",0,IF(ISNUMBER(INDEX($A:$AP,ROW(),$G$6)),INDEX($A:$AP,ROW(),$G$6),IFERROR(--SUBSTITUTE(SUBSTITUTE(TRIM(INDEX($A:$AP,ROW(),$G$6)),",",""),"원",""),0))))</f>
        <v/>
      </c>
      <c r="AV548" s="23">
        <f>IF($AS548="","",IF($H$6="",$AT548+$AU548,IF($H$6="",0,IF(ISNUMBER(INDEX($A:$AP,ROW(),$H$6)),INDEX($A:$AP,ROW(),$H$6),IFERROR(--SUBSTITUTE(SUBSTITUTE(TRIM(INDEX($A:$AP,ROW(),$H$6)),",",""),"원",""),0)))))</f>
        <v/>
      </c>
      <c r="AW548" s="2">
        <f>IF(OR($AS548="",$C$6=""),"",TRIM(INDEX($A:$AP,ROW(),$C$6)&amp;""))</f>
        <v/>
      </c>
      <c r="AX548" s="2">
        <f>IF($AS548="","",IF($AZ548&lt;&gt;"",SUBSTITUTE(SUBSTITUTE($AZ548,"-","")," ",""),$AY548))</f>
        <v/>
      </c>
      <c r="AY548" s="2">
        <f>IF(OR($AS548="",$E$6=""),"",TRIM(INDEX($A:$AP,ROW(),$E$6)&amp;""))</f>
        <v/>
      </c>
      <c r="AZ548" s="2">
        <f>IF(OR($AS548="",$D$6=""),"",TRIM(INDEX($A:$AP,ROW(),$D$6)&amp;""))</f>
        <v/>
      </c>
      <c r="BA548" s="2">
        <f>IF($AS548="","",IF(AND($AS548&gt;=설정!$B$10,$AS548&lt;=설정!$B$11),"포함","기간 밖"))</f>
        <v/>
      </c>
      <c r="BB548" s="2">
        <f>IF($AS548="","",IF(OR($AT548&lt;0,AND($I$6&lt;&gt;"",ISNUMBER(FIND("수정",INDEX($A:$AP,ROW(),IF($I$6="",1,$I$6))&amp;"")))),"수정","일반"))</f>
        <v/>
      </c>
      <c r="BC548" s="2">
        <f>IF($AS548="","",MID(IF($BA548="기간 밖"," / 기간 밖(신고기간 아님)","")&amp;IF(AND($AW548&lt;&gt;"",COUNTIF($AW$8:$AW$1007,$AW548)&gt;1)," / 승인번호 중복(두 번 붙여넣기?)","")&amp;IF(ABS($AU548-ROUND($AT548*0.1,0))&gt;설정!$B$8,IF($AU548=0," / 세액 0원(영세율·면세 여부 확인)"," / 세액이 공급가액 10%와 다름"),"")&amp;IF($BB548="수정"," / 수정세금계산서(합계에서 자동 가감)",""),4,200))</f>
        <v/>
      </c>
      <c r="BD548" s="2">
        <f>IF($BA548&lt;&gt;"포함","",IF(COUNTIFS($AX$8:$AX548,$AX548,$BA$8:$BA548,"포함")=1,MAX($BD$7:BD547)+1,""))</f>
        <v/>
      </c>
      <c r="BE548" s="2">
        <f>IF($BC548="","",MAX($BE$7:BE547)+1)</f>
        <v/>
      </c>
    </row>
    <row r="549">
      <c r="AR549" s="2">
        <f>IF(OR($A$5="",$B$6="",ROW()&lt;$A$5),"",IF(INDEX($A:$AP,ROW(),$B$6)="","",INDEX($A:$AP,ROW(),$B$6)))</f>
        <v/>
      </c>
      <c r="AS549" s="22">
        <f>IF($AR549="","",IF(ISNUMBER($AR549),IF($AR549&gt;=10000000,IFERROR(DATE(INT($AR549/10000),MOD(INT($AR549/100),100),MOD($AR549,100)),""),INT($AR549)),IFERROR(DATE(--LEFT(LEFT(SUBSTITUTE(SUBSTITUTE(SUBSTITUTE(SUBSTITUTE(TRIM($AR549),"-",""),".",""),"/","")," ",""),8),4),--MID(LEFT(SUBSTITUTE(SUBSTITUTE(SUBSTITUTE(SUBSTITUTE(TRIM($AR549),"-",""),".",""),"/","")," ",""),8),5,2),--MID(LEFT(SUBSTITUTE(SUBSTITUTE(SUBSTITUTE(SUBSTITUTE(TRIM($AR549),"-",""),".",""),"/","")," ",""),8),7,2)),"")))</f>
        <v/>
      </c>
      <c r="AT549" s="23">
        <f>IF($AS549="","",IF($F$6="",0,IF(ISNUMBER(INDEX($A:$AP,ROW(),$F$6)),INDEX($A:$AP,ROW(),$F$6),IFERROR(--SUBSTITUTE(SUBSTITUTE(TRIM(INDEX($A:$AP,ROW(),$F$6)),",",""),"원",""),0))))</f>
        <v/>
      </c>
      <c r="AU549" s="23">
        <f>IF($AS549="","",IF($G$6="",0,IF(ISNUMBER(INDEX($A:$AP,ROW(),$G$6)),INDEX($A:$AP,ROW(),$G$6),IFERROR(--SUBSTITUTE(SUBSTITUTE(TRIM(INDEX($A:$AP,ROW(),$G$6)),",",""),"원",""),0))))</f>
        <v/>
      </c>
      <c r="AV549" s="23">
        <f>IF($AS549="","",IF($H$6="",$AT549+$AU549,IF($H$6="",0,IF(ISNUMBER(INDEX($A:$AP,ROW(),$H$6)),INDEX($A:$AP,ROW(),$H$6),IFERROR(--SUBSTITUTE(SUBSTITUTE(TRIM(INDEX($A:$AP,ROW(),$H$6)),",",""),"원",""),0)))))</f>
        <v/>
      </c>
      <c r="AW549" s="2">
        <f>IF(OR($AS549="",$C$6=""),"",TRIM(INDEX($A:$AP,ROW(),$C$6)&amp;""))</f>
        <v/>
      </c>
      <c r="AX549" s="2">
        <f>IF($AS549="","",IF($AZ549&lt;&gt;"",SUBSTITUTE(SUBSTITUTE($AZ549,"-","")," ",""),$AY549))</f>
        <v/>
      </c>
      <c r="AY549" s="2">
        <f>IF(OR($AS549="",$E$6=""),"",TRIM(INDEX($A:$AP,ROW(),$E$6)&amp;""))</f>
        <v/>
      </c>
      <c r="AZ549" s="2">
        <f>IF(OR($AS549="",$D$6=""),"",TRIM(INDEX($A:$AP,ROW(),$D$6)&amp;""))</f>
        <v/>
      </c>
      <c r="BA549" s="2">
        <f>IF($AS549="","",IF(AND($AS549&gt;=설정!$B$10,$AS549&lt;=설정!$B$11),"포함","기간 밖"))</f>
        <v/>
      </c>
      <c r="BB549" s="2">
        <f>IF($AS549="","",IF(OR($AT549&lt;0,AND($I$6&lt;&gt;"",ISNUMBER(FIND("수정",INDEX($A:$AP,ROW(),IF($I$6="",1,$I$6))&amp;"")))),"수정","일반"))</f>
        <v/>
      </c>
      <c r="BC549" s="2">
        <f>IF($AS549="","",MID(IF($BA549="기간 밖"," / 기간 밖(신고기간 아님)","")&amp;IF(AND($AW549&lt;&gt;"",COUNTIF($AW$8:$AW$1007,$AW549)&gt;1)," / 승인번호 중복(두 번 붙여넣기?)","")&amp;IF(ABS($AU549-ROUND($AT549*0.1,0))&gt;설정!$B$8,IF($AU549=0," / 세액 0원(영세율·면세 여부 확인)"," / 세액이 공급가액 10%와 다름"),"")&amp;IF($BB549="수정"," / 수정세금계산서(합계에서 자동 가감)",""),4,200))</f>
        <v/>
      </c>
      <c r="BD549" s="2">
        <f>IF($BA549&lt;&gt;"포함","",IF(COUNTIFS($AX$8:$AX549,$AX549,$BA$8:$BA549,"포함")=1,MAX($BD$7:BD548)+1,""))</f>
        <v/>
      </c>
      <c r="BE549" s="2">
        <f>IF($BC549="","",MAX($BE$7:BE548)+1)</f>
        <v/>
      </c>
    </row>
    <row r="550">
      <c r="AR550" s="2">
        <f>IF(OR($A$5="",$B$6="",ROW()&lt;$A$5),"",IF(INDEX($A:$AP,ROW(),$B$6)="","",INDEX($A:$AP,ROW(),$B$6)))</f>
        <v/>
      </c>
      <c r="AS550" s="22">
        <f>IF($AR550="","",IF(ISNUMBER($AR550),IF($AR550&gt;=10000000,IFERROR(DATE(INT($AR550/10000),MOD(INT($AR550/100),100),MOD($AR550,100)),""),INT($AR550)),IFERROR(DATE(--LEFT(LEFT(SUBSTITUTE(SUBSTITUTE(SUBSTITUTE(SUBSTITUTE(TRIM($AR550),"-",""),".",""),"/","")," ",""),8),4),--MID(LEFT(SUBSTITUTE(SUBSTITUTE(SUBSTITUTE(SUBSTITUTE(TRIM($AR550),"-",""),".",""),"/","")," ",""),8),5,2),--MID(LEFT(SUBSTITUTE(SUBSTITUTE(SUBSTITUTE(SUBSTITUTE(TRIM($AR550),"-",""),".",""),"/","")," ",""),8),7,2)),"")))</f>
        <v/>
      </c>
      <c r="AT550" s="23">
        <f>IF($AS550="","",IF($F$6="",0,IF(ISNUMBER(INDEX($A:$AP,ROW(),$F$6)),INDEX($A:$AP,ROW(),$F$6),IFERROR(--SUBSTITUTE(SUBSTITUTE(TRIM(INDEX($A:$AP,ROW(),$F$6)),",",""),"원",""),0))))</f>
        <v/>
      </c>
      <c r="AU550" s="23">
        <f>IF($AS550="","",IF($G$6="",0,IF(ISNUMBER(INDEX($A:$AP,ROW(),$G$6)),INDEX($A:$AP,ROW(),$G$6),IFERROR(--SUBSTITUTE(SUBSTITUTE(TRIM(INDEX($A:$AP,ROW(),$G$6)),",",""),"원",""),0))))</f>
        <v/>
      </c>
      <c r="AV550" s="23">
        <f>IF($AS550="","",IF($H$6="",$AT550+$AU550,IF($H$6="",0,IF(ISNUMBER(INDEX($A:$AP,ROW(),$H$6)),INDEX($A:$AP,ROW(),$H$6),IFERROR(--SUBSTITUTE(SUBSTITUTE(TRIM(INDEX($A:$AP,ROW(),$H$6)),",",""),"원",""),0)))))</f>
        <v/>
      </c>
      <c r="AW550" s="2">
        <f>IF(OR($AS550="",$C$6=""),"",TRIM(INDEX($A:$AP,ROW(),$C$6)&amp;""))</f>
        <v/>
      </c>
      <c r="AX550" s="2">
        <f>IF($AS550="","",IF($AZ550&lt;&gt;"",SUBSTITUTE(SUBSTITUTE($AZ550,"-","")," ",""),$AY550))</f>
        <v/>
      </c>
      <c r="AY550" s="2">
        <f>IF(OR($AS550="",$E$6=""),"",TRIM(INDEX($A:$AP,ROW(),$E$6)&amp;""))</f>
        <v/>
      </c>
      <c r="AZ550" s="2">
        <f>IF(OR($AS550="",$D$6=""),"",TRIM(INDEX($A:$AP,ROW(),$D$6)&amp;""))</f>
        <v/>
      </c>
      <c r="BA550" s="2">
        <f>IF($AS550="","",IF(AND($AS550&gt;=설정!$B$10,$AS550&lt;=설정!$B$11),"포함","기간 밖"))</f>
        <v/>
      </c>
      <c r="BB550" s="2">
        <f>IF($AS550="","",IF(OR($AT550&lt;0,AND($I$6&lt;&gt;"",ISNUMBER(FIND("수정",INDEX($A:$AP,ROW(),IF($I$6="",1,$I$6))&amp;"")))),"수정","일반"))</f>
        <v/>
      </c>
      <c r="BC550" s="2">
        <f>IF($AS550="","",MID(IF($BA550="기간 밖"," / 기간 밖(신고기간 아님)","")&amp;IF(AND($AW550&lt;&gt;"",COUNTIF($AW$8:$AW$1007,$AW550)&gt;1)," / 승인번호 중복(두 번 붙여넣기?)","")&amp;IF(ABS($AU550-ROUND($AT550*0.1,0))&gt;설정!$B$8,IF($AU550=0," / 세액 0원(영세율·면세 여부 확인)"," / 세액이 공급가액 10%와 다름"),"")&amp;IF($BB550="수정"," / 수정세금계산서(합계에서 자동 가감)",""),4,200))</f>
        <v/>
      </c>
      <c r="BD550" s="2">
        <f>IF($BA550&lt;&gt;"포함","",IF(COUNTIFS($AX$8:$AX550,$AX550,$BA$8:$BA550,"포함")=1,MAX($BD$7:BD549)+1,""))</f>
        <v/>
      </c>
      <c r="BE550" s="2">
        <f>IF($BC550="","",MAX($BE$7:BE549)+1)</f>
        <v/>
      </c>
    </row>
    <row r="551">
      <c r="AR551" s="2">
        <f>IF(OR($A$5="",$B$6="",ROW()&lt;$A$5),"",IF(INDEX($A:$AP,ROW(),$B$6)="","",INDEX($A:$AP,ROW(),$B$6)))</f>
        <v/>
      </c>
      <c r="AS551" s="22">
        <f>IF($AR551="","",IF(ISNUMBER($AR551),IF($AR551&gt;=10000000,IFERROR(DATE(INT($AR551/10000),MOD(INT($AR551/100),100),MOD($AR551,100)),""),INT($AR551)),IFERROR(DATE(--LEFT(LEFT(SUBSTITUTE(SUBSTITUTE(SUBSTITUTE(SUBSTITUTE(TRIM($AR551),"-",""),".",""),"/","")," ",""),8),4),--MID(LEFT(SUBSTITUTE(SUBSTITUTE(SUBSTITUTE(SUBSTITUTE(TRIM($AR551),"-",""),".",""),"/","")," ",""),8),5,2),--MID(LEFT(SUBSTITUTE(SUBSTITUTE(SUBSTITUTE(SUBSTITUTE(TRIM($AR551),"-",""),".",""),"/","")," ",""),8),7,2)),"")))</f>
        <v/>
      </c>
      <c r="AT551" s="23">
        <f>IF($AS551="","",IF($F$6="",0,IF(ISNUMBER(INDEX($A:$AP,ROW(),$F$6)),INDEX($A:$AP,ROW(),$F$6),IFERROR(--SUBSTITUTE(SUBSTITUTE(TRIM(INDEX($A:$AP,ROW(),$F$6)),",",""),"원",""),0))))</f>
        <v/>
      </c>
      <c r="AU551" s="23">
        <f>IF($AS551="","",IF($G$6="",0,IF(ISNUMBER(INDEX($A:$AP,ROW(),$G$6)),INDEX($A:$AP,ROW(),$G$6),IFERROR(--SUBSTITUTE(SUBSTITUTE(TRIM(INDEX($A:$AP,ROW(),$G$6)),",",""),"원",""),0))))</f>
        <v/>
      </c>
      <c r="AV551" s="23">
        <f>IF($AS551="","",IF($H$6="",$AT551+$AU551,IF($H$6="",0,IF(ISNUMBER(INDEX($A:$AP,ROW(),$H$6)),INDEX($A:$AP,ROW(),$H$6),IFERROR(--SUBSTITUTE(SUBSTITUTE(TRIM(INDEX($A:$AP,ROW(),$H$6)),",",""),"원",""),0)))))</f>
        <v/>
      </c>
      <c r="AW551" s="2">
        <f>IF(OR($AS551="",$C$6=""),"",TRIM(INDEX($A:$AP,ROW(),$C$6)&amp;""))</f>
        <v/>
      </c>
      <c r="AX551" s="2">
        <f>IF($AS551="","",IF($AZ551&lt;&gt;"",SUBSTITUTE(SUBSTITUTE($AZ551,"-","")," ",""),$AY551))</f>
        <v/>
      </c>
      <c r="AY551" s="2">
        <f>IF(OR($AS551="",$E$6=""),"",TRIM(INDEX($A:$AP,ROW(),$E$6)&amp;""))</f>
        <v/>
      </c>
      <c r="AZ551" s="2">
        <f>IF(OR($AS551="",$D$6=""),"",TRIM(INDEX($A:$AP,ROW(),$D$6)&amp;""))</f>
        <v/>
      </c>
      <c r="BA551" s="2">
        <f>IF($AS551="","",IF(AND($AS551&gt;=설정!$B$10,$AS551&lt;=설정!$B$11),"포함","기간 밖"))</f>
        <v/>
      </c>
      <c r="BB551" s="2">
        <f>IF($AS551="","",IF(OR($AT551&lt;0,AND($I$6&lt;&gt;"",ISNUMBER(FIND("수정",INDEX($A:$AP,ROW(),IF($I$6="",1,$I$6))&amp;"")))),"수정","일반"))</f>
        <v/>
      </c>
      <c r="BC551" s="2">
        <f>IF($AS551="","",MID(IF($BA551="기간 밖"," / 기간 밖(신고기간 아님)","")&amp;IF(AND($AW551&lt;&gt;"",COUNTIF($AW$8:$AW$1007,$AW551)&gt;1)," / 승인번호 중복(두 번 붙여넣기?)","")&amp;IF(ABS($AU551-ROUND($AT551*0.1,0))&gt;설정!$B$8,IF($AU551=0," / 세액 0원(영세율·면세 여부 확인)"," / 세액이 공급가액 10%와 다름"),"")&amp;IF($BB551="수정"," / 수정세금계산서(합계에서 자동 가감)",""),4,200))</f>
        <v/>
      </c>
      <c r="BD551" s="2">
        <f>IF($BA551&lt;&gt;"포함","",IF(COUNTIFS($AX$8:$AX551,$AX551,$BA$8:$BA551,"포함")=1,MAX($BD$7:BD550)+1,""))</f>
        <v/>
      </c>
      <c r="BE551" s="2">
        <f>IF($BC551="","",MAX($BE$7:BE550)+1)</f>
        <v/>
      </c>
    </row>
    <row r="552">
      <c r="AR552" s="2">
        <f>IF(OR($A$5="",$B$6="",ROW()&lt;$A$5),"",IF(INDEX($A:$AP,ROW(),$B$6)="","",INDEX($A:$AP,ROW(),$B$6)))</f>
        <v/>
      </c>
      <c r="AS552" s="22">
        <f>IF($AR552="","",IF(ISNUMBER($AR552),IF($AR552&gt;=10000000,IFERROR(DATE(INT($AR552/10000),MOD(INT($AR552/100),100),MOD($AR552,100)),""),INT($AR552)),IFERROR(DATE(--LEFT(LEFT(SUBSTITUTE(SUBSTITUTE(SUBSTITUTE(SUBSTITUTE(TRIM($AR552),"-",""),".",""),"/","")," ",""),8),4),--MID(LEFT(SUBSTITUTE(SUBSTITUTE(SUBSTITUTE(SUBSTITUTE(TRIM($AR552),"-",""),".",""),"/","")," ",""),8),5,2),--MID(LEFT(SUBSTITUTE(SUBSTITUTE(SUBSTITUTE(SUBSTITUTE(TRIM($AR552),"-",""),".",""),"/","")," ",""),8),7,2)),"")))</f>
        <v/>
      </c>
      <c r="AT552" s="23">
        <f>IF($AS552="","",IF($F$6="",0,IF(ISNUMBER(INDEX($A:$AP,ROW(),$F$6)),INDEX($A:$AP,ROW(),$F$6),IFERROR(--SUBSTITUTE(SUBSTITUTE(TRIM(INDEX($A:$AP,ROW(),$F$6)),",",""),"원",""),0))))</f>
        <v/>
      </c>
      <c r="AU552" s="23">
        <f>IF($AS552="","",IF($G$6="",0,IF(ISNUMBER(INDEX($A:$AP,ROW(),$G$6)),INDEX($A:$AP,ROW(),$G$6),IFERROR(--SUBSTITUTE(SUBSTITUTE(TRIM(INDEX($A:$AP,ROW(),$G$6)),",",""),"원",""),0))))</f>
        <v/>
      </c>
      <c r="AV552" s="23">
        <f>IF($AS552="","",IF($H$6="",$AT552+$AU552,IF($H$6="",0,IF(ISNUMBER(INDEX($A:$AP,ROW(),$H$6)),INDEX($A:$AP,ROW(),$H$6),IFERROR(--SUBSTITUTE(SUBSTITUTE(TRIM(INDEX($A:$AP,ROW(),$H$6)),",",""),"원",""),0)))))</f>
        <v/>
      </c>
      <c r="AW552" s="2">
        <f>IF(OR($AS552="",$C$6=""),"",TRIM(INDEX($A:$AP,ROW(),$C$6)&amp;""))</f>
        <v/>
      </c>
      <c r="AX552" s="2">
        <f>IF($AS552="","",IF($AZ552&lt;&gt;"",SUBSTITUTE(SUBSTITUTE($AZ552,"-","")," ",""),$AY552))</f>
        <v/>
      </c>
      <c r="AY552" s="2">
        <f>IF(OR($AS552="",$E$6=""),"",TRIM(INDEX($A:$AP,ROW(),$E$6)&amp;""))</f>
        <v/>
      </c>
      <c r="AZ552" s="2">
        <f>IF(OR($AS552="",$D$6=""),"",TRIM(INDEX($A:$AP,ROW(),$D$6)&amp;""))</f>
        <v/>
      </c>
      <c r="BA552" s="2">
        <f>IF($AS552="","",IF(AND($AS552&gt;=설정!$B$10,$AS552&lt;=설정!$B$11),"포함","기간 밖"))</f>
        <v/>
      </c>
      <c r="BB552" s="2">
        <f>IF($AS552="","",IF(OR($AT552&lt;0,AND($I$6&lt;&gt;"",ISNUMBER(FIND("수정",INDEX($A:$AP,ROW(),IF($I$6="",1,$I$6))&amp;"")))),"수정","일반"))</f>
        <v/>
      </c>
      <c r="BC552" s="2">
        <f>IF($AS552="","",MID(IF($BA552="기간 밖"," / 기간 밖(신고기간 아님)","")&amp;IF(AND($AW552&lt;&gt;"",COUNTIF($AW$8:$AW$1007,$AW552)&gt;1)," / 승인번호 중복(두 번 붙여넣기?)","")&amp;IF(ABS($AU552-ROUND($AT552*0.1,0))&gt;설정!$B$8,IF($AU552=0," / 세액 0원(영세율·면세 여부 확인)"," / 세액이 공급가액 10%와 다름"),"")&amp;IF($BB552="수정"," / 수정세금계산서(합계에서 자동 가감)",""),4,200))</f>
        <v/>
      </c>
      <c r="BD552" s="2">
        <f>IF($BA552&lt;&gt;"포함","",IF(COUNTIFS($AX$8:$AX552,$AX552,$BA$8:$BA552,"포함")=1,MAX($BD$7:BD551)+1,""))</f>
        <v/>
      </c>
      <c r="BE552" s="2">
        <f>IF($BC552="","",MAX($BE$7:BE551)+1)</f>
        <v/>
      </c>
    </row>
    <row r="553">
      <c r="AR553" s="2">
        <f>IF(OR($A$5="",$B$6="",ROW()&lt;$A$5),"",IF(INDEX($A:$AP,ROW(),$B$6)="","",INDEX($A:$AP,ROW(),$B$6)))</f>
        <v/>
      </c>
      <c r="AS553" s="22">
        <f>IF($AR553="","",IF(ISNUMBER($AR553),IF($AR553&gt;=10000000,IFERROR(DATE(INT($AR553/10000),MOD(INT($AR553/100),100),MOD($AR553,100)),""),INT($AR553)),IFERROR(DATE(--LEFT(LEFT(SUBSTITUTE(SUBSTITUTE(SUBSTITUTE(SUBSTITUTE(TRIM($AR553),"-",""),".",""),"/","")," ",""),8),4),--MID(LEFT(SUBSTITUTE(SUBSTITUTE(SUBSTITUTE(SUBSTITUTE(TRIM($AR553),"-",""),".",""),"/","")," ",""),8),5,2),--MID(LEFT(SUBSTITUTE(SUBSTITUTE(SUBSTITUTE(SUBSTITUTE(TRIM($AR553),"-",""),".",""),"/","")," ",""),8),7,2)),"")))</f>
        <v/>
      </c>
      <c r="AT553" s="23">
        <f>IF($AS553="","",IF($F$6="",0,IF(ISNUMBER(INDEX($A:$AP,ROW(),$F$6)),INDEX($A:$AP,ROW(),$F$6),IFERROR(--SUBSTITUTE(SUBSTITUTE(TRIM(INDEX($A:$AP,ROW(),$F$6)),",",""),"원",""),0))))</f>
        <v/>
      </c>
      <c r="AU553" s="23">
        <f>IF($AS553="","",IF($G$6="",0,IF(ISNUMBER(INDEX($A:$AP,ROW(),$G$6)),INDEX($A:$AP,ROW(),$G$6),IFERROR(--SUBSTITUTE(SUBSTITUTE(TRIM(INDEX($A:$AP,ROW(),$G$6)),",",""),"원",""),0))))</f>
        <v/>
      </c>
      <c r="AV553" s="23">
        <f>IF($AS553="","",IF($H$6="",$AT553+$AU553,IF($H$6="",0,IF(ISNUMBER(INDEX($A:$AP,ROW(),$H$6)),INDEX($A:$AP,ROW(),$H$6),IFERROR(--SUBSTITUTE(SUBSTITUTE(TRIM(INDEX($A:$AP,ROW(),$H$6)),",",""),"원",""),0)))))</f>
        <v/>
      </c>
      <c r="AW553" s="2">
        <f>IF(OR($AS553="",$C$6=""),"",TRIM(INDEX($A:$AP,ROW(),$C$6)&amp;""))</f>
        <v/>
      </c>
      <c r="AX553" s="2">
        <f>IF($AS553="","",IF($AZ553&lt;&gt;"",SUBSTITUTE(SUBSTITUTE($AZ553,"-","")," ",""),$AY553))</f>
        <v/>
      </c>
      <c r="AY553" s="2">
        <f>IF(OR($AS553="",$E$6=""),"",TRIM(INDEX($A:$AP,ROW(),$E$6)&amp;""))</f>
        <v/>
      </c>
      <c r="AZ553" s="2">
        <f>IF(OR($AS553="",$D$6=""),"",TRIM(INDEX($A:$AP,ROW(),$D$6)&amp;""))</f>
        <v/>
      </c>
      <c r="BA553" s="2">
        <f>IF($AS553="","",IF(AND($AS553&gt;=설정!$B$10,$AS553&lt;=설정!$B$11),"포함","기간 밖"))</f>
        <v/>
      </c>
      <c r="BB553" s="2">
        <f>IF($AS553="","",IF(OR($AT553&lt;0,AND($I$6&lt;&gt;"",ISNUMBER(FIND("수정",INDEX($A:$AP,ROW(),IF($I$6="",1,$I$6))&amp;"")))),"수정","일반"))</f>
        <v/>
      </c>
      <c r="BC553" s="2">
        <f>IF($AS553="","",MID(IF($BA553="기간 밖"," / 기간 밖(신고기간 아님)","")&amp;IF(AND($AW553&lt;&gt;"",COUNTIF($AW$8:$AW$1007,$AW553)&gt;1)," / 승인번호 중복(두 번 붙여넣기?)","")&amp;IF(ABS($AU553-ROUND($AT553*0.1,0))&gt;설정!$B$8,IF($AU553=0," / 세액 0원(영세율·면세 여부 확인)"," / 세액이 공급가액 10%와 다름"),"")&amp;IF($BB553="수정"," / 수정세금계산서(합계에서 자동 가감)",""),4,200))</f>
        <v/>
      </c>
      <c r="BD553" s="2">
        <f>IF($BA553&lt;&gt;"포함","",IF(COUNTIFS($AX$8:$AX553,$AX553,$BA$8:$BA553,"포함")=1,MAX($BD$7:BD552)+1,""))</f>
        <v/>
      </c>
      <c r="BE553" s="2">
        <f>IF($BC553="","",MAX($BE$7:BE552)+1)</f>
        <v/>
      </c>
    </row>
    <row r="554">
      <c r="AR554" s="2">
        <f>IF(OR($A$5="",$B$6="",ROW()&lt;$A$5),"",IF(INDEX($A:$AP,ROW(),$B$6)="","",INDEX($A:$AP,ROW(),$B$6)))</f>
        <v/>
      </c>
      <c r="AS554" s="22">
        <f>IF($AR554="","",IF(ISNUMBER($AR554),IF($AR554&gt;=10000000,IFERROR(DATE(INT($AR554/10000),MOD(INT($AR554/100),100),MOD($AR554,100)),""),INT($AR554)),IFERROR(DATE(--LEFT(LEFT(SUBSTITUTE(SUBSTITUTE(SUBSTITUTE(SUBSTITUTE(TRIM($AR554),"-",""),".",""),"/","")," ",""),8),4),--MID(LEFT(SUBSTITUTE(SUBSTITUTE(SUBSTITUTE(SUBSTITUTE(TRIM($AR554),"-",""),".",""),"/","")," ",""),8),5,2),--MID(LEFT(SUBSTITUTE(SUBSTITUTE(SUBSTITUTE(SUBSTITUTE(TRIM($AR554),"-",""),".",""),"/","")," ",""),8),7,2)),"")))</f>
        <v/>
      </c>
      <c r="AT554" s="23">
        <f>IF($AS554="","",IF($F$6="",0,IF(ISNUMBER(INDEX($A:$AP,ROW(),$F$6)),INDEX($A:$AP,ROW(),$F$6),IFERROR(--SUBSTITUTE(SUBSTITUTE(TRIM(INDEX($A:$AP,ROW(),$F$6)),",",""),"원",""),0))))</f>
        <v/>
      </c>
      <c r="AU554" s="23">
        <f>IF($AS554="","",IF($G$6="",0,IF(ISNUMBER(INDEX($A:$AP,ROW(),$G$6)),INDEX($A:$AP,ROW(),$G$6),IFERROR(--SUBSTITUTE(SUBSTITUTE(TRIM(INDEX($A:$AP,ROW(),$G$6)),",",""),"원",""),0))))</f>
        <v/>
      </c>
      <c r="AV554" s="23">
        <f>IF($AS554="","",IF($H$6="",$AT554+$AU554,IF($H$6="",0,IF(ISNUMBER(INDEX($A:$AP,ROW(),$H$6)),INDEX($A:$AP,ROW(),$H$6),IFERROR(--SUBSTITUTE(SUBSTITUTE(TRIM(INDEX($A:$AP,ROW(),$H$6)),",",""),"원",""),0)))))</f>
        <v/>
      </c>
      <c r="AW554" s="2">
        <f>IF(OR($AS554="",$C$6=""),"",TRIM(INDEX($A:$AP,ROW(),$C$6)&amp;""))</f>
        <v/>
      </c>
      <c r="AX554" s="2">
        <f>IF($AS554="","",IF($AZ554&lt;&gt;"",SUBSTITUTE(SUBSTITUTE($AZ554,"-","")," ",""),$AY554))</f>
        <v/>
      </c>
      <c r="AY554" s="2">
        <f>IF(OR($AS554="",$E$6=""),"",TRIM(INDEX($A:$AP,ROW(),$E$6)&amp;""))</f>
        <v/>
      </c>
      <c r="AZ554" s="2">
        <f>IF(OR($AS554="",$D$6=""),"",TRIM(INDEX($A:$AP,ROW(),$D$6)&amp;""))</f>
        <v/>
      </c>
      <c r="BA554" s="2">
        <f>IF($AS554="","",IF(AND($AS554&gt;=설정!$B$10,$AS554&lt;=설정!$B$11),"포함","기간 밖"))</f>
        <v/>
      </c>
      <c r="BB554" s="2">
        <f>IF($AS554="","",IF(OR($AT554&lt;0,AND($I$6&lt;&gt;"",ISNUMBER(FIND("수정",INDEX($A:$AP,ROW(),IF($I$6="",1,$I$6))&amp;"")))),"수정","일반"))</f>
        <v/>
      </c>
      <c r="BC554" s="2">
        <f>IF($AS554="","",MID(IF($BA554="기간 밖"," / 기간 밖(신고기간 아님)","")&amp;IF(AND($AW554&lt;&gt;"",COUNTIF($AW$8:$AW$1007,$AW554)&gt;1)," / 승인번호 중복(두 번 붙여넣기?)","")&amp;IF(ABS($AU554-ROUND($AT554*0.1,0))&gt;설정!$B$8,IF($AU554=0," / 세액 0원(영세율·면세 여부 확인)"," / 세액이 공급가액 10%와 다름"),"")&amp;IF($BB554="수정"," / 수정세금계산서(합계에서 자동 가감)",""),4,200))</f>
        <v/>
      </c>
      <c r="BD554" s="2">
        <f>IF($BA554&lt;&gt;"포함","",IF(COUNTIFS($AX$8:$AX554,$AX554,$BA$8:$BA554,"포함")=1,MAX($BD$7:BD553)+1,""))</f>
        <v/>
      </c>
      <c r="BE554" s="2">
        <f>IF($BC554="","",MAX($BE$7:BE553)+1)</f>
        <v/>
      </c>
    </row>
    <row r="555">
      <c r="AR555" s="2">
        <f>IF(OR($A$5="",$B$6="",ROW()&lt;$A$5),"",IF(INDEX($A:$AP,ROW(),$B$6)="","",INDEX($A:$AP,ROW(),$B$6)))</f>
        <v/>
      </c>
      <c r="AS555" s="22">
        <f>IF($AR555="","",IF(ISNUMBER($AR555),IF($AR555&gt;=10000000,IFERROR(DATE(INT($AR555/10000),MOD(INT($AR555/100),100),MOD($AR555,100)),""),INT($AR555)),IFERROR(DATE(--LEFT(LEFT(SUBSTITUTE(SUBSTITUTE(SUBSTITUTE(SUBSTITUTE(TRIM($AR555),"-",""),".",""),"/","")," ",""),8),4),--MID(LEFT(SUBSTITUTE(SUBSTITUTE(SUBSTITUTE(SUBSTITUTE(TRIM($AR555),"-",""),".",""),"/","")," ",""),8),5,2),--MID(LEFT(SUBSTITUTE(SUBSTITUTE(SUBSTITUTE(SUBSTITUTE(TRIM($AR555),"-",""),".",""),"/","")," ",""),8),7,2)),"")))</f>
        <v/>
      </c>
      <c r="AT555" s="23">
        <f>IF($AS555="","",IF($F$6="",0,IF(ISNUMBER(INDEX($A:$AP,ROW(),$F$6)),INDEX($A:$AP,ROW(),$F$6),IFERROR(--SUBSTITUTE(SUBSTITUTE(TRIM(INDEX($A:$AP,ROW(),$F$6)),",",""),"원",""),0))))</f>
        <v/>
      </c>
      <c r="AU555" s="23">
        <f>IF($AS555="","",IF($G$6="",0,IF(ISNUMBER(INDEX($A:$AP,ROW(),$G$6)),INDEX($A:$AP,ROW(),$G$6),IFERROR(--SUBSTITUTE(SUBSTITUTE(TRIM(INDEX($A:$AP,ROW(),$G$6)),",",""),"원",""),0))))</f>
        <v/>
      </c>
      <c r="AV555" s="23">
        <f>IF($AS555="","",IF($H$6="",$AT555+$AU555,IF($H$6="",0,IF(ISNUMBER(INDEX($A:$AP,ROW(),$H$6)),INDEX($A:$AP,ROW(),$H$6),IFERROR(--SUBSTITUTE(SUBSTITUTE(TRIM(INDEX($A:$AP,ROW(),$H$6)),",",""),"원",""),0)))))</f>
        <v/>
      </c>
      <c r="AW555" s="2">
        <f>IF(OR($AS555="",$C$6=""),"",TRIM(INDEX($A:$AP,ROW(),$C$6)&amp;""))</f>
        <v/>
      </c>
      <c r="AX555" s="2">
        <f>IF($AS555="","",IF($AZ555&lt;&gt;"",SUBSTITUTE(SUBSTITUTE($AZ555,"-","")," ",""),$AY555))</f>
        <v/>
      </c>
      <c r="AY555" s="2">
        <f>IF(OR($AS555="",$E$6=""),"",TRIM(INDEX($A:$AP,ROW(),$E$6)&amp;""))</f>
        <v/>
      </c>
      <c r="AZ555" s="2">
        <f>IF(OR($AS555="",$D$6=""),"",TRIM(INDEX($A:$AP,ROW(),$D$6)&amp;""))</f>
        <v/>
      </c>
      <c r="BA555" s="2">
        <f>IF($AS555="","",IF(AND($AS555&gt;=설정!$B$10,$AS555&lt;=설정!$B$11),"포함","기간 밖"))</f>
        <v/>
      </c>
      <c r="BB555" s="2">
        <f>IF($AS555="","",IF(OR($AT555&lt;0,AND($I$6&lt;&gt;"",ISNUMBER(FIND("수정",INDEX($A:$AP,ROW(),IF($I$6="",1,$I$6))&amp;"")))),"수정","일반"))</f>
        <v/>
      </c>
      <c r="BC555" s="2">
        <f>IF($AS555="","",MID(IF($BA555="기간 밖"," / 기간 밖(신고기간 아님)","")&amp;IF(AND($AW555&lt;&gt;"",COUNTIF($AW$8:$AW$1007,$AW555)&gt;1)," / 승인번호 중복(두 번 붙여넣기?)","")&amp;IF(ABS($AU555-ROUND($AT555*0.1,0))&gt;설정!$B$8,IF($AU555=0," / 세액 0원(영세율·면세 여부 확인)"," / 세액이 공급가액 10%와 다름"),"")&amp;IF($BB555="수정"," / 수정세금계산서(합계에서 자동 가감)",""),4,200))</f>
        <v/>
      </c>
      <c r="BD555" s="2">
        <f>IF($BA555&lt;&gt;"포함","",IF(COUNTIFS($AX$8:$AX555,$AX555,$BA$8:$BA555,"포함")=1,MAX($BD$7:BD554)+1,""))</f>
        <v/>
      </c>
      <c r="BE555" s="2">
        <f>IF($BC555="","",MAX($BE$7:BE554)+1)</f>
        <v/>
      </c>
    </row>
    <row r="556">
      <c r="AR556" s="2">
        <f>IF(OR($A$5="",$B$6="",ROW()&lt;$A$5),"",IF(INDEX($A:$AP,ROW(),$B$6)="","",INDEX($A:$AP,ROW(),$B$6)))</f>
        <v/>
      </c>
      <c r="AS556" s="22">
        <f>IF($AR556="","",IF(ISNUMBER($AR556),IF($AR556&gt;=10000000,IFERROR(DATE(INT($AR556/10000),MOD(INT($AR556/100),100),MOD($AR556,100)),""),INT($AR556)),IFERROR(DATE(--LEFT(LEFT(SUBSTITUTE(SUBSTITUTE(SUBSTITUTE(SUBSTITUTE(TRIM($AR556),"-",""),".",""),"/","")," ",""),8),4),--MID(LEFT(SUBSTITUTE(SUBSTITUTE(SUBSTITUTE(SUBSTITUTE(TRIM($AR556),"-",""),".",""),"/","")," ",""),8),5,2),--MID(LEFT(SUBSTITUTE(SUBSTITUTE(SUBSTITUTE(SUBSTITUTE(TRIM($AR556),"-",""),".",""),"/","")," ",""),8),7,2)),"")))</f>
        <v/>
      </c>
      <c r="AT556" s="23">
        <f>IF($AS556="","",IF($F$6="",0,IF(ISNUMBER(INDEX($A:$AP,ROW(),$F$6)),INDEX($A:$AP,ROW(),$F$6),IFERROR(--SUBSTITUTE(SUBSTITUTE(TRIM(INDEX($A:$AP,ROW(),$F$6)),",",""),"원",""),0))))</f>
        <v/>
      </c>
      <c r="AU556" s="23">
        <f>IF($AS556="","",IF($G$6="",0,IF(ISNUMBER(INDEX($A:$AP,ROW(),$G$6)),INDEX($A:$AP,ROW(),$G$6),IFERROR(--SUBSTITUTE(SUBSTITUTE(TRIM(INDEX($A:$AP,ROW(),$G$6)),",",""),"원",""),0))))</f>
        <v/>
      </c>
      <c r="AV556" s="23">
        <f>IF($AS556="","",IF($H$6="",$AT556+$AU556,IF($H$6="",0,IF(ISNUMBER(INDEX($A:$AP,ROW(),$H$6)),INDEX($A:$AP,ROW(),$H$6),IFERROR(--SUBSTITUTE(SUBSTITUTE(TRIM(INDEX($A:$AP,ROW(),$H$6)),",",""),"원",""),0)))))</f>
        <v/>
      </c>
      <c r="AW556" s="2">
        <f>IF(OR($AS556="",$C$6=""),"",TRIM(INDEX($A:$AP,ROW(),$C$6)&amp;""))</f>
        <v/>
      </c>
      <c r="AX556" s="2">
        <f>IF($AS556="","",IF($AZ556&lt;&gt;"",SUBSTITUTE(SUBSTITUTE($AZ556,"-","")," ",""),$AY556))</f>
        <v/>
      </c>
      <c r="AY556" s="2">
        <f>IF(OR($AS556="",$E$6=""),"",TRIM(INDEX($A:$AP,ROW(),$E$6)&amp;""))</f>
        <v/>
      </c>
      <c r="AZ556" s="2">
        <f>IF(OR($AS556="",$D$6=""),"",TRIM(INDEX($A:$AP,ROW(),$D$6)&amp;""))</f>
        <v/>
      </c>
      <c r="BA556" s="2">
        <f>IF($AS556="","",IF(AND($AS556&gt;=설정!$B$10,$AS556&lt;=설정!$B$11),"포함","기간 밖"))</f>
        <v/>
      </c>
      <c r="BB556" s="2">
        <f>IF($AS556="","",IF(OR($AT556&lt;0,AND($I$6&lt;&gt;"",ISNUMBER(FIND("수정",INDEX($A:$AP,ROW(),IF($I$6="",1,$I$6))&amp;"")))),"수정","일반"))</f>
        <v/>
      </c>
      <c r="BC556" s="2">
        <f>IF($AS556="","",MID(IF($BA556="기간 밖"," / 기간 밖(신고기간 아님)","")&amp;IF(AND($AW556&lt;&gt;"",COUNTIF($AW$8:$AW$1007,$AW556)&gt;1)," / 승인번호 중복(두 번 붙여넣기?)","")&amp;IF(ABS($AU556-ROUND($AT556*0.1,0))&gt;설정!$B$8,IF($AU556=0," / 세액 0원(영세율·면세 여부 확인)"," / 세액이 공급가액 10%와 다름"),"")&amp;IF($BB556="수정"," / 수정세금계산서(합계에서 자동 가감)",""),4,200))</f>
        <v/>
      </c>
      <c r="BD556" s="2">
        <f>IF($BA556&lt;&gt;"포함","",IF(COUNTIFS($AX$8:$AX556,$AX556,$BA$8:$BA556,"포함")=1,MAX($BD$7:BD555)+1,""))</f>
        <v/>
      </c>
      <c r="BE556" s="2">
        <f>IF($BC556="","",MAX($BE$7:BE555)+1)</f>
        <v/>
      </c>
    </row>
    <row r="557">
      <c r="AR557" s="2">
        <f>IF(OR($A$5="",$B$6="",ROW()&lt;$A$5),"",IF(INDEX($A:$AP,ROW(),$B$6)="","",INDEX($A:$AP,ROW(),$B$6)))</f>
        <v/>
      </c>
      <c r="AS557" s="22">
        <f>IF($AR557="","",IF(ISNUMBER($AR557),IF($AR557&gt;=10000000,IFERROR(DATE(INT($AR557/10000),MOD(INT($AR557/100),100),MOD($AR557,100)),""),INT($AR557)),IFERROR(DATE(--LEFT(LEFT(SUBSTITUTE(SUBSTITUTE(SUBSTITUTE(SUBSTITUTE(TRIM($AR557),"-",""),".",""),"/","")," ",""),8),4),--MID(LEFT(SUBSTITUTE(SUBSTITUTE(SUBSTITUTE(SUBSTITUTE(TRIM($AR557),"-",""),".",""),"/","")," ",""),8),5,2),--MID(LEFT(SUBSTITUTE(SUBSTITUTE(SUBSTITUTE(SUBSTITUTE(TRIM($AR557),"-",""),".",""),"/","")," ",""),8),7,2)),"")))</f>
        <v/>
      </c>
      <c r="AT557" s="23">
        <f>IF($AS557="","",IF($F$6="",0,IF(ISNUMBER(INDEX($A:$AP,ROW(),$F$6)),INDEX($A:$AP,ROW(),$F$6),IFERROR(--SUBSTITUTE(SUBSTITUTE(TRIM(INDEX($A:$AP,ROW(),$F$6)),",",""),"원",""),0))))</f>
        <v/>
      </c>
      <c r="AU557" s="23">
        <f>IF($AS557="","",IF($G$6="",0,IF(ISNUMBER(INDEX($A:$AP,ROW(),$G$6)),INDEX($A:$AP,ROW(),$G$6),IFERROR(--SUBSTITUTE(SUBSTITUTE(TRIM(INDEX($A:$AP,ROW(),$G$6)),",",""),"원",""),0))))</f>
        <v/>
      </c>
      <c r="AV557" s="23">
        <f>IF($AS557="","",IF($H$6="",$AT557+$AU557,IF($H$6="",0,IF(ISNUMBER(INDEX($A:$AP,ROW(),$H$6)),INDEX($A:$AP,ROW(),$H$6),IFERROR(--SUBSTITUTE(SUBSTITUTE(TRIM(INDEX($A:$AP,ROW(),$H$6)),",",""),"원",""),0)))))</f>
        <v/>
      </c>
      <c r="AW557" s="2">
        <f>IF(OR($AS557="",$C$6=""),"",TRIM(INDEX($A:$AP,ROW(),$C$6)&amp;""))</f>
        <v/>
      </c>
      <c r="AX557" s="2">
        <f>IF($AS557="","",IF($AZ557&lt;&gt;"",SUBSTITUTE(SUBSTITUTE($AZ557,"-","")," ",""),$AY557))</f>
        <v/>
      </c>
      <c r="AY557" s="2">
        <f>IF(OR($AS557="",$E$6=""),"",TRIM(INDEX($A:$AP,ROW(),$E$6)&amp;""))</f>
        <v/>
      </c>
      <c r="AZ557" s="2">
        <f>IF(OR($AS557="",$D$6=""),"",TRIM(INDEX($A:$AP,ROW(),$D$6)&amp;""))</f>
        <v/>
      </c>
      <c r="BA557" s="2">
        <f>IF($AS557="","",IF(AND($AS557&gt;=설정!$B$10,$AS557&lt;=설정!$B$11),"포함","기간 밖"))</f>
        <v/>
      </c>
      <c r="BB557" s="2">
        <f>IF($AS557="","",IF(OR($AT557&lt;0,AND($I$6&lt;&gt;"",ISNUMBER(FIND("수정",INDEX($A:$AP,ROW(),IF($I$6="",1,$I$6))&amp;"")))),"수정","일반"))</f>
        <v/>
      </c>
      <c r="BC557" s="2">
        <f>IF($AS557="","",MID(IF($BA557="기간 밖"," / 기간 밖(신고기간 아님)","")&amp;IF(AND($AW557&lt;&gt;"",COUNTIF($AW$8:$AW$1007,$AW557)&gt;1)," / 승인번호 중복(두 번 붙여넣기?)","")&amp;IF(ABS($AU557-ROUND($AT557*0.1,0))&gt;설정!$B$8,IF($AU557=0," / 세액 0원(영세율·면세 여부 확인)"," / 세액이 공급가액 10%와 다름"),"")&amp;IF($BB557="수정"," / 수정세금계산서(합계에서 자동 가감)",""),4,200))</f>
        <v/>
      </c>
      <c r="BD557" s="2">
        <f>IF($BA557&lt;&gt;"포함","",IF(COUNTIFS($AX$8:$AX557,$AX557,$BA$8:$BA557,"포함")=1,MAX($BD$7:BD556)+1,""))</f>
        <v/>
      </c>
      <c r="BE557" s="2">
        <f>IF($BC557="","",MAX($BE$7:BE556)+1)</f>
        <v/>
      </c>
    </row>
    <row r="558">
      <c r="AR558" s="2">
        <f>IF(OR($A$5="",$B$6="",ROW()&lt;$A$5),"",IF(INDEX($A:$AP,ROW(),$B$6)="","",INDEX($A:$AP,ROW(),$B$6)))</f>
        <v/>
      </c>
      <c r="AS558" s="22">
        <f>IF($AR558="","",IF(ISNUMBER($AR558),IF($AR558&gt;=10000000,IFERROR(DATE(INT($AR558/10000),MOD(INT($AR558/100),100),MOD($AR558,100)),""),INT($AR558)),IFERROR(DATE(--LEFT(LEFT(SUBSTITUTE(SUBSTITUTE(SUBSTITUTE(SUBSTITUTE(TRIM($AR558),"-",""),".",""),"/","")," ",""),8),4),--MID(LEFT(SUBSTITUTE(SUBSTITUTE(SUBSTITUTE(SUBSTITUTE(TRIM($AR558),"-",""),".",""),"/","")," ",""),8),5,2),--MID(LEFT(SUBSTITUTE(SUBSTITUTE(SUBSTITUTE(SUBSTITUTE(TRIM($AR558),"-",""),".",""),"/","")," ",""),8),7,2)),"")))</f>
        <v/>
      </c>
      <c r="AT558" s="23">
        <f>IF($AS558="","",IF($F$6="",0,IF(ISNUMBER(INDEX($A:$AP,ROW(),$F$6)),INDEX($A:$AP,ROW(),$F$6),IFERROR(--SUBSTITUTE(SUBSTITUTE(TRIM(INDEX($A:$AP,ROW(),$F$6)),",",""),"원",""),0))))</f>
        <v/>
      </c>
      <c r="AU558" s="23">
        <f>IF($AS558="","",IF($G$6="",0,IF(ISNUMBER(INDEX($A:$AP,ROW(),$G$6)),INDEX($A:$AP,ROW(),$G$6),IFERROR(--SUBSTITUTE(SUBSTITUTE(TRIM(INDEX($A:$AP,ROW(),$G$6)),",",""),"원",""),0))))</f>
        <v/>
      </c>
      <c r="AV558" s="23">
        <f>IF($AS558="","",IF($H$6="",$AT558+$AU558,IF($H$6="",0,IF(ISNUMBER(INDEX($A:$AP,ROW(),$H$6)),INDEX($A:$AP,ROW(),$H$6),IFERROR(--SUBSTITUTE(SUBSTITUTE(TRIM(INDEX($A:$AP,ROW(),$H$6)),",",""),"원",""),0)))))</f>
        <v/>
      </c>
      <c r="AW558" s="2">
        <f>IF(OR($AS558="",$C$6=""),"",TRIM(INDEX($A:$AP,ROW(),$C$6)&amp;""))</f>
        <v/>
      </c>
      <c r="AX558" s="2">
        <f>IF($AS558="","",IF($AZ558&lt;&gt;"",SUBSTITUTE(SUBSTITUTE($AZ558,"-","")," ",""),$AY558))</f>
        <v/>
      </c>
      <c r="AY558" s="2">
        <f>IF(OR($AS558="",$E$6=""),"",TRIM(INDEX($A:$AP,ROW(),$E$6)&amp;""))</f>
        <v/>
      </c>
      <c r="AZ558" s="2">
        <f>IF(OR($AS558="",$D$6=""),"",TRIM(INDEX($A:$AP,ROW(),$D$6)&amp;""))</f>
        <v/>
      </c>
      <c r="BA558" s="2">
        <f>IF($AS558="","",IF(AND($AS558&gt;=설정!$B$10,$AS558&lt;=설정!$B$11),"포함","기간 밖"))</f>
        <v/>
      </c>
      <c r="BB558" s="2">
        <f>IF($AS558="","",IF(OR($AT558&lt;0,AND($I$6&lt;&gt;"",ISNUMBER(FIND("수정",INDEX($A:$AP,ROW(),IF($I$6="",1,$I$6))&amp;"")))),"수정","일반"))</f>
        <v/>
      </c>
      <c r="BC558" s="2">
        <f>IF($AS558="","",MID(IF($BA558="기간 밖"," / 기간 밖(신고기간 아님)","")&amp;IF(AND($AW558&lt;&gt;"",COUNTIF($AW$8:$AW$1007,$AW558)&gt;1)," / 승인번호 중복(두 번 붙여넣기?)","")&amp;IF(ABS($AU558-ROUND($AT558*0.1,0))&gt;설정!$B$8,IF($AU558=0," / 세액 0원(영세율·면세 여부 확인)"," / 세액이 공급가액 10%와 다름"),"")&amp;IF($BB558="수정"," / 수정세금계산서(합계에서 자동 가감)",""),4,200))</f>
        <v/>
      </c>
      <c r="BD558" s="2">
        <f>IF($BA558&lt;&gt;"포함","",IF(COUNTIFS($AX$8:$AX558,$AX558,$BA$8:$BA558,"포함")=1,MAX($BD$7:BD557)+1,""))</f>
        <v/>
      </c>
      <c r="BE558" s="2">
        <f>IF($BC558="","",MAX($BE$7:BE557)+1)</f>
        <v/>
      </c>
    </row>
    <row r="559">
      <c r="AR559" s="2">
        <f>IF(OR($A$5="",$B$6="",ROW()&lt;$A$5),"",IF(INDEX($A:$AP,ROW(),$B$6)="","",INDEX($A:$AP,ROW(),$B$6)))</f>
        <v/>
      </c>
      <c r="AS559" s="22">
        <f>IF($AR559="","",IF(ISNUMBER($AR559),IF($AR559&gt;=10000000,IFERROR(DATE(INT($AR559/10000),MOD(INT($AR559/100),100),MOD($AR559,100)),""),INT($AR559)),IFERROR(DATE(--LEFT(LEFT(SUBSTITUTE(SUBSTITUTE(SUBSTITUTE(SUBSTITUTE(TRIM($AR559),"-",""),".",""),"/","")," ",""),8),4),--MID(LEFT(SUBSTITUTE(SUBSTITUTE(SUBSTITUTE(SUBSTITUTE(TRIM($AR559),"-",""),".",""),"/","")," ",""),8),5,2),--MID(LEFT(SUBSTITUTE(SUBSTITUTE(SUBSTITUTE(SUBSTITUTE(TRIM($AR559),"-",""),".",""),"/","")," ",""),8),7,2)),"")))</f>
        <v/>
      </c>
      <c r="AT559" s="23">
        <f>IF($AS559="","",IF($F$6="",0,IF(ISNUMBER(INDEX($A:$AP,ROW(),$F$6)),INDEX($A:$AP,ROW(),$F$6),IFERROR(--SUBSTITUTE(SUBSTITUTE(TRIM(INDEX($A:$AP,ROW(),$F$6)),",",""),"원",""),0))))</f>
        <v/>
      </c>
      <c r="AU559" s="23">
        <f>IF($AS559="","",IF($G$6="",0,IF(ISNUMBER(INDEX($A:$AP,ROW(),$G$6)),INDEX($A:$AP,ROW(),$G$6),IFERROR(--SUBSTITUTE(SUBSTITUTE(TRIM(INDEX($A:$AP,ROW(),$G$6)),",",""),"원",""),0))))</f>
        <v/>
      </c>
      <c r="AV559" s="23">
        <f>IF($AS559="","",IF($H$6="",$AT559+$AU559,IF($H$6="",0,IF(ISNUMBER(INDEX($A:$AP,ROW(),$H$6)),INDEX($A:$AP,ROW(),$H$6),IFERROR(--SUBSTITUTE(SUBSTITUTE(TRIM(INDEX($A:$AP,ROW(),$H$6)),",",""),"원",""),0)))))</f>
        <v/>
      </c>
      <c r="AW559" s="2">
        <f>IF(OR($AS559="",$C$6=""),"",TRIM(INDEX($A:$AP,ROW(),$C$6)&amp;""))</f>
        <v/>
      </c>
      <c r="AX559" s="2">
        <f>IF($AS559="","",IF($AZ559&lt;&gt;"",SUBSTITUTE(SUBSTITUTE($AZ559,"-","")," ",""),$AY559))</f>
        <v/>
      </c>
      <c r="AY559" s="2">
        <f>IF(OR($AS559="",$E$6=""),"",TRIM(INDEX($A:$AP,ROW(),$E$6)&amp;""))</f>
        <v/>
      </c>
      <c r="AZ559" s="2">
        <f>IF(OR($AS559="",$D$6=""),"",TRIM(INDEX($A:$AP,ROW(),$D$6)&amp;""))</f>
        <v/>
      </c>
      <c r="BA559" s="2">
        <f>IF($AS559="","",IF(AND($AS559&gt;=설정!$B$10,$AS559&lt;=설정!$B$11),"포함","기간 밖"))</f>
        <v/>
      </c>
      <c r="BB559" s="2">
        <f>IF($AS559="","",IF(OR($AT559&lt;0,AND($I$6&lt;&gt;"",ISNUMBER(FIND("수정",INDEX($A:$AP,ROW(),IF($I$6="",1,$I$6))&amp;"")))),"수정","일반"))</f>
        <v/>
      </c>
      <c r="BC559" s="2">
        <f>IF($AS559="","",MID(IF($BA559="기간 밖"," / 기간 밖(신고기간 아님)","")&amp;IF(AND($AW559&lt;&gt;"",COUNTIF($AW$8:$AW$1007,$AW559)&gt;1)," / 승인번호 중복(두 번 붙여넣기?)","")&amp;IF(ABS($AU559-ROUND($AT559*0.1,0))&gt;설정!$B$8,IF($AU559=0," / 세액 0원(영세율·면세 여부 확인)"," / 세액이 공급가액 10%와 다름"),"")&amp;IF($BB559="수정"," / 수정세금계산서(합계에서 자동 가감)",""),4,200))</f>
        <v/>
      </c>
      <c r="BD559" s="2">
        <f>IF($BA559&lt;&gt;"포함","",IF(COUNTIFS($AX$8:$AX559,$AX559,$BA$8:$BA559,"포함")=1,MAX($BD$7:BD558)+1,""))</f>
        <v/>
      </c>
      <c r="BE559" s="2">
        <f>IF($BC559="","",MAX($BE$7:BE558)+1)</f>
        <v/>
      </c>
    </row>
    <row r="560">
      <c r="AR560" s="2">
        <f>IF(OR($A$5="",$B$6="",ROW()&lt;$A$5),"",IF(INDEX($A:$AP,ROW(),$B$6)="","",INDEX($A:$AP,ROW(),$B$6)))</f>
        <v/>
      </c>
      <c r="AS560" s="22">
        <f>IF($AR560="","",IF(ISNUMBER($AR560),IF($AR560&gt;=10000000,IFERROR(DATE(INT($AR560/10000),MOD(INT($AR560/100),100),MOD($AR560,100)),""),INT($AR560)),IFERROR(DATE(--LEFT(LEFT(SUBSTITUTE(SUBSTITUTE(SUBSTITUTE(SUBSTITUTE(TRIM($AR560),"-",""),".",""),"/","")," ",""),8),4),--MID(LEFT(SUBSTITUTE(SUBSTITUTE(SUBSTITUTE(SUBSTITUTE(TRIM($AR560),"-",""),".",""),"/","")," ",""),8),5,2),--MID(LEFT(SUBSTITUTE(SUBSTITUTE(SUBSTITUTE(SUBSTITUTE(TRIM($AR560),"-",""),".",""),"/","")," ",""),8),7,2)),"")))</f>
        <v/>
      </c>
      <c r="AT560" s="23">
        <f>IF($AS560="","",IF($F$6="",0,IF(ISNUMBER(INDEX($A:$AP,ROW(),$F$6)),INDEX($A:$AP,ROW(),$F$6),IFERROR(--SUBSTITUTE(SUBSTITUTE(TRIM(INDEX($A:$AP,ROW(),$F$6)),",",""),"원",""),0))))</f>
        <v/>
      </c>
      <c r="AU560" s="23">
        <f>IF($AS560="","",IF($G$6="",0,IF(ISNUMBER(INDEX($A:$AP,ROW(),$G$6)),INDEX($A:$AP,ROW(),$G$6),IFERROR(--SUBSTITUTE(SUBSTITUTE(TRIM(INDEX($A:$AP,ROW(),$G$6)),",",""),"원",""),0))))</f>
        <v/>
      </c>
      <c r="AV560" s="23">
        <f>IF($AS560="","",IF($H$6="",$AT560+$AU560,IF($H$6="",0,IF(ISNUMBER(INDEX($A:$AP,ROW(),$H$6)),INDEX($A:$AP,ROW(),$H$6),IFERROR(--SUBSTITUTE(SUBSTITUTE(TRIM(INDEX($A:$AP,ROW(),$H$6)),",",""),"원",""),0)))))</f>
        <v/>
      </c>
      <c r="AW560" s="2">
        <f>IF(OR($AS560="",$C$6=""),"",TRIM(INDEX($A:$AP,ROW(),$C$6)&amp;""))</f>
        <v/>
      </c>
      <c r="AX560" s="2">
        <f>IF($AS560="","",IF($AZ560&lt;&gt;"",SUBSTITUTE(SUBSTITUTE($AZ560,"-","")," ",""),$AY560))</f>
        <v/>
      </c>
      <c r="AY560" s="2">
        <f>IF(OR($AS560="",$E$6=""),"",TRIM(INDEX($A:$AP,ROW(),$E$6)&amp;""))</f>
        <v/>
      </c>
      <c r="AZ560" s="2">
        <f>IF(OR($AS560="",$D$6=""),"",TRIM(INDEX($A:$AP,ROW(),$D$6)&amp;""))</f>
        <v/>
      </c>
      <c r="BA560" s="2">
        <f>IF($AS560="","",IF(AND($AS560&gt;=설정!$B$10,$AS560&lt;=설정!$B$11),"포함","기간 밖"))</f>
        <v/>
      </c>
      <c r="BB560" s="2">
        <f>IF($AS560="","",IF(OR($AT560&lt;0,AND($I$6&lt;&gt;"",ISNUMBER(FIND("수정",INDEX($A:$AP,ROW(),IF($I$6="",1,$I$6))&amp;"")))),"수정","일반"))</f>
        <v/>
      </c>
      <c r="BC560" s="2">
        <f>IF($AS560="","",MID(IF($BA560="기간 밖"," / 기간 밖(신고기간 아님)","")&amp;IF(AND($AW560&lt;&gt;"",COUNTIF($AW$8:$AW$1007,$AW560)&gt;1)," / 승인번호 중복(두 번 붙여넣기?)","")&amp;IF(ABS($AU560-ROUND($AT560*0.1,0))&gt;설정!$B$8,IF($AU560=0," / 세액 0원(영세율·면세 여부 확인)"," / 세액이 공급가액 10%와 다름"),"")&amp;IF($BB560="수정"," / 수정세금계산서(합계에서 자동 가감)",""),4,200))</f>
        <v/>
      </c>
      <c r="BD560" s="2">
        <f>IF($BA560&lt;&gt;"포함","",IF(COUNTIFS($AX$8:$AX560,$AX560,$BA$8:$BA560,"포함")=1,MAX($BD$7:BD559)+1,""))</f>
        <v/>
      </c>
      <c r="BE560" s="2">
        <f>IF($BC560="","",MAX($BE$7:BE559)+1)</f>
        <v/>
      </c>
    </row>
    <row r="561">
      <c r="AR561" s="2">
        <f>IF(OR($A$5="",$B$6="",ROW()&lt;$A$5),"",IF(INDEX($A:$AP,ROW(),$B$6)="","",INDEX($A:$AP,ROW(),$B$6)))</f>
        <v/>
      </c>
      <c r="AS561" s="22">
        <f>IF($AR561="","",IF(ISNUMBER($AR561),IF($AR561&gt;=10000000,IFERROR(DATE(INT($AR561/10000),MOD(INT($AR561/100),100),MOD($AR561,100)),""),INT($AR561)),IFERROR(DATE(--LEFT(LEFT(SUBSTITUTE(SUBSTITUTE(SUBSTITUTE(SUBSTITUTE(TRIM($AR561),"-",""),".",""),"/","")," ",""),8),4),--MID(LEFT(SUBSTITUTE(SUBSTITUTE(SUBSTITUTE(SUBSTITUTE(TRIM($AR561),"-",""),".",""),"/","")," ",""),8),5,2),--MID(LEFT(SUBSTITUTE(SUBSTITUTE(SUBSTITUTE(SUBSTITUTE(TRIM($AR561),"-",""),".",""),"/","")," ",""),8),7,2)),"")))</f>
        <v/>
      </c>
      <c r="AT561" s="23">
        <f>IF($AS561="","",IF($F$6="",0,IF(ISNUMBER(INDEX($A:$AP,ROW(),$F$6)),INDEX($A:$AP,ROW(),$F$6),IFERROR(--SUBSTITUTE(SUBSTITUTE(TRIM(INDEX($A:$AP,ROW(),$F$6)),",",""),"원",""),0))))</f>
        <v/>
      </c>
      <c r="AU561" s="23">
        <f>IF($AS561="","",IF($G$6="",0,IF(ISNUMBER(INDEX($A:$AP,ROW(),$G$6)),INDEX($A:$AP,ROW(),$G$6),IFERROR(--SUBSTITUTE(SUBSTITUTE(TRIM(INDEX($A:$AP,ROW(),$G$6)),",",""),"원",""),0))))</f>
        <v/>
      </c>
      <c r="AV561" s="23">
        <f>IF($AS561="","",IF($H$6="",$AT561+$AU561,IF($H$6="",0,IF(ISNUMBER(INDEX($A:$AP,ROW(),$H$6)),INDEX($A:$AP,ROW(),$H$6),IFERROR(--SUBSTITUTE(SUBSTITUTE(TRIM(INDEX($A:$AP,ROW(),$H$6)),",",""),"원",""),0)))))</f>
        <v/>
      </c>
      <c r="AW561" s="2">
        <f>IF(OR($AS561="",$C$6=""),"",TRIM(INDEX($A:$AP,ROW(),$C$6)&amp;""))</f>
        <v/>
      </c>
      <c r="AX561" s="2">
        <f>IF($AS561="","",IF($AZ561&lt;&gt;"",SUBSTITUTE(SUBSTITUTE($AZ561,"-","")," ",""),$AY561))</f>
        <v/>
      </c>
      <c r="AY561" s="2">
        <f>IF(OR($AS561="",$E$6=""),"",TRIM(INDEX($A:$AP,ROW(),$E$6)&amp;""))</f>
        <v/>
      </c>
      <c r="AZ561" s="2">
        <f>IF(OR($AS561="",$D$6=""),"",TRIM(INDEX($A:$AP,ROW(),$D$6)&amp;""))</f>
        <v/>
      </c>
      <c r="BA561" s="2">
        <f>IF($AS561="","",IF(AND($AS561&gt;=설정!$B$10,$AS561&lt;=설정!$B$11),"포함","기간 밖"))</f>
        <v/>
      </c>
      <c r="BB561" s="2">
        <f>IF($AS561="","",IF(OR($AT561&lt;0,AND($I$6&lt;&gt;"",ISNUMBER(FIND("수정",INDEX($A:$AP,ROW(),IF($I$6="",1,$I$6))&amp;"")))),"수정","일반"))</f>
        <v/>
      </c>
      <c r="BC561" s="2">
        <f>IF($AS561="","",MID(IF($BA561="기간 밖"," / 기간 밖(신고기간 아님)","")&amp;IF(AND($AW561&lt;&gt;"",COUNTIF($AW$8:$AW$1007,$AW561)&gt;1)," / 승인번호 중복(두 번 붙여넣기?)","")&amp;IF(ABS($AU561-ROUND($AT561*0.1,0))&gt;설정!$B$8,IF($AU561=0," / 세액 0원(영세율·면세 여부 확인)"," / 세액이 공급가액 10%와 다름"),"")&amp;IF($BB561="수정"," / 수정세금계산서(합계에서 자동 가감)",""),4,200))</f>
        <v/>
      </c>
      <c r="BD561" s="2">
        <f>IF($BA561&lt;&gt;"포함","",IF(COUNTIFS($AX$8:$AX561,$AX561,$BA$8:$BA561,"포함")=1,MAX($BD$7:BD560)+1,""))</f>
        <v/>
      </c>
      <c r="BE561" s="2">
        <f>IF($BC561="","",MAX($BE$7:BE560)+1)</f>
        <v/>
      </c>
    </row>
    <row r="562">
      <c r="AR562" s="2">
        <f>IF(OR($A$5="",$B$6="",ROW()&lt;$A$5),"",IF(INDEX($A:$AP,ROW(),$B$6)="","",INDEX($A:$AP,ROW(),$B$6)))</f>
        <v/>
      </c>
      <c r="AS562" s="22">
        <f>IF($AR562="","",IF(ISNUMBER($AR562),IF($AR562&gt;=10000000,IFERROR(DATE(INT($AR562/10000),MOD(INT($AR562/100),100),MOD($AR562,100)),""),INT($AR562)),IFERROR(DATE(--LEFT(LEFT(SUBSTITUTE(SUBSTITUTE(SUBSTITUTE(SUBSTITUTE(TRIM($AR562),"-",""),".",""),"/","")," ",""),8),4),--MID(LEFT(SUBSTITUTE(SUBSTITUTE(SUBSTITUTE(SUBSTITUTE(TRIM($AR562),"-",""),".",""),"/","")," ",""),8),5,2),--MID(LEFT(SUBSTITUTE(SUBSTITUTE(SUBSTITUTE(SUBSTITUTE(TRIM($AR562),"-",""),".",""),"/","")," ",""),8),7,2)),"")))</f>
        <v/>
      </c>
      <c r="AT562" s="23">
        <f>IF($AS562="","",IF($F$6="",0,IF(ISNUMBER(INDEX($A:$AP,ROW(),$F$6)),INDEX($A:$AP,ROW(),$F$6),IFERROR(--SUBSTITUTE(SUBSTITUTE(TRIM(INDEX($A:$AP,ROW(),$F$6)),",",""),"원",""),0))))</f>
        <v/>
      </c>
      <c r="AU562" s="23">
        <f>IF($AS562="","",IF($G$6="",0,IF(ISNUMBER(INDEX($A:$AP,ROW(),$G$6)),INDEX($A:$AP,ROW(),$G$6),IFERROR(--SUBSTITUTE(SUBSTITUTE(TRIM(INDEX($A:$AP,ROW(),$G$6)),",",""),"원",""),0))))</f>
        <v/>
      </c>
      <c r="AV562" s="23">
        <f>IF($AS562="","",IF($H$6="",$AT562+$AU562,IF($H$6="",0,IF(ISNUMBER(INDEX($A:$AP,ROW(),$H$6)),INDEX($A:$AP,ROW(),$H$6),IFERROR(--SUBSTITUTE(SUBSTITUTE(TRIM(INDEX($A:$AP,ROW(),$H$6)),",",""),"원",""),0)))))</f>
        <v/>
      </c>
      <c r="AW562" s="2">
        <f>IF(OR($AS562="",$C$6=""),"",TRIM(INDEX($A:$AP,ROW(),$C$6)&amp;""))</f>
        <v/>
      </c>
      <c r="AX562" s="2">
        <f>IF($AS562="","",IF($AZ562&lt;&gt;"",SUBSTITUTE(SUBSTITUTE($AZ562,"-","")," ",""),$AY562))</f>
        <v/>
      </c>
      <c r="AY562" s="2">
        <f>IF(OR($AS562="",$E$6=""),"",TRIM(INDEX($A:$AP,ROW(),$E$6)&amp;""))</f>
        <v/>
      </c>
      <c r="AZ562" s="2">
        <f>IF(OR($AS562="",$D$6=""),"",TRIM(INDEX($A:$AP,ROW(),$D$6)&amp;""))</f>
        <v/>
      </c>
      <c r="BA562" s="2">
        <f>IF($AS562="","",IF(AND($AS562&gt;=설정!$B$10,$AS562&lt;=설정!$B$11),"포함","기간 밖"))</f>
        <v/>
      </c>
      <c r="BB562" s="2">
        <f>IF($AS562="","",IF(OR($AT562&lt;0,AND($I$6&lt;&gt;"",ISNUMBER(FIND("수정",INDEX($A:$AP,ROW(),IF($I$6="",1,$I$6))&amp;"")))),"수정","일반"))</f>
        <v/>
      </c>
      <c r="BC562" s="2">
        <f>IF($AS562="","",MID(IF($BA562="기간 밖"," / 기간 밖(신고기간 아님)","")&amp;IF(AND($AW562&lt;&gt;"",COUNTIF($AW$8:$AW$1007,$AW562)&gt;1)," / 승인번호 중복(두 번 붙여넣기?)","")&amp;IF(ABS($AU562-ROUND($AT562*0.1,0))&gt;설정!$B$8,IF($AU562=0," / 세액 0원(영세율·면세 여부 확인)"," / 세액이 공급가액 10%와 다름"),"")&amp;IF($BB562="수정"," / 수정세금계산서(합계에서 자동 가감)",""),4,200))</f>
        <v/>
      </c>
      <c r="BD562" s="2">
        <f>IF($BA562&lt;&gt;"포함","",IF(COUNTIFS($AX$8:$AX562,$AX562,$BA$8:$BA562,"포함")=1,MAX($BD$7:BD561)+1,""))</f>
        <v/>
      </c>
      <c r="BE562" s="2">
        <f>IF($BC562="","",MAX($BE$7:BE561)+1)</f>
        <v/>
      </c>
    </row>
    <row r="563">
      <c r="AR563" s="2">
        <f>IF(OR($A$5="",$B$6="",ROW()&lt;$A$5),"",IF(INDEX($A:$AP,ROW(),$B$6)="","",INDEX($A:$AP,ROW(),$B$6)))</f>
        <v/>
      </c>
      <c r="AS563" s="22">
        <f>IF($AR563="","",IF(ISNUMBER($AR563),IF($AR563&gt;=10000000,IFERROR(DATE(INT($AR563/10000),MOD(INT($AR563/100),100),MOD($AR563,100)),""),INT($AR563)),IFERROR(DATE(--LEFT(LEFT(SUBSTITUTE(SUBSTITUTE(SUBSTITUTE(SUBSTITUTE(TRIM($AR563),"-",""),".",""),"/","")," ",""),8),4),--MID(LEFT(SUBSTITUTE(SUBSTITUTE(SUBSTITUTE(SUBSTITUTE(TRIM($AR563),"-",""),".",""),"/","")," ",""),8),5,2),--MID(LEFT(SUBSTITUTE(SUBSTITUTE(SUBSTITUTE(SUBSTITUTE(TRIM($AR563),"-",""),".",""),"/","")," ",""),8),7,2)),"")))</f>
        <v/>
      </c>
      <c r="AT563" s="23">
        <f>IF($AS563="","",IF($F$6="",0,IF(ISNUMBER(INDEX($A:$AP,ROW(),$F$6)),INDEX($A:$AP,ROW(),$F$6),IFERROR(--SUBSTITUTE(SUBSTITUTE(TRIM(INDEX($A:$AP,ROW(),$F$6)),",",""),"원",""),0))))</f>
        <v/>
      </c>
      <c r="AU563" s="23">
        <f>IF($AS563="","",IF($G$6="",0,IF(ISNUMBER(INDEX($A:$AP,ROW(),$G$6)),INDEX($A:$AP,ROW(),$G$6),IFERROR(--SUBSTITUTE(SUBSTITUTE(TRIM(INDEX($A:$AP,ROW(),$G$6)),",",""),"원",""),0))))</f>
        <v/>
      </c>
      <c r="AV563" s="23">
        <f>IF($AS563="","",IF($H$6="",$AT563+$AU563,IF($H$6="",0,IF(ISNUMBER(INDEX($A:$AP,ROW(),$H$6)),INDEX($A:$AP,ROW(),$H$6),IFERROR(--SUBSTITUTE(SUBSTITUTE(TRIM(INDEX($A:$AP,ROW(),$H$6)),",",""),"원",""),0)))))</f>
        <v/>
      </c>
      <c r="AW563" s="2">
        <f>IF(OR($AS563="",$C$6=""),"",TRIM(INDEX($A:$AP,ROW(),$C$6)&amp;""))</f>
        <v/>
      </c>
      <c r="AX563" s="2">
        <f>IF($AS563="","",IF($AZ563&lt;&gt;"",SUBSTITUTE(SUBSTITUTE($AZ563,"-","")," ",""),$AY563))</f>
        <v/>
      </c>
      <c r="AY563" s="2">
        <f>IF(OR($AS563="",$E$6=""),"",TRIM(INDEX($A:$AP,ROW(),$E$6)&amp;""))</f>
        <v/>
      </c>
      <c r="AZ563" s="2">
        <f>IF(OR($AS563="",$D$6=""),"",TRIM(INDEX($A:$AP,ROW(),$D$6)&amp;""))</f>
        <v/>
      </c>
      <c r="BA563" s="2">
        <f>IF($AS563="","",IF(AND($AS563&gt;=설정!$B$10,$AS563&lt;=설정!$B$11),"포함","기간 밖"))</f>
        <v/>
      </c>
      <c r="BB563" s="2">
        <f>IF($AS563="","",IF(OR($AT563&lt;0,AND($I$6&lt;&gt;"",ISNUMBER(FIND("수정",INDEX($A:$AP,ROW(),IF($I$6="",1,$I$6))&amp;"")))),"수정","일반"))</f>
        <v/>
      </c>
      <c r="BC563" s="2">
        <f>IF($AS563="","",MID(IF($BA563="기간 밖"," / 기간 밖(신고기간 아님)","")&amp;IF(AND($AW563&lt;&gt;"",COUNTIF($AW$8:$AW$1007,$AW563)&gt;1)," / 승인번호 중복(두 번 붙여넣기?)","")&amp;IF(ABS($AU563-ROUND($AT563*0.1,0))&gt;설정!$B$8,IF($AU563=0," / 세액 0원(영세율·면세 여부 확인)"," / 세액이 공급가액 10%와 다름"),"")&amp;IF($BB563="수정"," / 수정세금계산서(합계에서 자동 가감)",""),4,200))</f>
        <v/>
      </c>
      <c r="BD563" s="2">
        <f>IF($BA563&lt;&gt;"포함","",IF(COUNTIFS($AX$8:$AX563,$AX563,$BA$8:$BA563,"포함")=1,MAX($BD$7:BD562)+1,""))</f>
        <v/>
      </c>
      <c r="BE563" s="2">
        <f>IF($BC563="","",MAX($BE$7:BE562)+1)</f>
        <v/>
      </c>
    </row>
    <row r="564">
      <c r="AR564" s="2">
        <f>IF(OR($A$5="",$B$6="",ROW()&lt;$A$5),"",IF(INDEX($A:$AP,ROW(),$B$6)="","",INDEX($A:$AP,ROW(),$B$6)))</f>
        <v/>
      </c>
      <c r="AS564" s="22">
        <f>IF($AR564="","",IF(ISNUMBER($AR564),IF($AR564&gt;=10000000,IFERROR(DATE(INT($AR564/10000),MOD(INT($AR564/100),100),MOD($AR564,100)),""),INT($AR564)),IFERROR(DATE(--LEFT(LEFT(SUBSTITUTE(SUBSTITUTE(SUBSTITUTE(SUBSTITUTE(TRIM($AR564),"-",""),".",""),"/","")," ",""),8),4),--MID(LEFT(SUBSTITUTE(SUBSTITUTE(SUBSTITUTE(SUBSTITUTE(TRIM($AR564),"-",""),".",""),"/","")," ",""),8),5,2),--MID(LEFT(SUBSTITUTE(SUBSTITUTE(SUBSTITUTE(SUBSTITUTE(TRIM($AR564),"-",""),".",""),"/","")," ",""),8),7,2)),"")))</f>
        <v/>
      </c>
      <c r="AT564" s="23">
        <f>IF($AS564="","",IF($F$6="",0,IF(ISNUMBER(INDEX($A:$AP,ROW(),$F$6)),INDEX($A:$AP,ROW(),$F$6),IFERROR(--SUBSTITUTE(SUBSTITUTE(TRIM(INDEX($A:$AP,ROW(),$F$6)),",",""),"원",""),0))))</f>
        <v/>
      </c>
      <c r="AU564" s="23">
        <f>IF($AS564="","",IF($G$6="",0,IF(ISNUMBER(INDEX($A:$AP,ROW(),$G$6)),INDEX($A:$AP,ROW(),$G$6),IFERROR(--SUBSTITUTE(SUBSTITUTE(TRIM(INDEX($A:$AP,ROW(),$G$6)),",",""),"원",""),0))))</f>
        <v/>
      </c>
      <c r="AV564" s="23">
        <f>IF($AS564="","",IF($H$6="",$AT564+$AU564,IF($H$6="",0,IF(ISNUMBER(INDEX($A:$AP,ROW(),$H$6)),INDEX($A:$AP,ROW(),$H$6),IFERROR(--SUBSTITUTE(SUBSTITUTE(TRIM(INDEX($A:$AP,ROW(),$H$6)),",",""),"원",""),0)))))</f>
        <v/>
      </c>
      <c r="AW564" s="2">
        <f>IF(OR($AS564="",$C$6=""),"",TRIM(INDEX($A:$AP,ROW(),$C$6)&amp;""))</f>
        <v/>
      </c>
      <c r="AX564" s="2">
        <f>IF($AS564="","",IF($AZ564&lt;&gt;"",SUBSTITUTE(SUBSTITUTE($AZ564,"-","")," ",""),$AY564))</f>
        <v/>
      </c>
      <c r="AY564" s="2">
        <f>IF(OR($AS564="",$E$6=""),"",TRIM(INDEX($A:$AP,ROW(),$E$6)&amp;""))</f>
        <v/>
      </c>
      <c r="AZ564" s="2">
        <f>IF(OR($AS564="",$D$6=""),"",TRIM(INDEX($A:$AP,ROW(),$D$6)&amp;""))</f>
        <v/>
      </c>
      <c r="BA564" s="2">
        <f>IF($AS564="","",IF(AND($AS564&gt;=설정!$B$10,$AS564&lt;=설정!$B$11),"포함","기간 밖"))</f>
        <v/>
      </c>
      <c r="BB564" s="2">
        <f>IF($AS564="","",IF(OR($AT564&lt;0,AND($I$6&lt;&gt;"",ISNUMBER(FIND("수정",INDEX($A:$AP,ROW(),IF($I$6="",1,$I$6))&amp;"")))),"수정","일반"))</f>
        <v/>
      </c>
      <c r="BC564" s="2">
        <f>IF($AS564="","",MID(IF($BA564="기간 밖"," / 기간 밖(신고기간 아님)","")&amp;IF(AND($AW564&lt;&gt;"",COUNTIF($AW$8:$AW$1007,$AW564)&gt;1)," / 승인번호 중복(두 번 붙여넣기?)","")&amp;IF(ABS($AU564-ROUND($AT564*0.1,0))&gt;설정!$B$8,IF($AU564=0," / 세액 0원(영세율·면세 여부 확인)"," / 세액이 공급가액 10%와 다름"),"")&amp;IF($BB564="수정"," / 수정세금계산서(합계에서 자동 가감)",""),4,200))</f>
        <v/>
      </c>
      <c r="BD564" s="2">
        <f>IF($BA564&lt;&gt;"포함","",IF(COUNTIFS($AX$8:$AX564,$AX564,$BA$8:$BA564,"포함")=1,MAX($BD$7:BD563)+1,""))</f>
        <v/>
      </c>
      <c r="BE564" s="2">
        <f>IF($BC564="","",MAX($BE$7:BE563)+1)</f>
        <v/>
      </c>
    </row>
    <row r="565">
      <c r="AR565" s="2">
        <f>IF(OR($A$5="",$B$6="",ROW()&lt;$A$5),"",IF(INDEX($A:$AP,ROW(),$B$6)="","",INDEX($A:$AP,ROW(),$B$6)))</f>
        <v/>
      </c>
      <c r="AS565" s="22">
        <f>IF($AR565="","",IF(ISNUMBER($AR565),IF($AR565&gt;=10000000,IFERROR(DATE(INT($AR565/10000),MOD(INT($AR565/100),100),MOD($AR565,100)),""),INT($AR565)),IFERROR(DATE(--LEFT(LEFT(SUBSTITUTE(SUBSTITUTE(SUBSTITUTE(SUBSTITUTE(TRIM($AR565),"-",""),".",""),"/","")," ",""),8),4),--MID(LEFT(SUBSTITUTE(SUBSTITUTE(SUBSTITUTE(SUBSTITUTE(TRIM($AR565),"-",""),".",""),"/","")," ",""),8),5,2),--MID(LEFT(SUBSTITUTE(SUBSTITUTE(SUBSTITUTE(SUBSTITUTE(TRIM($AR565),"-",""),".",""),"/","")," ",""),8),7,2)),"")))</f>
        <v/>
      </c>
      <c r="AT565" s="23">
        <f>IF($AS565="","",IF($F$6="",0,IF(ISNUMBER(INDEX($A:$AP,ROW(),$F$6)),INDEX($A:$AP,ROW(),$F$6),IFERROR(--SUBSTITUTE(SUBSTITUTE(TRIM(INDEX($A:$AP,ROW(),$F$6)),",",""),"원",""),0))))</f>
        <v/>
      </c>
      <c r="AU565" s="23">
        <f>IF($AS565="","",IF($G$6="",0,IF(ISNUMBER(INDEX($A:$AP,ROW(),$G$6)),INDEX($A:$AP,ROW(),$G$6),IFERROR(--SUBSTITUTE(SUBSTITUTE(TRIM(INDEX($A:$AP,ROW(),$G$6)),",",""),"원",""),0))))</f>
        <v/>
      </c>
      <c r="AV565" s="23">
        <f>IF($AS565="","",IF($H$6="",$AT565+$AU565,IF($H$6="",0,IF(ISNUMBER(INDEX($A:$AP,ROW(),$H$6)),INDEX($A:$AP,ROW(),$H$6),IFERROR(--SUBSTITUTE(SUBSTITUTE(TRIM(INDEX($A:$AP,ROW(),$H$6)),",",""),"원",""),0)))))</f>
        <v/>
      </c>
      <c r="AW565" s="2">
        <f>IF(OR($AS565="",$C$6=""),"",TRIM(INDEX($A:$AP,ROW(),$C$6)&amp;""))</f>
        <v/>
      </c>
      <c r="AX565" s="2">
        <f>IF($AS565="","",IF($AZ565&lt;&gt;"",SUBSTITUTE(SUBSTITUTE($AZ565,"-","")," ",""),$AY565))</f>
        <v/>
      </c>
      <c r="AY565" s="2">
        <f>IF(OR($AS565="",$E$6=""),"",TRIM(INDEX($A:$AP,ROW(),$E$6)&amp;""))</f>
        <v/>
      </c>
      <c r="AZ565" s="2">
        <f>IF(OR($AS565="",$D$6=""),"",TRIM(INDEX($A:$AP,ROW(),$D$6)&amp;""))</f>
        <v/>
      </c>
      <c r="BA565" s="2">
        <f>IF($AS565="","",IF(AND($AS565&gt;=설정!$B$10,$AS565&lt;=설정!$B$11),"포함","기간 밖"))</f>
        <v/>
      </c>
      <c r="BB565" s="2">
        <f>IF($AS565="","",IF(OR($AT565&lt;0,AND($I$6&lt;&gt;"",ISNUMBER(FIND("수정",INDEX($A:$AP,ROW(),IF($I$6="",1,$I$6))&amp;"")))),"수정","일반"))</f>
        <v/>
      </c>
      <c r="BC565" s="2">
        <f>IF($AS565="","",MID(IF($BA565="기간 밖"," / 기간 밖(신고기간 아님)","")&amp;IF(AND($AW565&lt;&gt;"",COUNTIF($AW$8:$AW$1007,$AW565)&gt;1)," / 승인번호 중복(두 번 붙여넣기?)","")&amp;IF(ABS($AU565-ROUND($AT565*0.1,0))&gt;설정!$B$8,IF($AU565=0," / 세액 0원(영세율·면세 여부 확인)"," / 세액이 공급가액 10%와 다름"),"")&amp;IF($BB565="수정"," / 수정세금계산서(합계에서 자동 가감)",""),4,200))</f>
        <v/>
      </c>
      <c r="BD565" s="2">
        <f>IF($BA565&lt;&gt;"포함","",IF(COUNTIFS($AX$8:$AX565,$AX565,$BA$8:$BA565,"포함")=1,MAX($BD$7:BD564)+1,""))</f>
        <v/>
      </c>
      <c r="BE565" s="2">
        <f>IF($BC565="","",MAX($BE$7:BE564)+1)</f>
        <v/>
      </c>
    </row>
    <row r="566">
      <c r="AR566" s="2">
        <f>IF(OR($A$5="",$B$6="",ROW()&lt;$A$5),"",IF(INDEX($A:$AP,ROW(),$B$6)="","",INDEX($A:$AP,ROW(),$B$6)))</f>
        <v/>
      </c>
      <c r="AS566" s="22">
        <f>IF($AR566="","",IF(ISNUMBER($AR566),IF($AR566&gt;=10000000,IFERROR(DATE(INT($AR566/10000),MOD(INT($AR566/100),100),MOD($AR566,100)),""),INT($AR566)),IFERROR(DATE(--LEFT(LEFT(SUBSTITUTE(SUBSTITUTE(SUBSTITUTE(SUBSTITUTE(TRIM($AR566),"-",""),".",""),"/","")," ",""),8),4),--MID(LEFT(SUBSTITUTE(SUBSTITUTE(SUBSTITUTE(SUBSTITUTE(TRIM($AR566),"-",""),".",""),"/","")," ",""),8),5,2),--MID(LEFT(SUBSTITUTE(SUBSTITUTE(SUBSTITUTE(SUBSTITUTE(TRIM($AR566),"-",""),".",""),"/","")," ",""),8),7,2)),"")))</f>
        <v/>
      </c>
      <c r="AT566" s="23">
        <f>IF($AS566="","",IF($F$6="",0,IF(ISNUMBER(INDEX($A:$AP,ROW(),$F$6)),INDEX($A:$AP,ROW(),$F$6),IFERROR(--SUBSTITUTE(SUBSTITUTE(TRIM(INDEX($A:$AP,ROW(),$F$6)),",",""),"원",""),0))))</f>
        <v/>
      </c>
      <c r="AU566" s="23">
        <f>IF($AS566="","",IF($G$6="",0,IF(ISNUMBER(INDEX($A:$AP,ROW(),$G$6)),INDEX($A:$AP,ROW(),$G$6),IFERROR(--SUBSTITUTE(SUBSTITUTE(TRIM(INDEX($A:$AP,ROW(),$G$6)),",",""),"원",""),0))))</f>
        <v/>
      </c>
      <c r="AV566" s="23">
        <f>IF($AS566="","",IF($H$6="",$AT566+$AU566,IF($H$6="",0,IF(ISNUMBER(INDEX($A:$AP,ROW(),$H$6)),INDEX($A:$AP,ROW(),$H$6),IFERROR(--SUBSTITUTE(SUBSTITUTE(TRIM(INDEX($A:$AP,ROW(),$H$6)),",",""),"원",""),0)))))</f>
        <v/>
      </c>
      <c r="AW566" s="2">
        <f>IF(OR($AS566="",$C$6=""),"",TRIM(INDEX($A:$AP,ROW(),$C$6)&amp;""))</f>
        <v/>
      </c>
      <c r="AX566" s="2">
        <f>IF($AS566="","",IF($AZ566&lt;&gt;"",SUBSTITUTE(SUBSTITUTE($AZ566,"-","")," ",""),$AY566))</f>
        <v/>
      </c>
      <c r="AY566" s="2">
        <f>IF(OR($AS566="",$E$6=""),"",TRIM(INDEX($A:$AP,ROW(),$E$6)&amp;""))</f>
        <v/>
      </c>
      <c r="AZ566" s="2">
        <f>IF(OR($AS566="",$D$6=""),"",TRIM(INDEX($A:$AP,ROW(),$D$6)&amp;""))</f>
        <v/>
      </c>
      <c r="BA566" s="2">
        <f>IF($AS566="","",IF(AND($AS566&gt;=설정!$B$10,$AS566&lt;=설정!$B$11),"포함","기간 밖"))</f>
        <v/>
      </c>
      <c r="BB566" s="2">
        <f>IF($AS566="","",IF(OR($AT566&lt;0,AND($I$6&lt;&gt;"",ISNUMBER(FIND("수정",INDEX($A:$AP,ROW(),IF($I$6="",1,$I$6))&amp;"")))),"수정","일반"))</f>
        <v/>
      </c>
      <c r="BC566" s="2">
        <f>IF($AS566="","",MID(IF($BA566="기간 밖"," / 기간 밖(신고기간 아님)","")&amp;IF(AND($AW566&lt;&gt;"",COUNTIF($AW$8:$AW$1007,$AW566)&gt;1)," / 승인번호 중복(두 번 붙여넣기?)","")&amp;IF(ABS($AU566-ROUND($AT566*0.1,0))&gt;설정!$B$8,IF($AU566=0," / 세액 0원(영세율·면세 여부 확인)"," / 세액이 공급가액 10%와 다름"),"")&amp;IF($BB566="수정"," / 수정세금계산서(합계에서 자동 가감)",""),4,200))</f>
        <v/>
      </c>
      <c r="BD566" s="2">
        <f>IF($BA566&lt;&gt;"포함","",IF(COUNTIFS($AX$8:$AX566,$AX566,$BA$8:$BA566,"포함")=1,MAX($BD$7:BD565)+1,""))</f>
        <v/>
      </c>
      <c r="BE566" s="2">
        <f>IF($BC566="","",MAX($BE$7:BE565)+1)</f>
        <v/>
      </c>
    </row>
    <row r="567">
      <c r="AR567" s="2">
        <f>IF(OR($A$5="",$B$6="",ROW()&lt;$A$5),"",IF(INDEX($A:$AP,ROW(),$B$6)="","",INDEX($A:$AP,ROW(),$B$6)))</f>
        <v/>
      </c>
      <c r="AS567" s="22">
        <f>IF($AR567="","",IF(ISNUMBER($AR567),IF($AR567&gt;=10000000,IFERROR(DATE(INT($AR567/10000),MOD(INT($AR567/100),100),MOD($AR567,100)),""),INT($AR567)),IFERROR(DATE(--LEFT(LEFT(SUBSTITUTE(SUBSTITUTE(SUBSTITUTE(SUBSTITUTE(TRIM($AR567),"-",""),".",""),"/","")," ",""),8),4),--MID(LEFT(SUBSTITUTE(SUBSTITUTE(SUBSTITUTE(SUBSTITUTE(TRIM($AR567),"-",""),".",""),"/","")," ",""),8),5,2),--MID(LEFT(SUBSTITUTE(SUBSTITUTE(SUBSTITUTE(SUBSTITUTE(TRIM($AR567),"-",""),".",""),"/","")," ",""),8),7,2)),"")))</f>
        <v/>
      </c>
      <c r="AT567" s="23">
        <f>IF($AS567="","",IF($F$6="",0,IF(ISNUMBER(INDEX($A:$AP,ROW(),$F$6)),INDEX($A:$AP,ROW(),$F$6),IFERROR(--SUBSTITUTE(SUBSTITUTE(TRIM(INDEX($A:$AP,ROW(),$F$6)),",",""),"원",""),0))))</f>
        <v/>
      </c>
      <c r="AU567" s="23">
        <f>IF($AS567="","",IF($G$6="",0,IF(ISNUMBER(INDEX($A:$AP,ROW(),$G$6)),INDEX($A:$AP,ROW(),$G$6),IFERROR(--SUBSTITUTE(SUBSTITUTE(TRIM(INDEX($A:$AP,ROW(),$G$6)),",",""),"원",""),0))))</f>
        <v/>
      </c>
      <c r="AV567" s="23">
        <f>IF($AS567="","",IF($H$6="",$AT567+$AU567,IF($H$6="",0,IF(ISNUMBER(INDEX($A:$AP,ROW(),$H$6)),INDEX($A:$AP,ROW(),$H$6),IFERROR(--SUBSTITUTE(SUBSTITUTE(TRIM(INDEX($A:$AP,ROW(),$H$6)),",",""),"원",""),0)))))</f>
        <v/>
      </c>
      <c r="AW567" s="2">
        <f>IF(OR($AS567="",$C$6=""),"",TRIM(INDEX($A:$AP,ROW(),$C$6)&amp;""))</f>
        <v/>
      </c>
      <c r="AX567" s="2">
        <f>IF($AS567="","",IF($AZ567&lt;&gt;"",SUBSTITUTE(SUBSTITUTE($AZ567,"-","")," ",""),$AY567))</f>
        <v/>
      </c>
      <c r="AY567" s="2">
        <f>IF(OR($AS567="",$E$6=""),"",TRIM(INDEX($A:$AP,ROW(),$E$6)&amp;""))</f>
        <v/>
      </c>
      <c r="AZ567" s="2">
        <f>IF(OR($AS567="",$D$6=""),"",TRIM(INDEX($A:$AP,ROW(),$D$6)&amp;""))</f>
        <v/>
      </c>
      <c r="BA567" s="2">
        <f>IF($AS567="","",IF(AND($AS567&gt;=설정!$B$10,$AS567&lt;=설정!$B$11),"포함","기간 밖"))</f>
        <v/>
      </c>
      <c r="BB567" s="2">
        <f>IF($AS567="","",IF(OR($AT567&lt;0,AND($I$6&lt;&gt;"",ISNUMBER(FIND("수정",INDEX($A:$AP,ROW(),IF($I$6="",1,$I$6))&amp;"")))),"수정","일반"))</f>
        <v/>
      </c>
      <c r="BC567" s="2">
        <f>IF($AS567="","",MID(IF($BA567="기간 밖"," / 기간 밖(신고기간 아님)","")&amp;IF(AND($AW567&lt;&gt;"",COUNTIF($AW$8:$AW$1007,$AW567)&gt;1)," / 승인번호 중복(두 번 붙여넣기?)","")&amp;IF(ABS($AU567-ROUND($AT567*0.1,0))&gt;설정!$B$8,IF($AU567=0," / 세액 0원(영세율·면세 여부 확인)"," / 세액이 공급가액 10%와 다름"),"")&amp;IF($BB567="수정"," / 수정세금계산서(합계에서 자동 가감)",""),4,200))</f>
        <v/>
      </c>
      <c r="BD567" s="2">
        <f>IF($BA567&lt;&gt;"포함","",IF(COUNTIFS($AX$8:$AX567,$AX567,$BA$8:$BA567,"포함")=1,MAX($BD$7:BD566)+1,""))</f>
        <v/>
      </c>
      <c r="BE567" s="2">
        <f>IF($BC567="","",MAX($BE$7:BE566)+1)</f>
        <v/>
      </c>
    </row>
    <row r="568">
      <c r="AR568" s="2">
        <f>IF(OR($A$5="",$B$6="",ROW()&lt;$A$5),"",IF(INDEX($A:$AP,ROW(),$B$6)="","",INDEX($A:$AP,ROW(),$B$6)))</f>
        <v/>
      </c>
      <c r="AS568" s="22">
        <f>IF($AR568="","",IF(ISNUMBER($AR568),IF($AR568&gt;=10000000,IFERROR(DATE(INT($AR568/10000),MOD(INT($AR568/100),100),MOD($AR568,100)),""),INT($AR568)),IFERROR(DATE(--LEFT(LEFT(SUBSTITUTE(SUBSTITUTE(SUBSTITUTE(SUBSTITUTE(TRIM($AR568),"-",""),".",""),"/","")," ",""),8),4),--MID(LEFT(SUBSTITUTE(SUBSTITUTE(SUBSTITUTE(SUBSTITUTE(TRIM($AR568),"-",""),".",""),"/","")," ",""),8),5,2),--MID(LEFT(SUBSTITUTE(SUBSTITUTE(SUBSTITUTE(SUBSTITUTE(TRIM($AR568),"-",""),".",""),"/","")," ",""),8),7,2)),"")))</f>
        <v/>
      </c>
      <c r="AT568" s="23">
        <f>IF($AS568="","",IF($F$6="",0,IF(ISNUMBER(INDEX($A:$AP,ROW(),$F$6)),INDEX($A:$AP,ROW(),$F$6),IFERROR(--SUBSTITUTE(SUBSTITUTE(TRIM(INDEX($A:$AP,ROW(),$F$6)),",",""),"원",""),0))))</f>
        <v/>
      </c>
      <c r="AU568" s="23">
        <f>IF($AS568="","",IF($G$6="",0,IF(ISNUMBER(INDEX($A:$AP,ROW(),$G$6)),INDEX($A:$AP,ROW(),$G$6),IFERROR(--SUBSTITUTE(SUBSTITUTE(TRIM(INDEX($A:$AP,ROW(),$G$6)),",",""),"원",""),0))))</f>
        <v/>
      </c>
      <c r="AV568" s="23">
        <f>IF($AS568="","",IF($H$6="",$AT568+$AU568,IF($H$6="",0,IF(ISNUMBER(INDEX($A:$AP,ROW(),$H$6)),INDEX($A:$AP,ROW(),$H$6),IFERROR(--SUBSTITUTE(SUBSTITUTE(TRIM(INDEX($A:$AP,ROW(),$H$6)),",",""),"원",""),0)))))</f>
        <v/>
      </c>
      <c r="AW568" s="2">
        <f>IF(OR($AS568="",$C$6=""),"",TRIM(INDEX($A:$AP,ROW(),$C$6)&amp;""))</f>
        <v/>
      </c>
      <c r="AX568" s="2">
        <f>IF($AS568="","",IF($AZ568&lt;&gt;"",SUBSTITUTE(SUBSTITUTE($AZ568,"-","")," ",""),$AY568))</f>
        <v/>
      </c>
      <c r="AY568" s="2">
        <f>IF(OR($AS568="",$E$6=""),"",TRIM(INDEX($A:$AP,ROW(),$E$6)&amp;""))</f>
        <v/>
      </c>
      <c r="AZ568" s="2">
        <f>IF(OR($AS568="",$D$6=""),"",TRIM(INDEX($A:$AP,ROW(),$D$6)&amp;""))</f>
        <v/>
      </c>
      <c r="BA568" s="2">
        <f>IF($AS568="","",IF(AND($AS568&gt;=설정!$B$10,$AS568&lt;=설정!$B$11),"포함","기간 밖"))</f>
        <v/>
      </c>
      <c r="BB568" s="2">
        <f>IF($AS568="","",IF(OR($AT568&lt;0,AND($I$6&lt;&gt;"",ISNUMBER(FIND("수정",INDEX($A:$AP,ROW(),IF($I$6="",1,$I$6))&amp;"")))),"수정","일반"))</f>
        <v/>
      </c>
      <c r="BC568" s="2">
        <f>IF($AS568="","",MID(IF($BA568="기간 밖"," / 기간 밖(신고기간 아님)","")&amp;IF(AND($AW568&lt;&gt;"",COUNTIF($AW$8:$AW$1007,$AW568)&gt;1)," / 승인번호 중복(두 번 붙여넣기?)","")&amp;IF(ABS($AU568-ROUND($AT568*0.1,0))&gt;설정!$B$8,IF($AU568=0," / 세액 0원(영세율·면세 여부 확인)"," / 세액이 공급가액 10%와 다름"),"")&amp;IF($BB568="수정"," / 수정세금계산서(합계에서 자동 가감)",""),4,200))</f>
        <v/>
      </c>
      <c r="BD568" s="2">
        <f>IF($BA568&lt;&gt;"포함","",IF(COUNTIFS($AX$8:$AX568,$AX568,$BA$8:$BA568,"포함")=1,MAX($BD$7:BD567)+1,""))</f>
        <v/>
      </c>
      <c r="BE568" s="2">
        <f>IF($BC568="","",MAX($BE$7:BE567)+1)</f>
        <v/>
      </c>
    </row>
    <row r="569">
      <c r="AR569" s="2">
        <f>IF(OR($A$5="",$B$6="",ROW()&lt;$A$5),"",IF(INDEX($A:$AP,ROW(),$B$6)="","",INDEX($A:$AP,ROW(),$B$6)))</f>
        <v/>
      </c>
      <c r="AS569" s="22">
        <f>IF($AR569="","",IF(ISNUMBER($AR569),IF($AR569&gt;=10000000,IFERROR(DATE(INT($AR569/10000),MOD(INT($AR569/100),100),MOD($AR569,100)),""),INT($AR569)),IFERROR(DATE(--LEFT(LEFT(SUBSTITUTE(SUBSTITUTE(SUBSTITUTE(SUBSTITUTE(TRIM($AR569),"-",""),".",""),"/","")," ",""),8),4),--MID(LEFT(SUBSTITUTE(SUBSTITUTE(SUBSTITUTE(SUBSTITUTE(TRIM($AR569),"-",""),".",""),"/","")," ",""),8),5,2),--MID(LEFT(SUBSTITUTE(SUBSTITUTE(SUBSTITUTE(SUBSTITUTE(TRIM($AR569),"-",""),".",""),"/","")," ",""),8),7,2)),"")))</f>
        <v/>
      </c>
      <c r="AT569" s="23">
        <f>IF($AS569="","",IF($F$6="",0,IF(ISNUMBER(INDEX($A:$AP,ROW(),$F$6)),INDEX($A:$AP,ROW(),$F$6),IFERROR(--SUBSTITUTE(SUBSTITUTE(TRIM(INDEX($A:$AP,ROW(),$F$6)),",",""),"원",""),0))))</f>
        <v/>
      </c>
      <c r="AU569" s="23">
        <f>IF($AS569="","",IF($G$6="",0,IF(ISNUMBER(INDEX($A:$AP,ROW(),$G$6)),INDEX($A:$AP,ROW(),$G$6),IFERROR(--SUBSTITUTE(SUBSTITUTE(TRIM(INDEX($A:$AP,ROW(),$G$6)),",",""),"원",""),0))))</f>
        <v/>
      </c>
      <c r="AV569" s="23">
        <f>IF($AS569="","",IF($H$6="",$AT569+$AU569,IF($H$6="",0,IF(ISNUMBER(INDEX($A:$AP,ROW(),$H$6)),INDEX($A:$AP,ROW(),$H$6),IFERROR(--SUBSTITUTE(SUBSTITUTE(TRIM(INDEX($A:$AP,ROW(),$H$6)),",",""),"원",""),0)))))</f>
        <v/>
      </c>
      <c r="AW569" s="2">
        <f>IF(OR($AS569="",$C$6=""),"",TRIM(INDEX($A:$AP,ROW(),$C$6)&amp;""))</f>
        <v/>
      </c>
      <c r="AX569" s="2">
        <f>IF($AS569="","",IF($AZ569&lt;&gt;"",SUBSTITUTE(SUBSTITUTE($AZ569,"-","")," ",""),$AY569))</f>
        <v/>
      </c>
      <c r="AY569" s="2">
        <f>IF(OR($AS569="",$E$6=""),"",TRIM(INDEX($A:$AP,ROW(),$E$6)&amp;""))</f>
        <v/>
      </c>
      <c r="AZ569" s="2">
        <f>IF(OR($AS569="",$D$6=""),"",TRIM(INDEX($A:$AP,ROW(),$D$6)&amp;""))</f>
        <v/>
      </c>
      <c r="BA569" s="2">
        <f>IF($AS569="","",IF(AND($AS569&gt;=설정!$B$10,$AS569&lt;=설정!$B$11),"포함","기간 밖"))</f>
        <v/>
      </c>
      <c r="BB569" s="2">
        <f>IF($AS569="","",IF(OR($AT569&lt;0,AND($I$6&lt;&gt;"",ISNUMBER(FIND("수정",INDEX($A:$AP,ROW(),IF($I$6="",1,$I$6))&amp;"")))),"수정","일반"))</f>
        <v/>
      </c>
      <c r="BC569" s="2">
        <f>IF($AS569="","",MID(IF($BA569="기간 밖"," / 기간 밖(신고기간 아님)","")&amp;IF(AND($AW569&lt;&gt;"",COUNTIF($AW$8:$AW$1007,$AW569)&gt;1)," / 승인번호 중복(두 번 붙여넣기?)","")&amp;IF(ABS($AU569-ROUND($AT569*0.1,0))&gt;설정!$B$8,IF($AU569=0," / 세액 0원(영세율·면세 여부 확인)"," / 세액이 공급가액 10%와 다름"),"")&amp;IF($BB569="수정"," / 수정세금계산서(합계에서 자동 가감)",""),4,200))</f>
        <v/>
      </c>
      <c r="BD569" s="2">
        <f>IF($BA569&lt;&gt;"포함","",IF(COUNTIFS($AX$8:$AX569,$AX569,$BA$8:$BA569,"포함")=1,MAX($BD$7:BD568)+1,""))</f>
        <v/>
      </c>
      <c r="BE569" s="2">
        <f>IF($BC569="","",MAX($BE$7:BE568)+1)</f>
        <v/>
      </c>
    </row>
    <row r="570">
      <c r="AR570" s="2">
        <f>IF(OR($A$5="",$B$6="",ROW()&lt;$A$5),"",IF(INDEX($A:$AP,ROW(),$B$6)="","",INDEX($A:$AP,ROW(),$B$6)))</f>
        <v/>
      </c>
      <c r="AS570" s="22">
        <f>IF($AR570="","",IF(ISNUMBER($AR570),IF($AR570&gt;=10000000,IFERROR(DATE(INT($AR570/10000),MOD(INT($AR570/100),100),MOD($AR570,100)),""),INT($AR570)),IFERROR(DATE(--LEFT(LEFT(SUBSTITUTE(SUBSTITUTE(SUBSTITUTE(SUBSTITUTE(TRIM($AR570),"-",""),".",""),"/","")," ",""),8),4),--MID(LEFT(SUBSTITUTE(SUBSTITUTE(SUBSTITUTE(SUBSTITUTE(TRIM($AR570),"-",""),".",""),"/","")," ",""),8),5,2),--MID(LEFT(SUBSTITUTE(SUBSTITUTE(SUBSTITUTE(SUBSTITUTE(TRIM($AR570),"-",""),".",""),"/","")," ",""),8),7,2)),"")))</f>
        <v/>
      </c>
      <c r="AT570" s="23">
        <f>IF($AS570="","",IF($F$6="",0,IF(ISNUMBER(INDEX($A:$AP,ROW(),$F$6)),INDEX($A:$AP,ROW(),$F$6),IFERROR(--SUBSTITUTE(SUBSTITUTE(TRIM(INDEX($A:$AP,ROW(),$F$6)),",",""),"원",""),0))))</f>
        <v/>
      </c>
      <c r="AU570" s="23">
        <f>IF($AS570="","",IF($G$6="",0,IF(ISNUMBER(INDEX($A:$AP,ROW(),$G$6)),INDEX($A:$AP,ROW(),$G$6),IFERROR(--SUBSTITUTE(SUBSTITUTE(TRIM(INDEX($A:$AP,ROW(),$G$6)),",",""),"원",""),0))))</f>
        <v/>
      </c>
      <c r="AV570" s="23">
        <f>IF($AS570="","",IF($H$6="",$AT570+$AU570,IF($H$6="",0,IF(ISNUMBER(INDEX($A:$AP,ROW(),$H$6)),INDEX($A:$AP,ROW(),$H$6),IFERROR(--SUBSTITUTE(SUBSTITUTE(TRIM(INDEX($A:$AP,ROW(),$H$6)),",",""),"원",""),0)))))</f>
        <v/>
      </c>
      <c r="AW570" s="2">
        <f>IF(OR($AS570="",$C$6=""),"",TRIM(INDEX($A:$AP,ROW(),$C$6)&amp;""))</f>
        <v/>
      </c>
      <c r="AX570" s="2">
        <f>IF($AS570="","",IF($AZ570&lt;&gt;"",SUBSTITUTE(SUBSTITUTE($AZ570,"-","")," ",""),$AY570))</f>
        <v/>
      </c>
      <c r="AY570" s="2">
        <f>IF(OR($AS570="",$E$6=""),"",TRIM(INDEX($A:$AP,ROW(),$E$6)&amp;""))</f>
        <v/>
      </c>
      <c r="AZ570" s="2">
        <f>IF(OR($AS570="",$D$6=""),"",TRIM(INDEX($A:$AP,ROW(),$D$6)&amp;""))</f>
        <v/>
      </c>
      <c r="BA570" s="2">
        <f>IF($AS570="","",IF(AND($AS570&gt;=설정!$B$10,$AS570&lt;=설정!$B$11),"포함","기간 밖"))</f>
        <v/>
      </c>
      <c r="BB570" s="2">
        <f>IF($AS570="","",IF(OR($AT570&lt;0,AND($I$6&lt;&gt;"",ISNUMBER(FIND("수정",INDEX($A:$AP,ROW(),IF($I$6="",1,$I$6))&amp;"")))),"수정","일반"))</f>
        <v/>
      </c>
      <c r="BC570" s="2">
        <f>IF($AS570="","",MID(IF($BA570="기간 밖"," / 기간 밖(신고기간 아님)","")&amp;IF(AND($AW570&lt;&gt;"",COUNTIF($AW$8:$AW$1007,$AW570)&gt;1)," / 승인번호 중복(두 번 붙여넣기?)","")&amp;IF(ABS($AU570-ROUND($AT570*0.1,0))&gt;설정!$B$8,IF($AU570=0," / 세액 0원(영세율·면세 여부 확인)"," / 세액이 공급가액 10%와 다름"),"")&amp;IF($BB570="수정"," / 수정세금계산서(합계에서 자동 가감)",""),4,200))</f>
        <v/>
      </c>
      <c r="BD570" s="2">
        <f>IF($BA570&lt;&gt;"포함","",IF(COUNTIFS($AX$8:$AX570,$AX570,$BA$8:$BA570,"포함")=1,MAX($BD$7:BD569)+1,""))</f>
        <v/>
      </c>
      <c r="BE570" s="2">
        <f>IF($BC570="","",MAX($BE$7:BE569)+1)</f>
        <v/>
      </c>
    </row>
    <row r="571">
      <c r="AR571" s="2">
        <f>IF(OR($A$5="",$B$6="",ROW()&lt;$A$5),"",IF(INDEX($A:$AP,ROW(),$B$6)="","",INDEX($A:$AP,ROW(),$B$6)))</f>
        <v/>
      </c>
      <c r="AS571" s="22">
        <f>IF($AR571="","",IF(ISNUMBER($AR571),IF($AR571&gt;=10000000,IFERROR(DATE(INT($AR571/10000),MOD(INT($AR571/100),100),MOD($AR571,100)),""),INT($AR571)),IFERROR(DATE(--LEFT(LEFT(SUBSTITUTE(SUBSTITUTE(SUBSTITUTE(SUBSTITUTE(TRIM($AR571),"-",""),".",""),"/","")," ",""),8),4),--MID(LEFT(SUBSTITUTE(SUBSTITUTE(SUBSTITUTE(SUBSTITUTE(TRIM($AR571),"-",""),".",""),"/","")," ",""),8),5,2),--MID(LEFT(SUBSTITUTE(SUBSTITUTE(SUBSTITUTE(SUBSTITUTE(TRIM($AR571),"-",""),".",""),"/","")," ",""),8),7,2)),"")))</f>
        <v/>
      </c>
      <c r="AT571" s="23">
        <f>IF($AS571="","",IF($F$6="",0,IF(ISNUMBER(INDEX($A:$AP,ROW(),$F$6)),INDEX($A:$AP,ROW(),$F$6),IFERROR(--SUBSTITUTE(SUBSTITUTE(TRIM(INDEX($A:$AP,ROW(),$F$6)),",",""),"원",""),0))))</f>
        <v/>
      </c>
      <c r="AU571" s="23">
        <f>IF($AS571="","",IF($G$6="",0,IF(ISNUMBER(INDEX($A:$AP,ROW(),$G$6)),INDEX($A:$AP,ROW(),$G$6),IFERROR(--SUBSTITUTE(SUBSTITUTE(TRIM(INDEX($A:$AP,ROW(),$G$6)),",",""),"원",""),0))))</f>
        <v/>
      </c>
      <c r="AV571" s="23">
        <f>IF($AS571="","",IF($H$6="",$AT571+$AU571,IF($H$6="",0,IF(ISNUMBER(INDEX($A:$AP,ROW(),$H$6)),INDEX($A:$AP,ROW(),$H$6),IFERROR(--SUBSTITUTE(SUBSTITUTE(TRIM(INDEX($A:$AP,ROW(),$H$6)),",",""),"원",""),0)))))</f>
        <v/>
      </c>
      <c r="AW571" s="2">
        <f>IF(OR($AS571="",$C$6=""),"",TRIM(INDEX($A:$AP,ROW(),$C$6)&amp;""))</f>
        <v/>
      </c>
      <c r="AX571" s="2">
        <f>IF($AS571="","",IF($AZ571&lt;&gt;"",SUBSTITUTE(SUBSTITUTE($AZ571,"-","")," ",""),$AY571))</f>
        <v/>
      </c>
      <c r="AY571" s="2">
        <f>IF(OR($AS571="",$E$6=""),"",TRIM(INDEX($A:$AP,ROW(),$E$6)&amp;""))</f>
        <v/>
      </c>
      <c r="AZ571" s="2">
        <f>IF(OR($AS571="",$D$6=""),"",TRIM(INDEX($A:$AP,ROW(),$D$6)&amp;""))</f>
        <v/>
      </c>
      <c r="BA571" s="2">
        <f>IF($AS571="","",IF(AND($AS571&gt;=설정!$B$10,$AS571&lt;=설정!$B$11),"포함","기간 밖"))</f>
        <v/>
      </c>
      <c r="BB571" s="2">
        <f>IF($AS571="","",IF(OR($AT571&lt;0,AND($I$6&lt;&gt;"",ISNUMBER(FIND("수정",INDEX($A:$AP,ROW(),IF($I$6="",1,$I$6))&amp;"")))),"수정","일반"))</f>
        <v/>
      </c>
      <c r="BC571" s="2">
        <f>IF($AS571="","",MID(IF($BA571="기간 밖"," / 기간 밖(신고기간 아님)","")&amp;IF(AND($AW571&lt;&gt;"",COUNTIF($AW$8:$AW$1007,$AW571)&gt;1)," / 승인번호 중복(두 번 붙여넣기?)","")&amp;IF(ABS($AU571-ROUND($AT571*0.1,0))&gt;설정!$B$8,IF($AU571=0," / 세액 0원(영세율·면세 여부 확인)"," / 세액이 공급가액 10%와 다름"),"")&amp;IF($BB571="수정"," / 수정세금계산서(합계에서 자동 가감)",""),4,200))</f>
        <v/>
      </c>
      <c r="BD571" s="2">
        <f>IF($BA571&lt;&gt;"포함","",IF(COUNTIFS($AX$8:$AX571,$AX571,$BA$8:$BA571,"포함")=1,MAX($BD$7:BD570)+1,""))</f>
        <v/>
      </c>
      <c r="BE571" s="2">
        <f>IF($BC571="","",MAX($BE$7:BE570)+1)</f>
        <v/>
      </c>
    </row>
    <row r="572">
      <c r="AR572" s="2">
        <f>IF(OR($A$5="",$B$6="",ROW()&lt;$A$5),"",IF(INDEX($A:$AP,ROW(),$B$6)="","",INDEX($A:$AP,ROW(),$B$6)))</f>
        <v/>
      </c>
      <c r="AS572" s="22">
        <f>IF($AR572="","",IF(ISNUMBER($AR572),IF($AR572&gt;=10000000,IFERROR(DATE(INT($AR572/10000),MOD(INT($AR572/100),100),MOD($AR572,100)),""),INT($AR572)),IFERROR(DATE(--LEFT(LEFT(SUBSTITUTE(SUBSTITUTE(SUBSTITUTE(SUBSTITUTE(TRIM($AR572),"-",""),".",""),"/","")," ",""),8),4),--MID(LEFT(SUBSTITUTE(SUBSTITUTE(SUBSTITUTE(SUBSTITUTE(TRIM($AR572),"-",""),".",""),"/","")," ",""),8),5,2),--MID(LEFT(SUBSTITUTE(SUBSTITUTE(SUBSTITUTE(SUBSTITUTE(TRIM($AR572),"-",""),".",""),"/","")," ",""),8),7,2)),"")))</f>
        <v/>
      </c>
      <c r="AT572" s="23">
        <f>IF($AS572="","",IF($F$6="",0,IF(ISNUMBER(INDEX($A:$AP,ROW(),$F$6)),INDEX($A:$AP,ROW(),$F$6),IFERROR(--SUBSTITUTE(SUBSTITUTE(TRIM(INDEX($A:$AP,ROW(),$F$6)),",",""),"원",""),0))))</f>
        <v/>
      </c>
      <c r="AU572" s="23">
        <f>IF($AS572="","",IF($G$6="",0,IF(ISNUMBER(INDEX($A:$AP,ROW(),$G$6)),INDEX($A:$AP,ROW(),$G$6),IFERROR(--SUBSTITUTE(SUBSTITUTE(TRIM(INDEX($A:$AP,ROW(),$G$6)),",",""),"원",""),0))))</f>
        <v/>
      </c>
      <c r="AV572" s="23">
        <f>IF($AS572="","",IF($H$6="",$AT572+$AU572,IF($H$6="",0,IF(ISNUMBER(INDEX($A:$AP,ROW(),$H$6)),INDEX($A:$AP,ROW(),$H$6),IFERROR(--SUBSTITUTE(SUBSTITUTE(TRIM(INDEX($A:$AP,ROW(),$H$6)),",",""),"원",""),0)))))</f>
        <v/>
      </c>
      <c r="AW572" s="2">
        <f>IF(OR($AS572="",$C$6=""),"",TRIM(INDEX($A:$AP,ROW(),$C$6)&amp;""))</f>
        <v/>
      </c>
      <c r="AX572" s="2">
        <f>IF($AS572="","",IF($AZ572&lt;&gt;"",SUBSTITUTE(SUBSTITUTE($AZ572,"-","")," ",""),$AY572))</f>
        <v/>
      </c>
      <c r="AY572" s="2">
        <f>IF(OR($AS572="",$E$6=""),"",TRIM(INDEX($A:$AP,ROW(),$E$6)&amp;""))</f>
        <v/>
      </c>
      <c r="AZ572" s="2">
        <f>IF(OR($AS572="",$D$6=""),"",TRIM(INDEX($A:$AP,ROW(),$D$6)&amp;""))</f>
        <v/>
      </c>
      <c r="BA572" s="2">
        <f>IF($AS572="","",IF(AND($AS572&gt;=설정!$B$10,$AS572&lt;=설정!$B$11),"포함","기간 밖"))</f>
        <v/>
      </c>
      <c r="BB572" s="2">
        <f>IF($AS572="","",IF(OR($AT572&lt;0,AND($I$6&lt;&gt;"",ISNUMBER(FIND("수정",INDEX($A:$AP,ROW(),IF($I$6="",1,$I$6))&amp;"")))),"수정","일반"))</f>
        <v/>
      </c>
      <c r="BC572" s="2">
        <f>IF($AS572="","",MID(IF($BA572="기간 밖"," / 기간 밖(신고기간 아님)","")&amp;IF(AND($AW572&lt;&gt;"",COUNTIF($AW$8:$AW$1007,$AW572)&gt;1)," / 승인번호 중복(두 번 붙여넣기?)","")&amp;IF(ABS($AU572-ROUND($AT572*0.1,0))&gt;설정!$B$8,IF($AU572=0," / 세액 0원(영세율·면세 여부 확인)"," / 세액이 공급가액 10%와 다름"),"")&amp;IF($BB572="수정"," / 수정세금계산서(합계에서 자동 가감)",""),4,200))</f>
        <v/>
      </c>
      <c r="BD572" s="2">
        <f>IF($BA572&lt;&gt;"포함","",IF(COUNTIFS($AX$8:$AX572,$AX572,$BA$8:$BA572,"포함")=1,MAX($BD$7:BD571)+1,""))</f>
        <v/>
      </c>
      <c r="BE572" s="2">
        <f>IF($BC572="","",MAX($BE$7:BE571)+1)</f>
        <v/>
      </c>
    </row>
    <row r="573">
      <c r="AR573" s="2">
        <f>IF(OR($A$5="",$B$6="",ROW()&lt;$A$5),"",IF(INDEX($A:$AP,ROW(),$B$6)="","",INDEX($A:$AP,ROW(),$B$6)))</f>
        <v/>
      </c>
      <c r="AS573" s="22">
        <f>IF($AR573="","",IF(ISNUMBER($AR573),IF($AR573&gt;=10000000,IFERROR(DATE(INT($AR573/10000),MOD(INT($AR573/100),100),MOD($AR573,100)),""),INT($AR573)),IFERROR(DATE(--LEFT(LEFT(SUBSTITUTE(SUBSTITUTE(SUBSTITUTE(SUBSTITUTE(TRIM($AR573),"-",""),".",""),"/","")," ",""),8),4),--MID(LEFT(SUBSTITUTE(SUBSTITUTE(SUBSTITUTE(SUBSTITUTE(TRIM($AR573),"-",""),".",""),"/","")," ",""),8),5,2),--MID(LEFT(SUBSTITUTE(SUBSTITUTE(SUBSTITUTE(SUBSTITUTE(TRIM($AR573),"-",""),".",""),"/","")," ",""),8),7,2)),"")))</f>
        <v/>
      </c>
      <c r="AT573" s="23">
        <f>IF($AS573="","",IF($F$6="",0,IF(ISNUMBER(INDEX($A:$AP,ROW(),$F$6)),INDEX($A:$AP,ROW(),$F$6),IFERROR(--SUBSTITUTE(SUBSTITUTE(TRIM(INDEX($A:$AP,ROW(),$F$6)),",",""),"원",""),0))))</f>
        <v/>
      </c>
      <c r="AU573" s="23">
        <f>IF($AS573="","",IF($G$6="",0,IF(ISNUMBER(INDEX($A:$AP,ROW(),$G$6)),INDEX($A:$AP,ROW(),$G$6),IFERROR(--SUBSTITUTE(SUBSTITUTE(TRIM(INDEX($A:$AP,ROW(),$G$6)),",",""),"원",""),0))))</f>
        <v/>
      </c>
      <c r="AV573" s="23">
        <f>IF($AS573="","",IF($H$6="",$AT573+$AU573,IF($H$6="",0,IF(ISNUMBER(INDEX($A:$AP,ROW(),$H$6)),INDEX($A:$AP,ROW(),$H$6),IFERROR(--SUBSTITUTE(SUBSTITUTE(TRIM(INDEX($A:$AP,ROW(),$H$6)),",",""),"원",""),0)))))</f>
        <v/>
      </c>
      <c r="AW573" s="2">
        <f>IF(OR($AS573="",$C$6=""),"",TRIM(INDEX($A:$AP,ROW(),$C$6)&amp;""))</f>
        <v/>
      </c>
      <c r="AX573" s="2">
        <f>IF($AS573="","",IF($AZ573&lt;&gt;"",SUBSTITUTE(SUBSTITUTE($AZ573,"-","")," ",""),$AY573))</f>
        <v/>
      </c>
      <c r="AY573" s="2">
        <f>IF(OR($AS573="",$E$6=""),"",TRIM(INDEX($A:$AP,ROW(),$E$6)&amp;""))</f>
        <v/>
      </c>
      <c r="AZ573" s="2">
        <f>IF(OR($AS573="",$D$6=""),"",TRIM(INDEX($A:$AP,ROW(),$D$6)&amp;""))</f>
        <v/>
      </c>
      <c r="BA573" s="2">
        <f>IF($AS573="","",IF(AND($AS573&gt;=설정!$B$10,$AS573&lt;=설정!$B$11),"포함","기간 밖"))</f>
        <v/>
      </c>
      <c r="BB573" s="2">
        <f>IF($AS573="","",IF(OR($AT573&lt;0,AND($I$6&lt;&gt;"",ISNUMBER(FIND("수정",INDEX($A:$AP,ROW(),IF($I$6="",1,$I$6))&amp;"")))),"수정","일반"))</f>
        <v/>
      </c>
      <c r="BC573" s="2">
        <f>IF($AS573="","",MID(IF($BA573="기간 밖"," / 기간 밖(신고기간 아님)","")&amp;IF(AND($AW573&lt;&gt;"",COUNTIF($AW$8:$AW$1007,$AW573)&gt;1)," / 승인번호 중복(두 번 붙여넣기?)","")&amp;IF(ABS($AU573-ROUND($AT573*0.1,0))&gt;설정!$B$8,IF($AU573=0," / 세액 0원(영세율·면세 여부 확인)"," / 세액이 공급가액 10%와 다름"),"")&amp;IF($BB573="수정"," / 수정세금계산서(합계에서 자동 가감)",""),4,200))</f>
        <v/>
      </c>
      <c r="BD573" s="2">
        <f>IF($BA573&lt;&gt;"포함","",IF(COUNTIFS($AX$8:$AX573,$AX573,$BA$8:$BA573,"포함")=1,MAX($BD$7:BD572)+1,""))</f>
        <v/>
      </c>
      <c r="BE573" s="2">
        <f>IF($BC573="","",MAX($BE$7:BE572)+1)</f>
        <v/>
      </c>
    </row>
    <row r="574">
      <c r="AR574" s="2">
        <f>IF(OR($A$5="",$B$6="",ROW()&lt;$A$5),"",IF(INDEX($A:$AP,ROW(),$B$6)="","",INDEX($A:$AP,ROW(),$B$6)))</f>
        <v/>
      </c>
      <c r="AS574" s="22">
        <f>IF($AR574="","",IF(ISNUMBER($AR574),IF($AR574&gt;=10000000,IFERROR(DATE(INT($AR574/10000),MOD(INT($AR574/100),100),MOD($AR574,100)),""),INT($AR574)),IFERROR(DATE(--LEFT(LEFT(SUBSTITUTE(SUBSTITUTE(SUBSTITUTE(SUBSTITUTE(TRIM($AR574),"-",""),".",""),"/","")," ",""),8),4),--MID(LEFT(SUBSTITUTE(SUBSTITUTE(SUBSTITUTE(SUBSTITUTE(TRIM($AR574),"-",""),".",""),"/","")," ",""),8),5,2),--MID(LEFT(SUBSTITUTE(SUBSTITUTE(SUBSTITUTE(SUBSTITUTE(TRIM($AR574),"-",""),".",""),"/","")," ",""),8),7,2)),"")))</f>
        <v/>
      </c>
      <c r="AT574" s="23">
        <f>IF($AS574="","",IF($F$6="",0,IF(ISNUMBER(INDEX($A:$AP,ROW(),$F$6)),INDEX($A:$AP,ROW(),$F$6),IFERROR(--SUBSTITUTE(SUBSTITUTE(TRIM(INDEX($A:$AP,ROW(),$F$6)),",",""),"원",""),0))))</f>
        <v/>
      </c>
      <c r="AU574" s="23">
        <f>IF($AS574="","",IF($G$6="",0,IF(ISNUMBER(INDEX($A:$AP,ROW(),$G$6)),INDEX($A:$AP,ROW(),$G$6),IFERROR(--SUBSTITUTE(SUBSTITUTE(TRIM(INDEX($A:$AP,ROW(),$G$6)),",",""),"원",""),0))))</f>
        <v/>
      </c>
      <c r="AV574" s="23">
        <f>IF($AS574="","",IF($H$6="",$AT574+$AU574,IF($H$6="",0,IF(ISNUMBER(INDEX($A:$AP,ROW(),$H$6)),INDEX($A:$AP,ROW(),$H$6),IFERROR(--SUBSTITUTE(SUBSTITUTE(TRIM(INDEX($A:$AP,ROW(),$H$6)),",",""),"원",""),0)))))</f>
        <v/>
      </c>
      <c r="AW574" s="2">
        <f>IF(OR($AS574="",$C$6=""),"",TRIM(INDEX($A:$AP,ROW(),$C$6)&amp;""))</f>
        <v/>
      </c>
      <c r="AX574" s="2">
        <f>IF($AS574="","",IF($AZ574&lt;&gt;"",SUBSTITUTE(SUBSTITUTE($AZ574,"-","")," ",""),$AY574))</f>
        <v/>
      </c>
      <c r="AY574" s="2">
        <f>IF(OR($AS574="",$E$6=""),"",TRIM(INDEX($A:$AP,ROW(),$E$6)&amp;""))</f>
        <v/>
      </c>
      <c r="AZ574" s="2">
        <f>IF(OR($AS574="",$D$6=""),"",TRIM(INDEX($A:$AP,ROW(),$D$6)&amp;""))</f>
        <v/>
      </c>
      <c r="BA574" s="2">
        <f>IF($AS574="","",IF(AND($AS574&gt;=설정!$B$10,$AS574&lt;=설정!$B$11),"포함","기간 밖"))</f>
        <v/>
      </c>
      <c r="BB574" s="2">
        <f>IF($AS574="","",IF(OR($AT574&lt;0,AND($I$6&lt;&gt;"",ISNUMBER(FIND("수정",INDEX($A:$AP,ROW(),IF($I$6="",1,$I$6))&amp;"")))),"수정","일반"))</f>
        <v/>
      </c>
      <c r="BC574" s="2">
        <f>IF($AS574="","",MID(IF($BA574="기간 밖"," / 기간 밖(신고기간 아님)","")&amp;IF(AND($AW574&lt;&gt;"",COUNTIF($AW$8:$AW$1007,$AW574)&gt;1)," / 승인번호 중복(두 번 붙여넣기?)","")&amp;IF(ABS($AU574-ROUND($AT574*0.1,0))&gt;설정!$B$8,IF($AU574=0," / 세액 0원(영세율·면세 여부 확인)"," / 세액이 공급가액 10%와 다름"),"")&amp;IF($BB574="수정"," / 수정세금계산서(합계에서 자동 가감)",""),4,200))</f>
        <v/>
      </c>
      <c r="BD574" s="2">
        <f>IF($BA574&lt;&gt;"포함","",IF(COUNTIFS($AX$8:$AX574,$AX574,$BA$8:$BA574,"포함")=1,MAX($BD$7:BD573)+1,""))</f>
        <v/>
      </c>
      <c r="BE574" s="2">
        <f>IF($BC574="","",MAX($BE$7:BE573)+1)</f>
        <v/>
      </c>
    </row>
    <row r="575">
      <c r="AR575" s="2">
        <f>IF(OR($A$5="",$B$6="",ROW()&lt;$A$5),"",IF(INDEX($A:$AP,ROW(),$B$6)="","",INDEX($A:$AP,ROW(),$B$6)))</f>
        <v/>
      </c>
      <c r="AS575" s="22">
        <f>IF($AR575="","",IF(ISNUMBER($AR575),IF($AR575&gt;=10000000,IFERROR(DATE(INT($AR575/10000),MOD(INT($AR575/100),100),MOD($AR575,100)),""),INT($AR575)),IFERROR(DATE(--LEFT(LEFT(SUBSTITUTE(SUBSTITUTE(SUBSTITUTE(SUBSTITUTE(TRIM($AR575),"-",""),".",""),"/","")," ",""),8),4),--MID(LEFT(SUBSTITUTE(SUBSTITUTE(SUBSTITUTE(SUBSTITUTE(TRIM($AR575),"-",""),".",""),"/","")," ",""),8),5,2),--MID(LEFT(SUBSTITUTE(SUBSTITUTE(SUBSTITUTE(SUBSTITUTE(TRIM($AR575),"-",""),".",""),"/","")," ",""),8),7,2)),"")))</f>
        <v/>
      </c>
      <c r="AT575" s="23">
        <f>IF($AS575="","",IF($F$6="",0,IF(ISNUMBER(INDEX($A:$AP,ROW(),$F$6)),INDEX($A:$AP,ROW(),$F$6),IFERROR(--SUBSTITUTE(SUBSTITUTE(TRIM(INDEX($A:$AP,ROW(),$F$6)),",",""),"원",""),0))))</f>
        <v/>
      </c>
      <c r="AU575" s="23">
        <f>IF($AS575="","",IF($G$6="",0,IF(ISNUMBER(INDEX($A:$AP,ROW(),$G$6)),INDEX($A:$AP,ROW(),$G$6),IFERROR(--SUBSTITUTE(SUBSTITUTE(TRIM(INDEX($A:$AP,ROW(),$G$6)),",",""),"원",""),0))))</f>
        <v/>
      </c>
      <c r="AV575" s="23">
        <f>IF($AS575="","",IF($H$6="",$AT575+$AU575,IF($H$6="",0,IF(ISNUMBER(INDEX($A:$AP,ROW(),$H$6)),INDEX($A:$AP,ROW(),$H$6),IFERROR(--SUBSTITUTE(SUBSTITUTE(TRIM(INDEX($A:$AP,ROW(),$H$6)),",",""),"원",""),0)))))</f>
        <v/>
      </c>
      <c r="AW575" s="2">
        <f>IF(OR($AS575="",$C$6=""),"",TRIM(INDEX($A:$AP,ROW(),$C$6)&amp;""))</f>
        <v/>
      </c>
      <c r="AX575" s="2">
        <f>IF($AS575="","",IF($AZ575&lt;&gt;"",SUBSTITUTE(SUBSTITUTE($AZ575,"-","")," ",""),$AY575))</f>
        <v/>
      </c>
      <c r="AY575" s="2">
        <f>IF(OR($AS575="",$E$6=""),"",TRIM(INDEX($A:$AP,ROW(),$E$6)&amp;""))</f>
        <v/>
      </c>
      <c r="AZ575" s="2">
        <f>IF(OR($AS575="",$D$6=""),"",TRIM(INDEX($A:$AP,ROW(),$D$6)&amp;""))</f>
        <v/>
      </c>
      <c r="BA575" s="2">
        <f>IF($AS575="","",IF(AND($AS575&gt;=설정!$B$10,$AS575&lt;=설정!$B$11),"포함","기간 밖"))</f>
        <v/>
      </c>
      <c r="BB575" s="2">
        <f>IF($AS575="","",IF(OR($AT575&lt;0,AND($I$6&lt;&gt;"",ISNUMBER(FIND("수정",INDEX($A:$AP,ROW(),IF($I$6="",1,$I$6))&amp;"")))),"수정","일반"))</f>
        <v/>
      </c>
      <c r="BC575" s="2">
        <f>IF($AS575="","",MID(IF($BA575="기간 밖"," / 기간 밖(신고기간 아님)","")&amp;IF(AND($AW575&lt;&gt;"",COUNTIF($AW$8:$AW$1007,$AW575)&gt;1)," / 승인번호 중복(두 번 붙여넣기?)","")&amp;IF(ABS($AU575-ROUND($AT575*0.1,0))&gt;설정!$B$8,IF($AU575=0," / 세액 0원(영세율·면세 여부 확인)"," / 세액이 공급가액 10%와 다름"),"")&amp;IF($BB575="수정"," / 수정세금계산서(합계에서 자동 가감)",""),4,200))</f>
        <v/>
      </c>
      <c r="BD575" s="2">
        <f>IF($BA575&lt;&gt;"포함","",IF(COUNTIFS($AX$8:$AX575,$AX575,$BA$8:$BA575,"포함")=1,MAX($BD$7:BD574)+1,""))</f>
        <v/>
      </c>
      <c r="BE575" s="2">
        <f>IF($BC575="","",MAX($BE$7:BE574)+1)</f>
        <v/>
      </c>
    </row>
    <row r="576">
      <c r="AR576" s="2">
        <f>IF(OR($A$5="",$B$6="",ROW()&lt;$A$5),"",IF(INDEX($A:$AP,ROW(),$B$6)="","",INDEX($A:$AP,ROW(),$B$6)))</f>
        <v/>
      </c>
      <c r="AS576" s="22">
        <f>IF($AR576="","",IF(ISNUMBER($AR576),IF($AR576&gt;=10000000,IFERROR(DATE(INT($AR576/10000),MOD(INT($AR576/100),100),MOD($AR576,100)),""),INT($AR576)),IFERROR(DATE(--LEFT(LEFT(SUBSTITUTE(SUBSTITUTE(SUBSTITUTE(SUBSTITUTE(TRIM($AR576),"-",""),".",""),"/","")," ",""),8),4),--MID(LEFT(SUBSTITUTE(SUBSTITUTE(SUBSTITUTE(SUBSTITUTE(TRIM($AR576),"-",""),".",""),"/","")," ",""),8),5,2),--MID(LEFT(SUBSTITUTE(SUBSTITUTE(SUBSTITUTE(SUBSTITUTE(TRIM($AR576),"-",""),".",""),"/","")," ",""),8),7,2)),"")))</f>
        <v/>
      </c>
      <c r="AT576" s="23">
        <f>IF($AS576="","",IF($F$6="",0,IF(ISNUMBER(INDEX($A:$AP,ROW(),$F$6)),INDEX($A:$AP,ROW(),$F$6),IFERROR(--SUBSTITUTE(SUBSTITUTE(TRIM(INDEX($A:$AP,ROW(),$F$6)),",",""),"원",""),0))))</f>
        <v/>
      </c>
      <c r="AU576" s="23">
        <f>IF($AS576="","",IF($G$6="",0,IF(ISNUMBER(INDEX($A:$AP,ROW(),$G$6)),INDEX($A:$AP,ROW(),$G$6),IFERROR(--SUBSTITUTE(SUBSTITUTE(TRIM(INDEX($A:$AP,ROW(),$G$6)),",",""),"원",""),0))))</f>
        <v/>
      </c>
      <c r="AV576" s="23">
        <f>IF($AS576="","",IF($H$6="",$AT576+$AU576,IF($H$6="",0,IF(ISNUMBER(INDEX($A:$AP,ROW(),$H$6)),INDEX($A:$AP,ROW(),$H$6),IFERROR(--SUBSTITUTE(SUBSTITUTE(TRIM(INDEX($A:$AP,ROW(),$H$6)),",",""),"원",""),0)))))</f>
        <v/>
      </c>
      <c r="AW576" s="2">
        <f>IF(OR($AS576="",$C$6=""),"",TRIM(INDEX($A:$AP,ROW(),$C$6)&amp;""))</f>
        <v/>
      </c>
      <c r="AX576" s="2">
        <f>IF($AS576="","",IF($AZ576&lt;&gt;"",SUBSTITUTE(SUBSTITUTE($AZ576,"-","")," ",""),$AY576))</f>
        <v/>
      </c>
      <c r="AY576" s="2">
        <f>IF(OR($AS576="",$E$6=""),"",TRIM(INDEX($A:$AP,ROW(),$E$6)&amp;""))</f>
        <v/>
      </c>
      <c r="AZ576" s="2">
        <f>IF(OR($AS576="",$D$6=""),"",TRIM(INDEX($A:$AP,ROW(),$D$6)&amp;""))</f>
        <v/>
      </c>
      <c r="BA576" s="2">
        <f>IF($AS576="","",IF(AND($AS576&gt;=설정!$B$10,$AS576&lt;=설정!$B$11),"포함","기간 밖"))</f>
        <v/>
      </c>
      <c r="BB576" s="2">
        <f>IF($AS576="","",IF(OR($AT576&lt;0,AND($I$6&lt;&gt;"",ISNUMBER(FIND("수정",INDEX($A:$AP,ROW(),IF($I$6="",1,$I$6))&amp;"")))),"수정","일반"))</f>
        <v/>
      </c>
      <c r="BC576" s="2">
        <f>IF($AS576="","",MID(IF($BA576="기간 밖"," / 기간 밖(신고기간 아님)","")&amp;IF(AND($AW576&lt;&gt;"",COUNTIF($AW$8:$AW$1007,$AW576)&gt;1)," / 승인번호 중복(두 번 붙여넣기?)","")&amp;IF(ABS($AU576-ROUND($AT576*0.1,0))&gt;설정!$B$8,IF($AU576=0," / 세액 0원(영세율·면세 여부 확인)"," / 세액이 공급가액 10%와 다름"),"")&amp;IF($BB576="수정"," / 수정세금계산서(합계에서 자동 가감)",""),4,200))</f>
        <v/>
      </c>
      <c r="BD576" s="2">
        <f>IF($BA576&lt;&gt;"포함","",IF(COUNTIFS($AX$8:$AX576,$AX576,$BA$8:$BA576,"포함")=1,MAX($BD$7:BD575)+1,""))</f>
        <v/>
      </c>
      <c r="BE576" s="2">
        <f>IF($BC576="","",MAX($BE$7:BE575)+1)</f>
        <v/>
      </c>
    </row>
    <row r="577">
      <c r="AR577" s="2">
        <f>IF(OR($A$5="",$B$6="",ROW()&lt;$A$5),"",IF(INDEX($A:$AP,ROW(),$B$6)="","",INDEX($A:$AP,ROW(),$B$6)))</f>
        <v/>
      </c>
      <c r="AS577" s="22">
        <f>IF($AR577="","",IF(ISNUMBER($AR577),IF($AR577&gt;=10000000,IFERROR(DATE(INT($AR577/10000),MOD(INT($AR577/100),100),MOD($AR577,100)),""),INT($AR577)),IFERROR(DATE(--LEFT(LEFT(SUBSTITUTE(SUBSTITUTE(SUBSTITUTE(SUBSTITUTE(TRIM($AR577),"-",""),".",""),"/","")," ",""),8),4),--MID(LEFT(SUBSTITUTE(SUBSTITUTE(SUBSTITUTE(SUBSTITUTE(TRIM($AR577),"-",""),".",""),"/","")," ",""),8),5,2),--MID(LEFT(SUBSTITUTE(SUBSTITUTE(SUBSTITUTE(SUBSTITUTE(TRIM($AR577),"-",""),".",""),"/","")," ",""),8),7,2)),"")))</f>
        <v/>
      </c>
      <c r="AT577" s="23">
        <f>IF($AS577="","",IF($F$6="",0,IF(ISNUMBER(INDEX($A:$AP,ROW(),$F$6)),INDEX($A:$AP,ROW(),$F$6),IFERROR(--SUBSTITUTE(SUBSTITUTE(TRIM(INDEX($A:$AP,ROW(),$F$6)),",",""),"원",""),0))))</f>
        <v/>
      </c>
      <c r="AU577" s="23">
        <f>IF($AS577="","",IF($G$6="",0,IF(ISNUMBER(INDEX($A:$AP,ROW(),$G$6)),INDEX($A:$AP,ROW(),$G$6),IFERROR(--SUBSTITUTE(SUBSTITUTE(TRIM(INDEX($A:$AP,ROW(),$G$6)),",",""),"원",""),0))))</f>
        <v/>
      </c>
      <c r="AV577" s="23">
        <f>IF($AS577="","",IF($H$6="",$AT577+$AU577,IF($H$6="",0,IF(ISNUMBER(INDEX($A:$AP,ROW(),$H$6)),INDEX($A:$AP,ROW(),$H$6),IFERROR(--SUBSTITUTE(SUBSTITUTE(TRIM(INDEX($A:$AP,ROW(),$H$6)),",",""),"원",""),0)))))</f>
        <v/>
      </c>
      <c r="AW577" s="2">
        <f>IF(OR($AS577="",$C$6=""),"",TRIM(INDEX($A:$AP,ROW(),$C$6)&amp;""))</f>
        <v/>
      </c>
      <c r="AX577" s="2">
        <f>IF($AS577="","",IF($AZ577&lt;&gt;"",SUBSTITUTE(SUBSTITUTE($AZ577,"-","")," ",""),$AY577))</f>
        <v/>
      </c>
      <c r="AY577" s="2">
        <f>IF(OR($AS577="",$E$6=""),"",TRIM(INDEX($A:$AP,ROW(),$E$6)&amp;""))</f>
        <v/>
      </c>
      <c r="AZ577" s="2">
        <f>IF(OR($AS577="",$D$6=""),"",TRIM(INDEX($A:$AP,ROW(),$D$6)&amp;""))</f>
        <v/>
      </c>
      <c r="BA577" s="2">
        <f>IF($AS577="","",IF(AND($AS577&gt;=설정!$B$10,$AS577&lt;=설정!$B$11),"포함","기간 밖"))</f>
        <v/>
      </c>
      <c r="BB577" s="2">
        <f>IF($AS577="","",IF(OR($AT577&lt;0,AND($I$6&lt;&gt;"",ISNUMBER(FIND("수정",INDEX($A:$AP,ROW(),IF($I$6="",1,$I$6))&amp;"")))),"수정","일반"))</f>
        <v/>
      </c>
      <c r="BC577" s="2">
        <f>IF($AS577="","",MID(IF($BA577="기간 밖"," / 기간 밖(신고기간 아님)","")&amp;IF(AND($AW577&lt;&gt;"",COUNTIF($AW$8:$AW$1007,$AW577)&gt;1)," / 승인번호 중복(두 번 붙여넣기?)","")&amp;IF(ABS($AU577-ROUND($AT577*0.1,0))&gt;설정!$B$8,IF($AU577=0," / 세액 0원(영세율·면세 여부 확인)"," / 세액이 공급가액 10%와 다름"),"")&amp;IF($BB577="수정"," / 수정세금계산서(합계에서 자동 가감)",""),4,200))</f>
        <v/>
      </c>
      <c r="BD577" s="2">
        <f>IF($BA577&lt;&gt;"포함","",IF(COUNTIFS($AX$8:$AX577,$AX577,$BA$8:$BA577,"포함")=1,MAX($BD$7:BD576)+1,""))</f>
        <v/>
      </c>
      <c r="BE577" s="2">
        <f>IF($BC577="","",MAX($BE$7:BE576)+1)</f>
        <v/>
      </c>
    </row>
    <row r="578">
      <c r="AR578" s="2">
        <f>IF(OR($A$5="",$B$6="",ROW()&lt;$A$5),"",IF(INDEX($A:$AP,ROW(),$B$6)="","",INDEX($A:$AP,ROW(),$B$6)))</f>
        <v/>
      </c>
      <c r="AS578" s="22">
        <f>IF($AR578="","",IF(ISNUMBER($AR578),IF($AR578&gt;=10000000,IFERROR(DATE(INT($AR578/10000),MOD(INT($AR578/100),100),MOD($AR578,100)),""),INT($AR578)),IFERROR(DATE(--LEFT(LEFT(SUBSTITUTE(SUBSTITUTE(SUBSTITUTE(SUBSTITUTE(TRIM($AR578),"-",""),".",""),"/","")," ",""),8),4),--MID(LEFT(SUBSTITUTE(SUBSTITUTE(SUBSTITUTE(SUBSTITUTE(TRIM($AR578),"-",""),".",""),"/","")," ",""),8),5,2),--MID(LEFT(SUBSTITUTE(SUBSTITUTE(SUBSTITUTE(SUBSTITUTE(TRIM($AR578),"-",""),".",""),"/","")," ",""),8),7,2)),"")))</f>
        <v/>
      </c>
      <c r="AT578" s="23">
        <f>IF($AS578="","",IF($F$6="",0,IF(ISNUMBER(INDEX($A:$AP,ROW(),$F$6)),INDEX($A:$AP,ROW(),$F$6),IFERROR(--SUBSTITUTE(SUBSTITUTE(TRIM(INDEX($A:$AP,ROW(),$F$6)),",",""),"원",""),0))))</f>
        <v/>
      </c>
      <c r="AU578" s="23">
        <f>IF($AS578="","",IF($G$6="",0,IF(ISNUMBER(INDEX($A:$AP,ROW(),$G$6)),INDEX($A:$AP,ROW(),$G$6),IFERROR(--SUBSTITUTE(SUBSTITUTE(TRIM(INDEX($A:$AP,ROW(),$G$6)),",",""),"원",""),0))))</f>
        <v/>
      </c>
      <c r="AV578" s="23">
        <f>IF($AS578="","",IF($H$6="",$AT578+$AU578,IF($H$6="",0,IF(ISNUMBER(INDEX($A:$AP,ROW(),$H$6)),INDEX($A:$AP,ROW(),$H$6),IFERROR(--SUBSTITUTE(SUBSTITUTE(TRIM(INDEX($A:$AP,ROW(),$H$6)),",",""),"원",""),0)))))</f>
        <v/>
      </c>
      <c r="AW578" s="2">
        <f>IF(OR($AS578="",$C$6=""),"",TRIM(INDEX($A:$AP,ROW(),$C$6)&amp;""))</f>
        <v/>
      </c>
      <c r="AX578" s="2">
        <f>IF($AS578="","",IF($AZ578&lt;&gt;"",SUBSTITUTE(SUBSTITUTE($AZ578,"-","")," ",""),$AY578))</f>
        <v/>
      </c>
      <c r="AY578" s="2">
        <f>IF(OR($AS578="",$E$6=""),"",TRIM(INDEX($A:$AP,ROW(),$E$6)&amp;""))</f>
        <v/>
      </c>
      <c r="AZ578" s="2">
        <f>IF(OR($AS578="",$D$6=""),"",TRIM(INDEX($A:$AP,ROW(),$D$6)&amp;""))</f>
        <v/>
      </c>
      <c r="BA578" s="2">
        <f>IF($AS578="","",IF(AND($AS578&gt;=설정!$B$10,$AS578&lt;=설정!$B$11),"포함","기간 밖"))</f>
        <v/>
      </c>
      <c r="BB578" s="2">
        <f>IF($AS578="","",IF(OR($AT578&lt;0,AND($I$6&lt;&gt;"",ISNUMBER(FIND("수정",INDEX($A:$AP,ROW(),IF($I$6="",1,$I$6))&amp;"")))),"수정","일반"))</f>
        <v/>
      </c>
      <c r="BC578" s="2">
        <f>IF($AS578="","",MID(IF($BA578="기간 밖"," / 기간 밖(신고기간 아님)","")&amp;IF(AND($AW578&lt;&gt;"",COUNTIF($AW$8:$AW$1007,$AW578)&gt;1)," / 승인번호 중복(두 번 붙여넣기?)","")&amp;IF(ABS($AU578-ROUND($AT578*0.1,0))&gt;설정!$B$8,IF($AU578=0," / 세액 0원(영세율·면세 여부 확인)"," / 세액이 공급가액 10%와 다름"),"")&amp;IF($BB578="수정"," / 수정세금계산서(합계에서 자동 가감)",""),4,200))</f>
        <v/>
      </c>
      <c r="BD578" s="2">
        <f>IF($BA578&lt;&gt;"포함","",IF(COUNTIFS($AX$8:$AX578,$AX578,$BA$8:$BA578,"포함")=1,MAX($BD$7:BD577)+1,""))</f>
        <v/>
      </c>
      <c r="BE578" s="2">
        <f>IF($BC578="","",MAX($BE$7:BE577)+1)</f>
        <v/>
      </c>
    </row>
    <row r="579">
      <c r="AR579" s="2">
        <f>IF(OR($A$5="",$B$6="",ROW()&lt;$A$5),"",IF(INDEX($A:$AP,ROW(),$B$6)="","",INDEX($A:$AP,ROW(),$B$6)))</f>
        <v/>
      </c>
      <c r="AS579" s="22">
        <f>IF($AR579="","",IF(ISNUMBER($AR579),IF($AR579&gt;=10000000,IFERROR(DATE(INT($AR579/10000),MOD(INT($AR579/100),100),MOD($AR579,100)),""),INT($AR579)),IFERROR(DATE(--LEFT(LEFT(SUBSTITUTE(SUBSTITUTE(SUBSTITUTE(SUBSTITUTE(TRIM($AR579),"-",""),".",""),"/","")," ",""),8),4),--MID(LEFT(SUBSTITUTE(SUBSTITUTE(SUBSTITUTE(SUBSTITUTE(TRIM($AR579),"-",""),".",""),"/","")," ",""),8),5,2),--MID(LEFT(SUBSTITUTE(SUBSTITUTE(SUBSTITUTE(SUBSTITUTE(TRIM($AR579),"-",""),".",""),"/","")," ",""),8),7,2)),"")))</f>
        <v/>
      </c>
      <c r="AT579" s="23">
        <f>IF($AS579="","",IF($F$6="",0,IF(ISNUMBER(INDEX($A:$AP,ROW(),$F$6)),INDEX($A:$AP,ROW(),$F$6),IFERROR(--SUBSTITUTE(SUBSTITUTE(TRIM(INDEX($A:$AP,ROW(),$F$6)),",",""),"원",""),0))))</f>
        <v/>
      </c>
      <c r="AU579" s="23">
        <f>IF($AS579="","",IF($G$6="",0,IF(ISNUMBER(INDEX($A:$AP,ROW(),$G$6)),INDEX($A:$AP,ROW(),$G$6),IFERROR(--SUBSTITUTE(SUBSTITUTE(TRIM(INDEX($A:$AP,ROW(),$G$6)),",",""),"원",""),0))))</f>
        <v/>
      </c>
      <c r="AV579" s="23">
        <f>IF($AS579="","",IF($H$6="",$AT579+$AU579,IF($H$6="",0,IF(ISNUMBER(INDEX($A:$AP,ROW(),$H$6)),INDEX($A:$AP,ROW(),$H$6),IFERROR(--SUBSTITUTE(SUBSTITUTE(TRIM(INDEX($A:$AP,ROW(),$H$6)),",",""),"원",""),0)))))</f>
        <v/>
      </c>
      <c r="AW579" s="2">
        <f>IF(OR($AS579="",$C$6=""),"",TRIM(INDEX($A:$AP,ROW(),$C$6)&amp;""))</f>
        <v/>
      </c>
      <c r="AX579" s="2">
        <f>IF($AS579="","",IF($AZ579&lt;&gt;"",SUBSTITUTE(SUBSTITUTE($AZ579,"-","")," ",""),$AY579))</f>
        <v/>
      </c>
      <c r="AY579" s="2">
        <f>IF(OR($AS579="",$E$6=""),"",TRIM(INDEX($A:$AP,ROW(),$E$6)&amp;""))</f>
        <v/>
      </c>
      <c r="AZ579" s="2">
        <f>IF(OR($AS579="",$D$6=""),"",TRIM(INDEX($A:$AP,ROW(),$D$6)&amp;""))</f>
        <v/>
      </c>
      <c r="BA579" s="2">
        <f>IF($AS579="","",IF(AND($AS579&gt;=설정!$B$10,$AS579&lt;=설정!$B$11),"포함","기간 밖"))</f>
        <v/>
      </c>
      <c r="BB579" s="2">
        <f>IF($AS579="","",IF(OR($AT579&lt;0,AND($I$6&lt;&gt;"",ISNUMBER(FIND("수정",INDEX($A:$AP,ROW(),IF($I$6="",1,$I$6))&amp;"")))),"수정","일반"))</f>
        <v/>
      </c>
      <c r="BC579" s="2">
        <f>IF($AS579="","",MID(IF($BA579="기간 밖"," / 기간 밖(신고기간 아님)","")&amp;IF(AND($AW579&lt;&gt;"",COUNTIF($AW$8:$AW$1007,$AW579)&gt;1)," / 승인번호 중복(두 번 붙여넣기?)","")&amp;IF(ABS($AU579-ROUND($AT579*0.1,0))&gt;설정!$B$8,IF($AU579=0," / 세액 0원(영세율·면세 여부 확인)"," / 세액이 공급가액 10%와 다름"),"")&amp;IF($BB579="수정"," / 수정세금계산서(합계에서 자동 가감)",""),4,200))</f>
        <v/>
      </c>
      <c r="BD579" s="2">
        <f>IF($BA579&lt;&gt;"포함","",IF(COUNTIFS($AX$8:$AX579,$AX579,$BA$8:$BA579,"포함")=1,MAX($BD$7:BD578)+1,""))</f>
        <v/>
      </c>
      <c r="BE579" s="2">
        <f>IF($BC579="","",MAX($BE$7:BE578)+1)</f>
        <v/>
      </c>
    </row>
    <row r="580">
      <c r="AR580" s="2">
        <f>IF(OR($A$5="",$B$6="",ROW()&lt;$A$5),"",IF(INDEX($A:$AP,ROW(),$B$6)="","",INDEX($A:$AP,ROW(),$B$6)))</f>
        <v/>
      </c>
      <c r="AS580" s="22">
        <f>IF($AR580="","",IF(ISNUMBER($AR580),IF($AR580&gt;=10000000,IFERROR(DATE(INT($AR580/10000),MOD(INT($AR580/100),100),MOD($AR580,100)),""),INT($AR580)),IFERROR(DATE(--LEFT(LEFT(SUBSTITUTE(SUBSTITUTE(SUBSTITUTE(SUBSTITUTE(TRIM($AR580),"-",""),".",""),"/","")," ",""),8),4),--MID(LEFT(SUBSTITUTE(SUBSTITUTE(SUBSTITUTE(SUBSTITUTE(TRIM($AR580),"-",""),".",""),"/","")," ",""),8),5,2),--MID(LEFT(SUBSTITUTE(SUBSTITUTE(SUBSTITUTE(SUBSTITUTE(TRIM($AR580),"-",""),".",""),"/","")," ",""),8),7,2)),"")))</f>
        <v/>
      </c>
      <c r="AT580" s="23">
        <f>IF($AS580="","",IF($F$6="",0,IF(ISNUMBER(INDEX($A:$AP,ROW(),$F$6)),INDEX($A:$AP,ROW(),$F$6),IFERROR(--SUBSTITUTE(SUBSTITUTE(TRIM(INDEX($A:$AP,ROW(),$F$6)),",",""),"원",""),0))))</f>
        <v/>
      </c>
      <c r="AU580" s="23">
        <f>IF($AS580="","",IF($G$6="",0,IF(ISNUMBER(INDEX($A:$AP,ROW(),$G$6)),INDEX($A:$AP,ROW(),$G$6),IFERROR(--SUBSTITUTE(SUBSTITUTE(TRIM(INDEX($A:$AP,ROW(),$G$6)),",",""),"원",""),0))))</f>
        <v/>
      </c>
      <c r="AV580" s="23">
        <f>IF($AS580="","",IF($H$6="",$AT580+$AU580,IF($H$6="",0,IF(ISNUMBER(INDEX($A:$AP,ROW(),$H$6)),INDEX($A:$AP,ROW(),$H$6),IFERROR(--SUBSTITUTE(SUBSTITUTE(TRIM(INDEX($A:$AP,ROW(),$H$6)),",",""),"원",""),0)))))</f>
        <v/>
      </c>
      <c r="AW580" s="2">
        <f>IF(OR($AS580="",$C$6=""),"",TRIM(INDEX($A:$AP,ROW(),$C$6)&amp;""))</f>
        <v/>
      </c>
      <c r="AX580" s="2">
        <f>IF($AS580="","",IF($AZ580&lt;&gt;"",SUBSTITUTE(SUBSTITUTE($AZ580,"-","")," ",""),$AY580))</f>
        <v/>
      </c>
      <c r="AY580" s="2">
        <f>IF(OR($AS580="",$E$6=""),"",TRIM(INDEX($A:$AP,ROW(),$E$6)&amp;""))</f>
        <v/>
      </c>
      <c r="AZ580" s="2">
        <f>IF(OR($AS580="",$D$6=""),"",TRIM(INDEX($A:$AP,ROW(),$D$6)&amp;""))</f>
        <v/>
      </c>
      <c r="BA580" s="2">
        <f>IF($AS580="","",IF(AND($AS580&gt;=설정!$B$10,$AS580&lt;=설정!$B$11),"포함","기간 밖"))</f>
        <v/>
      </c>
      <c r="BB580" s="2">
        <f>IF($AS580="","",IF(OR($AT580&lt;0,AND($I$6&lt;&gt;"",ISNUMBER(FIND("수정",INDEX($A:$AP,ROW(),IF($I$6="",1,$I$6))&amp;"")))),"수정","일반"))</f>
        <v/>
      </c>
      <c r="BC580" s="2">
        <f>IF($AS580="","",MID(IF($BA580="기간 밖"," / 기간 밖(신고기간 아님)","")&amp;IF(AND($AW580&lt;&gt;"",COUNTIF($AW$8:$AW$1007,$AW580)&gt;1)," / 승인번호 중복(두 번 붙여넣기?)","")&amp;IF(ABS($AU580-ROUND($AT580*0.1,0))&gt;설정!$B$8,IF($AU580=0," / 세액 0원(영세율·면세 여부 확인)"," / 세액이 공급가액 10%와 다름"),"")&amp;IF($BB580="수정"," / 수정세금계산서(합계에서 자동 가감)",""),4,200))</f>
        <v/>
      </c>
      <c r="BD580" s="2">
        <f>IF($BA580&lt;&gt;"포함","",IF(COUNTIFS($AX$8:$AX580,$AX580,$BA$8:$BA580,"포함")=1,MAX($BD$7:BD579)+1,""))</f>
        <v/>
      </c>
      <c r="BE580" s="2">
        <f>IF($BC580="","",MAX($BE$7:BE579)+1)</f>
        <v/>
      </c>
    </row>
    <row r="581">
      <c r="AR581" s="2">
        <f>IF(OR($A$5="",$B$6="",ROW()&lt;$A$5),"",IF(INDEX($A:$AP,ROW(),$B$6)="","",INDEX($A:$AP,ROW(),$B$6)))</f>
        <v/>
      </c>
      <c r="AS581" s="22">
        <f>IF($AR581="","",IF(ISNUMBER($AR581),IF($AR581&gt;=10000000,IFERROR(DATE(INT($AR581/10000),MOD(INT($AR581/100),100),MOD($AR581,100)),""),INT($AR581)),IFERROR(DATE(--LEFT(LEFT(SUBSTITUTE(SUBSTITUTE(SUBSTITUTE(SUBSTITUTE(TRIM($AR581),"-",""),".",""),"/","")," ",""),8),4),--MID(LEFT(SUBSTITUTE(SUBSTITUTE(SUBSTITUTE(SUBSTITUTE(TRIM($AR581),"-",""),".",""),"/","")," ",""),8),5,2),--MID(LEFT(SUBSTITUTE(SUBSTITUTE(SUBSTITUTE(SUBSTITUTE(TRIM($AR581),"-",""),".",""),"/","")," ",""),8),7,2)),"")))</f>
        <v/>
      </c>
      <c r="AT581" s="23">
        <f>IF($AS581="","",IF($F$6="",0,IF(ISNUMBER(INDEX($A:$AP,ROW(),$F$6)),INDEX($A:$AP,ROW(),$F$6),IFERROR(--SUBSTITUTE(SUBSTITUTE(TRIM(INDEX($A:$AP,ROW(),$F$6)),",",""),"원",""),0))))</f>
        <v/>
      </c>
      <c r="AU581" s="23">
        <f>IF($AS581="","",IF($G$6="",0,IF(ISNUMBER(INDEX($A:$AP,ROW(),$G$6)),INDEX($A:$AP,ROW(),$G$6),IFERROR(--SUBSTITUTE(SUBSTITUTE(TRIM(INDEX($A:$AP,ROW(),$G$6)),",",""),"원",""),0))))</f>
        <v/>
      </c>
      <c r="AV581" s="23">
        <f>IF($AS581="","",IF($H$6="",$AT581+$AU581,IF($H$6="",0,IF(ISNUMBER(INDEX($A:$AP,ROW(),$H$6)),INDEX($A:$AP,ROW(),$H$6),IFERROR(--SUBSTITUTE(SUBSTITUTE(TRIM(INDEX($A:$AP,ROW(),$H$6)),",",""),"원",""),0)))))</f>
        <v/>
      </c>
      <c r="AW581" s="2">
        <f>IF(OR($AS581="",$C$6=""),"",TRIM(INDEX($A:$AP,ROW(),$C$6)&amp;""))</f>
        <v/>
      </c>
      <c r="AX581" s="2">
        <f>IF($AS581="","",IF($AZ581&lt;&gt;"",SUBSTITUTE(SUBSTITUTE($AZ581,"-","")," ",""),$AY581))</f>
        <v/>
      </c>
      <c r="AY581" s="2">
        <f>IF(OR($AS581="",$E$6=""),"",TRIM(INDEX($A:$AP,ROW(),$E$6)&amp;""))</f>
        <v/>
      </c>
      <c r="AZ581" s="2">
        <f>IF(OR($AS581="",$D$6=""),"",TRIM(INDEX($A:$AP,ROW(),$D$6)&amp;""))</f>
        <v/>
      </c>
      <c r="BA581" s="2">
        <f>IF($AS581="","",IF(AND($AS581&gt;=설정!$B$10,$AS581&lt;=설정!$B$11),"포함","기간 밖"))</f>
        <v/>
      </c>
      <c r="BB581" s="2">
        <f>IF($AS581="","",IF(OR($AT581&lt;0,AND($I$6&lt;&gt;"",ISNUMBER(FIND("수정",INDEX($A:$AP,ROW(),IF($I$6="",1,$I$6))&amp;"")))),"수정","일반"))</f>
        <v/>
      </c>
      <c r="BC581" s="2">
        <f>IF($AS581="","",MID(IF($BA581="기간 밖"," / 기간 밖(신고기간 아님)","")&amp;IF(AND($AW581&lt;&gt;"",COUNTIF($AW$8:$AW$1007,$AW581)&gt;1)," / 승인번호 중복(두 번 붙여넣기?)","")&amp;IF(ABS($AU581-ROUND($AT581*0.1,0))&gt;설정!$B$8,IF($AU581=0," / 세액 0원(영세율·면세 여부 확인)"," / 세액이 공급가액 10%와 다름"),"")&amp;IF($BB581="수정"," / 수정세금계산서(합계에서 자동 가감)",""),4,200))</f>
        <v/>
      </c>
      <c r="BD581" s="2">
        <f>IF($BA581&lt;&gt;"포함","",IF(COUNTIFS($AX$8:$AX581,$AX581,$BA$8:$BA581,"포함")=1,MAX($BD$7:BD580)+1,""))</f>
        <v/>
      </c>
      <c r="BE581" s="2">
        <f>IF($BC581="","",MAX($BE$7:BE580)+1)</f>
        <v/>
      </c>
    </row>
    <row r="582">
      <c r="AR582" s="2">
        <f>IF(OR($A$5="",$B$6="",ROW()&lt;$A$5),"",IF(INDEX($A:$AP,ROW(),$B$6)="","",INDEX($A:$AP,ROW(),$B$6)))</f>
        <v/>
      </c>
      <c r="AS582" s="22">
        <f>IF($AR582="","",IF(ISNUMBER($AR582),IF($AR582&gt;=10000000,IFERROR(DATE(INT($AR582/10000),MOD(INT($AR582/100),100),MOD($AR582,100)),""),INT($AR582)),IFERROR(DATE(--LEFT(LEFT(SUBSTITUTE(SUBSTITUTE(SUBSTITUTE(SUBSTITUTE(TRIM($AR582),"-",""),".",""),"/","")," ",""),8),4),--MID(LEFT(SUBSTITUTE(SUBSTITUTE(SUBSTITUTE(SUBSTITUTE(TRIM($AR582),"-",""),".",""),"/","")," ",""),8),5,2),--MID(LEFT(SUBSTITUTE(SUBSTITUTE(SUBSTITUTE(SUBSTITUTE(TRIM($AR582),"-",""),".",""),"/","")," ",""),8),7,2)),"")))</f>
        <v/>
      </c>
      <c r="AT582" s="23">
        <f>IF($AS582="","",IF($F$6="",0,IF(ISNUMBER(INDEX($A:$AP,ROW(),$F$6)),INDEX($A:$AP,ROW(),$F$6),IFERROR(--SUBSTITUTE(SUBSTITUTE(TRIM(INDEX($A:$AP,ROW(),$F$6)),",",""),"원",""),0))))</f>
        <v/>
      </c>
      <c r="AU582" s="23">
        <f>IF($AS582="","",IF($G$6="",0,IF(ISNUMBER(INDEX($A:$AP,ROW(),$G$6)),INDEX($A:$AP,ROW(),$G$6),IFERROR(--SUBSTITUTE(SUBSTITUTE(TRIM(INDEX($A:$AP,ROW(),$G$6)),",",""),"원",""),0))))</f>
        <v/>
      </c>
      <c r="AV582" s="23">
        <f>IF($AS582="","",IF($H$6="",$AT582+$AU582,IF($H$6="",0,IF(ISNUMBER(INDEX($A:$AP,ROW(),$H$6)),INDEX($A:$AP,ROW(),$H$6),IFERROR(--SUBSTITUTE(SUBSTITUTE(TRIM(INDEX($A:$AP,ROW(),$H$6)),",",""),"원",""),0)))))</f>
        <v/>
      </c>
      <c r="AW582" s="2">
        <f>IF(OR($AS582="",$C$6=""),"",TRIM(INDEX($A:$AP,ROW(),$C$6)&amp;""))</f>
        <v/>
      </c>
      <c r="AX582" s="2">
        <f>IF($AS582="","",IF($AZ582&lt;&gt;"",SUBSTITUTE(SUBSTITUTE($AZ582,"-","")," ",""),$AY582))</f>
        <v/>
      </c>
      <c r="AY582" s="2">
        <f>IF(OR($AS582="",$E$6=""),"",TRIM(INDEX($A:$AP,ROW(),$E$6)&amp;""))</f>
        <v/>
      </c>
      <c r="AZ582" s="2">
        <f>IF(OR($AS582="",$D$6=""),"",TRIM(INDEX($A:$AP,ROW(),$D$6)&amp;""))</f>
        <v/>
      </c>
      <c r="BA582" s="2">
        <f>IF($AS582="","",IF(AND($AS582&gt;=설정!$B$10,$AS582&lt;=설정!$B$11),"포함","기간 밖"))</f>
        <v/>
      </c>
      <c r="BB582" s="2">
        <f>IF($AS582="","",IF(OR($AT582&lt;0,AND($I$6&lt;&gt;"",ISNUMBER(FIND("수정",INDEX($A:$AP,ROW(),IF($I$6="",1,$I$6))&amp;"")))),"수정","일반"))</f>
        <v/>
      </c>
      <c r="BC582" s="2">
        <f>IF($AS582="","",MID(IF($BA582="기간 밖"," / 기간 밖(신고기간 아님)","")&amp;IF(AND($AW582&lt;&gt;"",COUNTIF($AW$8:$AW$1007,$AW582)&gt;1)," / 승인번호 중복(두 번 붙여넣기?)","")&amp;IF(ABS($AU582-ROUND($AT582*0.1,0))&gt;설정!$B$8,IF($AU582=0," / 세액 0원(영세율·면세 여부 확인)"," / 세액이 공급가액 10%와 다름"),"")&amp;IF($BB582="수정"," / 수정세금계산서(합계에서 자동 가감)",""),4,200))</f>
        <v/>
      </c>
      <c r="BD582" s="2">
        <f>IF($BA582&lt;&gt;"포함","",IF(COUNTIFS($AX$8:$AX582,$AX582,$BA$8:$BA582,"포함")=1,MAX($BD$7:BD581)+1,""))</f>
        <v/>
      </c>
      <c r="BE582" s="2">
        <f>IF($BC582="","",MAX($BE$7:BE581)+1)</f>
        <v/>
      </c>
    </row>
    <row r="583">
      <c r="AR583" s="2">
        <f>IF(OR($A$5="",$B$6="",ROW()&lt;$A$5),"",IF(INDEX($A:$AP,ROW(),$B$6)="","",INDEX($A:$AP,ROW(),$B$6)))</f>
        <v/>
      </c>
      <c r="AS583" s="22">
        <f>IF($AR583="","",IF(ISNUMBER($AR583),IF($AR583&gt;=10000000,IFERROR(DATE(INT($AR583/10000),MOD(INT($AR583/100),100),MOD($AR583,100)),""),INT($AR583)),IFERROR(DATE(--LEFT(LEFT(SUBSTITUTE(SUBSTITUTE(SUBSTITUTE(SUBSTITUTE(TRIM($AR583),"-",""),".",""),"/","")," ",""),8),4),--MID(LEFT(SUBSTITUTE(SUBSTITUTE(SUBSTITUTE(SUBSTITUTE(TRIM($AR583),"-",""),".",""),"/","")," ",""),8),5,2),--MID(LEFT(SUBSTITUTE(SUBSTITUTE(SUBSTITUTE(SUBSTITUTE(TRIM($AR583),"-",""),".",""),"/","")," ",""),8),7,2)),"")))</f>
        <v/>
      </c>
      <c r="AT583" s="23">
        <f>IF($AS583="","",IF($F$6="",0,IF(ISNUMBER(INDEX($A:$AP,ROW(),$F$6)),INDEX($A:$AP,ROW(),$F$6),IFERROR(--SUBSTITUTE(SUBSTITUTE(TRIM(INDEX($A:$AP,ROW(),$F$6)),",",""),"원",""),0))))</f>
        <v/>
      </c>
      <c r="AU583" s="23">
        <f>IF($AS583="","",IF($G$6="",0,IF(ISNUMBER(INDEX($A:$AP,ROW(),$G$6)),INDEX($A:$AP,ROW(),$G$6),IFERROR(--SUBSTITUTE(SUBSTITUTE(TRIM(INDEX($A:$AP,ROW(),$G$6)),",",""),"원",""),0))))</f>
        <v/>
      </c>
      <c r="AV583" s="23">
        <f>IF($AS583="","",IF($H$6="",$AT583+$AU583,IF($H$6="",0,IF(ISNUMBER(INDEX($A:$AP,ROW(),$H$6)),INDEX($A:$AP,ROW(),$H$6),IFERROR(--SUBSTITUTE(SUBSTITUTE(TRIM(INDEX($A:$AP,ROW(),$H$6)),",",""),"원",""),0)))))</f>
        <v/>
      </c>
      <c r="AW583" s="2">
        <f>IF(OR($AS583="",$C$6=""),"",TRIM(INDEX($A:$AP,ROW(),$C$6)&amp;""))</f>
        <v/>
      </c>
      <c r="AX583" s="2">
        <f>IF($AS583="","",IF($AZ583&lt;&gt;"",SUBSTITUTE(SUBSTITUTE($AZ583,"-","")," ",""),$AY583))</f>
        <v/>
      </c>
      <c r="AY583" s="2">
        <f>IF(OR($AS583="",$E$6=""),"",TRIM(INDEX($A:$AP,ROW(),$E$6)&amp;""))</f>
        <v/>
      </c>
      <c r="AZ583" s="2">
        <f>IF(OR($AS583="",$D$6=""),"",TRIM(INDEX($A:$AP,ROW(),$D$6)&amp;""))</f>
        <v/>
      </c>
      <c r="BA583" s="2">
        <f>IF($AS583="","",IF(AND($AS583&gt;=설정!$B$10,$AS583&lt;=설정!$B$11),"포함","기간 밖"))</f>
        <v/>
      </c>
      <c r="BB583" s="2">
        <f>IF($AS583="","",IF(OR($AT583&lt;0,AND($I$6&lt;&gt;"",ISNUMBER(FIND("수정",INDEX($A:$AP,ROW(),IF($I$6="",1,$I$6))&amp;"")))),"수정","일반"))</f>
        <v/>
      </c>
      <c r="BC583" s="2">
        <f>IF($AS583="","",MID(IF($BA583="기간 밖"," / 기간 밖(신고기간 아님)","")&amp;IF(AND($AW583&lt;&gt;"",COUNTIF($AW$8:$AW$1007,$AW583)&gt;1)," / 승인번호 중복(두 번 붙여넣기?)","")&amp;IF(ABS($AU583-ROUND($AT583*0.1,0))&gt;설정!$B$8,IF($AU583=0," / 세액 0원(영세율·면세 여부 확인)"," / 세액이 공급가액 10%와 다름"),"")&amp;IF($BB583="수정"," / 수정세금계산서(합계에서 자동 가감)",""),4,200))</f>
        <v/>
      </c>
      <c r="BD583" s="2">
        <f>IF($BA583&lt;&gt;"포함","",IF(COUNTIFS($AX$8:$AX583,$AX583,$BA$8:$BA583,"포함")=1,MAX($BD$7:BD582)+1,""))</f>
        <v/>
      </c>
      <c r="BE583" s="2">
        <f>IF($BC583="","",MAX($BE$7:BE582)+1)</f>
        <v/>
      </c>
    </row>
    <row r="584">
      <c r="AR584" s="2">
        <f>IF(OR($A$5="",$B$6="",ROW()&lt;$A$5),"",IF(INDEX($A:$AP,ROW(),$B$6)="","",INDEX($A:$AP,ROW(),$B$6)))</f>
        <v/>
      </c>
      <c r="AS584" s="22">
        <f>IF($AR584="","",IF(ISNUMBER($AR584),IF($AR584&gt;=10000000,IFERROR(DATE(INT($AR584/10000),MOD(INT($AR584/100),100),MOD($AR584,100)),""),INT($AR584)),IFERROR(DATE(--LEFT(LEFT(SUBSTITUTE(SUBSTITUTE(SUBSTITUTE(SUBSTITUTE(TRIM($AR584),"-",""),".",""),"/","")," ",""),8),4),--MID(LEFT(SUBSTITUTE(SUBSTITUTE(SUBSTITUTE(SUBSTITUTE(TRIM($AR584),"-",""),".",""),"/","")," ",""),8),5,2),--MID(LEFT(SUBSTITUTE(SUBSTITUTE(SUBSTITUTE(SUBSTITUTE(TRIM($AR584),"-",""),".",""),"/","")," ",""),8),7,2)),"")))</f>
        <v/>
      </c>
      <c r="AT584" s="23">
        <f>IF($AS584="","",IF($F$6="",0,IF(ISNUMBER(INDEX($A:$AP,ROW(),$F$6)),INDEX($A:$AP,ROW(),$F$6),IFERROR(--SUBSTITUTE(SUBSTITUTE(TRIM(INDEX($A:$AP,ROW(),$F$6)),",",""),"원",""),0))))</f>
        <v/>
      </c>
      <c r="AU584" s="23">
        <f>IF($AS584="","",IF($G$6="",0,IF(ISNUMBER(INDEX($A:$AP,ROW(),$G$6)),INDEX($A:$AP,ROW(),$G$6),IFERROR(--SUBSTITUTE(SUBSTITUTE(TRIM(INDEX($A:$AP,ROW(),$G$6)),",",""),"원",""),0))))</f>
        <v/>
      </c>
      <c r="AV584" s="23">
        <f>IF($AS584="","",IF($H$6="",$AT584+$AU584,IF($H$6="",0,IF(ISNUMBER(INDEX($A:$AP,ROW(),$H$6)),INDEX($A:$AP,ROW(),$H$6),IFERROR(--SUBSTITUTE(SUBSTITUTE(TRIM(INDEX($A:$AP,ROW(),$H$6)),",",""),"원",""),0)))))</f>
        <v/>
      </c>
      <c r="AW584" s="2">
        <f>IF(OR($AS584="",$C$6=""),"",TRIM(INDEX($A:$AP,ROW(),$C$6)&amp;""))</f>
        <v/>
      </c>
      <c r="AX584" s="2">
        <f>IF($AS584="","",IF($AZ584&lt;&gt;"",SUBSTITUTE(SUBSTITUTE($AZ584,"-","")," ",""),$AY584))</f>
        <v/>
      </c>
      <c r="AY584" s="2">
        <f>IF(OR($AS584="",$E$6=""),"",TRIM(INDEX($A:$AP,ROW(),$E$6)&amp;""))</f>
        <v/>
      </c>
      <c r="AZ584" s="2">
        <f>IF(OR($AS584="",$D$6=""),"",TRIM(INDEX($A:$AP,ROW(),$D$6)&amp;""))</f>
        <v/>
      </c>
      <c r="BA584" s="2">
        <f>IF($AS584="","",IF(AND($AS584&gt;=설정!$B$10,$AS584&lt;=설정!$B$11),"포함","기간 밖"))</f>
        <v/>
      </c>
      <c r="BB584" s="2">
        <f>IF($AS584="","",IF(OR($AT584&lt;0,AND($I$6&lt;&gt;"",ISNUMBER(FIND("수정",INDEX($A:$AP,ROW(),IF($I$6="",1,$I$6))&amp;"")))),"수정","일반"))</f>
        <v/>
      </c>
      <c r="BC584" s="2">
        <f>IF($AS584="","",MID(IF($BA584="기간 밖"," / 기간 밖(신고기간 아님)","")&amp;IF(AND($AW584&lt;&gt;"",COUNTIF($AW$8:$AW$1007,$AW584)&gt;1)," / 승인번호 중복(두 번 붙여넣기?)","")&amp;IF(ABS($AU584-ROUND($AT584*0.1,0))&gt;설정!$B$8,IF($AU584=0," / 세액 0원(영세율·면세 여부 확인)"," / 세액이 공급가액 10%와 다름"),"")&amp;IF($BB584="수정"," / 수정세금계산서(합계에서 자동 가감)",""),4,200))</f>
        <v/>
      </c>
      <c r="BD584" s="2">
        <f>IF($BA584&lt;&gt;"포함","",IF(COUNTIFS($AX$8:$AX584,$AX584,$BA$8:$BA584,"포함")=1,MAX($BD$7:BD583)+1,""))</f>
        <v/>
      </c>
      <c r="BE584" s="2">
        <f>IF($BC584="","",MAX($BE$7:BE583)+1)</f>
        <v/>
      </c>
    </row>
    <row r="585">
      <c r="AR585" s="2">
        <f>IF(OR($A$5="",$B$6="",ROW()&lt;$A$5),"",IF(INDEX($A:$AP,ROW(),$B$6)="","",INDEX($A:$AP,ROW(),$B$6)))</f>
        <v/>
      </c>
      <c r="AS585" s="22">
        <f>IF($AR585="","",IF(ISNUMBER($AR585),IF($AR585&gt;=10000000,IFERROR(DATE(INT($AR585/10000),MOD(INT($AR585/100),100),MOD($AR585,100)),""),INT($AR585)),IFERROR(DATE(--LEFT(LEFT(SUBSTITUTE(SUBSTITUTE(SUBSTITUTE(SUBSTITUTE(TRIM($AR585),"-",""),".",""),"/","")," ",""),8),4),--MID(LEFT(SUBSTITUTE(SUBSTITUTE(SUBSTITUTE(SUBSTITUTE(TRIM($AR585),"-",""),".",""),"/","")," ",""),8),5,2),--MID(LEFT(SUBSTITUTE(SUBSTITUTE(SUBSTITUTE(SUBSTITUTE(TRIM($AR585),"-",""),".",""),"/","")," ",""),8),7,2)),"")))</f>
        <v/>
      </c>
      <c r="AT585" s="23">
        <f>IF($AS585="","",IF($F$6="",0,IF(ISNUMBER(INDEX($A:$AP,ROW(),$F$6)),INDEX($A:$AP,ROW(),$F$6),IFERROR(--SUBSTITUTE(SUBSTITUTE(TRIM(INDEX($A:$AP,ROW(),$F$6)),",",""),"원",""),0))))</f>
        <v/>
      </c>
      <c r="AU585" s="23">
        <f>IF($AS585="","",IF($G$6="",0,IF(ISNUMBER(INDEX($A:$AP,ROW(),$G$6)),INDEX($A:$AP,ROW(),$G$6),IFERROR(--SUBSTITUTE(SUBSTITUTE(TRIM(INDEX($A:$AP,ROW(),$G$6)),",",""),"원",""),0))))</f>
        <v/>
      </c>
      <c r="AV585" s="23">
        <f>IF($AS585="","",IF($H$6="",$AT585+$AU585,IF($H$6="",0,IF(ISNUMBER(INDEX($A:$AP,ROW(),$H$6)),INDEX($A:$AP,ROW(),$H$6),IFERROR(--SUBSTITUTE(SUBSTITUTE(TRIM(INDEX($A:$AP,ROW(),$H$6)),",",""),"원",""),0)))))</f>
        <v/>
      </c>
      <c r="AW585" s="2">
        <f>IF(OR($AS585="",$C$6=""),"",TRIM(INDEX($A:$AP,ROW(),$C$6)&amp;""))</f>
        <v/>
      </c>
      <c r="AX585" s="2">
        <f>IF($AS585="","",IF($AZ585&lt;&gt;"",SUBSTITUTE(SUBSTITUTE($AZ585,"-","")," ",""),$AY585))</f>
        <v/>
      </c>
      <c r="AY585" s="2">
        <f>IF(OR($AS585="",$E$6=""),"",TRIM(INDEX($A:$AP,ROW(),$E$6)&amp;""))</f>
        <v/>
      </c>
      <c r="AZ585" s="2">
        <f>IF(OR($AS585="",$D$6=""),"",TRIM(INDEX($A:$AP,ROW(),$D$6)&amp;""))</f>
        <v/>
      </c>
      <c r="BA585" s="2">
        <f>IF($AS585="","",IF(AND($AS585&gt;=설정!$B$10,$AS585&lt;=설정!$B$11),"포함","기간 밖"))</f>
        <v/>
      </c>
      <c r="BB585" s="2">
        <f>IF($AS585="","",IF(OR($AT585&lt;0,AND($I$6&lt;&gt;"",ISNUMBER(FIND("수정",INDEX($A:$AP,ROW(),IF($I$6="",1,$I$6))&amp;"")))),"수정","일반"))</f>
        <v/>
      </c>
      <c r="BC585" s="2">
        <f>IF($AS585="","",MID(IF($BA585="기간 밖"," / 기간 밖(신고기간 아님)","")&amp;IF(AND($AW585&lt;&gt;"",COUNTIF($AW$8:$AW$1007,$AW585)&gt;1)," / 승인번호 중복(두 번 붙여넣기?)","")&amp;IF(ABS($AU585-ROUND($AT585*0.1,0))&gt;설정!$B$8,IF($AU585=0," / 세액 0원(영세율·면세 여부 확인)"," / 세액이 공급가액 10%와 다름"),"")&amp;IF($BB585="수정"," / 수정세금계산서(합계에서 자동 가감)",""),4,200))</f>
        <v/>
      </c>
      <c r="BD585" s="2">
        <f>IF($BA585&lt;&gt;"포함","",IF(COUNTIFS($AX$8:$AX585,$AX585,$BA$8:$BA585,"포함")=1,MAX($BD$7:BD584)+1,""))</f>
        <v/>
      </c>
      <c r="BE585" s="2">
        <f>IF($BC585="","",MAX($BE$7:BE584)+1)</f>
        <v/>
      </c>
    </row>
    <row r="586">
      <c r="AR586" s="2">
        <f>IF(OR($A$5="",$B$6="",ROW()&lt;$A$5),"",IF(INDEX($A:$AP,ROW(),$B$6)="","",INDEX($A:$AP,ROW(),$B$6)))</f>
        <v/>
      </c>
      <c r="AS586" s="22">
        <f>IF($AR586="","",IF(ISNUMBER($AR586),IF($AR586&gt;=10000000,IFERROR(DATE(INT($AR586/10000),MOD(INT($AR586/100),100),MOD($AR586,100)),""),INT($AR586)),IFERROR(DATE(--LEFT(LEFT(SUBSTITUTE(SUBSTITUTE(SUBSTITUTE(SUBSTITUTE(TRIM($AR586),"-",""),".",""),"/","")," ",""),8),4),--MID(LEFT(SUBSTITUTE(SUBSTITUTE(SUBSTITUTE(SUBSTITUTE(TRIM($AR586),"-",""),".",""),"/","")," ",""),8),5,2),--MID(LEFT(SUBSTITUTE(SUBSTITUTE(SUBSTITUTE(SUBSTITUTE(TRIM($AR586),"-",""),".",""),"/","")," ",""),8),7,2)),"")))</f>
        <v/>
      </c>
      <c r="AT586" s="23">
        <f>IF($AS586="","",IF($F$6="",0,IF(ISNUMBER(INDEX($A:$AP,ROW(),$F$6)),INDEX($A:$AP,ROW(),$F$6),IFERROR(--SUBSTITUTE(SUBSTITUTE(TRIM(INDEX($A:$AP,ROW(),$F$6)),",",""),"원",""),0))))</f>
        <v/>
      </c>
      <c r="AU586" s="23">
        <f>IF($AS586="","",IF($G$6="",0,IF(ISNUMBER(INDEX($A:$AP,ROW(),$G$6)),INDEX($A:$AP,ROW(),$G$6),IFERROR(--SUBSTITUTE(SUBSTITUTE(TRIM(INDEX($A:$AP,ROW(),$G$6)),",",""),"원",""),0))))</f>
        <v/>
      </c>
      <c r="AV586" s="23">
        <f>IF($AS586="","",IF($H$6="",$AT586+$AU586,IF($H$6="",0,IF(ISNUMBER(INDEX($A:$AP,ROW(),$H$6)),INDEX($A:$AP,ROW(),$H$6),IFERROR(--SUBSTITUTE(SUBSTITUTE(TRIM(INDEX($A:$AP,ROW(),$H$6)),",",""),"원",""),0)))))</f>
        <v/>
      </c>
      <c r="AW586" s="2">
        <f>IF(OR($AS586="",$C$6=""),"",TRIM(INDEX($A:$AP,ROW(),$C$6)&amp;""))</f>
        <v/>
      </c>
      <c r="AX586" s="2">
        <f>IF($AS586="","",IF($AZ586&lt;&gt;"",SUBSTITUTE(SUBSTITUTE($AZ586,"-","")," ",""),$AY586))</f>
        <v/>
      </c>
      <c r="AY586" s="2">
        <f>IF(OR($AS586="",$E$6=""),"",TRIM(INDEX($A:$AP,ROW(),$E$6)&amp;""))</f>
        <v/>
      </c>
      <c r="AZ586" s="2">
        <f>IF(OR($AS586="",$D$6=""),"",TRIM(INDEX($A:$AP,ROW(),$D$6)&amp;""))</f>
        <v/>
      </c>
      <c r="BA586" s="2">
        <f>IF($AS586="","",IF(AND($AS586&gt;=설정!$B$10,$AS586&lt;=설정!$B$11),"포함","기간 밖"))</f>
        <v/>
      </c>
      <c r="BB586" s="2">
        <f>IF($AS586="","",IF(OR($AT586&lt;0,AND($I$6&lt;&gt;"",ISNUMBER(FIND("수정",INDEX($A:$AP,ROW(),IF($I$6="",1,$I$6))&amp;"")))),"수정","일반"))</f>
        <v/>
      </c>
      <c r="BC586" s="2">
        <f>IF($AS586="","",MID(IF($BA586="기간 밖"," / 기간 밖(신고기간 아님)","")&amp;IF(AND($AW586&lt;&gt;"",COUNTIF($AW$8:$AW$1007,$AW586)&gt;1)," / 승인번호 중복(두 번 붙여넣기?)","")&amp;IF(ABS($AU586-ROUND($AT586*0.1,0))&gt;설정!$B$8,IF($AU586=0," / 세액 0원(영세율·면세 여부 확인)"," / 세액이 공급가액 10%와 다름"),"")&amp;IF($BB586="수정"," / 수정세금계산서(합계에서 자동 가감)",""),4,200))</f>
        <v/>
      </c>
      <c r="BD586" s="2">
        <f>IF($BA586&lt;&gt;"포함","",IF(COUNTIFS($AX$8:$AX586,$AX586,$BA$8:$BA586,"포함")=1,MAX($BD$7:BD585)+1,""))</f>
        <v/>
      </c>
      <c r="BE586" s="2">
        <f>IF($BC586="","",MAX($BE$7:BE585)+1)</f>
        <v/>
      </c>
    </row>
    <row r="587">
      <c r="AR587" s="2">
        <f>IF(OR($A$5="",$B$6="",ROW()&lt;$A$5),"",IF(INDEX($A:$AP,ROW(),$B$6)="","",INDEX($A:$AP,ROW(),$B$6)))</f>
        <v/>
      </c>
      <c r="AS587" s="22">
        <f>IF($AR587="","",IF(ISNUMBER($AR587),IF($AR587&gt;=10000000,IFERROR(DATE(INT($AR587/10000),MOD(INT($AR587/100),100),MOD($AR587,100)),""),INT($AR587)),IFERROR(DATE(--LEFT(LEFT(SUBSTITUTE(SUBSTITUTE(SUBSTITUTE(SUBSTITUTE(TRIM($AR587),"-",""),".",""),"/","")," ",""),8),4),--MID(LEFT(SUBSTITUTE(SUBSTITUTE(SUBSTITUTE(SUBSTITUTE(TRIM($AR587),"-",""),".",""),"/","")," ",""),8),5,2),--MID(LEFT(SUBSTITUTE(SUBSTITUTE(SUBSTITUTE(SUBSTITUTE(TRIM($AR587),"-",""),".",""),"/","")," ",""),8),7,2)),"")))</f>
        <v/>
      </c>
      <c r="AT587" s="23">
        <f>IF($AS587="","",IF($F$6="",0,IF(ISNUMBER(INDEX($A:$AP,ROW(),$F$6)),INDEX($A:$AP,ROW(),$F$6),IFERROR(--SUBSTITUTE(SUBSTITUTE(TRIM(INDEX($A:$AP,ROW(),$F$6)),",",""),"원",""),0))))</f>
        <v/>
      </c>
      <c r="AU587" s="23">
        <f>IF($AS587="","",IF($G$6="",0,IF(ISNUMBER(INDEX($A:$AP,ROW(),$G$6)),INDEX($A:$AP,ROW(),$G$6),IFERROR(--SUBSTITUTE(SUBSTITUTE(TRIM(INDEX($A:$AP,ROW(),$G$6)),",",""),"원",""),0))))</f>
        <v/>
      </c>
      <c r="AV587" s="23">
        <f>IF($AS587="","",IF($H$6="",$AT587+$AU587,IF($H$6="",0,IF(ISNUMBER(INDEX($A:$AP,ROW(),$H$6)),INDEX($A:$AP,ROW(),$H$6),IFERROR(--SUBSTITUTE(SUBSTITUTE(TRIM(INDEX($A:$AP,ROW(),$H$6)),",",""),"원",""),0)))))</f>
        <v/>
      </c>
      <c r="AW587" s="2">
        <f>IF(OR($AS587="",$C$6=""),"",TRIM(INDEX($A:$AP,ROW(),$C$6)&amp;""))</f>
        <v/>
      </c>
      <c r="AX587" s="2">
        <f>IF($AS587="","",IF($AZ587&lt;&gt;"",SUBSTITUTE(SUBSTITUTE($AZ587,"-","")," ",""),$AY587))</f>
        <v/>
      </c>
      <c r="AY587" s="2">
        <f>IF(OR($AS587="",$E$6=""),"",TRIM(INDEX($A:$AP,ROW(),$E$6)&amp;""))</f>
        <v/>
      </c>
      <c r="AZ587" s="2">
        <f>IF(OR($AS587="",$D$6=""),"",TRIM(INDEX($A:$AP,ROW(),$D$6)&amp;""))</f>
        <v/>
      </c>
      <c r="BA587" s="2">
        <f>IF($AS587="","",IF(AND($AS587&gt;=설정!$B$10,$AS587&lt;=설정!$B$11),"포함","기간 밖"))</f>
        <v/>
      </c>
      <c r="BB587" s="2">
        <f>IF($AS587="","",IF(OR($AT587&lt;0,AND($I$6&lt;&gt;"",ISNUMBER(FIND("수정",INDEX($A:$AP,ROW(),IF($I$6="",1,$I$6))&amp;"")))),"수정","일반"))</f>
        <v/>
      </c>
      <c r="BC587" s="2">
        <f>IF($AS587="","",MID(IF($BA587="기간 밖"," / 기간 밖(신고기간 아님)","")&amp;IF(AND($AW587&lt;&gt;"",COUNTIF($AW$8:$AW$1007,$AW587)&gt;1)," / 승인번호 중복(두 번 붙여넣기?)","")&amp;IF(ABS($AU587-ROUND($AT587*0.1,0))&gt;설정!$B$8,IF($AU587=0," / 세액 0원(영세율·면세 여부 확인)"," / 세액이 공급가액 10%와 다름"),"")&amp;IF($BB587="수정"," / 수정세금계산서(합계에서 자동 가감)",""),4,200))</f>
        <v/>
      </c>
      <c r="BD587" s="2">
        <f>IF($BA587&lt;&gt;"포함","",IF(COUNTIFS($AX$8:$AX587,$AX587,$BA$8:$BA587,"포함")=1,MAX($BD$7:BD586)+1,""))</f>
        <v/>
      </c>
      <c r="BE587" s="2">
        <f>IF($BC587="","",MAX($BE$7:BE586)+1)</f>
        <v/>
      </c>
    </row>
    <row r="588">
      <c r="AR588" s="2">
        <f>IF(OR($A$5="",$B$6="",ROW()&lt;$A$5),"",IF(INDEX($A:$AP,ROW(),$B$6)="","",INDEX($A:$AP,ROW(),$B$6)))</f>
        <v/>
      </c>
      <c r="AS588" s="22">
        <f>IF($AR588="","",IF(ISNUMBER($AR588),IF($AR588&gt;=10000000,IFERROR(DATE(INT($AR588/10000),MOD(INT($AR588/100),100),MOD($AR588,100)),""),INT($AR588)),IFERROR(DATE(--LEFT(LEFT(SUBSTITUTE(SUBSTITUTE(SUBSTITUTE(SUBSTITUTE(TRIM($AR588),"-",""),".",""),"/","")," ",""),8),4),--MID(LEFT(SUBSTITUTE(SUBSTITUTE(SUBSTITUTE(SUBSTITUTE(TRIM($AR588),"-",""),".",""),"/","")," ",""),8),5,2),--MID(LEFT(SUBSTITUTE(SUBSTITUTE(SUBSTITUTE(SUBSTITUTE(TRIM($AR588),"-",""),".",""),"/","")," ",""),8),7,2)),"")))</f>
        <v/>
      </c>
      <c r="AT588" s="23">
        <f>IF($AS588="","",IF($F$6="",0,IF(ISNUMBER(INDEX($A:$AP,ROW(),$F$6)),INDEX($A:$AP,ROW(),$F$6),IFERROR(--SUBSTITUTE(SUBSTITUTE(TRIM(INDEX($A:$AP,ROW(),$F$6)),",",""),"원",""),0))))</f>
        <v/>
      </c>
      <c r="AU588" s="23">
        <f>IF($AS588="","",IF($G$6="",0,IF(ISNUMBER(INDEX($A:$AP,ROW(),$G$6)),INDEX($A:$AP,ROW(),$G$6),IFERROR(--SUBSTITUTE(SUBSTITUTE(TRIM(INDEX($A:$AP,ROW(),$G$6)),",",""),"원",""),0))))</f>
        <v/>
      </c>
      <c r="AV588" s="23">
        <f>IF($AS588="","",IF($H$6="",$AT588+$AU588,IF($H$6="",0,IF(ISNUMBER(INDEX($A:$AP,ROW(),$H$6)),INDEX($A:$AP,ROW(),$H$6),IFERROR(--SUBSTITUTE(SUBSTITUTE(TRIM(INDEX($A:$AP,ROW(),$H$6)),",",""),"원",""),0)))))</f>
        <v/>
      </c>
      <c r="AW588" s="2">
        <f>IF(OR($AS588="",$C$6=""),"",TRIM(INDEX($A:$AP,ROW(),$C$6)&amp;""))</f>
        <v/>
      </c>
      <c r="AX588" s="2">
        <f>IF($AS588="","",IF($AZ588&lt;&gt;"",SUBSTITUTE(SUBSTITUTE($AZ588,"-","")," ",""),$AY588))</f>
        <v/>
      </c>
      <c r="AY588" s="2">
        <f>IF(OR($AS588="",$E$6=""),"",TRIM(INDEX($A:$AP,ROW(),$E$6)&amp;""))</f>
        <v/>
      </c>
      <c r="AZ588" s="2">
        <f>IF(OR($AS588="",$D$6=""),"",TRIM(INDEX($A:$AP,ROW(),$D$6)&amp;""))</f>
        <v/>
      </c>
      <c r="BA588" s="2">
        <f>IF($AS588="","",IF(AND($AS588&gt;=설정!$B$10,$AS588&lt;=설정!$B$11),"포함","기간 밖"))</f>
        <v/>
      </c>
      <c r="BB588" s="2">
        <f>IF($AS588="","",IF(OR($AT588&lt;0,AND($I$6&lt;&gt;"",ISNUMBER(FIND("수정",INDEX($A:$AP,ROW(),IF($I$6="",1,$I$6))&amp;"")))),"수정","일반"))</f>
        <v/>
      </c>
      <c r="BC588" s="2">
        <f>IF($AS588="","",MID(IF($BA588="기간 밖"," / 기간 밖(신고기간 아님)","")&amp;IF(AND($AW588&lt;&gt;"",COUNTIF($AW$8:$AW$1007,$AW588)&gt;1)," / 승인번호 중복(두 번 붙여넣기?)","")&amp;IF(ABS($AU588-ROUND($AT588*0.1,0))&gt;설정!$B$8,IF($AU588=0," / 세액 0원(영세율·면세 여부 확인)"," / 세액이 공급가액 10%와 다름"),"")&amp;IF($BB588="수정"," / 수정세금계산서(합계에서 자동 가감)",""),4,200))</f>
        <v/>
      </c>
      <c r="BD588" s="2">
        <f>IF($BA588&lt;&gt;"포함","",IF(COUNTIFS($AX$8:$AX588,$AX588,$BA$8:$BA588,"포함")=1,MAX($BD$7:BD587)+1,""))</f>
        <v/>
      </c>
      <c r="BE588" s="2">
        <f>IF($BC588="","",MAX($BE$7:BE587)+1)</f>
        <v/>
      </c>
    </row>
    <row r="589">
      <c r="AR589" s="2">
        <f>IF(OR($A$5="",$B$6="",ROW()&lt;$A$5),"",IF(INDEX($A:$AP,ROW(),$B$6)="","",INDEX($A:$AP,ROW(),$B$6)))</f>
        <v/>
      </c>
      <c r="AS589" s="22">
        <f>IF($AR589="","",IF(ISNUMBER($AR589),IF($AR589&gt;=10000000,IFERROR(DATE(INT($AR589/10000),MOD(INT($AR589/100),100),MOD($AR589,100)),""),INT($AR589)),IFERROR(DATE(--LEFT(LEFT(SUBSTITUTE(SUBSTITUTE(SUBSTITUTE(SUBSTITUTE(TRIM($AR589),"-",""),".",""),"/","")," ",""),8),4),--MID(LEFT(SUBSTITUTE(SUBSTITUTE(SUBSTITUTE(SUBSTITUTE(TRIM($AR589),"-",""),".",""),"/","")," ",""),8),5,2),--MID(LEFT(SUBSTITUTE(SUBSTITUTE(SUBSTITUTE(SUBSTITUTE(TRIM($AR589),"-",""),".",""),"/","")," ",""),8),7,2)),"")))</f>
        <v/>
      </c>
      <c r="AT589" s="23">
        <f>IF($AS589="","",IF($F$6="",0,IF(ISNUMBER(INDEX($A:$AP,ROW(),$F$6)),INDEX($A:$AP,ROW(),$F$6),IFERROR(--SUBSTITUTE(SUBSTITUTE(TRIM(INDEX($A:$AP,ROW(),$F$6)),",",""),"원",""),0))))</f>
        <v/>
      </c>
      <c r="AU589" s="23">
        <f>IF($AS589="","",IF($G$6="",0,IF(ISNUMBER(INDEX($A:$AP,ROW(),$G$6)),INDEX($A:$AP,ROW(),$G$6),IFERROR(--SUBSTITUTE(SUBSTITUTE(TRIM(INDEX($A:$AP,ROW(),$G$6)),",",""),"원",""),0))))</f>
        <v/>
      </c>
      <c r="AV589" s="23">
        <f>IF($AS589="","",IF($H$6="",$AT589+$AU589,IF($H$6="",0,IF(ISNUMBER(INDEX($A:$AP,ROW(),$H$6)),INDEX($A:$AP,ROW(),$H$6),IFERROR(--SUBSTITUTE(SUBSTITUTE(TRIM(INDEX($A:$AP,ROW(),$H$6)),",",""),"원",""),0)))))</f>
        <v/>
      </c>
      <c r="AW589" s="2">
        <f>IF(OR($AS589="",$C$6=""),"",TRIM(INDEX($A:$AP,ROW(),$C$6)&amp;""))</f>
        <v/>
      </c>
      <c r="AX589" s="2">
        <f>IF($AS589="","",IF($AZ589&lt;&gt;"",SUBSTITUTE(SUBSTITUTE($AZ589,"-","")," ",""),$AY589))</f>
        <v/>
      </c>
      <c r="AY589" s="2">
        <f>IF(OR($AS589="",$E$6=""),"",TRIM(INDEX($A:$AP,ROW(),$E$6)&amp;""))</f>
        <v/>
      </c>
      <c r="AZ589" s="2">
        <f>IF(OR($AS589="",$D$6=""),"",TRIM(INDEX($A:$AP,ROW(),$D$6)&amp;""))</f>
        <v/>
      </c>
      <c r="BA589" s="2">
        <f>IF($AS589="","",IF(AND($AS589&gt;=설정!$B$10,$AS589&lt;=설정!$B$11),"포함","기간 밖"))</f>
        <v/>
      </c>
      <c r="BB589" s="2">
        <f>IF($AS589="","",IF(OR($AT589&lt;0,AND($I$6&lt;&gt;"",ISNUMBER(FIND("수정",INDEX($A:$AP,ROW(),IF($I$6="",1,$I$6))&amp;"")))),"수정","일반"))</f>
        <v/>
      </c>
      <c r="BC589" s="2">
        <f>IF($AS589="","",MID(IF($BA589="기간 밖"," / 기간 밖(신고기간 아님)","")&amp;IF(AND($AW589&lt;&gt;"",COUNTIF($AW$8:$AW$1007,$AW589)&gt;1)," / 승인번호 중복(두 번 붙여넣기?)","")&amp;IF(ABS($AU589-ROUND($AT589*0.1,0))&gt;설정!$B$8,IF($AU589=0," / 세액 0원(영세율·면세 여부 확인)"," / 세액이 공급가액 10%와 다름"),"")&amp;IF($BB589="수정"," / 수정세금계산서(합계에서 자동 가감)",""),4,200))</f>
        <v/>
      </c>
      <c r="BD589" s="2">
        <f>IF($BA589&lt;&gt;"포함","",IF(COUNTIFS($AX$8:$AX589,$AX589,$BA$8:$BA589,"포함")=1,MAX($BD$7:BD588)+1,""))</f>
        <v/>
      </c>
      <c r="BE589" s="2">
        <f>IF($BC589="","",MAX($BE$7:BE588)+1)</f>
        <v/>
      </c>
    </row>
    <row r="590">
      <c r="AR590" s="2">
        <f>IF(OR($A$5="",$B$6="",ROW()&lt;$A$5),"",IF(INDEX($A:$AP,ROW(),$B$6)="","",INDEX($A:$AP,ROW(),$B$6)))</f>
        <v/>
      </c>
      <c r="AS590" s="22">
        <f>IF($AR590="","",IF(ISNUMBER($AR590),IF($AR590&gt;=10000000,IFERROR(DATE(INT($AR590/10000),MOD(INT($AR590/100),100),MOD($AR590,100)),""),INT($AR590)),IFERROR(DATE(--LEFT(LEFT(SUBSTITUTE(SUBSTITUTE(SUBSTITUTE(SUBSTITUTE(TRIM($AR590),"-",""),".",""),"/","")," ",""),8),4),--MID(LEFT(SUBSTITUTE(SUBSTITUTE(SUBSTITUTE(SUBSTITUTE(TRIM($AR590),"-",""),".",""),"/","")," ",""),8),5,2),--MID(LEFT(SUBSTITUTE(SUBSTITUTE(SUBSTITUTE(SUBSTITUTE(TRIM($AR590),"-",""),".",""),"/","")," ",""),8),7,2)),"")))</f>
        <v/>
      </c>
      <c r="AT590" s="23">
        <f>IF($AS590="","",IF($F$6="",0,IF(ISNUMBER(INDEX($A:$AP,ROW(),$F$6)),INDEX($A:$AP,ROW(),$F$6),IFERROR(--SUBSTITUTE(SUBSTITUTE(TRIM(INDEX($A:$AP,ROW(),$F$6)),",",""),"원",""),0))))</f>
        <v/>
      </c>
      <c r="AU590" s="23">
        <f>IF($AS590="","",IF($G$6="",0,IF(ISNUMBER(INDEX($A:$AP,ROW(),$G$6)),INDEX($A:$AP,ROW(),$G$6),IFERROR(--SUBSTITUTE(SUBSTITUTE(TRIM(INDEX($A:$AP,ROW(),$G$6)),",",""),"원",""),0))))</f>
        <v/>
      </c>
      <c r="AV590" s="23">
        <f>IF($AS590="","",IF($H$6="",$AT590+$AU590,IF($H$6="",0,IF(ISNUMBER(INDEX($A:$AP,ROW(),$H$6)),INDEX($A:$AP,ROW(),$H$6),IFERROR(--SUBSTITUTE(SUBSTITUTE(TRIM(INDEX($A:$AP,ROW(),$H$6)),",",""),"원",""),0)))))</f>
        <v/>
      </c>
      <c r="AW590" s="2">
        <f>IF(OR($AS590="",$C$6=""),"",TRIM(INDEX($A:$AP,ROW(),$C$6)&amp;""))</f>
        <v/>
      </c>
      <c r="AX590" s="2">
        <f>IF($AS590="","",IF($AZ590&lt;&gt;"",SUBSTITUTE(SUBSTITUTE($AZ590,"-","")," ",""),$AY590))</f>
        <v/>
      </c>
      <c r="AY590" s="2">
        <f>IF(OR($AS590="",$E$6=""),"",TRIM(INDEX($A:$AP,ROW(),$E$6)&amp;""))</f>
        <v/>
      </c>
      <c r="AZ590" s="2">
        <f>IF(OR($AS590="",$D$6=""),"",TRIM(INDEX($A:$AP,ROW(),$D$6)&amp;""))</f>
        <v/>
      </c>
      <c r="BA590" s="2">
        <f>IF($AS590="","",IF(AND($AS590&gt;=설정!$B$10,$AS590&lt;=설정!$B$11),"포함","기간 밖"))</f>
        <v/>
      </c>
      <c r="BB590" s="2">
        <f>IF($AS590="","",IF(OR($AT590&lt;0,AND($I$6&lt;&gt;"",ISNUMBER(FIND("수정",INDEX($A:$AP,ROW(),IF($I$6="",1,$I$6))&amp;"")))),"수정","일반"))</f>
        <v/>
      </c>
      <c r="BC590" s="2">
        <f>IF($AS590="","",MID(IF($BA590="기간 밖"," / 기간 밖(신고기간 아님)","")&amp;IF(AND($AW590&lt;&gt;"",COUNTIF($AW$8:$AW$1007,$AW590)&gt;1)," / 승인번호 중복(두 번 붙여넣기?)","")&amp;IF(ABS($AU590-ROUND($AT590*0.1,0))&gt;설정!$B$8,IF($AU590=0," / 세액 0원(영세율·면세 여부 확인)"," / 세액이 공급가액 10%와 다름"),"")&amp;IF($BB590="수정"," / 수정세금계산서(합계에서 자동 가감)",""),4,200))</f>
        <v/>
      </c>
      <c r="BD590" s="2">
        <f>IF($BA590&lt;&gt;"포함","",IF(COUNTIFS($AX$8:$AX590,$AX590,$BA$8:$BA590,"포함")=1,MAX($BD$7:BD589)+1,""))</f>
        <v/>
      </c>
      <c r="BE590" s="2">
        <f>IF($BC590="","",MAX($BE$7:BE589)+1)</f>
        <v/>
      </c>
    </row>
    <row r="591">
      <c r="AR591" s="2">
        <f>IF(OR($A$5="",$B$6="",ROW()&lt;$A$5),"",IF(INDEX($A:$AP,ROW(),$B$6)="","",INDEX($A:$AP,ROW(),$B$6)))</f>
        <v/>
      </c>
      <c r="AS591" s="22">
        <f>IF($AR591="","",IF(ISNUMBER($AR591),IF($AR591&gt;=10000000,IFERROR(DATE(INT($AR591/10000),MOD(INT($AR591/100),100),MOD($AR591,100)),""),INT($AR591)),IFERROR(DATE(--LEFT(LEFT(SUBSTITUTE(SUBSTITUTE(SUBSTITUTE(SUBSTITUTE(TRIM($AR591),"-",""),".",""),"/","")," ",""),8),4),--MID(LEFT(SUBSTITUTE(SUBSTITUTE(SUBSTITUTE(SUBSTITUTE(TRIM($AR591),"-",""),".",""),"/","")," ",""),8),5,2),--MID(LEFT(SUBSTITUTE(SUBSTITUTE(SUBSTITUTE(SUBSTITUTE(TRIM($AR591),"-",""),".",""),"/","")," ",""),8),7,2)),"")))</f>
        <v/>
      </c>
      <c r="AT591" s="23">
        <f>IF($AS591="","",IF($F$6="",0,IF(ISNUMBER(INDEX($A:$AP,ROW(),$F$6)),INDEX($A:$AP,ROW(),$F$6),IFERROR(--SUBSTITUTE(SUBSTITUTE(TRIM(INDEX($A:$AP,ROW(),$F$6)),",",""),"원",""),0))))</f>
        <v/>
      </c>
      <c r="AU591" s="23">
        <f>IF($AS591="","",IF($G$6="",0,IF(ISNUMBER(INDEX($A:$AP,ROW(),$G$6)),INDEX($A:$AP,ROW(),$G$6),IFERROR(--SUBSTITUTE(SUBSTITUTE(TRIM(INDEX($A:$AP,ROW(),$G$6)),",",""),"원",""),0))))</f>
        <v/>
      </c>
      <c r="AV591" s="23">
        <f>IF($AS591="","",IF($H$6="",$AT591+$AU591,IF($H$6="",0,IF(ISNUMBER(INDEX($A:$AP,ROW(),$H$6)),INDEX($A:$AP,ROW(),$H$6),IFERROR(--SUBSTITUTE(SUBSTITUTE(TRIM(INDEX($A:$AP,ROW(),$H$6)),",",""),"원",""),0)))))</f>
        <v/>
      </c>
      <c r="AW591" s="2">
        <f>IF(OR($AS591="",$C$6=""),"",TRIM(INDEX($A:$AP,ROW(),$C$6)&amp;""))</f>
        <v/>
      </c>
      <c r="AX591" s="2">
        <f>IF($AS591="","",IF($AZ591&lt;&gt;"",SUBSTITUTE(SUBSTITUTE($AZ591,"-","")," ",""),$AY591))</f>
        <v/>
      </c>
      <c r="AY591" s="2">
        <f>IF(OR($AS591="",$E$6=""),"",TRIM(INDEX($A:$AP,ROW(),$E$6)&amp;""))</f>
        <v/>
      </c>
      <c r="AZ591" s="2">
        <f>IF(OR($AS591="",$D$6=""),"",TRIM(INDEX($A:$AP,ROW(),$D$6)&amp;""))</f>
        <v/>
      </c>
      <c r="BA591" s="2">
        <f>IF($AS591="","",IF(AND($AS591&gt;=설정!$B$10,$AS591&lt;=설정!$B$11),"포함","기간 밖"))</f>
        <v/>
      </c>
      <c r="BB591" s="2">
        <f>IF($AS591="","",IF(OR($AT591&lt;0,AND($I$6&lt;&gt;"",ISNUMBER(FIND("수정",INDEX($A:$AP,ROW(),IF($I$6="",1,$I$6))&amp;"")))),"수정","일반"))</f>
        <v/>
      </c>
      <c r="BC591" s="2">
        <f>IF($AS591="","",MID(IF($BA591="기간 밖"," / 기간 밖(신고기간 아님)","")&amp;IF(AND($AW591&lt;&gt;"",COUNTIF($AW$8:$AW$1007,$AW591)&gt;1)," / 승인번호 중복(두 번 붙여넣기?)","")&amp;IF(ABS($AU591-ROUND($AT591*0.1,0))&gt;설정!$B$8,IF($AU591=0," / 세액 0원(영세율·면세 여부 확인)"," / 세액이 공급가액 10%와 다름"),"")&amp;IF($BB591="수정"," / 수정세금계산서(합계에서 자동 가감)",""),4,200))</f>
        <v/>
      </c>
      <c r="BD591" s="2">
        <f>IF($BA591&lt;&gt;"포함","",IF(COUNTIFS($AX$8:$AX591,$AX591,$BA$8:$BA591,"포함")=1,MAX($BD$7:BD590)+1,""))</f>
        <v/>
      </c>
      <c r="BE591" s="2">
        <f>IF($BC591="","",MAX($BE$7:BE590)+1)</f>
        <v/>
      </c>
    </row>
    <row r="592">
      <c r="AR592" s="2">
        <f>IF(OR($A$5="",$B$6="",ROW()&lt;$A$5),"",IF(INDEX($A:$AP,ROW(),$B$6)="","",INDEX($A:$AP,ROW(),$B$6)))</f>
        <v/>
      </c>
      <c r="AS592" s="22">
        <f>IF($AR592="","",IF(ISNUMBER($AR592),IF($AR592&gt;=10000000,IFERROR(DATE(INT($AR592/10000),MOD(INT($AR592/100),100),MOD($AR592,100)),""),INT($AR592)),IFERROR(DATE(--LEFT(LEFT(SUBSTITUTE(SUBSTITUTE(SUBSTITUTE(SUBSTITUTE(TRIM($AR592),"-",""),".",""),"/","")," ",""),8),4),--MID(LEFT(SUBSTITUTE(SUBSTITUTE(SUBSTITUTE(SUBSTITUTE(TRIM($AR592),"-",""),".",""),"/","")," ",""),8),5,2),--MID(LEFT(SUBSTITUTE(SUBSTITUTE(SUBSTITUTE(SUBSTITUTE(TRIM($AR592),"-",""),".",""),"/","")," ",""),8),7,2)),"")))</f>
        <v/>
      </c>
      <c r="AT592" s="23">
        <f>IF($AS592="","",IF($F$6="",0,IF(ISNUMBER(INDEX($A:$AP,ROW(),$F$6)),INDEX($A:$AP,ROW(),$F$6),IFERROR(--SUBSTITUTE(SUBSTITUTE(TRIM(INDEX($A:$AP,ROW(),$F$6)),",",""),"원",""),0))))</f>
        <v/>
      </c>
      <c r="AU592" s="23">
        <f>IF($AS592="","",IF($G$6="",0,IF(ISNUMBER(INDEX($A:$AP,ROW(),$G$6)),INDEX($A:$AP,ROW(),$G$6),IFERROR(--SUBSTITUTE(SUBSTITUTE(TRIM(INDEX($A:$AP,ROW(),$G$6)),",",""),"원",""),0))))</f>
        <v/>
      </c>
      <c r="AV592" s="23">
        <f>IF($AS592="","",IF($H$6="",$AT592+$AU592,IF($H$6="",0,IF(ISNUMBER(INDEX($A:$AP,ROW(),$H$6)),INDEX($A:$AP,ROW(),$H$6),IFERROR(--SUBSTITUTE(SUBSTITUTE(TRIM(INDEX($A:$AP,ROW(),$H$6)),",",""),"원",""),0)))))</f>
        <v/>
      </c>
      <c r="AW592" s="2">
        <f>IF(OR($AS592="",$C$6=""),"",TRIM(INDEX($A:$AP,ROW(),$C$6)&amp;""))</f>
        <v/>
      </c>
      <c r="AX592" s="2">
        <f>IF($AS592="","",IF($AZ592&lt;&gt;"",SUBSTITUTE(SUBSTITUTE($AZ592,"-","")," ",""),$AY592))</f>
        <v/>
      </c>
      <c r="AY592" s="2">
        <f>IF(OR($AS592="",$E$6=""),"",TRIM(INDEX($A:$AP,ROW(),$E$6)&amp;""))</f>
        <v/>
      </c>
      <c r="AZ592" s="2">
        <f>IF(OR($AS592="",$D$6=""),"",TRIM(INDEX($A:$AP,ROW(),$D$6)&amp;""))</f>
        <v/>
      </c>
      <c r="BA592" s="2">
        <f>IF($AS592="","",IF(AND($AS592&gt;=설정!$B$10,$AS592&lt;=설정!$B$11),"포함","기간 밖"))</f>
        <v/>
      </c>
      <c r="BB592" s="2">
        <f>IF($AS592="","",IF(OR($AT592&lt;0,AND($I$6&lt;&gt;"",ISNUMBER(FIND("수정",INDEX($A:$AP,ROW(),IF($I$6="",1,$I$6))&amp;"")))),"수정","일반"))</f>
        <v/>
      </c>
      <c r="BC592" s="2">
        <f>IF($AS592="","",MID(IF($BA592="기간 밖"," / 기간 밖(신고기간 아님)","")&amp;IF(AND($AW592&lt;&gt;"",COUNTIF($AW$8:$AW$1007,$AW592)&gt;1)," / 승인번호 중복(두 번 붙여넣기?)","")&amp;IF(ABS($AU592-ROUND($AT592*0.1,0))&gt;설정!$B$8,IF($AU592=0," / 세액 0원(영세율·면세 여부 확인)"," / 세액이 공급가액 10%와 다름"),"")&amp;IF($BB592="수정"," / 수정세금계산서(합계에서 자동 가감)",""),4,200))</f>
        <v/>
      </c>
      <c r="BD592" s="2">
        <f>IF($BA592&lt;&gt;"포함","",IF(COUNTIFS($AX$8:$AX592,$AX592,$BA$8:$BA592,"포함")=1,MAX($BD$7:BD591)+1,""))</f>
        <v/>
      </c>
      <c r="BE592" s="2">
        <f>IF($BC592="","",MAX($BE$7:BE591)+1)</f>
        <v/>
      </c>
    </row>
    <row r="593">
      <c r="AR593" s="2">
        <f>IF(OR($A$5="",$B$6="",ROW()&lt;$A$5),"",IF(INDEX($A:$AP,ROW(),$B$6)="","",INDEX($A:$AP,ROW(),$B$6)))</f>
        <v/>
      </c>
      <c r="AS593" s="22">
        <f>IF($AR593="","",IF(ISNUMBER($AR593),IF($AR593&gt;=10000000,IFERROR(DATE(INT($AR593/10000),MOD(INT($AR593/100),100),MOD($AR593,100)),""),INT($AR593)),IFERROR(DATE(--LEFT(LEFT(SUBSTITUTE(SUBSTITUTE(SUBSTITUTE(SUBSTITUTE(TRIM($AR593),"-",""),".",""),"/","")," ",""),8),4),--MID(LEFT(SUBSTITUTE(SUBSTITUTE(SUBSTITUTE(SUBSTITUTE(TRIM($AR593),"-",""),".",""),"/","")," ",""),8),5,2),--MID(LEFT(SUBSTITUTE(SUBSTITUTE(SUBSTITUTE(SUBSTITUTE(TRIM($AR593),"-",""),".",""),"/","")," ",""),8),7,2)),"")))</f>
        <v/>
      </c>
      <c r="AT593" s="23">
        <f>IF($AS593="","",IF($F$6="",0,IF(ISNUMBER(INDEX($A:$AP,ROW(),$F$6)),INDEX($A:$AP,ROW(),$F$6),IFERROR(--SUBSTITUTE(SUBSTITUTE(TRIM(INDEX($A:$AP,ROW(),$F$6)),",",""),"원",""),0))))</f>
        <v/>
      </c>
      <c r="AU593" s="23">
        <f>IF($AS593="","",IF($G$6="",0,IF(ISNUMBER(INDEX($A:$AP,ROW(),$G$6)),INDEX($A:$AP,ROW(),$G$6),IFERROR(--SUBSTITUTE(SUBSTITUTE(TRIM(INDEX($A:$AP,ROW(),$G$6)),",",""),"원",""),0))))</f>
        <v/>
      </c>
      <c r="AV593" s="23">
        <f>IF($AS593="","",IF($H$6="",$AT593+$AU593,IF($H$6="",0,IF(ISNUMBER(INDEX($A:$AP,ROW(),$H$6)),INDEX($A:$AP,ROW(),$H$6),IFERROR(--SUBSTITUTE(SUBSTITUTE(TRIM(INDEX($A:$AP,ROW(),$H$6)),",",""),"원",""),0)))))</f>
        <v/>
      </c>
      <c r="AW593" s="2">
        <f>IF(OR($AS593="",$C$6=""),"",TRIM(INDEX($A:$AP,ROW(),$C$6)&amp;""))</f>
        <v/>
      </c>
      <c r="AX593" s="2">
        <f>IF($AS593="","",IF($AZ593&lt;&gt;"",SUBSTITUTE(SUBSTITUTE($AZ593,"-","")," ",""),$AY593))</f>
        <v/>
      </c>
      <c r="AY593" s="2">
        <f>IF(OR($AS593="",$E$6=""),"",TRIM(INDEX($A:$AP,ROW(),$E$6)&amp;""))</f>
        <v/>
      </c>
      <c r="AZ593" s="2">
        <f>IF(OR($AS593="",$D$6=""),"",TRIM(INDEX($A:$AP,ROW(),$D$6)&amp;""))</f>
        <v/>
      </c>
      <c r="BA593" s="2">
        <f>IF($AS593="","",IF(AND($AS593&gt;=설정!$B$10,$AS593&lt;=설정!$B$11),"포함","기간 밖"))</f>
        <v/>
      </c>
      <c r="BB593" s="2">
        <f>IF($AS593="","",IF(OR($AT593&lt;0,AND($I$6&lt;&gt;"",ISNUMBER(FIND("수정",INDEX($A:$AP,ROW(),IF($I$6="",1,$I$6))&amp;"")))),"수정","일반"))</f>
        <v/>
      </c>
      <c r="BC593" s="2">
        <f>IF($AS593="","",MID(IF($BA593="기간 밖"," / 기간 밖(신고기간 아님)","")&amp;IF(AND($AW593&lt;&gt;"",COUNTIF($AW$8:$AW$1007,$AW593)&gt;1)," / 승인번호 중복(두 번 붙여넣기?)","")&amp;IF(ABS($AU593-ROUND($AT593*0.1,0))&gt;설정!$B$8,IF($AU593=0," / 세액 0원(영세율·면세 여부 확인)"," / 세액이 공급가액 10%와 다름"),"")&amp;IF($BB593="수정"," / 수정세금계산서(합계에서 자동 가감)",""),4,200))</f>
        <v/>
      </c>
      <c r="BD593" s="2">
        <f>IF($BA593&lt;&gt;"포함","",IF(COUNTIFS($AX$8:$AX593,$AX593,$BA$8:$BA593,"포함")=1,MAX($BD$7:BD592)+1,""))</f>
        <v/>
      </c>
      <c r="BE593" s="2">
        <f>IF($BC593="","",MAX($BE$7:BE592)+1)</f>
        <v/>
      </c>
    </row>
    <row r="594">
      <c r="AR594" s="2">
        <f>IF(OR($A$5="",$B$6="",ROW()&lt;$A$5),"",IF(INDEX($A:$AP,ROW(),$B$6)="","",INDEX($A:$AP,ROW(),$B$6)))</f>
        <v/>
      </c>
      <c r="AS594" s="22">
        <f>IF($AR594="","",IF(ISNUMBER($AR594),IF($AR594&gt;=10000000,IFERROR(DATE(INT($AR594/10000),MOD(INT($AR594/100),100),MOD($AR594,100)),""),INT($AR594)),IFERROR(DATE(--LEFT(LEFT(SUBSTITUTE(SUBSTITUTE(SUBSTITUTE(SUBSTITUTE(TRIM($AR594),"-",""),".",""),"/","")," ",""),8),4),--MID(LEFT(SUBSTITUTE(SUBSTITUTE(SUBSTITUTE(SUBSTITUTE(TRIM($AR594),"-",""),".",""),"/","")," ",""),8),5,2),--MID(LEFT(SUBSTITUTE(SUBSTITUTE(SUBSTITUTE(SUBSTITUTE(TRIM($AR594),"-",""),".",""),"/","")," ",""),8),7,2)),"")))</f>
        <v/>
      </c>
      <c r="AT594" s="23">
        <f>IF($AS594="","",IF($F$6="",0,IF(ISNUMBER(INDEX($A:$AP,ROW(),$F$6)),INDEX($A:$AP,ROW(),$F$6),IFERROR(--SUBSTITUTE(SUBSTITUTE(TRIM(INDEX($A:$AP,ROW(),$F$6)),",",""),"원",""),0))))</f>
        <v/>
      </c>
      <c r="AU594" s="23">
        <f>IF($AS594="","",IF($G$6="",0,IF(ISNUMBER(INDEX($A:$AP,ROW(),$G$6)),INDEX($A:$AP,ROW(),$G$6),IFERROR(--SUBSTITUTE(SUBSTITUTE(TRIM(INDEX($A:$AP,ROW(),$G$6)),",",""),"원",""),0))))</f>
        <v/>
      </c>
      <c r="AV594" s="23">
        <f>IF($AS594="","",IF($H$6="",$AT594+$AU594,IF($H$6="",0,IF(ISNUMBER(INDEX($A:$AP,ROW(),$H$6)),INDEX($A:$AP,ROW(),$H$6),IFERROR(--SUBSTITUTE(SUBSTITUTE(TRIM(INDEX($A:$AP,ROW(),$H$6)),",",""),"원",""),0)))))</f>
        <v/>
      </c>
      <c r="AW594" s="2">
        <f>IF(OR($AS594="",$C$6=""),"",TRIM(INDEX($A:$AP,ROW(),$C$6)&amp;""))</f>
        <v/>
      </c>
      <c r="AX594" s="2">
        <f>IF($AS594="","",IF($AZ594&lt;&gt;"",SUBSTITUTE(SUBSTITUTE($AZ594,"-","")," ",""),$AY594))</f>
        <v/>
      </c>
      <c r="AY594" s="2">
        <f>IF(OR($AS594="",$E$6=""),"",TRIM(INDEX($A:$AP,ROW(),$E$6)&amp;""))</f>
        <v/>
      </c>
      <c r="AZ594" s="2">
        <f>IF(OR($AS594="",$D$6=""),"",TRIM(INDEX($A:$AP,ROW(),$D$6)&amp;""))</f>
        <v/>
      </c>
      <c r="BA594" s="2">
        <f>IF($AS594="","",IF(AND($AS594&gt;=설정!$B$10,$AS594&lt;=설정!$B$11),"포함","기간 밖"))</f>
        <v/>
      </c>
      <c r="BB594" s="2">
        <f>IF($AS594="","",IF(OR($AT594&lt;0,AND($I$6&lt;&gt;"",ISNUMBER(FIND("수정",INDEX($A:$AP,ROW(),IF($I$6="",1,$I$6))&amp;"")))),"수정","일반"))</f>
        <v/>
      </c>
      <c r="BC594" s="2">
        <f>IF($AS594="","",MID(IF($BA594="기간 밖"," / 기간 밖(신고기간 아님)","")&amp;IF(AND($AW594&lt;&gt;"",COUNTIF($AW$8:$AW$1007,$AW594)&gt;1)," / 승인번호 중복(두 번 붙여넣기?)","")&amp;IF(ABS($AU594-ROUND($AT594*0.1,0))&gt;설정!$B$8,IF($AU594=0," / 세액 0원(영세율·면세 여부 확인)"," / 세액이 공급가액 10%와 다름"),"")&amp;IF($BB594="수정"," / 수정세금계산서(합계에서 자동 가감)",""),4,200))</f>
        <v/>
      </c>
      <c r="BD594" s="2">
        <f>IF($BA594&lt;&gt;"포함","",IF(COUNTIFS($AX$8:$AX594,$AX594,$BA$8:$BA594,"포함")=1,MAX($BD$7:BD593)+1,""))</f>
        <v/>
      </c>
      <c r="BE594" s="2">
        <f>IF($BC594="","",MAX($BE$7:BE593)+1)</f>
        <v/>
      </c>
    </row>
    <row r="595">
      <c r="AR595" s="2">
        <f>IF(OR($A$5="",$B$6="",ROW()&lt;$A$5),"",IF(INDEX($A:$AP,ROW(),$B$6)="","",INDEX($A:$AP,ROW(),$B$6)))</f>
        <v/>
      </c>
      <c r="AS595" s="22">
        <f>IF($AR595="","",IF(ISNUMBER($AR595),IF($AR595&gt;=10000000,IFERROR(DATE(INT($AR595/10000),MOD(INT($AR595/100),100),MOD($AR595,100)),""),INT($AR595)),IFERROR(DATE(--LEFT(LEFT(SUBSTITUTE(SUBSTITUTE(SUBSTITUTE(SUBSTITUTE(TRIM($AR595),"-",""),".",""),"/","")," ",""),8),4),--MID(LEFT(SUBSTITUTE(SUBSTITUTE(SUBSTITUTE(SUBSTITUTE(TRIM($AR595),"-",""),".",""),"/","")," ",""),8),5,2),--MID(LEFT(SUBSTITUTE(SUBSTITUTE(SUBSTITUTE(SUBSTITUTE(TRIM($AR595),"-",""),".",""),"/","")," ",""),8),7,2)),"")))</f>
        <v/>
      </c>
      <c r="AT595" s="23">
        <f>IF($AS595="","",IF($F$6="",0,IF(ISNUMBER(INDEX($A:$AP,ROW(),$F$6)),INDEX($A:$AP,ROW(),$F$6),IFERROR(--SUBSTITUTE(SUBSTITUTE(TRIM(INDEX($A:$AP,ROW(),$F$6)),",",""),"원",""),0))))</f>
        <v/>
      </c>
      <c r="AU595" s="23">
        <f>IF($AS595="","",IF($G$6="",0,IF(ISNUMBER(INDEX($A:$AP,ROW(),$G$6)),INDEX($A:$AP,ROW(),$G$6),IFERROR(--SUBSTITUTE(SUBSTITUTE(TRIM(INDEX($A:$AP,ROW(),$G$6)),",",""),"원",""),0))))</f>
        <v/>
      </c>
      <c r="AV595" s="23">
        <f>IF($AS595="","",IF($H$6="",$AT595+$AU595,IF($H$6="",0,IF(ISNUMBER(INDEX($A:$AP,ROW(),$H$6)),INDEX($A:$AP,ROW(),$H$6),IFERROR(--SUBSTITUTE(SUBSTITUTE(TRIM(INDEX($A:$AP,ROW(),$H$6)),",",""),"원",""),0)))))</f>
        <v/>
      </c>
      <c r="AW595" s="2">
        <f>IF(OR($AS595="",$C$6=""),"",TRIM(INDEX($A:$AP,ROW(),$C$6)&amp;""))</f>
        <v/>
      </c>
      <c r="AX595" s="2">
        <f>IF($AS595="","",IF($AZ595&lt;&gt;"",SUBSTITUTE(SUBSTITUTE($AZ595,"-","")," ",""),$AY595))</f>
        <v/>
      </c>
      <c r="AY595" s="2">
        <f>IF(OR($AS595="",$E$6=""),"",TRIM(INDEX($A:$AP,ROW(),$E$6)&amp;""))</f>
        <v/>
      </c>
      <c r="AZ595" s="2">
        <f>IF(OR($AS595="",$D$6=""),"",TRIM(INDEX($A:$AP,ROW(),$D$6)&amp;""))</f>
        <v/>
      </c>
      <c r="BA595" s="2">
        <f>IF($AS595="","",IF(AND($AS595&gt;=설정!$B$10,$AS595&lt;=설정!$B$11),"포함","기간 밖"))</f>
        <v/>
      </c>
      <c r="BB595" s="2">
        <f>IF($AS595="","",IF(OR($AT595&lt;0,AND($I$6&lt;&gt;"",ISNUMBER(FIND("수정",INDEX($A:$AP,ROW(),IF($I$6="",1,$I$6))&amp;"")))),"수정","일반"))</f>
        <v/>
      </c>
      <c r="BC595" s="2">
        <f>IF($AS595="","",MID(IF($BA595="기간 밖"," / 기간 밖(신고기간 아님)","")&amp;IF(AND($AW595&lt;&gt;"",COUNTIF($AW$8:$AW$1007,$AW595)&gt;1)," / 승인번호 중복(두 번 붙여넣기?)","")&amp;IF(ABS($AU595-ROUND($AT595*0.1,0))&gt;설정!$B$8,IF($AU595=0," / 세액 0원(영세율·면세 여부 확인)"," / 세액이 공급가액 10%와 다름"),"")&amp;IF($BB595="수정"," / 수정세금계산서(합계에서 자동 가감)",""),4,200))</f>
        <v/>
      </c>
      <c r="BD595" s="2">
        <f>IF($BA595&lt;&gt;"포함","",IF(COUNTIFS($AX$8:$AX595,$AX595,$BA$8:$BA595,"포함")=1,MAX($BD$7:BD594)+1,""))</f>
        <v/>
      </c>
      <c r="BE595" s="2">
        <f>IF($BC595="","",MAX($BE$7:BE594)+1)</f>
        <v/>
      </c>
    </row>
    <row r="596">
      <c r="AR596" s="2">
        <f>IF(OR($A$5="",$B$6="",ROW()&lt;$A$5),"",IF(INDEX($A:$AP,ROW(),$B$6)="","",INDEX($A:$AP,ROW(),$B$6)))</f>
        <v/>
      </c>
      <c r="AS596" s="22">
        <f>IF($AR596="","",IF(ISNUMBER($AR596),IF($AR596&gt;=10000000,IFERROR(DATE(INT($AR596/10000),MOD(INT($AR596/100),100),MOD($AR596,100)),""),INT($AR596)),IFERROR(DATE(--LEFT(LEFT(SUBSTITUTE(SUBSTITUTE(SUBSTITUTE(SUBSTITUTE(TRIM($AR596),"-",""),".",""),"/","")," ",""),8),4),--MID(LEFT(SUBSTITUTE(SUBSTITUTE(SUBSTITUTE(SUBSTITUTE(TRIM($AR596),"-",""),".",""),"/","")," ",""),8),5,2),--MID(LEFT(SUBSTITUTE(SUBSTITUTE(SUBSTITUTE(SUBSTITUTE(TRIM($AR596),"-",""),".",""),"/","")," ",""),8),7,2)),"")))</f>
        <v/>
      </c>
      <c r="AT596" s="23">
        <f>IF($AS596="","",IF($F$6="",0,IF(ISNUMBER(INDEX($A:$AP,ROW(),$F$6)),INDEX($A:$AP,ROW(),$F$6),IFERROR(--SUBSTITUTE(SUBSTITUTE(TRIM(INDEX($A:$AP,ROW(),$F$6)),",",""),"원",""),0))))</f>
        <v/>
      </c>
      <c r="AU596" s="23">
        <f>IF($AS596="","",IF($G$6="",0,IF(ISNUMBER(INDEX($A:$AP,ROW(),$G$6)),INDEX($A:$AP,ROW(),$G$6),IFERROR(--SUBSTITUTE(SUBSTITUTE(TRIM(INDEX($A:$AP,ROW(),$G$6)),",",""),"원",""),0))))</f>
        <v/>
      </c>
      <c r="AV596" s="23">
        <f>IF($AS596="","",IF($H$6="",$AT596+$AU596,IF($H$6="",0,IF(ISNUMBER(INDEX($A:$AP,ROW(),$H$6)),INDEX($A:$AP,ROW(),$H$6),IFERROR(--SUBSTITUTE(SUBSTITUTE(TRIM(INDEX($A:$AP,ROW(),$H$6)),",",""),"원",""),0)))))</f>
        <v/>
      </c>
      <c r="AW596" s="2">
        <f>IF(OR($AS596="",$C$6=""),"",TRIM(INDEX($A:$AP,ROW(),$C$6)&amp;""))</f>
        <v/>
      </c>
      <c r="AX596" s="2">
        <f>IF($AS596="","",IF($AZ596&lt;&gt;"",SUBSTITUTE(SUBSTITUTE($AZ596,"-","")," ",""),$AY596))</f>
        <v/>
      </c>
      <c r="AY596" s="2">
        <f>IF(OR($AS596="",$E$6=""),"",TRIM(INDEX($A:$AP,ROW(),$E$6)&amp;""))</f>
        <v/>
      </c>
      <c r="AZ596" s="2">
        <f>IF(OR($AS596="",$D$6=""),"",TRIM(INDEX($A:$AP,ROW(),$D$6)&amp;""))</f>
        <v/>
      </c>
      <c r="BA596" s="2">
        <f>IF($AS596="","",IF(AND($AS596&gt;=설정!$B$10,$AS596&lt;=설정!$B$11),"포함","기간 밖"))</f>
        <v/>
      </c>
      <c r="BB596" s="2">
        <f>IF($AS596="","",IF(OR($AT596&lt;0,AND($I$6&lt;&gt;"",ISNUMBER(FIND("수정",INDEX($A:$AP,ROW(),IF($I$6="",1,$I$6))&amp;"")))),"수정","일반"))</f>
        <v/>
      </c>
      <c r="BC596" s="2">
        <f>IF($AS596="","",MID(IF($BA596="기간 밖"," / 기간 밖(신고기간 아님)","")&amp;IF(AND($AW596&lt;&gt;"",COUNTIF($AW$8:$AW$1007,$AW596)&gt;1)," / 승인번호 중복(두 번 붙여넣기?)","")&amp;IF(ABS($AU596-ROUND($AT596*0.1,0))&gt;설정!$B$8,IF($AU596=0," / 세액 0원(영세율·면세 여부 확인)"," / 세액이 공급가액 10%와 다름"),"")&amp;IF($BB596="수정"," / 수정세금계산서(합계에서 자동 가감)",""),4,200))</f>
        <v/>
      </c>
      <c r="BD596" s="2">
        <f>IF($BA596&lt;&gt;"포함","",IF(COUNTIFS($AX$8:$AX596,$AX596,$BA$8:$BA596,"포함")=1,MAX($BD$7:BD595)+1,""))</f>
        <v/>
      </c>
      <c r="BE596" s="2">
        <f>IF($BC596="","",MAX($BE$7:BE595)+1)</f>
        <v/>
      </c>
    </row>
    <row r="597">
      <c r="AR597" s="2">
        <f>IF(OR($A$5="",$B$6="",ROW()&lt;$A$5),"",IF(INDEX($A:$AP,ROW(),$B$6)="","",INDEX($A:$AP,ROW(),$B$6)))</f>
        <v/>
      </c>
      <c r="AS597" s="22">
        <f>IF($AR597="","",IF(ISNUMBER($AR597),IF($AR597&gt;=10000000,IFERROR(DATE(INT($AR597/10000),MOD(INT($AR597/100),100),MOD($AR597,100)),""),INT($AR597)),IFERROR(DATE(--LEFT(LEFT(SUBSTITUTE(SUBSTITUTE(SUBSTITUTE(SUBSTITUTE(TRIM($AR597),"-",""),".",""),"/","")," ",""),8),4),--MID(LEFT(SUBSTITUTE(SUBSTITUTE(SUBSTITUTE(SUBSTITUTE(TRIM($AR597),"-",""),".",""),"/","")," ",""),8),5,2),--MID(LEFT(SUBSTITUTE(SUBSTITUTE(SUBSTITUTE(SUBSTITUTE(TRIM($AR597),"-",""),".",""),"/","")," ",""),8),7,2)),"")))</f>
        <v/>
      </c>
      <c r="AT597" s="23">
        <f>IF($AS597="","",IF($F$6="",0,IF(ISNUMBER(INDEX($A:$AP,ROW(),$F$6)),INDEX($A:$AP,ROW(),$F$6),IFERROR(--SUBSTITUTE(SUBSTITUTE(TRIM(INDEX($A:$AP,ROW(),$F$6)),",",""),"원",""),0))))</f>
        <v/>
      </c>
      <c r="AU597" s="23">
        <f>IF($AS597="","",IF($G$6="",0,IF(ISNUMBER(INDEX($A:$AP,ROW(),$G$6)),INDEX($A:$AP,ROW(),$G$6),IFERROR(--SUBSTITUTE(SUBSTITUTE(TRIM(INDEX($A:$AP,ROW(),$G$6)),",",""),"원",""),0))))</f>
        <v/>
      </c>
      <c r="AV597" s="23">
        <f>IF($AS597="","",IF($H$6="",$AT597+$AU597,IF($H$6="",0,IF(ISNUMBER(INDEX($A:$AP,ROW(),$H$6)),INDEX($A:$AP,ROW(),$H$6),IFERROR(--SUBSTITUTE(SUBSTITUTE(TRIM(INDEX($A:$AP,ROW(),$H$6)),",",""),"원",""),0)))))</f>
        <v/>
      </c>
      <c r="AW597" s="2">
        <f>IF(OR($AS597="",$C$6=""),"",TRIM(INDEX($A:$AP,ROW(),$C$6)&amp;""))</f>
        <v/>
      </c>
      <c r="AX597" s="2">
        <f>IF($AS597="","",IF($AZ597&lt;&gt;"",SUBSTITUTE(SUBSTITUTE($AZ597,"-","")," ",""),$AY597))</f>
        <v/>
      </c>
      <c r="AY597" s="2">
        <f>IF(OR($AS597="",$E$6=""),"",TRIM(INDEX($A:$AP,ROW(),$E$6)&amp;""))</f>
        <v/>
      </c>
      <c r="AZ597" s="2">
        <f>IF(OR($AS597="",$D$6=""),"",TRIM(INDEX($A:$AP,ROW(),$D$6)&amp;""))</f>
        <v/>
      </c>
      <c r="BA597" s="2">
        <f>IF($AS597="","",IF(AND($AS597&gt;=설정!$B$10,$AS597&lt;=설정!$B$11),"포함","기간 밖"))</f>
        <v/>
      </c>
      <c r="BB597" s="2">
        <f>IF($AS597="","",IF(OR($AT597&lt;0,AND($I$6&lt;&gt;"",ISNUMBER(FIND("수정",INDEX($A:$AP,ROW(),IF($I$6="",1,$I$6))&amp;"")))),"수정","일반"))</f>
        <v/>
      </c>
      <c r="BC597" s="2">
        <f>IF($AS597="","",MID(IF($BA597="기간 밖"," / 기간 밖(신고기간 아님)","")&amp;IF(AND($AW597&lt;&gt;"",COUNTIF($AW$8:$AW$1007,$AW597)&gt;1)," / 승인번호 중복(두 번 붙여넣기?)","")&amp;IF(ABS($AU597-ROUND($AT597*0.1,0))&gt;설정!$B$8,IF($AU597=0," / 세액 0원(영세율·면세 여부 확인)"," / 세액이 공급가액 10%와 다름"),"")&amp;IF($BB597="수정"," / 수정세금계산서(합계에서 자동 가감)",""),4,200))</f>
        <v/>
      </c>
      <c r="BD597" s="2">
        <f>IF($BA597&lt;&gt;"포함","",IF(COUNTIFS($AX$8:$AX597,$AX597,$BA$8:$BA597,"포함")=1,MAX($BD$7:BD596)+1,""))</f>
        <v/>
      </c>
      <c r="BE597" s="2">
        <f>IF($BC597="","",MAX($BE$7:BE596)+1)</f>
        <v/>
      </c>
    </row>
    <row r="598">
      <c r="AR598" s="2">
        <f>IF(OR($A$5="",$B$6="",ROW()&lt;$A$5),"",IF(INDEX($A:$AP,ROW(),$B$6)="","",INDEX($A:$AP,ROW(),$B$6)))</f>
        <v/>
      </c>
      <c r="AS598" s="22">
        <f>IF($AR598="","",IF(ISNUMBER($AR598),IF($AR598&gt;=10000000,IFERROR(DATE(INT($AR598/10000),MOD(INT($AR598/100),100),MOD($AR598,100)),""),INT($AR598)),IFERROR(DATE(--LEFT(LEFT(SUBSTITUTE(SUBSTITUTE(SUBSTITUTE(SUBSTITUTE(TRIM($AR598),"-",""),".",""),"/","")," ",""),8),4),--MID(LEFT(SUBSTITUTE(SUBSTITUTE(SUBSTITUTE(SUBSTITUTE(TRIM($AR598),"-",""),".",""),"/","")," ",""),8),5,2),--MID(LEFT(SUBSTITUTE(SUBSTITUTE(SUBSTITUTE(SUBSTITUTE(TRIM($AR598),"-",""),".",""),"/","")," ",""),8),7,2)),"")))</f>
        <v/>
      </c>
      <c r="AT598" s="23">
        <f>IF($AS598="","",IF($F$6="",0,IF(ISNUMBER(INDEX($A:$AP,ROW(),$F$6)),INDEX($A:$AP,ROW(),$F$6),IFERROR(--SUBSTITUTE(SUBSTITUTE(TRIM(INDEX($A:$AP,ROW(),$F$6)),",",""),"원",""),0))))</f>
        <v/>
      </c>
      <c r="AU598" s="23">
        <f>IF($AS598="","",IF($G$6="",0,IF(ISNUMBER(INDEX($A:$AP,ROW(),$G$6)),INDEX($A:$AP,ROW(),$G$6),IFERROR(--SUBSTITUTE(SUBSTITUTE(TRIM(INDEX($A:$AP,ROW(),$G$6)),",",""),"원",""),0))))</f>
        <v/>
      </c>
      <c r="AV598" s="23">
        <f>IF($AS598="","",IF($H$6="",$AT598+$AU598,IF($H$6="",0,IF(ISNUMBER(INDEX($A:$AP,ROW(),$H$6)),INDEX($A:$AP,ROW(),$H$6),IFERROR(--SUBSTITUTE(SUBSTITUTE(TRIM(INDEX($A:$AP,ROW(),$H$6)),",",""),"원",""),0)))))</f>
        <v/>
      </c>
      <c r="AW598" s="2">
        <f>IF(OR($AS598="",$C$6=""),"",TRIM(INDEX($A:$AP,ROW(),$C$6)&amp;""))</f>
        <v/>
      </c>
      <c r="AX598" s="2">
        <f>IF($AS598="","",IF($AZ598&lt;&gt;"",SUBSTITUTE(SUBSTITUTE($AZ598,"-","")," ",""),$AY598))</f>
        <v/>
      </c>
      <c r="AY598" s="2">
        <f>IF(OR($AS598="",$E$6=""),"",TRIM(INDEX($A:$AP,ROW(),$E$6)&amp;""))</f>
        <v/>
      </c>
      <c r="AZ598" s="2">
        <f>IF(OR($AS598="",$D$6=""),"",TRIM(INDEX($A:$AP,ROW(),$D$6)&amp;""))</f>
        <v/>
      </c>
      <c r="BA598" s="2">
        <f>IF($AS598="","",IF(AND($AS598&gt;=설정!$B$10,$AS598&lt;=설정!$B$11),"포함","기간 밖"))</f>
        <v/>
      </c>
      <c r="BB598" s="2">
        <f>IF($AS598="","",IF(OR($AT598&lt;0,AND($I$6&lt;&gt;"",ISNUMBER(FIND("수정",INDEX($A:$AP,ROW(),IF($I$6="",1,$I$6))&amp;"")))),"수정","일반"))</f>
        <v/>
      </c>
      <c r="BC598" s="2">
        <f>IF($AS598="","",MID(IF($BA598="기간 밖"," / 기간 밖(신고기간 아님)","")&amp;IF(AND($AW598&lt;&gt;"",COUNTIF($AW$8:$AW$1007,$AW598)&gt;1)," / 승인번호 중복(두 번 붙여넣기?)","")&amp;IF(ABS($AU598-ROUND($AT598*0.1,0))&gt;설정!$B$8,IF($AU598=0," / 세액 0원(영세율·면세 여부 확인)"," / 세액이 공급가액 10%와 다름"),"")&amp;IF($BB598="수정"," / 수정세금계산서(합계에서 자동 가감)",""),4,200))</f>
        <v/>
      </c>
      <c r="BD598" s="2">
        <f>IF($BA598&lt;&gt;"포함","",IF(COUNTIFS($AX$8:$AX598,$AX598,$BA$8:$BA598,"포함")=1,MAX($BD$7:BD597)+1,""))</f>
        <v/>
      </c>
      <c r="BE598" s="2">
        <f>IF($BC598="","",MAX($BE$7:BE597)+1)</f>
        <v/>
      </c>
    </row>
    <row r="599">
      <c r="AR599" s="2">
        <f>IF(OR($A$5="",$B$6="",ROW()&lt;$A$5),"",IF(INDEX($A:$AP,ROW(),$B$6)="","",INDEX($A:$AP,ROW(),$B$6)))</f>
        <v/>
      </c>
      <c r="AS599" s="22">
        <f>IF($AR599="","",IF(ISNUMBER($AR599),IF($AR599&gt;=10000000,IFERROR(DATE(INT($AR599/10000),MOD(INT($AR599/100),100),MOD($AR599,100)),""),INT($AR599)),IFERROR(DATE(--LEFT(LEFT(SUBSTITUTE(SUBSTITUTE(SUBSTITUTE(SUBSTITUTE(TRIM($AR599),"-",""),".",""),"/","")," ",""),8),4),--MID(LEFT(SUBSTITUTE(SUBSTITUTE(SUBSTITUTE(SUBSTITUTE(TRIM($AR599),"-",""),".",""),"/","")," ",""),8),5,2),--MID(LEFT(SUBSTITUTE(SUBSTITUTE(SUBSTITUTE(SUBSTITUTE(TRIM($AR599),"-",""),".",""),"/","")," ",""),8),7,2)),"")))</f>
        <v/>
      </c>
      <c r="AT599" s="23">
        <f>IF($AS599="","",IF($F$6="",0,IF(ISNUMBER(INDEX($A:$AP,ROW(),$F$6)),INDEX($A:$AP,ROW(),$F$6),IFERROR(--SUBSTITUTE(SUBSTITUTE(TRIM(INDEX($A:$AP,ROW(),$F$6)),",",""),"원",""),0))))</f>
        <v/>
      </c>
      <c r="AU599" s="23">
        <f>IF($AS599="","",IF($G$6="",0,IF(ISNUMBER(INDEX($A:$AP,ROW(),$G$6)),INDEX($A:$AP,ROW(),$G$6),IFERROR(--SUBSTITUTE(SUBSTITUTE(TRIM(INDEX($A:$AP,ROW(),$G$6)),",",""),"원",""),0))))</f>
        <v/>
      </c>
      <c r="AV599" s="23">
        <f>IF($AS599="","",IF($H$6="",$AT599+$AU599,IF($H$6="",0,IF(ISNUMBER(INDEX($A:$AP,ROW(),$H$6)),INDEX($A:$AP,ROW(),$H$6),IFERROR(--SUBSTITUTE(SUBSTITUTE(TRIM(INDEX($A:$AP,ROW(),$H$6)),",",""),"원",""),0)))))</f>
        <v/>
      </c>
      <c r="AW599" s="2">
        <f>IF(OR($AS599="",$C$6=""),"",TRIM(INDEX($A:$AP,ROW(),$C$6)&amp;""))</f>
        <v/>
      </c>
      <c r="AX599" s="2">
        <f>IF($AS599="","",IF($AZ599&lt;&gt;"",SUBSTITUTE(SUBSTITUTE($AZ599,"-","")," ",""),$AY599))</f>
        <v/>
      </c>
      <c r="AY599" s="2">
        <f>IF(OR($AS599="",$E$6=""),"",TRIM(INDEX($A:$AP,ROW(),$E$6)&amp;""))</f>
        <v/>
      </c>
      <c r="AZ599" s="2">
        <f>IF(OR($AS599="",$D$6=""),"",TRIM(INDEX($A:$AP,ROW(),$D$6)&amp;""))</f>
        <v/>
      </c>
      <c r="BA599" s="2">
        <f>IF($AS599="","",IF(AND($AS599&gt;=설정!$B$10,$AS599&lt;=설정!$B$11),"포함","기간 밖"))</f>
        <v/>
      </c>
      <c r="BB599" s="2">
        <f>IF($AS599="","",IF(OR($AT599&lt;0,AND($I$6&lt;&gt;"",ISNUMBER(FIND("수정",INDEX($A:$AP,ROW(),IF($I$6="",1,$I$6))&amp;"")))),"수정","일반"))</f>
        <v/>
      </c>
      <c r="BC599" s="2">
        <f>IF($AS599="","",MID(IF($BA599="기간 밖"," / 기간 밖(신고기간 아님)","")&amp;IF(AND($AW599&lt;&gt;"",COUNTIF($AW$8:$AW$1007,$AW599)&gt;1)," / 승인번호 중복(두 번 붙여넣기?)","")&amp;IF(ABS($AU599-ROUND($AT599*0.1,0))&gt;설정!$B$8,IF($AU599=0," / 세액 0원(영세율·면세 여부 확인)"," / 세액이 공급가액 10%와 다름"),"")&amp;IF($BB599="수정"," / 수정세금계산서(합계에서 자동 가감)",""),4,200))</f>
        <v/>
      </c>
      <c r="BD599" s="2">
        <f>IF($BA599&lt;&gt;"포함","",IF(COUNTIFS($AX$8:$AX599,$AX599,$BA$8:$BA599,"포함")=1,MAX($BD$7:BD598)+1,""))</f>
        <v/>
      </c>
      <c r="BE599" s="2">
        <f>IF($BC599="","",MAX($BE$7:BE598)+1)</f>
        <v/>
      </c>
    </row>
    <row r="600">
      <c r="AR600" s="2">
        <f>IF(OR($A$5="",$B$6="",ROW()&lt;$A$5),"",IF(INDEX($A:$AP,ROW(),$B$6)="","",INDEX($A:$AP,ROW(),$B$6)))</f>
        <v/>
      </c>
      <c r="AS600" s="22">
        <f>IF($AR600="","",IF(ISNUMBER($AR600),IF($AR600&gt;=10000000,IFERROR(DATE(INT($AR600/10000),MOD(INT($AR600/100),100),MOD($AR600,100)),""),INT($AR600)),IFERROR(DATE(--LEFT(LEFT(SUBSTITUTE(SUBSTITUTE(SUBSTITUTE(SUBSTITUTE(TRIM($AR600),"-",""),".",""),"/","")," ",""),8),4),--MID(LEFT(SUBSTITUTE(SUBSTITUTE(SUBSTITUTE(SUBSTITUTE(TRIM($AR600),"-",""),".",""),"/","")," ",""),8),5,2),--MID(LEFT(SUBSTITUTE(SUBSTITUTE(SUBSTITUTE(SUBSTITUTE(TRIM($AR600),"-",""),".",""),"/","")," ",""),8),7,2)),"")))</f>
        <v/>
      </c>
      <c r="AT600" s="23">
        <f>IF($AS600="","",IF($F$6="",0,IF(ISNUMBER(INDEX($A:$AP,ROW(),$F$6)),INDEX($A:$AP,ROW(),$F$6),IFERROR(--SUBSTITUTE(SUBSTITUTE(TRIM(INDEX($A:$AP,ROW(),$F$6)),",",""),"원",""),0))))</f>
        <v/>
      </c>
      <c r="AU600" s="23">
        <f>IF($AS600="","",IF($G$6="",0,IF(ISNUMBER(INDEX($A:$AP,ROW(),$G$6)),INDEX($A:$AP,ROW(),$G$6),IFERROR(--SUBSTITUTE(SUBSTITUTE(TRIM(INDEX($A:$AP,ROW(),$G$6)),",",""),"원",""),0))))</f>
        <v/>
      </c>
      <c r="AV600" s="23">
        <f>IF($AS600="","",IF($H$6="",$AT600+$AU600,IF($H$6="",0,IF(ISNUMBER(INDEX($A:$AP,ROW(),$H$6)),INDEX($A:$AP,ROW(),$H$6),IFERROR(--SUBSTITUTE(SUBSTITUTE(TRIM(INDEX($A:$AP,ROW(),$H$6)),",",""),"원",""),0)))))</f>
        <v/>
      </c>
      <c r="AW600" s="2">
        <f>IF(OR($AS600="",$C$6=""),"",TRIM(INDEX($A:$AP,ROW(),$C$6)&amp;""))</f>
        <v/>
      </c>
      <c r="AX600" s="2">
        <f>IF($AS600="","",IF($AZ600&lt;&gt;"",SUBSTITUTE(SUBSTITUTE($AZ600,"-","")," ",""),$AY600))</f>
        <v/>
      </c>
      <c r="AY600" s="2">
        <f>IF(OR($AS600="",$E$6=""),"",TRIM(INDEX($A:$AP,ROW(),$E$6)&amp;""))</f>
        <v/>
      </c>
      <c r="AZ600" s="2">
        <f>IF(OR($AS600="",$D$6=""),"",TRIM(INDEX($A:$AP,ROW(),$D$6)&amp;""))</f>
        <v/>
      </c>
      <c r="BA600" s="2">
        <f>IF($AS600="","",IF(AND($AS600&gt;=설정!$B$10,$AS600&lt;=설정!$B$11),"포함","기간 밖"))</f>
        <v/>
      </c>
      <c r="BB600" s="2">
        <f>IF($AS600="","",IF(OR($AT600&lt;0,AND($I$6&lt;&gt;"",ISNUMBER(FIND("수정",INDEX($A:$AP,ROW(),IF($I$6="",1,$I$6))&amp;"")))),"수정","일반"))</f>
        <v/>
      </c>
      <c r="BC600" s="2">
        <f>IF($AS600="","",MID(IF($BA600="기간 밖"," / 기간 밖(신고기간 아님)","")&amp;IF(AND($AW600&lt;&gt;"",COUNTIF($AW$8:$AW$1007,$AW600)&gt;1)," / 승인번호 중복(두 번 붙여넣기?)","")&amp;IF(ABS($AU600-ROUND($AT600*0.1,0))&gt;설정!$B$8,IF($AU600=0," / 세액 0원(영세율·면세 여부 확인)"," / 세액이 공급가액 10%와 다름"),"")&amp;IF($BB600="수정"," / 수정세금계산서(합계에서 자동 가감)",""),4,200))</f>
        <v/>
      </c>
      <c r="BD600" s="2">
        <f>IF($BA600&lt;&gt;"포함","",IF(COUNTIFS($AX$8:$AX600,$AX600,$BA$8:$BA600,"포함")=1,MAX($BD$7:BD599)+1,""))</f>
        <v/>
      </c>
      <c r="BE600" s="2">
        <f>IF($BC600="","",MAX($BE$7:BE599)+1)</f>
        <v/>
      </c>
    </row>
    <row r="601">
      <c r="AR601" s="2">
        <f>IF(OR($A$5="",$B$6="",ROW()&lt;$A$5),"",IF(INDEX($A:$AP,ROW(),$B$6)="","",INDEX($A:$AP,ROW(),$B$6)))</f>
        <v/>
      </c>
      <c r="AS601" s="22">
        <f>IF($AR601="","",IF(ISNUMBER($AR601),IF($AR601&gt;=10000000,IFERROR(DATE(INT($AR601/10000),MOD(INT($AR601/100),100),MOD($AR601,100)),""),INT($AR601)),IFERROR(DATE(--LEFT(LEFT(SUBSTITUTE(SUBSTITUTE(SUBSTITUTE(SUBSTITUTE(TRIM($AR601),"-",""),".",""),"/","")," ",""),8),4),--MID(LEFT(SUBSTITUTE(SUBSTITUTE(SUBSTITUTE(SUBSTITUTE(TRIM($AR601),"-",""),".",""),"/","")," ",""),8),5,2),--MID(LEFT(SUBSTITUTE(SUBSTITUTE(SUBSTITUTE(SUBSTITUTE(TRIM($AR601),"-",""),".",""),"/","")," ",""),8),7,2)),"")))</f>
        <v/>
      </c>
      <c r="AT601" s="23">
        <f>IF($AS601="","",IF($F$6="",0,IF(ISNUMBER(INDEX($A:$AP,ROW(),$F$6)),INDEX($A:$AP,ROW(),$F$6),IFERROR(--SUBSTITUTE(SUBSTITUTE(TRIM(INDEX($A:$AP,ROW(),$F$6)),",",""),"원",""),0))))</f>
        <v/>
      </c>
      <c r="AU601" s="23">
        <f>IF($AS601="","",IF($G$6="",0,IF(ISNUMBER(INDEX($A:$AP,ROW(),$G$6)),INDEX($A:$AP,ROW(),$G$6),IFERROR(--SUBSTITUTE(SUBSTITUTE(TRIM(INDEX($A:$AP,ROW(),$G$6)),",",""),"원",""),0))))</f>
        <v/>
      </c>
      <c r="AV601" s="23">
        <f>IF($AS601="","",IF($H$6="",$AT601+$AU601,IF($H$6="",0,IF(ISNUMBER(INDEX($A:$AP,ROW(),$H$6)),INDEX($A:$AP,ROW(),$H$6),IFERROR(--SUBSTITUTE(SUBSTITUTE(TRIM(INDEX($A:$AP,ROW(),$H$6)),",",""),"원",""),0)))))</f>
        <v/>
      </c>
      <c r="AW601" s="2">
        <f>IF(OR($AS601="",$C$6=""),"",TRIM(INDEX($A:$AP,ROW(),$C$6)&amp;""))</f>
        <v/>
      </c>
      <c r="AX601" s="2">
        <f>IF($AS601="","",IF($AZ601&lt;&gt;"",SUBSTITUTE(SUBSTITUTE($AZ601,"-","")," ",""),$AY601))</f>
        <v/>
      </c>
      <c r="AY601" s="2">
        <f>IF(OR($AS601="",$E$6=""),"",TRIM(INDEX($A:$AP,ROW(),$E$6)&amp;""))</f>
        <v/>
      </c>
      <c r="AZ601" s="2">
        <f>IF(OR($AS601="",$D$6=""),"",TRIM(INDEX($A:$AP,ROW(),$D$6)&amp;""))</f>
        <v/>
      </c>
      <c r="BA601" s="2">
        <f>IF($AS601="","",IF(AND($AS601&gt;=설정!$B$10,$AS601&lt;=설정!$B$11),"포함","기간 밖"))</f>
        <v/>
      </c>
      <c r="BB601" s="2">
        <f>IF($AS601="","",IF(OR($AT601&lt;0,AND($I$6&lt;&gt;"",ISNUMBER(FIND("수정",INDEX($A:$AP,ROW(),IF($I$6="",1,$I$6))&amp;"")))),"수정","일반"))</f>
        <v/>
      </c>
      <c r="BC601" s="2">
        <f>IF($AS601="","",MID(IF($BA601="기간 밖"," / 기간 밖(신고기간 아님)","")&amp;IF(AND($AW601&lt;&gt;"",COUNTIF($AW$8:$AW$1007,$AW601)&gt;1)," / 승인번호 중복(두 번 붙여넣기?)","")&amp;IF(ABS($AU601-ROUND($AT601*0.1,0))&gt;설정!$B$8,IF($AU601=0," / 세액 0원(영세율·면세 여부 확인)"," / 세액이 공급가액 10%와 다름"),"")&amp;IF($BB601="수정"," / 수정세금계산서(합계에서 자동 가감)",""),4,200))</f>
        <v/>
      </c>
      <c r="BD601" s="2">
        <f>IF($BA601&lt;&gt;"포함","",IF(COUNTIFS($AX$8:$AX601,$AX601,$BA$8:$BA601,"포함")=1,MAX($BD$7:BD600)+1,""))</f>
        <v/>
      </c>
      <c r="BE601" s="2">
        <f>IF($BC601="","",MAX($BE$7:BE600)+1)</f>
        <v/>
      </c>
    </row>
    <row r="602">
      <c r="AR602" s="2">
        <f>IF(OR($A$5="",$B$6="",ROW()&lt;$A$5),"",IF(INDEX($A:$AP,ROW(),$B$6)="","",INDEX($A:$AP,ROW(),$B$6)))</f>
        <v/>
      </c>
      <c r="AS602" s="22">
        <f>IF($AR602="","",IF(ISNUMBER($AR602),IF($AR602&gt;=10000000,IFERROR(DATE(INT($AR602/10000),MOD(INT($AR602/100),100),MOD($AR602,100)),""),INT($AR602)),IFERROR(DATE(--LEFT(LEFT(SUBSTITUTE(SUBSTITUTE(SUBSTITUTE(SUBSTITUTE(TRIM($AR602),"-",""),".",""),"/","")," ",""),8),4),--MID(LEFT(SUBSTITUTE(SUBSTITUTE(SUBSTITUTE(SUBSTITUTE(TRIM($AR602),"-",""),".",""),"/","")," ",""),8),5,2),--MID(LEFT(SUBSTITUTE(SUBSTITUTE(SUBSTITUTE(SUBSTITUTE(TRIM($AR602),"-",""),".",""),"/","")," ",""),8),7,2)),"")))</f>
        <v/>
      </c>
      <c r="AT602" s="23">
        <f>IF($AS602="","",IF($F$6="",0,IF(ISNUMBER(INDEX($A:$AP,ROW(),$F$6)),INDEX($A:$AP,ROW(),$F$6),IFERROR(--SUBSTITUTE(SUBSTITUTE(TRIM(INDEX($A:$AP,ROW(),$F$6)),",",""),"원",""),0))))</f>
        <v/>
      </c>
      <c r="AU602" s="23">
        <f>IF($AS602="","",IF($G$6="",0,IF(ISNUMBER(INDEX($A:$AP,ROW(),$G$6)),INDEX($A:$AP,ROW(),$G$6),IFERROR(--SUBSTITUTE(SUBSTITUTE(TRIM(INDEX($A:$AP,ROW(),$G$6)),",",""),"원",""),0))))</f>
        <v/>
      </c>
      <c r="AV602" s="23">
        <f>IF($AS602="","",IF($H$6="",$AT602+$AU602,IF($H$6="",0,IF(ISNUMBER(INDEX($A:$AP,ROW(),$H$6)),INDEX($A:$AP,ROW(),$H$6),IFERROR(--SUBSTITUTE(SUBSTITUTE(TRIM(INDEX($A:$AP,ROW(),$H$6)),",",""),"원",""),0)))))</f>
        <v/>
      </c>
      <c r="AW602" s="2">
        <f>IF(OR($AS602="",$C$6=""),"",TRIM(INDEX($A:$AP,ROW(),$C$6)&amp;""))</f>
        <v/>
      </c>
      <c r="AX602" s="2">
        <f>IF($AS602="","",IF($AZ602&lt;&gt;"",SUBSTITUTE(SUBSTITUTE($AZ602,"-","")," ",""),$AY602))</f>
        <v/>
      </c>
      <c r="AY602" s="2">
        <f>IF(OR($AS602="",$E$6=""),"",TRIM(INDEX($A:$AP,ROW(),$E$6)&amp;""))</f>
        <v/>
      </c>
      <c r="AZ602" s="2">
        <f>IF(OR($AS602="",$D$6=""),"",TRIM(INDEX($A:$AP,ROW(),$D$6)&amp;""))</f>
        <v/>
      </c>
      <c r="BA602" s="2">
        <f>IF($AS602="","",IF(AND($AS602&gt;=설정!$B$10,$AS602&lt;=설정!$B$11),"포함","기간 밖"))</f>
        <v/>
      </c>
      <c r="BB602" s="2">
        <f>IF($AS602="","",IF(OR($AT602&lt;0,AND($I$6&lt;&gt;"",ISNUMBER(FIND("수정",INDEX($A:$AP,ROW(),IF($I$6="",1,$I$6))&amp;"")))),"수정","일반"))</f>
        <v/>
      </c>
      <c r="BC602" s="2">
        <f>IF($AS602="","",MID(IF($BA602="기간 밖"," / 기간 밖(신고기간 아님)","")&amp;IF(AND($AW602&lt;&gt;"",COUNTIF($AW$8:$AW$1007,$AW602)&gt;1)," / 승인번호 중복(두 번 붙여넣기?)","")&amp;IF(ABS($AU602-ROUND($AT602*0.1,0))&gt;설정!$B$8,IF($AU602=0," / 세액 0원(영세율·면세 여부 확인)"," / 세액이 공급가액 10%와 다름"),"")&amp;IF($BB602="수정"," / 수정세금계산서(합계에서 자동 가감)",""),4,200))</f>
        <v/>
      </c>
      <c r="BD602" s="2">
        <f>IF($BA602&lt;&gt;"포함","",IF(COUNTIFS($AX$8:$AX602,$AX602,$BA$8:$BA602,"포함")=1,MAX($BD$7:BD601)+1,""))</f>
        <v/>
      </c>
      <c r="BE602" s="2">
        <f>IF($BC602="","",MAX($BE$7:BE601)+1)</f>
        <v/>
      </c>
    </row>
    <row r="603">
      <c r="AR603" s="2">
        <f>IF(OR($A$5="",$B$6="",ROW()&lt;$A$5),"",IF(INDEX($A:$AP,ROW(),$B$6)="","",INDEX($A:$AP,ROW(),$B$6)))</f>
        <v/>
      </c>
      <c r="AS603" s="22">
        <f>IF($AR603="","",IF(ISNUMBER($AR603),IF($AR603&gt;=10000000,IFERROR(DATE(INT($AR603/10000),MOD(INT($AR603/100),100),MOD($AR603,100)),""),INT($AR603)),IFERROR(DATE(--LEFT(LEFT(SUBSTITUTE(SUBSTITUTE(SUBSTITUTE(SUBSTITUTE(TRIM($AR603),"-",""),".",""),"/","")," ",""),8),4),--MID(LEFT(SUBSTITUTE(SUBSTITUTE(SUBSTITUTE(SUBSTITUTE(TRIM($AR603),"-",""),".",""),"/","")," ",""),8),5,2),--MID(LEFT(SUBSTITUTE(SUBSTITUTE(SUBSTITUTE(SUBSTITUTE(TRIM($AR603),"-",""),".",""),"/","")," ",""),8),7,2)),"")))</f>
        <v/>
      </c>
      <c r="AT603" s="23">
        <f>IF($AS603="","",IF($F$6="",0,IF(ISNUMBER(INDEX($A:$AP,ROW(),$F$6)),INDEX($A:$AP,ROW(),$F$6),IFERROR(--SUBSTITUTE(SUBSTITUTE(TRIM(INDEX($A:$AP,ROW(),$F$6)),",",""),"원",""),0))))</f>
        <v/>
      </c>
      <c r="AU603" s="23">
        <f>IF($AS603="","",IF($G$6="",0,IF(ISNUMBER(INDEX($A:$AP,ROW(),$G$6)),INDEX($A:$AP,ROW(),$G$6),IFERROR(--SUBSTITUTE(SUBSTITUTE(TRIM(INDEX($A:$AP,ROW(),$G$6)),",",""),"원",""),0))))</f>
        <v/>
      </c>
      <c r="AV603" s="23">
        <f>IF($AS603="","",IF($H$6="",$AT603+$AU603,IF($H$6="",0,IF(ISNUMBER(INDEX($A:$AP,ROW(),$H$6)),INDEX($A:$AP,ROW(),$H$6),IFERROR(--SUBSTITUTE(SUBSTITUTE(TRIM(INDEX($A:$AP,ROW(),$H$6)),",",""),"원",""),0)))))</f>
        <v/>
      </c>
      <c r="AW603" s="2">
        <f>IF(OR($AS603="",$C$6=""),"",TRIM(INDEX($A:$AP,ROW(),$C$6)&amp;""))</f>
        <v/>
      </c>
      <c r="AX603" s="2">
        <f>IF($AS603="","",IF($AZ603&lt;&gt;"",SUBSTITUTE(SUBSTITUTE($AZ603,"-","")," ",""),$AY603))</f>
        <v/>
      </c>
      <c r="AY603" s="2">
        <f>IF(OR($AS603="",$E$6=""),"",TRIM(INDEX($A:$AP,ROW(),$E$6)&amp;""))</f>
        <v/>
      </c>
      <c r="AZ603" s="2">
        <f>IF(OR($AS603="",$D$6=""),"",TRIM(INDEX($A:$AP,ROW(),$D$6)&amp;""))</f>
        <v/>
      </c>
      <c r="BA603" s="2">
        <f>IF($AS603="","",IF(AND($AS603&gt;=설정!$B$10,$AS603&lt;=설정!$B$11),"포함","기간 밖"))</f>
        <v/>
      </c>
      <c r="BB603" s="2">
        <f>IF($AS603="","",IF(OR($AT603&lt;0,AND($I$6&lt;&gt;"",ISNUMBER(FIND("수정",INDEX($A:$AP,ROW(),IF($I$6="",1,$I$6))&amp;"")))),"수정","일반"))</f>
        <v/>
      </c>
      <c r="BC603" s="2">
        <f>IF($AS603="","",MID(IF($BA603="기간 밖"," / 기간 밖(신고기간 아님)","")&amp;IF(AND($AW603&lt;&gt;"",COUNTIF($AW$8:$AW$1007,$AW603)&gt;1)," / 승인번호 중복(두 번 붙여넣기?)","")&amp;IF(ABS($AU603-ROUND($AT603*0.1,0))&gt;설정!$B$8,IF($AU603=0," / 세액 0원(영세율·면세 여부 확인)"," / 세액이 공급가액 10%와 다름"),"")&amp;IF($BB603="수정"," / 수정세금계산서(합계에서 자동 가감)",""),4,200))</f>
        <v/>
      </c>
      <c r="BD603" s="2">
        <f>IF($BA603&lt;&gt;"포함","",IF(COUNTIFS($AX$8:$AX603,$AX603,$BA$8:$BA603,"포함")=1,MAX($BD$7:BD602)+1,""))</f>
        <v/>
      </c>
      <c r="BE603" s="2">
        <f>IF($BC603="","",MAX($BE$7:BE602)+1)</f>
        <v/>
      </c>
    </row>
    <row r="604">
      <c r="AR604" s="2">
        <f>IF(OR($A$5="",$B$6="",ROW()&lt;$A$5),"",IF(INDEX($A:$AP,ROW(),$B$6)="","",INDEX($A:$AP,ROW(),$B$6)))</f>
        <v/>
      </c>
      <c r="AS604" s="22">
        <f>IF($AR604="","",IF(ISNUMBER($AR604),IF($AR604&gt;=10000000,IFERROR(DATE(INT($AR604/10000),MOD(INT($AR604/100),100),MOD($AR604,100)),""),INT($AR604)),IFERROR(DATE(--LEFT(LEFT(SUBSTITUTE(SUBSTITUTE(SUBSTITUTE(SUBSTITUTE(TRIM($AR604),"-",""),".",""),"/","")," ",""),8),4),--MID(LEFT(SUBSTITUTE(SUBSTITUTE(SUBSTITUTE(SUBSTITUTE(TRIM($AR604),"-",""),".",""),"/","")," ",""),8),5,2),--MID(LEFT(SUBSTITUTE(SUBSTITUTE(SUBSTITUTE(SUBSTITUTE(TRIM($AR604),"-",""),".",""),"/","")," ",""),8),7,2)),"")))</f>
        <v/>
      </c>
      <c r="AT604" s="23">
        <f>IF($AS604="","",IF($F$6="",0,IF(ISNUMBER(INDEX($A:$AP,ROW(),$F$6)),INDEX($A:$AP,ROW(),$F$6),IFERROR(--SUBSTITUTE(SUBSTITUTE(TRIM(INDEX($A:$AP,ROW(),$F$6)),",",""),"원",""),0))))</f>
        <v/>
      </c>
      <c r="AU604" s="23">
        <f>IF($AS604="","",IF($G$6="",0,IF(ISNUMBER(INDEX($A:$AP,ROW(),$G$6)),INDEX($A:$AP,ROW(),$G$6),IFERROR(--SUBSTITUTE(SUBSTITUTE(TRIM(INDEX($A:$AP,ROW(),$G$6)),",",""),"원",""),0))))</f>
        <v/>
      </c>
      <c r="AV604" s="23">
        <f>IF($AS604="","",IF($H$6="",$AT604+$AU604,IF($H$6="",0,IF(ISNUMBER(INDEX($A:$AP,ROW(),$H$6)),INDEX($A:$AP,ROW(),$H$6),IFERROR(--SUBSTITUTE(SUBSTITUTE(TRIM(INDEX($A:$AP,ROW(),$H$6)),",",""),"원",""),0)))))</f>
        <v/>
      </c>
      <c r="AW604" s="2">
        <f>IF(OR($AS604="",$C$6=""),"",TRIM(INDEX($A:$AP,ROW(),$C$6)&amp;""))</f>
        <v/>
      </c>
      <c r="AX604" s="2">
        <f>IF($AS604="","",IF($AZ604&lt;&gt;"",SUBSTITUTE(SUBSTITUTE($AZ604,"-","")," ",""),$AY604))</f>
        <v/>
      </c>
      <c r="AY604" s="2">
        <f>IF(OR($AS604="",$E$6=""),"",TRIM(INDEX($A:$AP,ROW(),$E$6)&amp;""))</f>
        <v/>
      </c>
      <c r="AZ604" s="2">
        <f>IF(OR($AS604="",$D$6=""),"",TRIM(INDEX($A:$AP,ROW(),$D$6)&amp;""))</f>
        <v/>
      </c>
      <c r="BA604" s="2">
        <f>IF($AS604="","",IF(AND($AS604&gt;=설정!$B$10,$AS604&lt;=설정!$B$11),"포함","기간 밖"))</f>
        <v/>
      </c>
      <c r="BB604" s="2">
        <f>IF($AS604="","",IF(OR($AT604&lt;0,AND($I$6&lt;&gt;"",ISNUMBER(FIND("수정",INDEX($A:$AP,ROW(),IF($I$6="",1,$I$6))&amp;"")))),"수정","일반"))</f>
        <v/>
      </c>
      <c r="BC604" s="2">
        <f>IF($AS604="","",MID(IF($BA604="기간 밖"," / 기간 밖(신고기간 아님)","")&amp;IF(AND($AW604&lt;&gt;"",COUNTIF($AW$8:$AW$1007,$AW604)&gt;1)," / 승인번호 중복(두 번 붙여넣기?)","")&amp;IF(ABS($AU604-ROUND($AT604*0.1,0))&gt;설정!$B$8,IF($AU604=0," / 세액 0원(영세율·면세 여부 확인)"," / 세액이 공급가액 10%와 다름"),"")&amp;IF($BB604="수정"," / 수정세금계산서(합계에서 자동 가감)",""),4,200))</f>
        <v/>
      </c>
      <c r="BD604" s="2">
        <f>IF($BA604&lt;&gt;"포함","",IF(COUNTIFS($AX$8:$AX604,$AX604,$BA$8:$BA604,"포함")=1,MAX($BD$7:BD603)+1,""))</f>
        <v/>
      </c>
      <c r="BE604" s="2">
        <f>IF($BC604="","",MAX($BE$7:BE603)+1)</f>
        <v/>
      </c>
    </row>
    <row r="605">
      <c r="AR605" s="2">
        <f>IF(OR($A$5="",$B$6="",ROW()&lt;$A$5),"",IF(INDEX($A:$AP,ROW(),$B$6)="","",INDEX($A:$AP,ROW(),$B$6)))</f>
        <v/>
      </c>
      <c r="AS605" s="22">
        <f>IF($AR605="","",IF(ISNUMBER($AR605),IF($AR605&gt;=10000000,IFERROR(DATE(INT($AR605/10000),MOD(INT($AR605/100),100),MOD($AR605,100)),""),INT($AR605)),IFERROR(DATE(--LEFT(LEFT(SUBSTITUTE(SUBSTITUTE(SUBSTITUTE(SUBSTITUTE(TRIM($AR605),"-",""),".",""),"/","")," ",""),8),4),--MID(LEFT(SUBSTITUTE(SUBSTITUTE(SUBSTITUTE(SUBSTITUTE(TRIM($AR605),"-",""),".",""),"/","")," ",""),8),5,2),--MID(LEFT(SUBSTITUTE(SUBSTITUTE(SUBSTITUTE(SUBSTITUTE(TRIM($AR605),"-",""),".",""),"/","")," ",""),8),7,2)),"")))</f>
        <v/>
      </c>
      <c r="AT605" s="23">
        <f>IF($AS605="","",IF($F$6="",0,IF(ISNUMBER(INDEX($A:$AP,ROW(),$F$6)),INDEX($A:$AP,ROW(),$F$6),IFERROR(--SUBSTITUTE(SUBSTITUTE(TRIM(INDEX($A:$AP,ROW(),$F$6)),",",""),"원",""),0))))</f>
        <v/>
      </c>
      <c r="AU605" s="23">
        <f>IF($AS605="","",IF($G$6="",0,IF(ISNUMBER(INDEX($A:$AP,ROW(),$G$6)),INDEX($A:$AP,ROW(),$G$6),IFERROR(--SUBSTITUTE(SUBSTITUTE(TRIM(INDEX($A:$AP,ROW(),$G$6)),",",""),"원",""),0))))</f>
        <v/>
      </c>
      <c r="AV605" s="23">
        <f>IF($AS605="","",IF($H$6="",$AT605+$AU605,IF($H$6="",0,IF(ISNUMBER(INDEX($A:$AP,ROW(),$H$6)),INDEX($A:$AP,ROW(),$H$6),IFERROR(--SUBSTITUTE(SUBSTITUTE(TRIM(INDEX($A:$AP,ROW(),$H$6)),",",""),"원",""),0)))))</f>
        <v/>
      </c>
      <c r="AW605" s="2">
        <f>IF(OR($AS605="",$C$6=""),"",TRIM(INDEX($A:$AP,ROW(),$C$6)&amp;""))</f>
        <v/>
      </c>
      <c r="AX605" s="2">
        <f>IF($AS605="","",IF($AZ605&lt;&gt;"",SUBSTITUTE(SUBSTITUTE($AZ605,"-","")," ",""),$AY605))</f>
        <v/>
      </c>
      <c r="AY605" s="2">
        <f>IF(OR($AS605="",$E$6=""),"",TRIM(INDEX($A:$AP,ROW(),$E$6)&amp;""))</f>
        <v/>
      </c>
      <c r="AZ605" s="2">
        <f>IF(OR($AS605="",$D$6=""),"",TRIM(INDEX($A:$AP,ROW(),$D$6)&amp;""))</f>
        <v/>
      </c>
      <c r="BA605" s="2">
        <f>IF($AS605="","",IF(AND($AS605&gt;=설정!$B$10,$AS605&lt;=설정!$B$11),"포함","기간 밖"))</f>
        <v/>
      </c>
      <c r="BB605" s="2">
        <f>IF($AS605="","",IF(OR($AT605&lt;0,AND($I$6&lt;&gt;"",ISNUMBER(FIND("수정",INDEX($A:$AP,ROW(),IF($I$6="",1,$I$6))&amp;"")))),"수정","일반"))</f>
        <v/>
      </c>
      <c r="BC605" s="2">
        <f>IF($AS605="","",MID(IF($BA605="기간 밖"," / 기간 밖(신고기간 아님)","")&amp;IF(AND($AW605&lt;&gt;"",COUNTIF($AW$8:$AW$1007,$AW605)&gt;1)," / 승인번호 중복(두 번 붙여넣기?)","")&amp;IF(ABS($AU605-ROUND($AT605*0.1,0))&gt;설정!$B$8,IF($AU605=0," / 세액 0원(영세율·면세 여부 확인)"," / 세액이 공급가액 10%와 다름"),"")&amp;IF($BB605="수정"," / 수정세금계산서(합계에서 자동 가감)",""),4,200))</f>
        <v/>
      </c>
      <c r="BD605" s="2">
        <f>IF($BA605&lt;&gt;"포함","",IF(COUNTIFS($AX$8:$AX605,$AX605,$BA$8:$BA605,"포함")=1,MAX($BD$7:BD604)+1,""))</f>
        <v/>
      </c>
      <c r="BE605" s="2">
        <f>IF($BC605="","",MAX($BE$7:BE604)+1)</f>
        <v/>
      </c>
    </row>
    <row r="606">
      <c r="AR606" s="2">
        <f>IF(OR($A$5="",$B$6="",ROW()&lt;$A$5),"",IF(INDEX($A:$AP,ROW(),$B$6)="","",INDEX($A:$AP,ROW(),$B$6)))</f>
        <v/>
      </c>
      <c r="AS606" s="22">
        <f>IF($AR606="","",IF(ISNUMBER($AR606),IF($AR606&gt;=10000000,IFERROR(DATE(INT($AR606/10000),MOD(INT($AR606/100),100),MOD($AR606,100)),""),INT($AR606)),IFERROR(DATE(--LEFT(LEFT(SUBSTITUTE(SUBSTITUTE(SUBSTITUTE(SUBSTITUTE(TRIM($AR606),"-",""),".",""),"/","")," ",""),8),4),--MID(LEFT(SUBSTITUTE(SUBSTITUTE(SUBSTITUTE(SUBSTITUTE(TRIM($AR606),"-",""),".",""),"/","")," ",""),8),5,2),--MID(LEFT(SUBSTITUTE(SUBSTITUTE(SUBSTITUTE(SUBSTITUTE(TRIM($AR606),"-",""),".",""),"/","")," ",""),8),7,2)),"")))</f>
        <v/>
      </c>
      <c r="AT606" s="23">
        <f>IF($AS606="","",IF($F$6="",0,IF(ISNUMBER(INDEX($A:$AP,ROW(),$F$6)),INDEX($A:$AP,ROW(),$F$6),IFERROR(--SUBSTITUTE(SUBSTITUTE(TRIM(INDEX($A:$AP,ROW(),$F$6)),",",""),"원",""),0))))</f>
        <v/>
      </c>
      <c r="AU606" s="23">
        <f>IF($AS606="","",IF($G$6="",0,IF(ISNUMBER(INDEX($A:$AP,ROW(),$G$6)),INDEX($A:$AP,ROW(),$G$6),IFERROR(--SUBSTITUTE(SUBSTITUTE(TRIM(INDEX($A:$AP,ROW(),$G$6)),",",""),"원",""),0))))</f>
        <v/>
      </c>
      <c r="AV606" s="23">
        <f>IF($AS606="","",IF($H$6="",$AT606+$AU606,IF($H$6="",0,IF(ISNUMBER(INDEX($A:$AP,ROW(),$H$6)),INDEX($A:$AP,ROW(),$H$6),IFERROR(--SUBSTITUTE(SUBSTITUTE(TRIM(INDEX($A:$AP,ROW(),$H$6)),",",""),"원",""),0)))))</f>
        <v/>
      </c>
      <c r="AW606" s="2">
        <f>IF(OR($AS606="",$C$6=""),"",TRIM(INDEX($A:$AP,ROW(),$C$6)&amp;""))</f>
        <v/>
      </c>
      <c r="AX606" s="2">
        <f>IF($AS606="","",IF($AZ606&lt;&gt;"",SUBSTITUTE(SUBSTITUTE($AZ606,"-","")," ",""),$AY606))</f>
        <v/>
      </c>
      <c r="AY606" s="2">
        <f>IF(OR($AS606="",$E$6=""),"",TRIM(INDEX($A:$AP,ROW(),$E$6)&amp;""))</f>
        <v/>
      </c>
      <c r="AZ606" s="2">
        <f>IF(OR($AS606="",$D$6=""),"",TRIM(INDEX($A:$AP,ROW(),$D$6)&amp;""))</f>
        <v/>
      </c>
      <c r="BA606" s="2">
        <f>IF($AS606="","",IF(AND($AS606&gt;=설정!$B$10,$AS606&lt;=설정!$B$11),"포함","기간 밖"))</f>
        <v/>
      </c>
      <c r="BB606" s="2">
        <f>IF($AS606="","",IF(OR($AT606&lt;0,AND($I$6&lt;&gt;"",ISNUMBER(FIND("수정",INDEX($A:$AP,ROW(),IF($I$6="",1,$I$6))&amp;"")))),"수정","일반"))</f>
        <v/>
      </c>
      <c r="BC606" s="2">
        <f>IF($AS606="","",MID(IF($BA606="기간 밖"," / 기간 밖(신고기간 아님)","")&amp;IF(AND($AW606&lt;&gt;"",COUNTIF($AW$8:$AW$1007,$AW606)&gt;1)," / 승인번호 중복(두 번 붙여넣기?)","")&amp;IF(ABS($AU606-ROUND($AT606*0.1,0))&gt;설정!$B$8,IF($AU606=0," / 세액 0원(영세율·면세 여부 확인)"," / 세액이 공급가액 10%와 다름"),"")&amp;IF($BB606="수정"," / 수정세금계산서(합계에서 자동 가감)",""),4,200))</f>
        <v/>
      </c>
      <c r="BD606" s="2">
        <f>IF($BA606&lt;&gt;"포함","",IF(COUNTIFS($AX$8:$AX606,$AX606,$BA$8:$BA606,"포함")=1,MAX($BD$7:BD605)+1,""))</f>
        <v/>
      </c>
      <c r="BE606" s="2">
        <f>IF($BC606="","",MAX($BE$7:BE605)+1)</f>
        <v/>
      </c>
    </row>
    <row r="607">
      <c r="AR607" s="2">
        <f>IF(OR($A$5="",$B$6="",ROW()&lt;$A$5),"",IF(INDEX($A:$AP,ROW(),$B$6)="","",INDEX($A:$AP,ROW(),$B$6)))</f>
        <v/>
      </c>
      <c r="AS607" s="22">
        <f>IF($AR607="","",IF(ISNUMBER($AR607),IF($AR607&gt;=10000000,IFERROR(DATE(INT($AR607/10000),MOD(INT($AR607/100),100),MOD($AR607,100)),""),INT($AR607)),IFERROR(DATE(--LEFT(LEFT(SUBSTITUTE(SUBSTITUTE(SUBSTITUTE(SUBSTITUTE(TRIM($AR607),"-",""),".",""),"/","")," ",""),8),4),--MID(LEFT(SUBSTITUTE(SUBSTITUTE(SUBSTITUTE(SUBSTITUTE(TRIM($AR607),"-",""),".",""),"/","")," ",""),8),5,2),--MID(LEFT(SUBSTITUTE(SUBSTITUTE(SUBSTITUTE(SUBSTITUTE(TRIM($AR607),"-",""),".",""),"/","")," ",""),8),7,2)),"")))</f>
        <v/>
      </c>
      <c r="AT607" s="23">
        <f>IF($AS607="","",IF($F$6="",0,IF(ISNUMBER(INDEX($A:$AP,ROW(),$F$6)),INDEX($A:$AP,ROW(),$F$6),IFERROR(--SUBSTITUTE(SUBSTITUTE(TRIM(INDEX($A:$AP,ROW(),$F$6)),",",""),"원",""),0))))</f>
        <v/>
      </c>
      <c r="AU607" s="23">
        <f>IF($AS607="","",IF($G$6="",0,IF(ISNUMBER(INDEX($A:$AP,ROW(),$G$6)),INDEX($A:$AP,ROW(),$G$6),IFERROR(--SUBSTITUTE(SUBSTITUTE(TRIM(INDEX($A:$AP,ROW(),$G$6)),",",""),"원",""),0))))</f>
        <v/>
      </c>
      <c r="AV607" s="23">
        <f>IF($AS607="","",IF($H$6="",$AT607+$AU607,IF($H$6="",0,IF(ISNUMBER(INDEX($A:$AP,ROW(),$H$6)),INDEX($A:$AP,ROW(),$H$6),IFERROR(--SUBSTITUTE(SUBSTITUTE(TRIM(INDEX($A:$AP,ROW(),$H$6)),",",""),"원",""),0)))))</f>
        <v/>
      </c>
      <c r="AW607" s="2">
        <f>IF(OR($AS607="",$C$6=""),"",TRIM(INDEX($A:$AP,ROW(),$C$6)&amp;""))</f>
        <v/>
      </c>
      <c r="AX607" s="2">
        <f>IF($AS607="","",IF($AZ607&lt;&gt;"",SUBSTITUTE(SUBSTITUTE($AZ607,"-","")," ",""),$AY607))</f>
        <v/>
      </c>
      <c r="AY607" s="2">
        <f>IF(OR($AS607="",$E$6=""),"",TRIM(INDEX($A:$AP,ROW(),$E$6)&amp;""))</f>
        <v/>
      </c>
      <c r="AZ607" s="2">
        <f>IF(OR($AS607="",$D$6=""),"",TRIM(INDEX($A:$AP,ROW(),$D$6)&amp;""))</f>
        <v/>
      </c>
      <c r="BA607" s="2">
        <f>IF($AS607="","",IF(AND($AS607&gt;=설정!$B$10,$AS607&lt;=설정!$B$11),"포함","기간 밖"))</f>
        <v/>
      </c>
      <c r="BB607" s="2">
        <f>IF($AS607="","",IF(OR($AT607&lt;0,AND($I$6&lt;&gt;"",ISNUMBER(FIND("수정",INDEX($A:$AP,ROW(),IF($I$6="",1,$I$6))&amp;"")))),"수정","일반"))</f>
        <v/>
      </c>
      <c r="BC607" s="2">
        <f>IF($AS607="","",MID(IF($BA607="기간 밖"," / 기간 밖(신고기간 아님)","")&amp;IF(AND($AW607&lt;&gt;"",COUNTIF($AW$8:$AW$1007,$AW607)&gt;1)," / 승인번호 중복(두 번 붙여넣기?)","")&amp;IF(ABS($AU607-ROUND($AT607*0.1,0))&gt;설정!$B$8,IF($AU607=0," / 세액 0원(영세율·면세 여부 확인)"," / 세액이 공급가액 10%와 다름"),"")&amp;IF($BB607="수정"," / 수정세금계산서(합계에서 자동 가감)",""),4,200))</f>
        <v/>
      </c>
      <c r="BD607" s="2">
        <f>IF($BA607&lt;&gt;"포함","",IF(COUNTIFS($AX$8:$AX607,$AX607,$BA$8:$BA607,"포함")=1,MAX($BD$7:BD606)+1,""))</f>
        <v/>
      </c>
      <c r="BE607" s="2">
        <f>IF($BC607="","",MAX($BE$7:BE606)+1)</f>
        <v/>
      </c>
    </row>
    <row r="608">
      <c r="AR608" s="2">
        <f>IF(OR($A$5="",$B$6="",ROW()&lt;$A$5),"",IF(INDEX($A:$AP,ROW(),$B$6)="","",INDEX($A:$AP,ROW(),$B$6)))</f>
        <v/>
      </c>
      <c r="AS608" s="22">
        <f>IF($AR608="","",IF(ISNUMBER($AR608),IF($AR608&gt;=10000000,IFERROR(DATE(INT($AR608/10000),MOD(INT($AR608/100),100),MOD($AR608,100)),""),INT($AR608)),IFERROR(DATE(--LEFT(LEFT(SUBSTITUTE(SUBSTITUTE(SUBSTITUTE(SUBSTITUTE(TRIM($AR608),"-",""),".",""),"/","")," ",""),8),4),--MID(LEFT(SUBSTITUTE(SUBSTITUTE(SUBSTITUTE(SUBSTITUTE(TRIM($AR608),"-",""),".",""),"/","")," ",""),8),5,2),--MID(LEFT(SUBSTITUTE(SUBSTITUTE(SUBSTITUTE(SUBSTITUTE(TRIM($AR608),"-",""),".",""),"/","")," ",""),8),7,2)),"")))</f>
        <v/>
      </c>
      <c r="AT608" s="23">
        <f>IF($AS608="","",IF($F$6="",0,IF(ISNUMBER(INDEX($A:$AP,ROW(),$F$6)),INDEX($A:$AP,ROW(),$F$6),IFERROR(--SUBSTITUTE(SUBSTITUTE(TRIM(INDEX($A:$AP,ROW(),$F$6)),",",""),"원",""),0))))</f>
        <v/>
      </c>
      <c r="AU608" s="23">
        <f>IF($AS608="","",IF($G$6="",0,IF(ISNUMBER(INDEX($A:$AP,ROW(),$G$6)),INDEX($A:$AP,ROW(),$G$6),IFERROR(--SUBSTITUTE(SUBSTITUTE(TRIM(INDEX($A:$AP,ROW(),$G$6)),",",""),"원",""),0))))</f>
        <v/>
      </c>
      <c r="AV608" s="23">
        <f>IF($AS608="","",IF($H$6="",$AT608+$AU608,IF($H$6="",0,IF(ISNUMBER(INDEX($A:$AP,ROW(),$H$6)),INDEX($A:$AP,ROW(),$H$6),IFERROR(--SUBSTITUTE(SUBSTITUTE(TRIM(INDEX($A:$AP,ROW(),$H$6)),",",""),"원",""),0)))))</f>
        <v/>
      </c>
      <c r="AW608" s="2">
        <f>IF(OR($AS608="",$C$6=""),"",TRIM(INDEX($A:$AP,ROW(),$C$6)&amp;""))</f>
        <v/>
      </c>
      <c r="AX608" s="2">
        <f>IF($AS608="","",IF($AZ608&lt;&gt;"",SUBSTITUTE(SUBSTITUTE($AZ608,"-","")," ",""),$AY608))</f>
        <v/>
      </c>
      <c r="AY608" s="2">
        <f>IF(OR($AS608="",$E$6=""),"",TRIM(INDEX($A:$AP,ROW(),$E$6)&amp;""))</f>
        <v/>
      </c>
      <c r="AZ608" s="2">
        <f>IF(OR($AS608="",$D$6=""),"",TRIM(INDEX($A:$AP,ROW(),$D$6)&amp;""))</f>
        <v/>
      </c>
      <c r="BA608" s="2">
        <f>IF($AS608="","",IF(AND($AS608&gt;=설정!$B$10,$AS608&lt;=설정!$B$11),"포함","기간 밖"))</f>
        <v/>
      </c>
      <c r="BB608" s="2">
        <f>IF($AS608="","",IF(OR($AT608&lt;0,AND($I$6&lt;&gt;"",ISNUMBER(FIND("수정",INDEX($A:$AP,ROW(),IF($I$6="",1,$I$6))&amp;"")))),"수정","일반"))</f>
        <v/>
      </c>
      <c r="BC608" s="2">
        <f>IF($AS608="","",MID(IF($BA608="기간 밖"," / 기간 밖(신고기간 아님)","")&amp;IF(AND($AW608&lt;&gt;"",COUNTIF($AW$8:$AW$1007,$AW608)&gt;1)," / 승인번호 중복(두 번 붙여넣기?)","")&amp;IF(ABS($AU608-ROUND($AT608*0.1,0))&gt;설정!$B$8,IF($AU608=0," / 세액 0원(영세율·면세 여부 확인)"," / 세액이 공급가액 10%와 다름"),"")&amp;IF($BB608="수정"," / 수정세금계산서(합계에서 자동 가감)",""),4,200))</f>
        <v/>
      </c>
      <c r="BD608" s="2">
        <f>IF($BA608&lt;&gt;"포함","",IF(COUNTIFS($AX$8:$AX608,$AX608,$BA$8:$BA608,"포함")=1,MAX($BD$7:BD607)+1,""))</f>
        <v/>
      </c>
      <c r="BE608" s="2">
        <f>IF($BC608="","",MAX($BE$7:BE607)+1)</f>
        <v/>
      </c>
    </row>
    <row r="609">
      <c r="AR609" s="2">
        <f>IF(OR($A$5="",$B$6="",ROW()&lt;$A$5),"",IF(INDEX($A:$AP,ROW(),$B$6)="","",INDEX($A:$AP,ROW(),$B$6)))</f>
        <v/>
      </c>
      <c r="AS609" s="22">
        <f>IF($AR609="","",IF(ISNUMBER($AR609),IF($AR609&gt;=10000000,IFERROR(DATE(INT($AR609/10000),MOD(INT($AR609/100),100),MOD($AR609,100)),""),INT($AR609)),IFERROR(DATE(--LEFT(LEFT(SUBSTITUTE(SUBSTITUTE(SUBSTITUTE(SUBSTITUTE(TRIM($AR609),"-",""),".",""),"/","")," ",""),8),4),--MID(LEFT(SUBSTITUTE(SUBSTITUTE(SUBSTITUTE(SUBSTITUTE(TRIM($AR609),"-",""),".",""),"/","")," ",""),8),5,2),--MID(LEFT(SUBSTITUTE(SUBSTITUTE(SUBSTITUTE(SUBSTITUTE(TRIM($AR609),"-",""),".",""),"/","")," ",""),8),7,2)),"")))</f>
        <v/>
      </c>
      <c r="AT609" s="23">
        <f>IF($AS609="","",IF($F$6="",0,IF(ISNUMBER(INDEX($A:$AP,ROW(),$F$6)),INDEX($A:$AP,ROW(),$F$6),IFERROR(--SUBSTITUTE(SUBSTITUTE(TRIM(INDEX($A:$AP,ROW(),$F$6)),",",""),"원",""),0))))</f>
        <v/>
      </c>
      <c r="AU609" s="23">
        <f>IF($AS609="","",IF($G$6="",0,IF(ISNUMBER(INDEX($A:$AP,ROW(),$G$6)),INDEX($A:$AP,ROW(),$G$6),IFERROR(--SUBSTITUTE(SUBSTITUTE(TRIM(INDEX($A:$AP,ROW(),$G$6)),",",""),"원",""),0))))</f>
        <v/>
      </c>
      <c r="AV609" s="23">
        <f>IF($AS609="","",IF($H$6="",$AT609+$AU609,IF($H$6="",0,IF(ISNUMBER(INDEX($A:$AP,ROW(),$H$6)),INDEX($A:$AP,ROW(),$H$6),IFERROR(--SUBSTITUTE(SUBSTITUTE(TRIM(INDEX($A:$AP,ROW(),$H$6)),",",""),"원",""),0)))))</f>
        <v/>
      </c>
      <c r="AW609" s="2">
        <f>IF(OR($AS609="",$C$6=""),"",TRIM(INDEX($A:$AP,ROW(),$C$6)&amp;""))</f>
        <v/>
      </c>
      <c r="AX609" s="2">
        <f>IF($AS609="","",IF($AZ609&lt;&gt;"",SUBSTITUTE(SUBSTITUTE($AZ609,"-","")," ",""),$AY609))</f>
        <v/>
      </c>
      <c r="AY609" s="2">
        <f>IF(OR($AS609="",$E$6=""),"",TRIM(INDEX($A:$AP,ROW(),$E$6)&amp;""))</f>
        <v/>
      </c>
      <c r="AZ609" s="2">
        <f>IF(OR($AS609="",$D$6=""),"",TRIM(INDEX($A:$AP,ROW(),$D$6)&amp;""))</f>
        <v/>
      </c>
      <c r="BA609" s="2">
        <f>IF($AS609="","",IF(AND($AS609&gt;=설정!$B$10,$AS609&lt;=설정!$B$11),"포함","기간 밖"))</f>
        <v/>
      </c>
      <c r="BB609" s="2">
        <f>IF($AS609="","",IF(OR($AT609&lt;0,AND($I$6&lt;&gt;"",ISNUMBER(FIND("수정",INDEX($A:$AP,ROW(),IF($I$6="",1,$I$6))&amp;"")))),"수정","일반"))</f>
        <v/>
      </c>
      <c r="BC609" s="2">
        <f>IF($AS609="","",MID(IF($BA609="기간 밖"," / 기간 밖(신고기간 아님)","")&amp;IF(AND($AW609&lt;&gt;"",COUNTIF($AW$8:$AW$1007,$AW609)&gt;1)," / 승인번호 중복(두 번 붙여넣기?)","")&amp;IF(ABS($AU609-ROUND($AT609*0.1,0))&gt;설정!$B$8,IF($AU609=0," / 세액 0원(영세율·면세 여부 확인)"," / 세액이 공급가액 10%와 다름"),"")&amp;IF($BB609="수정"," / 수정세금계산서(합계에서 자동 가감)",""),4,200))</f>
        <v/>
      </c>
      <c r="BD609" s="2">
        <f>IF($BA609&lt;&gt;"포함","",IF(COUNTIFS($AX$8:$AX609,$AX609,$BA$8:$BA609,"포함")=1,MAX($BD$7:BD608)+1,""))</f>
        <v/>
      </c>
      <c r="BE609" s="2">
        <f>IF($BC609="","",MAX($BE$7:BE608)+1)</f>
        <v/>
      </c>
    </row>
    <row r="610">
      <c r="AR610" s="2">
        <f>IF(OR($A$5="",$B$6="",ROW()&lt;$A$5),"",IF(INDEX($A:$AP,ROW(),$B$6)="","",INDEX($A:$AP,ROW(),$B$6)))</f>
        <v/>
      </c>
      <c r="AS610" s="22">
        <f>IF($AR610="","",IF(ISNUMBER($AR610),IF($AR610&gt;=10000000,IFERROR(DATE(INT($AR610/10000),MOD(INT($AR610/100),100),MOD($AR610,100)),""),INT($AR610)),IFERROR(DATE(--LEFT(LEFT(SUBSTITUTE(SUBSTITUTE(SUBSTITUTE(SUBSTITUTE(TRIM($AR610),"-",""),".",""),"/","")," ",""),8),4),--MID(LEFT(SUBSTITUTE(SUBSTITUTE(SUBSTITUTE(SUBSTITUTE(TRIM($AR610),"-",""),".",""),"/","")," ",""),8),5,2),--MID(LEFT(SUBSTITUTE(SUBSTITUTE(SUBSTITUTE(SUBSTITUTE(TRIM($AR610),"-",""),".",""),"/","")," ",""),8),7,2)),"")))</f>
        <v/>
      </c>
      <c r="AT610" s="23">
        <f>IF($AS610="","",IF($F$6="",0,IF(ISNUMBER(INDEX($A:$AP,ROW(),$F$6)),INDEX($A:$AP,ROW(),$F$6),IFERROR(--SUBSTITUTE(SUBSTITUTE(TRIM(INDEX($A:$AP,ROW(),$F$6)),",",""),"원",""),0))))</f>
        <v/>
      </c>
      <c r="AU610" s="23">
        <f>IF($AS610="","",IF($G$6="",0,IF(ISNUMBER(INDEX($A:$AP,ROW(),$G$6)),INDEX($A:$AP,ROW(),$G$6),IFERROR(--SUBSTITUTE(SUBSTITUTE(TRIM(INDEX($A:$AP,ROW(),$G$6)),",",""),"원",""),0))))</f>
        <v/>
      </c>
      <c r="AV610" s="23">
        <f>IF($AS610="","",IF($H$6="",$AT610+$AU610,IF($H$6="",0,IF(ISNUMBER(INDEX($A:$AP,ROW(),$H$6)),INDEX($A:$AP,ROW(),$H$6),IFERROR(--SUBSTITUTE(SUBSTITUTE(TRIM(INDEX($A:$AP,ROW(),$H$6)),",",""),"원",""),0)))))</f>
        <v/>
      </c>
      <c r="AW610" s="2">
        <f>IF(OR($AS610="",$C$6=""),"",TRIM(INDEX($A:$AP,ROW(),$C$6)&amp;""))</f>
        <v/>
      </c>
      <c r="AX610" s="2">
        <f>IF($AS610="","",IF($AZ610&lt;&gt;"",SUBSTITUTE(SUBSTITUTE($AZ610,"-","")," ",""),$AY610))</f>
        <v/>
      </c>
      <c r="AY610" s="2">
        <f>IF(OR($AS610="",$E$6=""),"",TRIM(INDEX($A:$AP,ROW(),$E$6)&amp;""))</f>
        <v/>
      </c>
      <c r="AZ610" s="2">
        <f>IF(OR($AS610="",$D$6=""),"",TRIM(INDEX($A:$AP,ROW(),$D$6)&amp;""))</f>
        <v/>
      </c>
      <c r="BA610" s="2">
        <f>IF($AS610="","",IF(AND($AS610&gt;=설정!$B$10,$AS610&lt;=설정!$B$11),"포함","기간 밖"))</f>
        <v/>
      </c>
      <c r="BB610" s="2">
        <f>IF($AS610="","",IF(OR($AT610&lt;0,AND($I$6&lt;&gt;"",ISNUMBER(FIND("수정",INDEX($A:$AP,ROW(),IF($I$6="",1,$I$6))&amp;"")))),"수정","일반"))</f>
        <v/>
      </c>
      <c r="BC610" s="2">
        <f>IF($AS610="","",MID(IF($BA610="기간 밖"," / 기간 밖(신고기간 아님)","")&amp;IF(AND($AW610&lt;&gt;"",COUNTIF($AW$8:$AW$1007,$AW610)&gt;1)," / 승인번호 중복(두 번 붙여넣기?)","")&amp;IF(ABS($AU610-ROUND($AT610*0.1,0))&gt;설정!$B$8,IF($AU610=0," / 세액 0원(영세율·면세 여부 확인)"," / 세액이 공급가액 10%와 다름"),"")&amp;IF($BB610="수정"," / 수정세금계산서(합계에서 자동 가감)",""),4,200))</f>
        <v/>
      </c>
      <c r="BD610" s="2">
        <f>IF($BA610&lt;&gt;"포함","",IF(COUNTIFS($AX$8:$AX610,$AX610,$BA$8:$BA610,"포함")=1,MAX($BD$7:BD609)+1,""))</f>
        <v/>
      </c>
      <c r="BE610" s="2">
        <f>IF($BC610="","",MAX($BE$7:BE609)+1)</f>
        <v/>
      </c>
    </row>
    <row r="611">
      <c r="AR611" s="2">
        <f>IF(OR($A$5="",$B$6="",ROW()&lt;$A$5),"",IF(INDEX($A:$AP,ROW(),$B$6)="","",INDEX($A:$AP,ROW(),$B$6)))</f>
        <v/>
      </c>
      <c r="AS611" s="22">
        <f>IF($AR611="","",IF(ISNUMBER($AR611),IF($AR611&gt;=10000000,IFERROR(DATE(INT($AR611/10000),MOD(INT($AR611/100),100),MOD($AR611,100)),""),INT($AR611)),IFERROR(DATE(--LEFT(LEFT(SUBSTITUTE(SUBSTITUTE(SUBSTITUTE(SUBSTITUTE(TRIM($AR611),"-",""),".",""),"/","")," ",""),8),4),--MID(LEFT(SUBSTITUTE(SUBSTITUTE(SUBSTITUTE(SUBSTITUTE(TRIM($AR611),"-",""),".",""),"/","")," ",""),8),5,2),--MID(LEFT(SUBSTITUTE(SUBSTITUTE(SUBSTITUTE(SUBSTITUTE(TRIM($AR611),"-",""),".",""),"/","")," ",""),8),7,2)),"")))</f>
        <v/>
      </c>
      <c r="AT611" s="23">
        <f>IF($AS611="","",IF($F$6="",0,IF(ISNUMBER(INDEX($A:$AP,ROW(),$F$6)),INDEX($A:$AP,ROW(),$F$6),IFERROR(--SUBSTITUTE(SUBSTITUTE(TRIM(INDEX($A:$AP,ROW(),$F$6)),",",""),"원",""),0))))</f>
        <v/>
      </c>
      <c r="AU611" s="23">
        <f>IF($AS611="","",IF($G$6="",0,IF(ISNUMBER(INDEX($A:$AP,ROW(),$G$6)),INDEX($A:$AP,ROW(),$G$6),IFERROR(--SUBSTITUTE(SUBSTITUTE(TRIM(INDEX($A:$AP,ROW(),$G$6)),",",""),"원",""),0))))</f>
        <v/>
      </c>
      <c r="AV611" s="23">
        <f>IF($AS611="","",IF($H$6="",$AT611+$AU611,IF($H$6="",0,IF(ISNUMBER(INDEX($A:$AP,ROW(),$H$6)),INDEX($A:$AP,ROW(),$H$6),IFERROR(--SUBSTITUTE(SUBSTITUTE(TRIM(INDEX($A:$AP,ROW(),$H$6)),",",""),"원",""),0)))))</f>
        <v/>
      </c>
      <c r="AW611" s="2">
        <f>IF(OR($AS611="",$C$6=""),"",TRIM(INDEX($A:$AP,ROW(),$C$6)&amp;""))</f>
        <v/>
      </c>
      <c r="AX611" s="2">
        <f>IF($AS611="","",IF($AZ611&lt;&gt;"",SUBSTITUTE(SUBSTITUTE($AZ611,"-","")," ",""),$AY611))</f>
        <v/>
      </c>
      <c r="AY611" s="2">
        <f>IF(OR($AS611="",$E$6=""),"",TRIM(INDEX($A:$AP,ROW(),$E$6)&amp;""))</f>
        <v/>
      </c>
      <c r="AZ611" s="2">
        <f>IF(OR($AS611="",$D$6=""),"",TRIM(INDEX($A:$AP,ROW(),$D$6)&amp;""))</f>
        <v/>
      </c>
      <c r="BA611" s="2">
        <f>IF($AS611="","",IF(AND($AS611&gt;=설정!$B$10,$AS611&lt;=설정!$B$11),"포함","기간 밖"))</f>
        <v/>
      </c>
      <c r="BB611" s="2">
        <f>IF($AS611="","",IF(OR($AT611&lt;0,AND($I$6&lt;&gt;"",ISNUMBER(FIND("수정",INDEX($A:$AP,ROW(),IF($I$6="",1,$I$6))&amp;"")))),"수정","일반"))</f>
        <v/>
      </c>
      <c r="BC611" s="2">
        <f>IF($AS611="","",MID(IF($BA611="기간 밖"," / 기간 밖(신고기간 아님)","")&amp;IF(AND($AW611&lt;&gt;"",COUNTIF($AW$8:$AW$1007,$AW611)&gt;1)," / 승인번호 중복(두 번 붙여넣기?)","")&amp;IF(ABS($AU611-ROUND($AT611*0.1,0))&gt;설정!$B$8,IF($AU611=0," / 세액 0원(영세율·면세 여부 확인)"," / 세액이 공급가액 10%와 다름"),"")&amp;IF($BB611="수정"," / 수정세금계산서(합계에서 자동 가감)",""),4,200))</f>
        <v/>
      </c>
      <c r="BD611" s="2">
        <f>IF($BA611&lt;&gt;"포함","",IF(COUNTIFS($AX$8:$AX611,$AX611,$BA$8:$BA611,"포함")=1,MAX($BD$7:BD610)+1,""))</f>
        <v/>
      </c>
      <c r="BE611" s="2">
        <f>IF($BC611="","",MAX($BE$7:BE610)+1)</f>
        <v/>
      </c>
    </row>
    <row r="612">
      <c r="AR612" s="2">
        <f>IF(OR($A$5="",$B$6="",ROW()&lt;$A$5),"",IF(INDEX($A:$AP,ROW(),$B$6)="","",INDEX($A:$AP,ROW(),$B$6)))</f>
        <v/>
      </c>
      <c r="AS612" s="22">
        <f>IF($AR612="","",IF(ISNUMBER($AR612),IF($AR612&gt;=10000000,IFERROR(DATE(INT($AR612/10000),MOD(INT($AR612/100),100),MOD($AR612,100)),""),INT($AR612)),IFERROR(DATE(--LEFT(LEFT(SUBSTITUTE(SUBSTITUTE(SUBSTITUTE(SUBSTITUTE(TRIM($AR612),"-",""),".",""),"/","")," ",""),8),4),--MID(LEFT(SUBSTITUTE(SUBSTITUTE(SUBSTITUTE(SUBSTITUTE(TRIM($AR612),"-",""),".",""),"/","")," ",""),8),5,2),--MID(LEFT(SUBSTITUTE(SUBSTITUTE(SUBSTITUTE(SUBSTITUTE(TRIM($AR612),"-",""),".",""),"/","")," ",""),8),7,2)),"")))</f>
        <v/>
      </c>
      <c r="AT612" s="23">
        <f>IF($AS612="","",IF($F$6="",0,IF(ISNUMBER(INDEX($A:$AP,ROW(),$F$6)),INDEX($A:$AP,ROW(),$F$6),IFERROR(--SUBSTITUTE(SUBSTITUTE(TRIM(INDEX($A:$AP,ROW(),$F$6)),",",""),"원",""),0))))</f>
        <v/>
      </c>
      <c r="AU612" s="23">
        <f>IF($AS612="","",IF($G$6="",0,IF(ISNUMBER(INDEX($A:$AP,ROW(),$G$6)),INDEX($A:$AP,ROW(),$G$6),IFERROR(--SUBSTITUTE(SUBSTITUTE(TRIM(INDEX($A:$AP,ROW(),$G$6)),",",""),"원",""),0))))</f>
        <v/>
      </c>
      <c r="AV612" s="23">
        <f>IF($AS612="","",IF($H$6="",$AT612+$AU612,IF($H$6="",0,IF(ISNUMBER(INDEX($A:$AP,ROW(),$H$6)),INDEX($A:$AP,ROW(),$H$6),IFERROR(--SUBSTITUTE(SUBSTITUTE(TRIM(INDEX($A:$AP,ROW(),$H$6)),",",""),"원",""),0)))))</f>
        <v/>
      </c>
      <c r="AW612" s="2">
        <f>IF(OR($AS612="",$C$6=""),"",TRIM(INDEX($A:$AP,ROW(),$C$6)&amp;""))</f>
        <v/>
      </c>
      <c r="AX612" s="2">
        <f>IF($AS612="","",IF($AZ612&lt;&gt;"",SUBSTITUTE(SUBSTITUTE($AZ612,"-","")," ",""),$AY612))</f>
        <v/>
      </c>
      <c r="AY612" s="2">
        <f>IF(OR($AS612="",$E$6=""),"",TRIM(INDEX($A:$AP,ROW(),$E$6)&amp;""))</f>
        <v/>
      </c>
      <c r="AZ612" s="2">
        <f>IF(OR($AS612="",$D$6=""),"",TRIM(INDEX($A:$AP,ROW(),$D$6)&amp;""))</f>
        <v/>
      </c>
      <c r="BA612" s="2">
        <f>IF($AS612="","",IF(AND($AS612&gt;=설정!$B$10,$AS612&lt;=설정!$B$11),"포함","기간 밖"))</f>
        <v/>
      </c>
      <c r="BB612" s="2">
        <f>IF($AS612="","",IF(OR($AT612&lt;0,AND($I$6&lt;&gt;"",ISNUMBER(FIND("수정",INDEX($A:$AP,ROW(),IF($I$6="",1,$I$6))&amp;"")))),"수정","일반"))</f>
        <v/>
      </c>
      <c r="BC612" s="2">
        <f>IF($AS612="","",MID(IF($BA612="기간 밖"," / 기간 밖(신고기간 아님)","")&amp;IF(AND($AW612&lt;&gt;"",COUNTIF($AW$8:$AW$1007,$AW612)&gt;1)," / 승인번호 중복(두 번 붙여넣기?)","")&amp;IF(ABS($AU612-ROUND($AT612*0.1,0))&gt;설정!$B$8,IF($AU612=0," / 세액 0원(영세율·면세 여부 확인)"," / 세액이 공급가액 10%와 다름"),"")&amp;IF($BB612="수정"," / 수정세금계산서(합계에서 자동 가감)",""),4,200))</f>
        <v/>
      </c>
      <c r="BD612" s="2">
        <f>IF($BA612&lt;&gt;"포함","",IF(COUNTIFS($AX$8:$AX612,$AX612,$BA$8:$BA612,"포함")=1,MAX($BD$7:BD611)+1,""))</f>
        <v/>
      </c>
      <c r="BE612" s="2">
        <f>IF($BC612="","",MAX($BE$7:BE611)+1)</f>
        <v/>
      </c>
    </row>
    <row r="613">
      <c r="AR613" s="2">
        <f>IF(OR($A$5="",$B$6="",ROW()&lt;$A$5),"",IF(INDEX($A:$AP,ROW(),$B$6)="","",INDEX($A:$AP,ROW(),$B$6)))</f>
        <v/>
      </c>
      <c r="AS613" s="22">
        <f>IF($AR613="","",IF(ISNUMBER($AR613),IF($AR613&gt;=10000000,IFERROR(DATE(INT($AR613/10000),MOD(INT($AR613/100),100),MOD($AR613,100)),""),INT($AR613)),IFERROR(DATE(--LEFT(LEFT(SUBSTITUTE(SUBSTITUTE(SUBSTITUTE(SUBSTITUTE(TRIM($AR613),"-",""),".",""),"/","")," ",""),8),4),--MID(LEFT(SUBSTITUTE(SUBSTITUTE(SUBSTITUTE(SUBSTITUTE(TRIM($AR613),"-",""),".",""),"/","")," ",""),8),5,2),--MID(LEFT(SUBSTITUTE(SUBSTITUTE(SUBSTITUTE(SUBSTITUTE(TRIM($AR613),"-",""),".",""),"/","")," ",""),8),7,2)),"")))</f>
        <v/>
      </c>
      <c r="AT613" s="23">
        <f>IF($AS613="","",IF($F$6="",0,IF(ISNUMBER(INDEX($A:$AP,ROW(),$F$6)),INDEX($A:$AP,ROW(),$F$6),IFERROR(--SUBSTITUTE(SUBSTITUTE(TRIM(INDEX($A:$AP,ROW(),$F$6)),",",""),"원",""),0))))</f>
        <v/>
      </c>
      <c r="AU613" s="23">
        <f>IF($AS613="","",IF($G$6="",0,IF(ISNUMBER(INDEX($A:$AP,ROW(),$G$6)),INDEX($A:$AP,ROW(),$G$6),IFERROR(--SUBSTITUTE(SUBSTITUTE(TRIM(INDEX($A:$AP,ROW(),$G$6)),",",""),"원",""),0))))</f>
        <v/>
      </c>
      <c r="AV613" s="23">
        <f>IF($AS613="","",IF($H$6="",$AT613+$AU613,IF($H$6="",0,IF(ISNUMBER(INDEX($A:$AP,ROW(),$H$6)),INDEX($A:$AP,ROW(),$H$6),IFERROR(--SUBSTITUTE(SUBSTITUTE(TRIM(INDEX($A:$AP,ROW(),$H$6)),",",""),"원",""),0)))))</f>
        <v/>
      </c>
      <c r="AW613" s="2">
        <f>IF(OR($AS613="",$C$6=""),"",TRIM(INDEX($A:$AP,ROW(),$C$6)&amp;""))</f>
        <v/>
      </c>
      <c r="AX613" s="2">
        <f>IF($AS613="","",IF($AZ613&lt;&gt;"",SUBSTITUTE(SUBSTITUTE($AZ613,"-","")," ",""),$AY613))</f>
        <v/>
      </c>
      <c r="AY613" s="2">
        <f>IF(OR($AS613="",$E$6=""),"",TRIM(INDEX($A:$AP,ROW(),$E$6)&amp;""))</f>
        <v/>
      </c>
      <c r="AZ613" s="2">
        <f>IF(OR($AS613="",$D$6=""),"",TRIM(INDEX($A:$AP,ROW(),$D$6)&amp;""))</f>
        <v/>
      </c>
      <c r="BA613" s="2">
        <f>IF($AS613="","",IF(AND($AS613&gt;=설정!$B$10,$AS613&lt;=설정!$B$11),"포함","기간 밖"))</f>
        <v/>
      </c>
      <c r="BB613" s="2">
        <f>IF($AS613="","",IF(OR($AT613&lt;0,AND($I$6&lt;&gt;"",ISNUMBER(FIND("수정",INDEX($A:$AP,ROW(),IF($I$6="",1,$I$6))&amp;"")))),"수정","일반"))</f>
        <v/>
      </c>
      <c r="BC613" s="2">
        <f>IF($AS613="","",MID(IF($BA613="기간 밖"," / 기간 밖(신고기간 아님)","")&amp;IF(AND($AW613&lt;&gt;"",COUNTIF($AW$8:$AW$1007,$AW613)&gt;1)," / 승인번호 중복(두 번 붙여넣기?)","")&amp;IF(ABS($AU613-ROUND($AT613*0.1,0))&gt;설정!$B$8,IF($AU613=0," / 세액 0원(영세율·면세 여부 확인)"," / 세액이 공급가액 10%와 다름"),"")&amp;IF($BB613="수정"," / 수정세금계산서(합계에서 자동 가감)",""),4,200))</f>
        <v/>
      </c>
      <c r="BD613" s="2">
        <f>IF($BA613&lt;&gt;"포함","",IF(COUNTIFS($AX$8:$AX613,$AX613,$BA$8:$BA613,"포함")=1,MAX($BD$7:BD612)+1,""))</f>
        <v/>
      </c>
      <c r="BE613" s="2">
        <f>IF($BC613="","",MAX($BE$7:BE612)+1)</f>
        <v/>
      </c>
    </row>
    <row r="614">
      <c r="AR614" s="2">
        <f>IF(OR($A$5="",$B$6="",ROW()&lt;$A$5),"",IF(INDEX($A:$AP,ROW(),$B$6)="","",INDEX($A:$AP,ROW(),$B$6)))</f>
        <v/>
      </c>
      <c r="AS614" s="22">
        <f>IF($AR614="","",IF(ISNUMBER($AR614),IF($AR614&gt;=10000000,IFERROR(DATE(INT($AR614/10000),MOD(INT($AR614/100),100),MOD($AR614,100)),""),INT($AR614)),IFERROR(DATE(--LEFT(LEFT(SUBSTITUTE(SUBSTITUTE(SUBSTITUTE(SUBSTITUTE(TRIM($AR614),"-",""),".",""),"/","")," ",""),8),4),--MID(LEFT(SUBSTITUTE(SUBSTITUTE(SUBSTITUTE(SUBSTITUTE(TRIM($AR614),"-",""),".",""),"/","")," ",""),8),5,2),--MID(LEFT(SUBSTITUTE(SUBSTITUTE(SUBSTITUTE(SUBSTITUTE(TRIM($AR614),"-",""),".",""),"/","")," ",""),8),7,2)),"")))</f>
        <v/>
      </c>
      <c r="AT614" s="23">
        <f>IF($AS614="","",IF($F$6="",0,IF(ISNUMBER(INDEX($A:$AP,ROW(),$F$6)),INDEX($A:$AP,ROW(),$F$6),IFERROR(--SUBSTITUTE(SUBSTITUTE(TRIM(INDEX($A:$AP,ROW(),$F$6)),",",""),"원",""),0))))</f>
        <v/>
      </c>
      <c r="AU614" s="23">
        <f>IF($AS614="","",IF($G$6="",0,IF(ISNUMBER(INDEX($A:$AP,ROW(),$G$6)),INDEX($A:$AP,ROW(),$G$6),IFERROR(--SUBSTITUTE(SUBSTITUTE(TRIM(INDEX($A:$AP,ROW(),$G$6)),",",""),"원",""),0))))</f>
        <v/>
      </c>
      <c r="AV614" s="23">
        <f>IF($AS614="","",IF($H$6="",$AT614+$AU614,IF($H$6="",0,IF(ISNUMBER(INDEX($A:$AP,ROW(),$H$6)),INDEX($A:$AP,ROW(),$H$6),IFERROR(--SUBSTITUTE(SUBSTITUTE(TRIM(INDEX($A:$AP,ROW(),$H$6)),",",""),"원",""),0)))))</f>
        <v/>
      </c>
      <c r="AW614" s="2">
        <f>IF(OR($AS614="",$C$6=""),"",TRIM(INDEX($A:$AP,ROW(),$C$6)&amp;""))</f>
        <v/>
      </c>
      <c r="AX614" s="2">
        <f>IF($AS614="","",IF($AZ614&lt;&gt;"",SUBSTITUTE(SUBSTITUTE($AZ614,"-","")," ",""),$AY614))</f>
        <v/>
      </c>
      <c r="AY614" s="2">
        <f>IF(OR($AS614="",$E$6=""),"",TRIM(INDEX($A:$AP,ROW(),$E$6)&amp;""))</f>
        <v/>
      </c>
      <c r="AZ614" s="2">
        <f>IF(OR($AS614="",$D$6=""),"",TRIM(INDEX($A:$AP,ROW(),$D$6)&amp;""))</f>
        <v/>
      </c>
      <c r="BA614" s="2">
        <f>IF($AS614="","",IF(AND($AS614&gt;=설정!$B$10,$AS614&lt;=설정!$B$11),"포함","기간 밖"))</f>
        <v/>
      </c>
      <c r="BB614" s="2">
        <f>IF($AS614="","",IF(OR($AT614&lt;0,AND($I$6&lt;&gt;"",ISNUMBER(FIND("수정",INDEX($A:$AP,ROW(),IF($I$6="",1,$I$6))&amp;"")))),"수정","일반"))</f>
        <v/>
      </c>
      <c r="BC614" s="2">
        <f>IF($AS614="","",MID(IF($BA614="기간 밖"," / 기간 밖(신고기간 아님)","")&amp;IF(AND($AW614&lt;&gt;"",COUNTIF($AW$8:$AW$1007,$AW614)&gt;1)," / 승인번호 중복(두 번 붙여넣기?)","")&amp;IF(ABS($AU614-ROUND($AT614*0.1,0))&gt;설정!$B$8,IF($AU614=0," / 세액 0원(영세율·면세 여부 확인)"," / 세액이 공급가액 10%와 다름"),"")&amp;IF($BB614="수정"," / 수정세금계산서(합계에서 자동 가감)",""),4,200))</f>
        <v/>
      </c>
      <c r="BD614" s="2">
        <f>IF($BA614&lt;&gt;"포함","",IF(COUNTIFS($AX$8:$AX614,$AX614,$BA$8:$BA614,"포함")=1,MAX($BD$7:BD613)+1,""))</f>
        <v/>
      </c>
      <c r="BE614" s="2">
        <f>IF($BC614="","",MAX($BE$7:BE613)+1)</f>
        <v/>
      </c>
    </row>
    <row r="615">
      <c r="AR615" s="2">
        <f>IF(OR($A$5="",$B$6="",ROW()&lt;$A$5),"",IF(INDEX($A:$AP,ROW(),$B$6)="","",INDEX($A:$AP,ROW(),$B$6)))</f>
        <v/>
      </c>
      <c r="AS615" s="22">
        <f>IF($AR615="","",IF(ISNUMBER($AR615),IF($AR615&gt;=10000000,IFERROR(DATE(INT($AR615/10000),MOD(INT($AR615/100),100),MOD($AR615,100)),""),INT($AR615)),IFERROR(DATE(--LEFT(LEFT(SUBSTITUTE(SUBSTITUTE(SUBSTITUTE(SUBSTITUTE(TRIM($AR615),"-",""),".",""),"/","")," ",""),8),4),--MID(LEFT(SUBSTITUTE(SUBSTITUTE(SUBSTITUTE(SUBSTITUTE(TRIM($AR615),"-",""),".",""),"/","")," ",""),8),5,2),--MID(LEFT(SUBSTITUTE(SUBSTITUTE(SUBSTITUTE(SUBSTITUTE(TRIM($AR615),"-",""),".",""),"/","")," ",""),8),7,2)),"")))</f>
        <v/>
      </c>
      <c r="AT615" s="23">
        <f>IF($AS615="","",IF($F$6="",0,IF(ISNUMBER(INDEX($A:$AP,ROW(),$F$6)),INDEX($A:$AP,ROW(),$F$6),IFERROR(--SUBSTITUTE(SUBSTITUTE(TRIM(INDEX($A:$AP,ROW(),$F$6)),",",""),"원",""),0))))</f>
        <v/>
      </c>
      <c r="AU615" s="23">
        <f>IF($AS615="","",IF($G$6="",0,IF(ISNUMBER(INDEX($A:$AP,ROW(),$G$6)),INDEX($A:$AP,ROW(),$G$6),IFERROR(--SUBSTITUTE(SUBSTITUTE(TRIM(INDEX($A:$AP,ROW(),$G$6)),",",""),"원",""),0))))</f>
        <v/>
      </c>
      <c r="AV615" s="23">
        <f>IF($AS615="","",IF($H$6="",$AT615+$AU615,IF($H$6="",0,IF(ISNUMBER(INDEX($A:$AP,ROW(),$H$6)),INDEX($A:$AP,ROW(),$H$6),IFERROR(--SUBSTITUTE(SUBSTITUTE(TRIM(INDEX($A:$AP,ROW(),$H$6)),",",""),"원",""),0)))))</f>
        <v/>
      </c>
      <c r="AW615" s="2">
        <f>IF(OR($AS615="",$C$6=""),"",TRIM(INDEX($A:$AP,ROW(),$C$6)&amp;""))</f>
        <v/>
      </c>
      <c r="AX615" s="2">
        <f>IF($AS615="","",IF($AZ615&lt;&gt;"",SUBSTITUTE(SUBSTITUTE($AZ615,"-","")," ",""),$AY615))</f>
        <v/>
      </c>
      <c r="AY615" s="2">
        <f>IF(OR($AS615="",$E$6=""),"",TRIM(INDEX($A:$AP,ROW(),$E$6)&amp;""))</f>
        <v/>
      </c>
      <c r="AZ615" s="2">
        <f>IF(OR($AS615="",$D$6=""),"",TRIM(INDEX($A:$AP,ROW(),$D$6)&amp;""))</f>
        <v/>
      </c>
      <c r="BA615" s="2">
        <f>IF($AS615="","",IF(AND($AS615&gt;=설정!$B$10,$AS615&lt;=설정!$B$11),"포함","기간 밖"))</f>
        <v/>
      </c>
      <c r="BB615" s="2">
        <f>IF($AS615="","",IF(OR($AT615&lt;0,AND($I$6&lt;&gt;"",ISNUMBER(FIND("수정",INDEX($A:$AP,ROW(),IF($I$6="",1,$I$6))&amp;"")))),"수정","일반"))</f>
        <v/>
      </c>
      <c r="BC615" s="2">
        <f>IF($AS615="","",MID(IF($BA615="기간 밖"," / 기간 밖(신고기간 아님)","")&amp;IF(AND($AW615&lt;&gt;"",COUNTIF($AW$8:$AW$1007,$AW615)&gt;1)," / 승인번호 중복(두 번 붙여넣기?)","")&amp;IF(ABS($AU615-ROUND($AT615*0.1,0))&gt;설정!$B$8,IF($AU615=0," / 세액 0원(영세율·면세 여부 확인)"," / 세액이 공급가액 10%와 다름"),"")&amp;IF($BB615="수정"," / 수정세금계산서(합계에서 자동 가감)",""),4,200))</f>
        <v/>
      </c>
      <c r="BD615" s="2">
        <f>IF($BA615&lt;&gt;"포함","",IF(COUNTIFS($AX$8:$AX615,$AX615,$BA$8:$BA615,"포함")=1,MAX($BD$7:BD614)+1,""))</f>
        <v/>
      </c>
      <c r="BE615" s="2">
        <f>IF($BC615="","",MAX($BE$7:BE614)+1)</f>
        <v/>
      </c>
    </row>
    <row r="616">
      <c r="AR616" s="2">
        <f>IF(OR($A$5="",$B$6="",ROW()&lt;$A$5),"",IF(INDEX($A:$AP,ROW(),$B$6)="","",INDEX($A:$AP,ROW(),$B$6)))</f>
        <v/>
      </c>
      <c r="AS616" s="22">
        <f>IF($AR616="","",IF(ISNUMBER($AR616),IF($AR616&gt;=10000000,IFERROR(DATE(INT($AR616/10000),MOD(INT($AR616/100),100),MOD($AR616,100)),""),INT($AR616)),IFERROR(DATE(--LEFT(LEFT(SUBSTITUTE(SUBSTITUTE(SUBSTITUTE(SUBSTITUTE(TRIM($AR616),"-",""),".",""),"/","")," ",""),8),4),--MID(LEFT(SUBSTITUTE(SUBSTITUTE(SUBSTITUTE(SUBSTITUTE(TRIM($AR616),"-",""),".",""),"/","")," ",""),8),5,2),--MID(LEFT(SUBSTITUTE(SUBSTITUTE(SUBSTITUTE(SUBSTITUTE(TRIM($AR616),"-",""),".",""),"/","")," ",""),8),7,2)),"")))</f>
        <v/>
      </c>
      <c r="AT616" s="23">
        <f>IF($AS616="","",IF($F$6="",0,IF(ISNUMBER(INDEX($A:$AP,ROW(),$F$6)),INDEX($A:$AP,ROW(),$F$6),IFERROR(--SUBSTITUTE(SUBSTITUTE(TRIM(INDEX($A:$AP,ROW(),$F$6)),",",""),"원",""),0))))</f>
        <v/>
      </c>
      <c r="AU616" s="23">
        <f>IF($AS616="","",IF($G$6="",0,IF(ISNUMBER(INDEX($A:$AP,ROW(),$G$6)),INDEX($A:$AP,ROW(),$G$6),IFERROR(--SUBSTITUTE(SUBSTITUTE(TRIM(INDEX($A:$AP,ROW(),$G$6)),",",""),"원",""),0))))</f>
        <v/>
      </c>
      <c r="AV616" s="23">
        <f>IF($AS616="","",IF($H$6="",$AT616+$AU616,IF($H$6="",0,IF(ISNUMBER(INDEX($A:$AP,ROW(),$H$6)),INDEX($A:$AP,ROW(),$H$6),IFERROR(--SUBSTITUTE(SUBSTITUTE(TRIM(INDEX($A:$AP,ROW(),$H$6)),",",""),"원",""),0)))))</f>
        <v/>
      </c>
      <c r="AW616" s="2">
        <f>IF(OR($AS616="",$C$6=""),"",TRIM(INDEX($A:$AP,ROW(),$C$6)&amp;""))</f>
        <v/>
      </c>
      <c r="AX616" s="2">
        <f>IF($AS616="","",IF($AZ616&lt;&gt;"",SUBSTITUTE(SUBSTITUTE($AZ616,"-","")," ",""),$AY616))</f>
        <v/>
      </c>
      <c r="AY616" s="2">
        <f>IF(OR($AS616="",$E$6=""),"",TRIM(INDEX($A:$AP,ROW(),$E$6)&amp;""))</f>
        <v/>
      </c>
      <c r="AZ616" s="2">
        <f>IF(OR($AS616="",$D$6=""),"",TRIM(INDEX($A:$AP,ROW(),$D$6)&amp;""))</f>
        <v/>
      </c>
      <c r="BA616" s="2">
        <f>IF($AS616="","",IF(AND($AS616&gt;=설정!$B$10,$AS616&lt;=설정!$B$11),"포함","기간 밖"))</f>
        <v/>
      </c>
      <c r="BB616" s="2">
        <f>IF($AS616="","",IF(OR($AT616&lt;0,AND($I$6&lt;&gt;"",ISNUMBER(FIND("수정",INDEX($A:$AP,ROW(),IF($I$6="",1,$I$6))&amp;"")))),"수정","일반"))</f>
        <v/>
      </c>
      <c r="BC616" s="2">
        <f>IF($AS616="","",MID(IF($BA616="기간 밖"," / 기간 밖(신고기간 아님)","")&amp;IF(AND($AW616&lt;&gt;"",COUNTIF($AW$8:$AW$1007,$AW616)&gt;1)," / 승인번호 중복(두 번 붙여넣기?)","")&amp;IF(ABS($AU616-ROUND($AT616*0.1,0))&gt;설정!$B$8,IF($AU616=0," / 세액 0원(영세율·면세 여부 확인)"," / 세액이 공급가액 10%와 다름"),"")&amp;IF($BB616="수정"," / 수정세금계산서(합계에서 자동 가감)",""),4,200))</f>
        <v/>
      </c>
      <c r="BD616" s="2">
        <f>IF($BA616&lt;&gt;"포함","",IF(COUNTIFS($AX$8:$AX616,$AX616,$BA$8:$BA616,"포함")=1,MAX($BD$7:BD615)+1,""))</f>
        <v/>
      </c>
      <c r="BE616" s="2">
        <f>IF($BC616="","",MAX($BE$7:BE615)+1)</f>
        <v/>
      </c>
    </row>
    <row r="617">
      <c r="AR617" s="2">
        <f>IF(OR($A$5="",$B$6="",ROW()&lt;$A$5),"",IF(INDEX($A:$AP,ROW(),$B$6)="","",INDEX($A:$AP,ROW(),$B$6)))</f>
        <v/>
      </c>
      <c r="AS617" s="22">
        <f>IF($AR617="","",IF(ISNUMBER($AR617),IF($AR617&gt;=10000000,IFERROR(DATE(INT($AR617/10000),MOD(INT($AR617/100),100),MOD($AR617,100)),""),INT($AR617)),IFERROR(DATE(--LEFT(LEFT(SUBSTITUTE(SUBSTITUTE(SUBSTITUTE(SUBSTITUTE(TRIM($AR617),"-",""),".",""),"/","")," ",""),8),4),--MID(LEFT(SUBSTITUTE(SUBSTITUTE(SUBSTITUTE(SUBSTITUTE(TRIM($AR617),"-",""),".",""),"/","")," ",""),8),5,2),--MID(LEFT(SUBSTITUTE(SUBSTITUTE(SUBSTITUTE(SUBSTITUTE(TRIM($AR617),"-",""),".",""),"/","")," ",""),8),7,2)),"")))</f>
        <v/>
      </c>
      <c r="AT617" s="23">
        <f>IF($AS617="","",IF($F$6="",0,IF(ISNUMBER(INDEX($A:$AP,ROW(),$F$6)),INDEX($A:$AP,ROW(),$F$6),IFERROR(--SUBSTITUTE(SUBSTITUTE(TRIM(INDEX($A:$AP,ROW(),$F$6)),",",""),"원",""),0))))</f>
        <v/>
      </c>
      <c r="AU617" s="23">
        <f>IF($AS617="","",IF($G$6="",0,IF(ISNUMBER(INDEX($A:$AP,ROW(),$G$6)),INDEX($A:$AP,ROW(),$G$6),IFERROR(--SUBSTITUTE(SUBSTITUTE(TRIM(INDEX($A:$AP,ROW(),$G$6)),",",""),"원",""),0))))</f>
        <v/>
      </c>
      <c r="AV617" s="23">
        <f>IF($AS617="","",IF($H$6="",$AT617+$AU617,IF($H$6="",0,IF(ISNUMBER(INDEX($A:$AP,ROW(),$H$6)),INDEX($A:$AP,ROW(),$H$6),IFERROR(--SUBSTITUTE(SUBSTITUTE(TRIM(INDEX($A:$AP,ROW(),$H$6)),",",""),"원",""),0)))))</f>
        <v/>
      </c>
      <c r="AW617" s="2">
        <f>IF(OR($AS617="",$C$6=""),"",TRIM(INDEX($A:$AP,ROW(),$C$6)&amp;""))</f>
        <v/>
      </c>
      <c r="AX617" s="2">
        <f>IF($AS617="","",IF($AZ617&lt;&gt;"",SUBSTITUTE(SUBSTITUTE($AZ617,"-","")," ",""),$AY617))</f>
        <v/>
      </c>
      <c r="AY617" s="2">
        <f>IF(OR($AS617="",$E$6=""),"",TRIM(INDEX($A:$AP,ROW(),$E$6)&amp;""))</f>
        <v/>
      </c>
      <c r="AZ617" s="2">
        <f>IF(OR($AS617="",$D$6=""),"",TRIM(INDEX($A:$AP,ROW(),$D$6)&amp;""))</f>
        <v/>
      </c>
      <c r="BA617" s="2">
        <f>IF($AS617="","",IF(AND($AS617&gt;=설정!$B$10,$AS617&lt;=설정!$B$11),"포함","기간 밖"))</f>
        <v/>
      </c>
      <c r="BB617" s="2">
        <f>IF($AS617="","",IF(OR($AT617&lt;0,AND($I$6&lt;&gt;"",ISNUMBER(FIND("수정",INDEX($A:$AP,ROW(),IF($I$6="",1,$I$6))&amp;"")))),"수정","일반"))</f>
        <v/>
      </c>
      <c r="BC617" s="2">
        <f>IF($AS617="","",MID(IF($BA617="기간 밖"," / 기간 밖(신고기간 아님)","")&amp;IF(AND($AW617&lt;&gt;"",COUNTIF($AW$8:$AW$1007,$AW617)&gt;1)," / 승인번호 중복(두 번 붙여넣기?)","")&amp;IF(ABS($AU617-ROUND($AT617*0.1,0))&gt;설정!$B$8,IF($AU617=0," / 세액 0원(영세율·면세 여부 확인)"," / 세액이 공급가액 10%와 다름"),"")&amp;IF($BB617="수정"," / 수정세금계산서(합계에서 자동 가감)",""),4,200))</f>
        <v/>
      </c>
      <c r="BD617" s="2">
        <f>IF($BA617&lt;&gt;"포함","",IF(COUNTIFS($AX$8:$AX617,$AX617,$BA$8:$BA617,"포함")=1,MAX($BD$7:BD616)+1,""))</f>
        <v/>
      </c>
      <c r="BE617" s="2">
        <f>IF($BC617="","",MAX($BE$7:BE616)+1)</f>
        <v/>
      </c>
    </row>
    <row r="618">
      <c r="AR618" s="2">
        <f>IF(OR($A$5="",$B$6="",ROW()&lt;$A$5),"",IF(INDEX($A:$AP,ROW(),$B$6)="","",INDEX($A:$AP,ROW(),$B$6)))</f>
        <v/>
      </c>
      <c r="AS618" s="22">
        <f>IF($AR618="","",IF(ISNUMBER($AR618),IF($AR618&gt;=10000000,IFERROR(DATE(INT($AR618/10000),MOD(INT($AR618/100),100),MOD($AR618,100)),""),INT($AR618)),IFERROR(DATE(--LEFT(LEFT(SUBSTITUTE(SUBSTITUTE(SUBSTITUTE(SUBSTITUTE(TRIM($AR618),"-",""),".",""),"/","")," ",""),8),4),--MID(LEFT(SUBSTITUTE(SUBSTITUTE(SUBSTITUTE(SUBSTITUTE(TRIM($AR618),"-",""),".",""),"/","")," ",""),8),5,2),--MID(LEFT(SUBSTITUTE(SUBSTITUTE(SUBSTITUTE(SUBSTITUTE(TRIM($AR618),"-",""),".",""),"/","")," ",""),8),7,2)),"")))</f>
        <v/>
      </c>
      <c r="AT618" s="23">
        <f>IF($AS618="","",IF($F$6="",0,IF(ISNUMBER(INDEX($A:$AP,ROW(),$F$6)),INDEX($A:$AP,ROW(),$F$6),IFERROR(--SUBSTITUTE(SUBSTITUTE(TRIM(INDEX($A:$AP,ROW(),$F$6)),",",""),"원",""),0))))</f>
        <v/>
      </c>
      <c r="AU618" s="23">
        <f>IF($AS618="","",IF($G$6="",0,IF(ISNUMBER(INDEX($A:$AP,ROW(),$G$6)),INDEX($A:$AP,ROW(),$G$6),IFERROR(--SUBSTITUTE(SUBSTITUTE(TRIM(INDEX($A:$AP,ROW(),$G$6)),",",""),"원",""),0))))</f>
        <v/>
      </c>
      <c r="AV618" s="23">
        <f>IF($AS618="","",IF($H$6="",$AT618+$AU618,IF($H$6="",0,IF(ISNUMBER(INDEX($A:$AP,ROW(),$H$6)),INDEX($A:$AP,ROW(),$H$6),IFERROR(--SUBSTITUTE(SUBSTITUTE(TRIM(INDEX($A:$AP,ROW(),$H$6)),",",""),"원",""),0)))))</f>
        <v/>
      </c>
      <c r="AW618" s="2">
        <f>IF(OR($AS618="",$C$6=""),"",TRIM(INDEX($A:$AP,ROW(),$C$6)&amp;""))</f>
        <v/>
      </c>
      <c r="AX618" s="2">
        <f>IF($AS618="","",IF($AZ618&lt;&gt;"",SUBSTITUTE(SUBSTITUTE($AZ618,"-","")," ",""),$AY618))</f>
        <v/>
      </c>
      <c r="AY618" s="2">
        <f>IF(OR($AS618="",$E$6=""),"",TRIM(INDEX($A:$AP,ROW(),$E$6)&amp;""))</f>
        <v/>
      </c>
      <c r="AZ618" s="2">
        <f>IF(OR($AS618="",$D$6=""),"",TRIM(INDEX($A:$AP,ROW(),$D$6)&amp;""))</f>
        <v/>
      </c>
      <c r="BA618" s="2">
        <f>IF($AS618="","",IF(AND($AS618&gt;=설정!$B$10,$AS618&lt;=설정!$B$11),"포함","기간 밖"))</f>
        <v/>
      </c>
      <c r="BB618" s="2">
        <f>IF($AS618="","",IF(OR($AT618&lt;0,AND($I$6&lt;&gt;"",ISNUMBER(FIND("수정",INDEX($A:$AP,ROW(),IF($I$6="",1,$I$6))&amp;"")))),"수정","일반"))</f>
        <v/>
      </c>
      <c r="BC618" s="2">
        <f>IF($AS618="","",MID(IF($BA618="기간 밖"," / 기간 밖(신고기간 아님)","")&amp;IF(AND($AW618&lt;&gt;"",COUNTIF($AW$8:$AW$1007,$AW618)&gt;1)," / 승인번호 중복(두 번 붙여넣기?)","")&amp;IF(ABS($AU618-ROUND($AT618*0.1,0))&gt;설정!$B$8,IF($AU618=0," / 세액 0원(영세율·면세 여부 확인)"," / 세액이 공급가액 10%와 다름"),"")&amp;IF($BB618="수정"," / 수정세금계산서(합계에서 자동 가감)",""),4,200))</f>
        <v/>
      </c>
      <c r="BD618" s="2">
        <f>IF($BA618&lt;&gt;"포함","",IF(COUNTIFS($AX$8:$AX618,$AX618,$BA$8:$BA618,"포함")=1,MAX($BD$7:BD617)+1,""))</f>
        <v/>
      </c>
      <c r="BE618" s="2">
        <f>IF($BC618="","",MAX($BE$7:BE617)+1)</f>
        <v/>
      </c>
    </row>
    <row r="619">
      <c r="AR619" s="2">
        <f>IF(OR($A$5="",$B$6="",ROW()&lt;$A$5),"",IF(INDEX($A:$AP,ROW(),$B$6)="","",INDEX($A:$AP,ROW(),$B$6)))</f>
        <v/>
      </c>
      <c r="AS619" s="22">
        <f>IF($AR619="","",IF(ISNUMBER($AR619),IF($AR619&gt;=10000000,IFERROR(DATE(INT($AR619/10000),MOD(INT($AR619/100),100),MOD($AR619,100)),""),INT($AR619)),IFERROR(DATE(--LEFT(LEFT(SUBSTITUTE(SUBSTITUTE(SUBSTITUTE(SUBSTITUTE(TRIM($AR619),"-",""),".",""),"/","")," ",""),8),4),--MID(LEFT(SUBSTITUTE(SUBSTITUTE(SUBSTITUTE(SUBSTITUTE(TRIM($AR619),"-",""),".",""),"/","")," ",""),8),5,2),--MID(LEFT(SUBSTITUTE(SUBSTITUTE(SUBSTITUTE(SUBSTITUTE(TRIM($AR619),"-",""),".",""),"/","")," ",""),8),7,2)),"")))</f>
        <v/>
      </c>
      <c r="AT619" s="23">
        <f>IF($AS619="","",IF($F$6="",0,IF(ISNUMBER(INDEX($A:$AP,ROW(),$F$6)),INDEX($A:$AP,ROW(),$F$6),IFERROR(--SUBSTITUTE(SUBSTITUTE(TRIM(INDEX($A:$AP,ROW(),$F$6)),",",""),"원",""),0))))</f>
        <v/>
      </c>
      <c r="AU619" s="23">
        <f>IF($AS619="","",IF($G$6="",0,IF(ISNUMBER(INDEX($A:$AP,ROW(),$G$6)),INDEX($A:$AP,ROW(),$G$6),IFERROR(--SUBSTITUTE(SUBSTITUTE(TRIM(INDEX($A:$AP,ROW(),$G$6)),",",""),"원",""),0))))</f>
        <v/>
      </c>
      <c r="AV619" s="23">
        <f>IF($AS619="","",IF($H$6="",$AT619+$AU619,IF($H$6="",0,IF(ISNUMBER(INDEX($A:$AP,ROW(),$H$6)),INDEX($A:$AP,ROW(),$H$6),IFERROR(--SUBSTITUTE(SUBSTITUTE(TRIM(INDEX($A:$AP,ROW(),$H$6)),",",""),"원",""),0)))))</f>
        <v/>
      </c>
      <c r="AW619" s="2">
        <f>IF(OR($AS619="",$C$6=""),"",TRIM(INDEX($A:$AP,ROW(),$C$6)&amp;""))</f>
        <v/>
      </c>
      <c r="AX619" s="2">
        <f>IF($AS619="","",IF($AZ619&lt;&gt;"",SUBSTITUTE(SUBSTITUTE($AZ619,"-","")," ",""),$AY619))</f>
        <v/>
      </c>
      <c r="AY619" s="2">
        <f>IF(OR($AS619="",$E$6=""),"",TRIM(INDEX($A:$AP,ROW(),$E$6)&amp;""))</f>
        <v/>
      </c>
      <c r="AZ619" s="2">
        <f>IF(OR($AS619="",$D$6=""),"",TRIM(INDEX($A:$AP,ROW(),$D$6)&amp;""))</f>
        <v/>
      </c>
      <c r="BA619" s="2">
        <f>IF($AS619="","",IF(AND($AS619&gt;=설정!$B$10,$AS619&lt;=설정!$B$11),"포함","기간 밖"))</f>
        <v/>
      </c>
      <c r="BB619" s="2">
        <f>IF($AS619="","",IF(OR($AT619&lt;0,AND($I$6&lt;&gt;"",ISNUMBER(FIND("수정",INDEX($A:$AP,ROW(),IF($I$6="",1,$I$6))&amp;"")))),"수정","일반"))</f>
        <v/>
      </c>
      <c r="BC619" s="2">
        <f>IF($AS619="","",MID(IF($BA619="기간 밖"," / 기간 밖(신고기간 아님)","")&amp;IF(AND($AW619&lt;&gt;"",COUNTIF($AW$8:$AW$1007,$AW619)&gt;1)," / 승인번호 중복(두 번 붙여넣기?)","")&amp;IF(ABS($AU619-ROUND($AT619*0.1,0))&gt;설정!$B$8,IF($AU619=0," / 세액 0원(영세율·면세 여부 확인)"," / 세액이 공급가액 10%와 다름"),"")&amp;IF($BB619="수정"," / 수정세금계산서(합계에서 자동 가감)",""),4,200))</f>
        <v/>
      </c>
      <c r="BD619" s="2">
        <f>IF($BA619&lt;&gt;"포함","",IF(COUNTIFS($AX$8:$AX619,$AX619,$BA$8:$BA619,"포함")=1,MAX($BD$7:BD618)+1,""))</f>
        <v/>
      </c>
      <c r="BE619" s="2">
        <f>IF($BC619="","",MAX($BE$7:BE618)+1)</f>
        <v/>
      </c>
    </row>
    <row r="620">
      <c r="AR620" s="2">
        <f>IF(OR($A$5="",$B$6="",ROW()&lt;$A$5),"",IF(INDEX($A:$AP,ROW(),$B$6)="","",INDEX($A:$AP,ROW(),$B$6)))</f>
        <v/>
      </c>
      <c r="AS620" s="22">
        <f>IF($AR620="","",IF(ISNUMBER($AR620),IF($AR620&gt;=10000000,IFERROR(DATE(INT($AR620/10000),MOD(INT($AR620/100),100),MOD($AR620,100)),""),INT($AR620)),IFERROR(DATE(--LEFT(LEFT(SUBSTITUTE(SUBSTITUTE(SUBSTITUTE(SUBSTITUTE(TRIM($AR620),"-",""),".",""),"/","")," ",""),8),4),--MID(LEFT(SUBSTITUTE(SUBSTITUTE(SUBSTITUTE(SUBSTITUTE(TRIM($AR620),"-",""),".",""),"/","")," ",""),8),5,2),--MID(LEFT(SUBSTITUTE(SUBSTITUTE(SUBSTITUTE(SUBSTITUTE(TRIM($AR620),"-",""),".",""),"/","")," ",""),8),7,2)),"")))</f>
        <v/>
      </c>
      <c r="AT620" s="23">
        <f>IF($AS620="","",IF($F$6="",0,IF(ISNUMBER(INDEX($A:$AP,ROW(),$F$6)),INDEX($A:$AP,ROW(),$F$6),IFERROR(--SUBSTITUTE(SUBSTITUTE(TRIM(INDEX($A:$AP,ROW(),$F$6)),",",""),"원",""),0))))</f>
        <v/>
      </c>
      <c r="AU620" s="23">
        <f>IF($AS620="","",IF($G$6="",0,IF(ISNUMBER(INDEX($A:$AP,ROW(),$G$6)),INDEX($A:$AP,ROW(),$G$6),IFERROR(--SUBSTITUTE(SUBSTITUTE(TRIM(INDEX($A:$AP,ROW(),$G$6)),",",""),"원",""),0))))</f>
        <v/>
      </c>
      <c r="AV620" s="23">
        <f>IF($AS620="","",IF($H$6="",$AT620+$AU620,IF($H$6="",0,IF(ISNUMBER(INDEX($A:$AP,ROW(),$H$6)),INDEX($A:$AP,ROW(),$H$6),IFERROR(--SUBSTITUTE(SUBSTITUTE(TRIM(INDEX($A:$AP,ROW(),$H$6)),",",""),"원",""),0)))))</f>
        <v/>
      </c>
      <c r="AW620" s="2">
        <f>IF(OR($AS620="",$C$6=""),"",TRIM(INDEX($A:$AP,ROW(),$C$6)&amp;""))</f>
        <v/>
      </c>
      <c r="AX620" s="2">
        <f>IF($AS620="","",IF($AZ620&lt;&gt;"",SUBSTITUTE(SUBSTITUTE($AZ620,"-","")," ",""),$AY620))</f>
        <v/>
      </c>
      <c r="AY620" s="2">
        <f>IF(OR($AS620="",$E$6=""),"",TRIM(INDEX($A:$AP,ROW(),$E$6)&amp;""))</f>
        <v/>
      </c>
      <c r="AZ620" s="2">
        <f>IF(OR($AS620="",$D$6=""),"",TRIM(INDEX($A:$AP,ROW(),$D$6)&amp;""))</f>
        <v/>
      </c>
      <c r="BA620" s="2">
        <f>IF($AS620="","",IF(AND($AS620&gt;=설정!$B$10,$AS620&lt;=설정!$B$11),"포함","기간 밖"))</f>
        <v/>
      </c>
      <c r="BB620" s="2">
        <f>IF($AS620="","",IF(OR($AT620&lt;0,AND($I$6&lt;&gt;"",ISNUMBER(FIND("수정",INDEX($A:$AP,ROW(),IF($I$6="",1,$I$6))&amp;"")))),"수정","일반"))</f>
        <v/>
      </c>
      <c r="BC620" s="2">
        <f>IF($AS620="","",MID(IF($BA620="기간 밖"," / 기간 밖(신고기간 아님)","")&amp;IF(AND($AW620&lt;&gt;"",COUNTIF($AW$8:$AW$1007,$AW620)&gt;1)," / 승인번호 중복(두 번 붙여넣기?)","")&amp;IF(ABS($AU620-ROUND($AT620*0.1,0))&gt;설정!$B$8,IF($AU620=0," / 세액 0원(영세율·면세 여부 확인)"," / 세액이 공급가액 10%와 다름"),"")&amp;IF($BB620="수정"," / 수정세금계산서(합계에서 자동 가감)",""),4,200))</f>
        <v/>
      </c>
      <c r="BD620" s="2">
        <f>IF($BA620&lt;&gt;"포함","",IF(COUNTIFS($AX$8:$AX620,$AX620,$BA$8:$BA620,"포함")=1,MAX($BD$7:BD619)+1,""))</f>
        <v/>
      </c>
      <c r="BE620" s="2">
        <f>IF($BC620="","",MAX($BE$7:BE619)+1)</f>
        <v/>
      </c>
    </row>
    <row r="621">
      <c r="AR621" s="2">
        <f>IF(OR($A$5="",$B$6="",ROW()&lt;$A$5),"",IF(INDEX($A:$AP,ROW(),$B$6)="","",INDEX($A:$AP,ROW(),$B$6)))</f>
        <v/>
      </c>
      <c r="AS621" s="22">
        <f>IF($AR621="","",IF(ISNUMBER($AR621),IF($AR621&gt;=10000000,IFERROR(DATE(INT($AR621/10000),MOD(INT($AR621/100),100),MOD($AR621,100)),""),INT($AR621)),IFERROR(DATE(--LEFT(LEFT(SUBSTITUTE(SUBSTITUTE(SUBSTITUTE(SUBSTITUTE(TRIM($AR621),"-",""),".",""),"/","")," ",""),8),4),--MID(LEFT(SUBSTITUTE(SUBSTITUTE(SUBSTITUTE(SUBSTITUTE(TRIM($AR621),"-",""),".",""),"/","")," ",""),8),5,2),--MID(LEFT(SUBSTITUTE(SUBSTITUTE(SUBSTITUTE(SUBSTITUTE(TRIM($AR621),"-",""),".",""),"/","")," ",""),8),7,2)),"")))</f>
        <v/>
      </c>
      <c r="AT621" s="23">
        <f>IF($AS621="","",IF($F$6="",0,IF(ISNUMBER(INDEX($A:$AP,ROW(),$F$6)),INDEX($A:$AP,ROW(),$F$6),IFERROR(--SUBSTITUTE(SUBSTITUTE(TRIM(INDEX($A:$AP,ROW(),$F$6)),",",""),"원",""),0))))</f>
        <v/>
      </c>
      <c r="AU621" s="23">
        <f>IF($AS621="","",IF($G$6="",0,IF(ISNUMBER(INDEX($A:$AP,ROW(),$G$6)),INDEX($A:$AP,ROW(),$G$6),IFERROR(--SUBSTITUTE(SUBSTITUTE(TRIM(INDEX($A:$AP,ROW(),$G$6)),",",""),"원",""),0))))</f>
        <v/>
      </c>
      <c r="AV621" s="23">
        <f>IF($AS621="","",IF($H$6="",$AT621+$AU621,IF($H$6="",0,IF(ISNUMBER(INDEX($A:$AP,ROW(),$H$6)),INDEX($A:$AP,ROW(),$H$6),IFERROR(--SUBSTITUTE(SUBSTITUTE(TRIM(INDEX($A:$AP,ROW(),$H$6)),",",""),"원",""),0)))))</f>
        <v/>
      </c>
      <c r="AW621" s="2">
        <f>IF(OR($AS621="",$C$6=""),"",TRIM(INDEX($A:$AP,ROW(),$C$6)&amp;""))</f>
        <v/>
      </c>
      <c r="AX621" s="2">
        <f>IF($AS621="","",IF($AZ621&lt;&gt;"",SUBSTITUTE(SUBSTITUTE($AZ621,"-","")," ",""),$AY621))</f>
        <v/>
      </c>
      <c r="AY621" s="2">
        <f>IF(OR($AS621="",$E$6=""),"",TRIM(INDEX($A:$AP,ROW(),$E$6)&amp;""))</f>
        <v/>
      </c>
      <c r="AZ621" s="2">
        <f>IF(OR($AS621="",$D$6=""),"",TRIM(INDEX($A:$AP,ROW(),$D$6)&amp;""))</f>
        <v/>
      </c>
      <c r="BA621" s="2">
        <f>IF($AS621="","",IF(AND($AS621&gt;=설정!$B$10,$AS621&lt;=설정!$B$11),"포함","기간 밖"))</f>
        <v/>
      </c>
      <c r="BB621" s="2">
        <f>IF($AS621="","",IF(OR($AT621&lt;0,AND($I$6&lt;&gt;"",ISNUMBER(FIND("수정",INDEX($A:$AP,ROW(),IF($I$6="",1,$I$6))&amp;"")))),"수정","일반"))</f>
        <v/>
      </c>
      <c r="BC621" s="2">
        <f>IF($AS621="","",MID(IF($BA621="기간 밖"," / 기간 밖(신고기간 아님)","")&amp;IF(AND($AW621&lt;&gt;"",COUNTIF($AW$8:$AW$1007,$AW621)&gt;1)," / 승인번호 중복(두 번 붙여넣기?)","")&amp;IF(ABS($AU621-ROUND($AT621*0.1,0))&gt;설정!$B$8,IF($AU621=0," / 세액 0원(영세율·면세 여부 확인)"," / 세액이 공급가액 10%와 다름"),"")&amp;IF($BB621="수정"," / 수정세금계산서(합계에서 자동 가감)",""),4,200))</f>
        <v/>
      </c>
      <c r="BD621" s="2">
        <f>IF($BA621&lt;&gt;"포함","",IF(COUNTIFS($AX$8:$AX621,$AX621,$BA$8:$BA621,"포함")=1,MAX($BD$7:BD620)+1,""))</f>
        <v/>
      </c>
      <c r="BE621" s="2">
        <f>IF($BC621="","",MAX($BE$7:BE620)+1)</f>
        <v/>
      </c>
    </row>
    <row r="622">
      <c r="AR622" s="2">
        <f>IF(OR($A$5="",$B$6="",ROW()&lt;$A$5),"",IF(INDEX($A:$AP,ROW(),$B$6)="","",INDEX($A:$AP,ROW(),$B$6)))</f>
        <v/>
      </c>
      <c r="AS622" s="22">
        <f>IF($AR622="","",IF(ISNUMBER($AR622),IF($AR622&gt;=10000000,IFERROR(DATE(INT($AR622/10000),MOD(INT($AR622/100),100),MOD($AR622,100)),""),INT($AR622)),IFERROR(DATE(--LEFT(LEFT(SUBSTITUTE(SUBSTITUTE(SUBSTITUTE(SUBSTITUTE(TRIM($AR622),"-",""),".",""),"/","")," ",""),8),4),--MID(LEFT(SUBSTITUTE(SUBSTITUTE(SUBSTITUTE(SUBSTITUTE(TRIM($AR622),"-",""),".",""),"/","")," ",""),8),5,2),--MID(LEFT(SUBSTITUTE(SUBSTITUTE(SUBSTITUTE(SUBSTITUTE(TRIM($AR622),"-",""),".",""),"/","")," ",""),8),7,2)),"")))</f>
        <v/>
      </c>
      <c r="AT622" s="23">
        <f>IF($AS622="","",IF($F$6="",0,IF(ISNUMBER(INDEX($A:$AP,ROW(),$F$6)),INDEX($A:$AP,ROW(),$F$6),IFERROR(--SUBSTITUTE(SUBSTITUTE(TRIM(INDEX($A:$AP,ROW(),$F$6)),",",""),"원",""),0))))</f>
        <v/>
      </c>
      <c r="AU622" s="23">
        <f>IF($AS622="","",IF($G$6="",0,IF(ISNUMBER(INDEX($A:$AP,ROW(),$G$6)),INDEX($A:$AP,ROW(),$G$6),IFERROR(--SUBSTITUTE(SUBSTITUTE(TRIM(INDEX($A:$AP,ROW(),$G$6)),",",""),"원",""),0))))</f>
        <v/>
      </c>
      <c r="AV622" s="23">
        <f>IF($AS622="","",IF($H$6="",$AT622+$AU622,IF($H$6="",0,IF(ISNUMBER(INDEX($A:$AP,ROW(),$H$6)),INDEX($A:$AP,ROW(),$H$6),IFERROR(--SUBSTITUTE(SUBSTITUTE(TRIM(INDEX($A:$AP,ROW(),$H$6)),",",""),"원",""),0)))))</f>
        <v/>
      </c>
      <c r="AW622" s="2">
        <f>IF(OR($AS622="",$C$6=""),"",TRIM(INDEX($A:$AP,ROW(),$C$6)&amp;""))</f>
        <v/>
      </c>
      <c r="AX622" s="2">
        <f>IF($AS622="","",IF($AZ622&lt;&gt;"",SUBSTITUTE(SUBSTITUTE($AZ622,"-","")," ",""),$AY622))</f>
        <v/>
      </c>
      <c r="AY622" s="2">
        <f>IF(OR($AS622="",$E$6=""),"",TRIM(INDEX($A:$AP,ROW(),$E$6)&amp;""))</f>
        <v/>
      </c>
      <c r="AZ622" s="2">
        <f>IF(OR($AS622="",$D$6=""),"",TRIM(INDEX($A:$AP,ROW(),$D$6)&amp;""))</f>
        <v/>
      </c>
      <c r="BA622" s="2">
        <f>IF($AS622="","",IF(AND($AS622&gt;=설정!$B$10,$AS622&lt;=설정!$B$11),"포함","기간 밖"))</f>
        <v/>
      </c>
      <c r="BB622" s="2">
        <f>IF($AS622="","",IF(OR($AT622&lt;0,AND($I$6&lt;&gt;"",ISNUMBER(FIND("수정",INDEX($A:$AP,ROW(),IF($I$6="",1,$I$6))&amp;"")))),"수정","일반"))</f>
        <v/>
      </c>
      <c r="BC622" s="2">
        <f>IF($AS622="","",MID(IF($BA622="기간 밖"," / 기간 밖(신고기간 아님)","")&amp;IF(AND($AW622&lt;&gt;"",COUNTIF($AW$8:$AW$1007,$AW622)&gt;1)," / 승인번호 중복(두 번 붙여넣기?)","")&amp;IF(ABS($AU622-ROUND($AT622*0.1,0))&gt;설정!$B$8,IF($AU622=0," / 세액 0원(영세율·면세 여부 확인)"," / 세액이 공급가액 10%와 다름"),"")&amp;IF($BB622="수정"," / 수정세금계산서(합계에서 자동 가감)",""),4,200))</f>
        <v/>
      </c>
      <c r="BD622" s="2">
        <f>IF($BA622&lt;&gt;"포함","",IF(COUNTIFS($AX$8:$AX622,$AX622,$BA$8:$BA622,"포함")=1,MAX($BD$7:BD621)+1,""))</f>
        <v/>
      </c>
      <c r="BE622" s="2">
        <f>IF($BC622="","",MAX($BE$7:BE621)+1)</f>
        <v/>
      </c>
    </row>
    <row r="623">
      <c r="AR623" s="2">
        <f>IF(OR($A$5="",$B$6="",ROW()&lt;$A$5),"",IF(INDEX($A:$AP,ROW(),$B$6)="","",INDEX($A:$AP,ROW(),$B$6)))</f>
        <v/>
      </c>
      <c r="AS623" s="22">
        <f>IF($AR623="","",IF(ISNUMBER($AR623),IF($AR623&gt;=10000000,IFERROR(DATE(INT($AR623/10000),MOD(INT($AR623/100),100),MOD($AR623,100)),""),INT($AR623)),IFERROR(DATE(--LEFT(LEFT(SUBSTITUTE(SUBSTITUTE(SUBSTITUTE(SUBSTITUTE(TRIM($AR623),"-",""),".",""),"/","")," ",""),8),4),--MID(LEFT(SUBSTITUTE(SUBSTITUTE(SUBSTITUTE(SUBSTITUTE(TRIM($AR623),"-",""),".",""),"/","")," ",""),8),5,2),--MID(LEFT(SUBSTITUTE(SUBSTITUTE(SUBSTITUTE(SUBSTITUTE(TRIM($AR623),"-",""),".",""),"/","")," ",""),8),7,2)),"")))</f>
        <v/>
      </c>
      <c r="AT623" s="23">
        <f>IF($AS623="","",IF($F$6="",0,IF(ISNUMBER(INDEX($A:$AP,ROW(),$F$6)),INDEX($A:$AP,ROW(),$F$6),IFERROR(--SUBSTITUTE(SUBSTITUTE(TRIM(INDEX($A:$AP,ROW(),$F$6)),",",""),"원",""),0))))</f>
        <v/>
      </c>
      <c r="AU623" s="23">
        <f>IF($AS623="","",IF($G$6="",0,IF(ISNUMBER(INDEX($A:$AP,ROW(),$G$6)),INDEX($A:$AP,ROW(),$G$6),IFERROR(--SUBSTITUTE(SUBSTITUTE(TRIM(INDEX($A:$AP,ROW(),$G$6)),",",""),"원",""),0))))</f>
        <v/>
      </c>
      <c r="AV623" s="23">
        <f>IF($AS623="","",IF($H$6="",$AT623+$AU623,IF($H$6="",0,IF(ISNUMBER(INDEX($A:$AP,ROW(),$H$6)),INDEX($A:$AP,ROW(),$H$6),IFERROR(--SUBSTITUTE(SUBSTITUTE(TRIM(INDEX($A:$AP,ROW(),$H$6)),",",""),"원",""),0)))))</f>
        <v/>
      </c>
      <c r="AW623" s="2">
        <f>IF(OR($AS623="",$C$6=""),"",TRIM(INDEX($A:$AP,ROW(),$C$6)&amp;""))</f>
        <v/>
      </c>
      <c r="AX623" s="2">
        <f>IF($AS623="","",IF($AZ623&lt;&gt;"",SUBSTITUTE(SUBSTITUTE($AZ623,"-","")," ",""),$AY623))</f>
        <v/>
      </c>
      <c r="AY623" s="2">
        <f>IF(OR($AS623="",$E$6=""),"",TRIM(INDEX($A:$AP,ROW(),$E$6)&amp;""))</f>
        <v/>
      </c>
      <c r="AZ623" s="2">
        <f>IF(OR($AS623="",$D$6=""),"",TRIM(INDEX($A:$AP,ROW(),$D$6)&amp;""))</f>
        <v/>
      </c>
      <c r="BA623" s="2">
        <f>IF($AS623="","",IF(AND($AS623&gt;=설정!$B$10,$AS623&lt;=설정!$B$11),"포함","기간 밖"))</f>
        <v/>
      </c>
      <c r="BB623" s="2">
        <f>IF($AS623="","",IF(OR($AT623&lt;0,AND($I$6&lt;&gt;"",ISNUMBER(FIND("수정",INDEX($A:$AP,ROW(),IF($I$6="",1,$I$6))&amp;"")))),"수정","일반"))</f>
        <v/>
      </c>
      <c r="BC623" s="2">
        <f>IF($AS623="","",MID(IF($BA623="기간 밖"," / 기간 밖(신고기간 아님)","")&amp;IF(AND($AW623&lt;&gt;"",COUNTIF($AW$8:$AW$1007,$AW623)&gt;1)," / 승인번호 중복(두 번 붙여넣기?)","")&amp;IF(ABS($AU623-ROUND($AT623*0.1,0))&gt;설정!$B$8,IF($AU623=0," / 세액 0원(영세율·면세 여부 확인)"," / 세액이 공급가액 10%와 다름"),"")&amp;IF($BB623="수정"," / 수정세금계산서(합계에서 자동 가감)",""),4,200))</f>
        <v/>
      </c>
      <c r="BD623" s="2">
        <f>IF($BA623&lt;&gt;"포함","",IF(COUNTIFS($AX$8:$AX623,$AX623,$BA$8:$BA623,"포함")=1,MAX($BD$7:BD622)+1,""))</f>
        <v/>
      </c>
      <c r="BE623" s="2">
        <f>IF($BC623="","",MAX($BE$7:BE622)+1)</f>
        <v/>
      </c>
    </row>
    <row r="624">
      <c r="AR624" s="2">
        <f>IF(OR($A$5="",$B$6="",ROW()&lt;$A$5),"",IF(INDEX($A:$AP,ROW(),$B$6)="","",INDEX($A:$AP,ROW(),$B$6)))</f>
        <v/>
      </c>
      <c r="AS624" s="22">
        <f>IF($AR624="","",IF(ISNUMBER($AR624),IF($AR624&gt;=10000000,IFERROR(DATE(INT($AR624/10000),MOD(INT($AR624/100),100),MOD($AR624,100)),""),INT($AR624)),IFERROR(DATE(--LEFT(LEFT(SUBSTITUTE(SUBSTITUTE(SUBSTITUTE(SUBSTITUTE(TRIM($AR624),"-",""),".",""),"/","")," ",""),8),4),--MID(LEFT(SUBSTITUTE(SUBSTITUTE(SUBSTITUTE(SUBSTITUTE(TRIM($AR624),"-",""),".",""),"/","")," ",""),8),5,2),--MID(LEFT(SUBSTITUTE(SUBSTITUTE(SUBSTITUTE(SUBSTITUTE(TRIM($AR624),"-",""),".",""),"/","")," ",""),8),7,2)),"")))</f>
        <v/>
      </c>
      <c r="AT624" s="23">
        <f>IF($AS624="","",IF($F$6="",0,IF(ISNUMBER(INDEX($A:$AP,ROW(),$F$6)),INDEX($A:$AP,ROW(),$F$6),IFERROR(--SUBSTITUTE(SUBSTITUTE(TRIM(INDEX($A:$AP,ROW(),$F$6)),",",""),"원",""),0))))</f>
        <v/>
      </c>
      <c r="AU624" s="23">
        <f>IF($AS624="","",IF($G$6="",0,IF(ISNUMBER(INDEX($A:$AP,ROW(),$G$6)),INDEX($A:$AP,ROW(),$G$6),IFERROR(--SUBSTITUTE(SUBSTITUTE(TRIM(INDEX($A:$AP,ROW(),$G$6)),",",""),"원",""),0))))</f>
        <v/>
      </c>
      <c r="AV624" s="23">
        <f>IF($AS624="","",IF($H$6="",$AT624+$AU624,IF($H$6="",0,IF(ISNUMBER(INDEX($A:$AP,ROW(),$H$6)),INDEX($A:$AP,ROW(),$H$6),IFERROR(--SUBSTITUTE(SUBSTITUTE(TRIM(INDEX($A:$AP,ROW(),$H$6)),",",""),"원",""),0)))))</f>
        <v/>
      </c>
      <c r="AW624" s="2">
        <f>IF(OR($AS624="",$C$6=""),"",TRIM(INDEX($A:$AP,ROW(),$C$6)&amp;""))</f>
        <v/>
      </c>
      <c r="AX624" s="2">
        <f>IF($AS624="","",IF($AZ624&lt;&gt;"",SUBSTITUTE(SUBSTITUTE($AZ624,"-","")," ",""),$AY624))</f>
        <v/>
      </c>
      <c r="AY624" s="2">
        <f>IF(OR($AS624="",$E$6=""),"",TRIM(INDEX($A:$AP,ROW(),$E$6)&amp;""))</f>
        <v/>
      </c>
      <c r="AZ624" s="2">
        <f>IF(OR($AS624="",$D$6=""),"",TRIM(INDEX($A:$AP,ROW(),$D$6)&amp;""))</f>
        <v/>
      </c>
      <c r="BA624" s="2">
        <f>IF($AS624="","",IF(AND($AS624&gt;=설정!$B$10,$AS624&lt;=설정!$B$11),"포함","기간 밖"))</f>
        <v/>
      </c>
      <c r="BB624" s="2">
        <f>IF($AS624="","",IF(OR($AT624&lt;0,AND($I$6&lt;&gt;"",ISNUMBER(FIND("수정",INDEX($A:$AP,ROW(),IF($I$6="",1,$I$6))&amp;"")))),"수정","일반"))</f>
        <v/>
      </c>
      <c r="BC624" s="2">
        <f>IF($AS624="","",MID(IF($BA624="기간 밖"," / 기간 밖(신고기간 아님)","")&amp;IF(AND($AW624&lt;&gt;"",COUNTIF($AW$8:$AW$1007,$AW624)&gt;1)," / 승인번호 중복(두 번 붙여넣기?)","")&amp;IF(ABS($AU624-ROUND($AT624*0.1,0))&gt;설정!$B$8,IF($AU624=0," / 세액 0원(영세율·면세 여부 확인)"," / 세액이 공급가액 10%와 다름"),"")&amp;IF($BB624="수정"," / 수정세금계산서(합계에서 자동 가감)",""),4,200))</f>
        <v/>
      </c>
      <c r="BD624" s="2">
        <f>IF($BA624&lt;&gt;"포함","",IF(COUNTIFS($AX$8:$AX624,$AX624,$BA$8:$BA624,"포함")=1,MAX($BD$7:BD623)+1,""))</f>
        <v/>
      </c>
      <c r="BE624" s="2">
        <f>IF($BC624="","",MAX($BE$7:BE623)+1)</f>
        <v/>
      </c>
    </row>
    <row r="625">
      <c r="AR625" s="2">
        <f>IF(OR($A$5="",$B$6="",ROW()&lt;$A$5),"",IF(INDEX($A:$AP,ROW(),$B$6)="","",INDEX($A:$AP,ROW(),$B$6)))</f>
        <v/>
      </c>
      <c r="AS625" s="22">
        <f>IF($AR625="","",IF(ISNUMBER($AR625),IF($AR625&gt;=10000000,IFERROR(DATE(INT($AR625/10000),MOD(INT($AR625/100),100),MOD($AR625,100)),""),INT($AR625)),IFERROR(DATE(--LEFT(LEFT(SUBSTITUTE(SUBSTITUTE(SUBSTITUTE(SUBSTITUTE(TRIM($AR625),"-",""),".",""),"/","")," ",""),8),4),--MID(LEFT(SUBSTITUTE(SUBSTITUTE(SUBSTITUTE(SUBSTITUTE(TRIM($AR625),"-",""),".",""),"/","")," ",""),8),5,2),--MID(LEFT(SUBSTITUTE(SUBSTITUTE(SUBSTITUTE(SUBSTITUTE(TRIM($AR625),"-",""),".",""),"/","")," ",""),8),7,2)),"")))</f>
        <v/>
      </c>
      <c r="AT625" s="23">
        <f>IF($AS625="","",IF($F$6="",0,IF(ISNUMBER(INDEX($A:$AP,ROW(),$F$6)),INDEX($A:$AP,ROW(),$F$6),IFERROR(--SUBSTITUTE(SUBSTITUTE(TRIM(INDEX($A:$AP,ROW(),$F$6)),",",""),"원",""),0))))</f>
        <v/>
      </c>
      <c r="AU625" s="23">
        <f>IF($AS625="","",IF($G$6="",0,IF(ISNUMBER(INDEX($A:$AP,ROW(),$G$6)),INDEX($A:$AP,ROW(),$G$6),IFERROR(--SUBSTITUTE(SUBSTITUTE(TRIM(INDEX($A:$AP,ROW(),$G$6)),",",""),"원",""),0))))</f>
        <v/>
      </c>
      <c r="AV625" s="23">
        <f>IF($AS625="","",IF($H$6="",$AT625+$AU625,IF($H$6="",0,IF(ISNUMBER(INDEX($A:$AP,ROW(),$H$6)),INDEX($A:$AP,ROW(),$H$6),IFERROR(--SUBSTITUTE(SUBSTITUTE(TRIM(INDEX($A:$AP,ROW(),$H$6)),",",""),"원",""),0)))))</f>
        <v/>
      </c>
      <c r="AW625" s="2">
        <f>IF(OR($AS625="",$C$6=""),"",TRIM(INDEX($A:$AP,ROW(),$C$6)&amp;""))</f>
        <v/>
      </c>
      <c r="AX625" s="2">
        <f>IF($AS625="","",IF($AZ625&lt;&gt;"",SUBSTITUTE(SUBSTITUTE($AZ625,"-","")," ",""),$AY625))</f>
        <v/>
      </c>
      <c r="AY625" s="2">
        <f>IF(OR($AS625="",$E$6=""),"",TRIM(INDEX($A:$AP,ROW(),$E$6)&amp;""))</f>
        <v/>
      </c>
      <c r="AZ625" s="2">
        <f>IF(OR($AS625="",$D$6=""),"",TRIM(INDEX($A:$AP,ROW(),$D$6)&amp;""))</f>
        <v/>
      </c>
      <c r="BA625" s="2">
        <f>IF($AS625="","",IF(AND($AS625&gt;=설정!$B$10,$AS625&lt;=설정!$B$11),"포함","기간 밖"))</f>
        <v/>
      </c>
      <c r="BB625" s="2">
        <f>IF($AS625="","",IF(OR($AT625&lt;0,AND($I$6&lt;&gt;"",ISNUMBER(FIND("수정",INDEX($A:$AP,ROW(),IF($I$6="",1,$I$6))&amp;"")))),"수정","일반"))</f>
        <v/>
      </c>
      <c r="BC625" s="2">
        <f>IF($AS625="","",MID(IF($BA625="기간 밖"," / 기간 밖(신고기간 아님)","")&amp;IF(AND($AW625&lt;&gt;"",COUNTIF($AW$8:$AW$1007,$AW625)&gt;1)," / 승인번호 중복(두 번 붙여넣기?)","")&amp;IF(ABS($AU625-ROUND($AT625*0.1,0))&gt;설정!$B$8,IF($AU625=0," / 세액 0원(영세율·면세 여부 확인)"," / 세액이 공급가액 10%와 다름"),"")&amp;IF($BB625="수정"," / 수정세금계산서(합계에서 자동 가감)",""),4,200))</f>
        <v/>
      </c>
      <c r="BD625" s="2">
        <f>IF($BA625&lt;&gt;"포함","",IF(COUNTIFS($AX$8:$AX625,$AX625,$BA$8:$BA625,"포함")=1,MAX($BD$7:BD624)+1,""))</f>
        <v/>
      </c>
      <c r="BE625" s="2">
        <f>IF($BC625="","",MAX($BE$7:BE624)+1)</f>
        <v/>
      </c>
    </row>
    <row r="626">
      <c r="AR626" s="2">
        <f>IF(OR($A$5="",$B$6="",ROW()&lt;$A$5),"",IF(INDEX($A:$AP,ROW(),$B$6)="","",INDEX($A:$AP,ROW(),$B$6)))</f>
        <v/>
      </c>
      <c r="AS626" s="22">
        <f>IF($AR626="","",IF(ISNUMBER($AR626),IF($AR626&gt;=10000000,IFERROR(DATE(INT($AR626/10000),MOD(INT($AR626/100),100),MOD($AR626,100)),""),INT($AR626)),IFERROR(DATE(--LEFT(LEFT(SUBSTITUTE(SUBSTITUTE(SUBSTITUTE(SUBSTITUTE(TRIM($AR626),"-",""),".",""),"/","")," ",""),8),4),--MID(LEFT(SUBSTITUTE(SUBSTITUTE(SUBSTITUTE(SUBSTITUTE(TRIM($AR626),"-",""),".",""),"/","")," ",""),8),5,2),--MID(LEFT(SUBSTITUTE(SUBSTITUTE(SUBSTITUTE(SUBSTITUTE(TRIM($AR626),"-",""),".",""),"/","")," ",""),8),7,2)),"")))</f>
        <v/>
      </c>
      <c r="AT626" s="23">
        <f>IF($AS626="","",IF($F$6="",0,IF(ISNUMBER(INDEX($A:$AP,ROW(),$F$6)),INDEX($A:$AP,ROW(),$F$6),IFERROR(--SUBSTITUTE(SUBSTITUTE(TRIM(INDEX($A:$AP,ROW(),$F$6)),",",""),"원",""),0))))</f>
        <v/>
      </c>
      <c r="AU626" s="23">
        <f>IF($AS626="","",IF($G$6="",0,IF(ISNUMBER(INDEX($A:$AP,ROW(),$G$6)),INDEX($A:$AP,ROW(),$G$6),IFERROR(--SUBSTITUTE(SUBSTITUTE(TRIM(INDEX($A:$AP,ROW(),$G$6)),",",""),"원",""),0))))</f>
        <v/>
      </c>
      <c r="AV626" s="23">
        <f>IF($AS626="","",IF($H$6="",$AT626+$AU626,IF($H$6="",0,IF(ISNUMBER(INDEX($A:$AP,ROW(),$H$6)),INDEX($A:$AP,ROW(),$H$6),IFERROR(--SUBSTITUTE(SUBSTITUTE(TRIM(INDEX($A:$AP,ROW(),$H$6)),",",""),"원",""),0)))))</f>
        <v/>
      </c>
      <c r="AW626" s="2">
        <f>IF(OR($AS626="",$C$6=""),"",TRIM(INDEX($A:$AP,ROW(),$C$6)&amp;""))</f>
        <v/>
      </c>
      <c r="AX626" s="2">
        <f>IF($AS626="","",IF($AZ626&lt;&gt;"",SUBSTITUTE(SUBSTITUTE($AZ626,"-","")," ",""),$AY626))</f>
        <v/>
      </c>
      <c r="AY626" s="2">
        <f>IF(OR($AS626="",$E$6=""),"",TRIM(INDEX($A:$AP,ROW(),$E$6)&amp;""))</f>
        <v/>
      </c>
      <c r="AZ626" s="2">
        <f>IF(OR($AS626="",$D$6=""),"",TRIM(INDEX($A:$AP,ROW(),$D$6)&amp;""))</f>
        <v/>
      </c>
      <c r="BA626" s="2">
        <f>IF($AS626="","",IF(AND($AS626&gt;=설정!$B$10,$AS626&lt;=설정!$B$11),"포함","기간 밖"))</f>
        <v/>
      </c>
      <c r="BB626" s="2">
        <f>IF($AS626="","",IF(OR($AT626&lt;0,AND($I$6&lt;&gt;"",ISNUMBER(FIND("수정",INDEX($A:$AP,ROW(),IF($I$6="",1,$I$6))&amp;"")))),"수정","일반"))</f>
        <v/>
      </c>
      <c r="BC626" s="2">
        <f>IF($AS626="","",MID(IF($BA626="기간 밖"," / 기간 밖(신고기간 아님)","")&amp;IF(AND($AW626&lt;&gt;"",COUNTIF($AW$8:$AW$1007,$AW626)&gt;1)," / 승인번호 중복(두 번 붙여넣기?)","")&amp;IF(ABS($AU626-ROUND($AT626*0.1,0))&gt;설정!$B$8,IF($AU626=0," / 세액 0원(영세율·면세 여부 확인)"," / 세액이 공급가액 10%와 다름"),"")&amp;IF($BB626="수정"," / 수정세금계산서(합계에서 자동 가감)",""),4,200))</f>
        <v/>
      </c>
      <c r="BD626" s="2">
        <f>IF($BA626&lt;&gt;"포함","",IF(COUNTIFS($AX$8:$AX626,$AX626,$BA$8:$BA626,"포함")=1,MAX($BD$7:BD625)+1,""))</f>
        <v/>
      </c>
      <c r="BE626" s="2">
        <f>IF($BC626="","",MAX($BE$7:BE625)+1)</f>
        <v/>
      </c>
    </row>
    <row r="627">
      <c r="AR627" s="2">
        <f>IF(OR($A$5="",$B$6="",ROW()&lt;$A$5),"",IF(INDEX($A:$AP,ROW(),$B$6)="","",INDEX($A:$AP,ROW(),$B$6)))</f>
        <v/>
      </c>
      <c r="AS627" s="22">
        <f>IF($AR627="","",IF(ISNUMBER($AR627),IF($AR627&gt;=10000000,IFERROR(DATE(INT($AR627/10000),MOD(INT($AR627/100),100),MOD($AR627,100)),""),INT($AR627)),IFERROR(DATE(--LEFT(LEFT(SUBSTITUTE(SUBSTITUTE(SUBSTITUTE(SUBSTITUTE(TRIM($AR627),"-",""),".",""),"/","")," ",""),8),4),--MID(LEFT(SUBSTITUTE(SUBSTITUTE(SUBSTITUTE(SUBSTITUTE(TRIM($AR627),"-",""),".",""),"/","")," ",""),8),5,2),--MID(LEFT(SUBSTITUTE(SUBSTITUTE(SUBSTITUTE(SUBSTITUTE(TRIM($AR627),"-",""),".",""),"/","")," ",""),8),7,2)),"")))</f>
        <v/>
      </c>
      <c r="AT627" s="23">
        <f>IF($AS627="","",IF($F$6="",0,IF(ISNUMBER(INDEX($A:$AP,ROW(),$F$6)),INDEX($A:$AP,ROW(),$F$6),IFERROR(--SUBSTITUTE(SUBSTITUTE(TRIM(INDEX($A:$AP,ROW(),$F$6)),",",""),"원",""),0))))</f>
        <v/>
      </c>
      <c r="AU627" s="23">
        <f>IF($AS627="","",IF($G$6="",0,IF(ISNUMBER(INDEX($A:$AP,ROW(),$G$6)),INDEX($A:$AP,ROW(),$G$6),IFERROR(--SUBSTITUTE(SUBSTITUTE(TRIM(INDEX($A:$AP,ROW(),$G$6)),",",""),"원",""),0))))</f>
        <v/>
      </c>
      <c r="AV627" s="23">
        <f>IF($AS627="","",IF($H$6="",$AT627+$AU627,IF($H$6="",0,IF(ISNUMBER(INDEX($A:$AP,ROW(),$H$6)),INDEX($A:$AP,ROW(),$H$6),IFERROR(--SUBSTITUTE(SUBSTITUTE(TRIM(INDEX($A:$AP,ROW(),$H$6)),",",""),"원",""),0)))))</f>
        <v/>
      </c>
      <c r="AW627" s="2">
        <f>IF(OR($AS627="",$C$6=""),"",TRIM(INDEX($A:$AP,ROW(),$C$6)&amp;""))</f>
        <v/>
      </c>
      <c r="AX627" s="2">
        <f>IF($AS627="","",IF($AZ627&lt;&gt;"",SUBSTITUTE(SUBSTITUTE($AZ627,"-","")," ",""),$AY627))</f>
        <v/>
      </c>
      <c r="AY627" s="2">
        <f>IF(OR($AS627="",$E$6=""),"",TRIM(INDEX($A:$AP,ROW(),$E$6)&amp;""))</f>
        <v/>
      </c>
      <c r="AZ627" s="2">
        <f>IF(OR($AS627="",$D$6=""),"",TRIM(INDEX($A:$AP,ROW(),$D$6)&amp;""))</f>
        <v/>
      </c>
      <c r="BA627" s="2">
        <f>IF($AS627="","",IF(AND($AS627&gt;=설정!$B$10,$AS627&lt;=설정!$B$11),"포함","기간 밖"))</f>
        <v/>
      </c>
      <c r="BB627" s="2">
        <f>IF($AS627="","",IF(OR($AT627&lt;0,AND($I$6&lt;&gt;"",ISNUMBER(FIND("수정",INDEX($A:$AP,ROW(),IF($I$6="",1,$I$6))&amp;"")))),"수정","일반"))</f>
        <v/>
      </c>
      <c r="BC627" s="2">
        <f>IF($AS627="","",MID(IF($BA627="기간 밖"," / 기간 밖(신고기간 아님)","")&amp;IF(AND($AW627&lt;&gt;"",COUNTIF($AW$8:$AW$1007,$AW627)&gt;1)," / 승인번호 중복(두 번 붙여넣기?)","")&amp;IF(ABS($AU627-ROUND($AT627*0.1,0))&gt;설정!$B$8,IF($AU627=0," / 세액 0원(영세율·면세 여부 확인)"," / 세액이 공급가액 10%와 다름"),"")&amp;IF($BB627="수정"," / 수정세금계산서(합계에서 자동 가감)",""),4,200))</f>
        <v/>
      </c>
      <c r="BD627" s="2">
        <f>IF($BA627&lt;&gt;"포함","",IF(COUNTIFS($AX$8:$AX627,$AX627,$BA$8:$BA627,"포함")=1,MAX($BD$7:BD626)+1,""))</f>
        <v/>
      </c>
      <c r="BE627" s="2">
        <f>IF($BC627="","",MAX($BE$7:BE626)+1)</f>
        <v/>
      </c>
    </row>
    <row r="628">
      <c r="AR628" s="2">
        <f>IF(OR($A$5="",$B$6="",ROW()&lt;$A$5),"",IF(INDEX($A:$AP,ROW(),$B$6)="","",INDEX($A:$AP,ROW(),$B$6)))</f>
        <v/>
      </c>
      <c r="AS628" s="22">
        <f>IF($AR628="","",IF(ISNUMBER($AR628),IF($AR628&gt;=10000000,IFERROR(DATE(INT($AR628/10000),MOD(INT($AR628/100),100),MOD($AR628,100)),""),INT($AR628)),IFERROR(DATE(--LEFT(LEFT(SUBSTITUTE(SUBSTITUTE(SUBSTITUTE(SUBSTITUTE(TRIM($AR628),"-",""),".",""),"/","")," ",""),8),4),--MID(LEFT(SUBSTITUTE(SUBSTITUTE(SUBSTITUTE(SUBSTITUTE(TRIM($AR628),"-",""),".",""),"/","")," ",""),8),5,2),--MID(LEFT(SUBSTITUTE(SUBSTITUTE(SUBSTITUTE(SUBSTITUTE(TRIM($AR628),"-",""),".",""),"/","")," ",""),8),7,2)),"")))</f>
        <v/>
      </c>
      <c r="AT628" s="23">
        <f>IF($AS628="","",IF($F$6="",0,IF(ISNUMBER(INDEX($A:$AP,ROW(),$F$6)),INDEX($A:$AP,ROW(),$F$6),IFERROR(--SUBSTITUTE(SUBSTITUTE(TRIM(INDEX($A:$AP,ROW(),$F$6)),",",""),"원",""),0))))</f>
        <v/>
      </c>
      <c r="AU628" s="23">
        <f>IF($AS628="","",IF($G$6="",0,IF(ISNUMBER(INDEX($A:$AP,ROW(),$G$6)),INDEX($A:$AP,ROW(),$G$6),IFERROR(--SUBSTITUTE(SUBSTITUTE(TRIM(INDEX($A:$AP,ROW(),$G$6)),",",""),"원",""),0))))</f>
        <v/>
      </c>
      <c r="AV628" s="23">
        <f>IF($AS628="","",IF($H$6="",$AT628+$AU628,IF($H$6="",0,IF(ISNUMBER(INDEX($A:$AP,ROW(),$H$6)),INDEX($A:$AP,ROW(),$H$6),IFERROR(--SUBSTITUTE(SUBSTITUTE(TRIM(INDEX($A:$AP,ROW(),$H$6)),",",""),"원",""),0)))))</f>
        <v/>
      </c>
      <c r="AW628" s="2">
        <f>IF(OR($AS628="",$C$6=""),"",TRIM(INDEX($A:$AP,ROW(),$C$6)&amp;""))</f>
        <v/>
      </c>
      <c r="AX628" s="2">
        <f>IF($AS628="","",IF($AZ628&lt;&gt;"",SUBSTITUTE(SUBSTITUTE($AZ628,"-","")," ",""),$AY628))</f>
        <v/>
      </c>
      <c r="AY628" s="2">
        <f>IF(OR($AS628="",$E$6=""),"",TRIM(INDEX($A:$AP,ROW(),$E$6)&amp;""))</f>
        <v/>
      </c>
      <c r="AZ628" s="2">
        <f>IF(OR($AS628="",$D$6=""),"",TRIM(INDEX($A:$AP,ROW(),$D$6)&amp;""))</f>
        <v/>
      </c>
      <c r="BA628" s="2">
        <f>IF($AS628="","",IF(AND($AS628&gt;=설정!$B$10,$AS628&lt;=설정!$B$11),"포함","기간 밖"))</f>
        <v/>
      </c>
      <c r="BB628" s="2">
        <f>IF($AS628="","",IF(OR($AT628&lt;0,AND($I$6&lt;&gt;"",ISNUMBER(FIND("수정",INDEX($A:$AP,ROW(),IF($I$6="",1,$I$6))&amp;"")))),"수정","일반"))</f>
        <v/>
      </c>
      <c r="BC628" s="2">
        <f>IF($AS628="","",MID(IF($BA628="기간 밖"," / 기간 밖(신고기간 아님)","")&amp;IF(AND($AW628&lt;&gt;"",COUNTIF($AW$8:$AW$1007,$AW628)&gt;1)," / 승인번호 중복(두 번 붙여넣기?)","")&amp;IF(ABS($AU628-ROUND($AT628*0.1,0))&gt;설정!$B$8,IF($AU628=0," / 세액 0원(영세율·면세 여부 확인)"," / 세액이 공급가액 10%와 다름"),"")&amp;IF($BB628="수정"," / 수정세금계산서(합계에서 자동 가감)",""),4,200))</f>
        <v/>
      </c>
      <c r="BD628" s="2">
        <f>IF($BA628&lt;&gt;"포함","",IF(COUNTIFS($AX$8:$AX628,$AX628,$BA$8:$BA628,"포함")=1,MAX($BD$7:BD627)+1,""))</f>
        <v/>
      </c>
      <c r="BE628" s="2">
        <f>IF($BC628="","",MAX($BE$7:BE627)+1)</f>
        <v/>
      </c>
    </row>
    <row r="629">
      <c r="AR629" s="2">
        <f>IF(OR($A$5="",$B$6="",ROW()&lt;$A$5),"",IF(INDEX($A:$AP,ROW(),$B$6)="","",INDEX($A:$AP,ROW(),$B$6)))</f>
        <v/>
      </c>
      <c r="AS629" s="22">
        <f>IF($AR629="","",IF(ISNUMBER($AR629),IF($AR629&gt;=10000000,IFERROR(DATE(INT($AR629/10000),MOD(INT($AR629/100),100),MOD($AR629,100)),""),INT($AR629)),IFERROR(DATE(--LEFT(LEFT(SUBSTITUTE(SUBSTITUTE(SUBSTITUTE(SUBSTITUTE(TRIM($AR629),"-",""),".",""),"/","")," ",""),8),4),--MID(LEFT(SUBSTITUTE(SUBSTITUTE(SUBSTITUTE(SUBSTITUTE(TRIM($AR629),"-",""),".",""),"/","")," ",""),8),5,2),--MID(LEFT(SUBSTITUTE(SUBSTITUTE(SUBSTITUTE(SUBSTITUTE(TRIM($AR629),"-",""),".",""),"/","")," ",""),8),7,2)),"")))</f>
        <v/>
      </c>
      <c r="AT629" s="23">
        <f>IF($AS629="","",IF($F$6="",0,IF(ISNUMBER(INDEX($A:$AP,ROW(),$F$6)),INDEX($A:$AP,ROW(),$F$6),IFERROR(--SUBSTITUTE(SUBSTITUTE(TRIM(INDEX($A:$AP,ROW(),$F$6)),",",""),"원",""),0))))</f>
        <v/>
      </c>
      <c r="AU629" s="23">
        <f>IF($AS629="","",IF($G$6="",0,IF(ISNUMBER(INDEX($A:$AP,ROW(),$G$6)),INDEX($A:$AP,ROW(),$G$6),IFERROR(--SUBSTITUTE(SUBSTITUTE(TRIM(INDEX($A:$AP,ROW(),$G$6)),",",""),"원",""),0))))</f>
        <v/>
      </c>
      <c r="AV629" s="23">
        <f>IF($AS629="","",IF($H$6="",$AT629+$AU629,IF($H$6="",0,IF(ISNUMBER(INDEX($A:$AP,ROW(),$H$6)),INDEX($A:$AP,ROW(),$H$6),IFERROR(--SUBSTITUTE(SUBSTITUTE(TRIM(INDEX($A:$AP,ROW(),$H$6)),",",""),"원",""),0)))))</f>
        <v/>
      </c>
      <c r="AW629" s="2">
        <f>IF(OR($AS629="",$C$6=""),"",TRIM(INDEX($A:$AP,ROW(),$C$6)&amp;""))</f>
        <v/>
      </c>
      <c r="AX629" s="2">
        <f>IF($AS629="","",IF($AZ629&lt;&gt;"",SUBSTITUTE(SUBSTITUTE($AZ629,"-","")," ",""),$AY629))</f>
        <v/>
      </c>
      <c r="AY629" s="2">
        <f>IF(OR($AS629="",$E$6=""),"",TRIM(INDEX($A:$AP,ROW(),$E$6)&amp;""))</f>
        <v/>
      </c>
      <c r="AZ629" s="2">
        <f>IF(OR($AS629="",$D$6=""),"",TRIM(INDEX($A:$AP,ROW(),$D$6)&amp;""))</f>
        <v/>
      </c>
      <c r="BA629" s="2">
        <f>IF($AS629="","",IF(AND($AS629&gt;=설정!$B$10,$AS629&lt;=설정!$B$11),"포함","기간 밖"))</f>
        <v/>
      </c>
      <c r="BB629" s="2">
        <f>IF($AS629="","",IF(OR($AT629&lt;0,AND($I$6&lt;&gt;"",ISNUMBER(FIND("수정",INDEX($A:$AP,ROW(),IF($I$6="",1,$I$6))&amp;"")))),"수정","일반"))</f>
        <v/>
      </c>
      <c r="BC629" s="2">
        <f>IF($AS629="","",MID(IF($BA629="기간 밖"," / 기간 밖(신고기간 아님)","")&amp;IF(AND($AW629&lt;&gt;"",COUNTIF($AW$8:$AW$1007,$AW629)&gt;1)," / 승인번호 중복(두 번 붙여넣기?)","")&amp;IF(ABS($AU629-ROUND($AT629*0.1,0))&gt;설정!$B$8,IF($AU629=0," / 세액 0원(영세율·면세 여부 확인)"," / 세액이 공급가액 10%와 다름"),"")&amp;IF($BB629="수정"," / 수정세금계산서(합계에서 자동 가감)",""),4,200))</f>
        <v/>
      </c>
      <c r="BD629" s="2">
        <f>IF($BA629&lt;&gt;"포함","",IF(COUNTIFS($AX$8:$AX629,$AX629,$BA$8:$BA629,"포함")=1,MAX($BD$7:BD628)+1,""))</f>
        <v/>
      </c>
      <c r="BE629" s="2">
        <f>IF($BC629="","",MAX($BE$7:BE628)+1)</f>
        <v/>
      </c>
    </row>
    <row r="630">
      <c r="AR630" s="2">
        <f>IF(OR($A$5="",$B$6="",ROW()&lt;$A$5),"",IF(INDEX($A:$AP,ROW(),$B$6)="","",INDEX($A:$AP,ROW(),$B$6)))</f>
        <v/>
      </c>
      <c r="AS630" s="22">
        <f>IF($AR630="","",IF(ISNUMBER($AR630),IF($AR630&gt;=10000000,IFERROR(DATE(INT($AR630/10000),MOD(INT($AR630/100),100),MOD($AR630,100)),""),INT($AR630)),IFERROR(DATE(--LEFT(LEFT(SUBSTITUTE(SUBSTITUTE(SUBSTITUTE(SUBSTITUTE(TRIM($AR630),"-",""),".",""),"/","")," ",""),8),4),--MID(LEFT(SUBSTITUTE(SUBSTITUTE(SUBSTITUTE(SUBSTITUTE(TRIM($AR630),"-",""),".",""),"/","")," ",""),8),5,2),--MID(LEFT(SUBSTITUTE(SUBSTITUTE(SUBSTITUTE(SUBSTITUTE(TRIM($AR630),"-",""),".",""),"/","")," ",""),8),7,2)),"")))</f>
        <v/>
      </c>
      <c r="AT630" s="23">
        <f>IF($AS630="","",IF($F$6="",0,IF(ISNUMBER(INDEX($A:$AP,ROW(),$F$6)),INDEX($A:$AP,ROW(),$F$6),IFERROR(--SUBSTITUTE(SUBSTITUTE(TRIM(INDEX($A:$AP,ROW(),$F$6)),",",""),"원",""),0))))</f>
        <v/>
      </c>
      <c r="AU630" s="23">
        <f>IF($AS630="","",IF($G$6="",0,IF(ISNUMBER(INDEX($A:$AP,ROW(),$G$6)),INDEX($A:$AP,ROW(),$G$6),IFERROR(--SUBSTITUTE(SUBSTITUTE(TRIM(INDEX($A:$AP,ROW(),$G$6)),",",""),"원",""),0))))</f>
        <v/>
      </c>
      <c r="AV630" s="23">
        <f>IF($AS630="","",IF($H$6="",$AT630+$AU630,IF($H$6="",0,IF(ISNUMBER(INDEX($A:$AP,ROW(),$H$6)),INDEX($A:$AP,ROW(),$H$6),IFERROR(--SUBSTITUTE(SUBSTITUTE(TRIM(INDEX($A:$AP,ROW(),$H$6)),",",""),"원",""),0)))))</f>
        <v/>
      </c>
      <c r="AW630" s="2">
        <f>IF(OR($AS630="",$C$6=""),"",TRIM(INDEX($A:$AP,ROW(),$C$6)&amp;""))</f>
        <v/>
      </c>
      <c r="AX630" s="2">
        <f>IF($AS630="","",IF($AZ630&lt;&gt;"",SUBSTITUTE(SUBSTITUTE($AZ630,"-","")," ",""),$AY630))</f>
        <v/>
      </c>
      <c r="AY630" s="2">
        <f>IF(OR($AS630="",$E$6=""),"",TRIM(INDEX($A:$AP,ROW(),$E$6)&amp;""))</f>
        <v/>
      </c>
      <c r="AZ630" s="2">
        <f>IF(OR($AS630="",$D$6=""),"",TRIM(INDEX($A:$AP,ROW(),$D$6)&amp;""))</f>
        <v/>
      </c>
      <c r="BA630" s="2">
        <f>IF($AS630="","",IF(AND($AS630&gt;=설정!$B$10,$AS630&lt;=설정!$B$11),"포함","기간 밖"))</f>
        <v/>
      </c>
      <c r="BB630" s="2">
        <f>IF($AS630="","",IF(OR($AT630&lt;0,AND($I$6&lt;&gt;"",ISNUMBER(FIND("수정",INDEX($A:$AP,ROW(),IF($I$6="",1,$I$6))&amp;"")))),"수정","일반"))</f>
        <v/>
      </c>
      <c r="BC630" s="2">
        <f>IF($AS630="","",MID(IF($BA630="기간 밖"," / 기간 밖(신고기간 아님)","")&amp;IF(AND($AW630&lt;&gt;"",COUNTIF($AW$8:$AW$1007,$AW630)&gt;1)," / 승인번호 중복(두 번 붙여넣기?)","")&amp;IF(ABS($AU630-ROUND($AT630*0.1,0))&gt;설정!$B$8,IF($AU630=0," / 세액 0원(영세율·면세 여부 확인)"," / 세액이 공급가액 10%와 다름"),"")&amp;IF($BB630="수정"," / 수정세금계산서(합계에서 자동 가감)",""),4,200))</f>
        <v/>
      </c>
      <c r="BD630" s="2">
        <f>IF($BA630&lt;&gt;"포함","",IF(COUNTIFS($AX$8:$AX630,$AX630,$BA$8:$BA630,"포함")=1,MAX($BD$7:BD629)+1,""))</f>
        <v/>
      </c>
      <c r="BE630" s="2">
        <f>IF($BC630="","",MAX($BE$7:BE629)+1)</f>
        <v/>
      </c>
    </row>
    <row r="631">
      <c r="AR631" s="2">
        <f>IF(OR($A$5="",$B$6="",ROW()&lt;$A$5),"",IF(INDEX($A:$AP,ROW(),$B$6)="","",INDEX($A:$AP,ROW(),$B$6)))</f>
        <v/>
      </c>
      <c r="AS631" s="22">
        <f>IF($AR631="","",IF(ISNUMBER($AR631),IF($AR631&gt;=10000000,IFERROR(DATE(INT($AR631/10000),MOD(INT($AR631/100),100),MOD($AR631,100)),""),INT($AR631)),IFERROR(DATE(--LEFT(LEFT(SUBSTITUTE(SUBSTITUTE(SUBSTITUTE(SUBSTITUTE(TRIM($AR631),"-",""),".",""),"/","")," ",""),8),4),--MID(LEFT(SUBSTITUTE(SUBSTITUTE(SUBSTITUTE(SUBSTITUTE(TRIM($AR631),"-",""),".",""),"/","")," ",""),8),5,2),--MID(LEFT(SUBSTITUTE(SUBSTITUTE(SUBSTITUTE(SUBSTITUTE(TRIM($AR631),"-",""),".",""),"/","")," ",""),8),7,2)),"")))</f>
        <v/>
      </c>
      <c r="AT631" s="23">
        <f>IF($AS631="","",IF($F$6="",0,IF(ISNUMBER(INDEX($A:$AP,ROW(),$F$6)),INDEX($A:$AP,ROW(),$F$6),IFERROR(--SUBSTITUTE(SUBSTITUTE(TRIM(INDEX($A:$AP,ROW(),$F$6)),",",""),"원",""),0))))</f>
        <v/>
      </c>
      <c r="AU631" s="23">
        <f>IF($AS631="","",IF($G$6="",0,IF(ISNUMBER(INDEX($A:$AP,ROW(),$G$6)),INDEX($A:$AP,ROW(),$G$6),IFERROR(--SUBSTITUTE(SUBSTITUTE(TRIM(INDEX($A:$AP,ROW(),$G$6)),",",""),"원",""),0))))</f>
        <v/>
      </c>
      <c r="AV631" s="23">
        <f>IF($AS631="","",IF($H$6="",$AT631+$AU631,IF($H$6="",0,IF(ISNUMBER(INDEX($A:$AP,ROW(),$H$6)),INDEX($A:$AP,ROW(),$H$6),IFERROR(--SUBSTITUTE(SUBSTITUTE(TRIM(INDEX($A:$AP,ROW(),$H$6)),",",""),"원",""),0)))))</f>
        <v/>
      </c>
      <c r="AW631" s="2">
        <f>IF(OR($AS631="",$C$6=""),"",TRIM(INDEX($A:$AP,ROW(),$C$6)&amp;""))</f>
        <v/>
      </c>
      <c r="AX631" s="2">
        <f>IF($AS631="","",IF($AZ631&lt;&gt;"",SUBSTITUTE(SUBSTITUTE($AZ631,"-","")," ",""),$AY631))</f>
        <v/>
      </c>
      <c r="AY631" s="2">
        <f>IF(OR($AS631="",$E$6=""),"",TRIM(INDEX($A:$AP,ROW(),$E$6)&amp;""))</f>
        <v/>
      </c>
      <c r="AZ631" s="2">
        <f>IF(OR($AS631="",$D$6=""),"",TRIM(INDEX($A:$AP,ROW(),$D$6)&amp;""))</f>
        <v/>
      </c>
      <c r="BA631" s="2">
        <f>IF($AS631="","",IF(AND($AS631&gt;=설정!$B$10,$AS631&lt;=설정!$B$11),"포함","기간 밖"))</f>
        <v/>
      </c>
      <c r="BB631" s="2">
        <f>IF($AS631="","",IF(OR($AT631&lt;0,AND($I$6&lt;&gt;"",ISNUMBER(FIND("수정",INDEX($A:$AP,ROW(),IF($I$6="",1,$I$6))&amp;"")))),"수정","일반"))</f>
        <v/>
      </c>
      <c r="BC631" s="2">
        <f>IF($AS631="","",MID(IF($BA631="기간 밖"," / 기간 밖(신고기간 아님)","")&amp;IF(AND($AW631&lt;&gt;"",COUNTIF($AW$8:$AW$1007,$AW631)&gt;1)," / 승인번호 중복(두 번 붙여넣기?)","")&amp;IF(ABS($AU631-ROUND($AT631*0.1,0))&gt;설정!$B$8,IF($AU631=0," / 세액 0원(영세율·면세 여부 확인)"," / 세액이 공급가액 10%와 다름"),"")&amp;IF($BB631="수정"," / 수정세금계산서(합계에서 자동 가감)",""),4,200))</f>
        <v/>
      </c>
      <c r="BD631" s="2">
        <f>IF($BA631&lt;&gt;"포함","",IF(COUNTIFS($AX$8:$AX631,$AX631,$BA$8:$BA631,"포함")=1,MAX($BD$7:BD630)+1,""))</f>
        <v/>
      </c>
      <c r="BE631" s="2">
        <f>IF($BC631="","",MAX($BE$7:BE630)+1)</f>
        <v/>
      </c>
    </row>
    <row r="632">
      <c r="AR632" s="2">
        <f>IF(OR($A$5="",$B$6="",ROW()&lt;$A$5),"",IF(INDEX($A:$AP,ROW(),$B$6)="","",INDEX($A:$AP,ROW(),$B$6)))</f>
        <v/>
      </c>
      <c r="AS632" s="22">
        <f>IF($AR632="","",IF(ISNUMBER($AR632),IF($AR632&gt;=10000000,IFERROR(DATE(INT($AR632/10000),MOD(INT($AR632/100),100),MOD($AR632,100)),""),INT($AR632)),IFERROR(DATE(--LEFT(LEFT(SUBSTITUTE(SUBSTITUTE(SUBSTITUTE(SUBSTITUTE(TRIM($AR632),"-",""),".",""),"/","")," ",""),8),4),--MID(LEFT(SUBSTITUTE(SUBSTITUTE(SUBSTITUTE(SUBSTITUTE(TRIM($AR632),"-",""),".",""),"/","")," ",""),8),5,2),--MID(LEFT(SUBSTITUTE(SUBSTITUTE(SUBSTITUTE(SUBSTITUTE(TRIM($AR632),"-",""),".",""),"/","")," ",""),8),7,2)),"")))</f>
        <v/>
      </c>
      <c r="AT632" s="23">
        <f>IF($AS632="","",IF($F$6="",0,IF(ISNUMBER(INDEX($A:$AP,ROW(),$F$6)),INDEX($A:$AP,ROW(),$F$6),IFERROR(--SUBSTITUTE(SUBSTITUTE(TRIM(INDEX($A:$AP,ROW(),$F$6)),",",""),"원",""),0))))</f>
        <v/>
      </c>
      <c r="AU632" s="23">
        <f>IF($AS632="","",IF($G$6="",0,IF(ISNUMBER(INDEX($A:$AP,ROW(),$G$6)),INDEX($A:$AP,ROW(),$G$6),IFERROR(--SUBSTITUTE(SUBSTITUTE(TRIM(INDEX($A:$AP,ROW(),$G$6)),",",""),"원",""),0))))</f>
        <v/>
      </c>
      <c r="AV632" s="23">
        <f>IF($AS632="","",IF($H$6="",$AT632+$AU632,IF($H$6="",0,IF(ISNUMBER(INDEX($A:$AP,ROW(),$H$6)),INDEX($A:$AP,ROW(),$H$6),IFERROR(--SUBSTITUTE(SUBSTITUTE(TRIM(INDEX($A:$AP,ROW(),$H$6)),",",""),"원",""),0)))))</f>
        <v/>
      </c>
      <c r="AW632" s="2">
        <f>IF(OR($AS632="",$C$6=""),"",TRIM(INDEX($A:$AP,ROW(),$C$6)&amp;""))</f>
        <v/>
      </c>
      <c r="AX632" s="2">
        <f>IF($AS632="","",IF($AZ632&lt;&gt;"",SUBSTITUTE(SUBSTITUTE($AZ632,"-","")," ",""),$AY632))</f>
        <v/>
      </c>
      <c r="AY632" s="2">
        <f>IF(OR($AS632="",$E$6=""),"",TRIM(INDEX($A:$AP,ROW(),$E$6)&amp;""))</f>
        <v/>
      </c>
      <c r="AZ632" s="2">
        <f>IF(OR($AS632="",$D$6=""),"",TRIM(INDEX($A:$AP,ROW(),$D$6)&amp;""))</f>
        <v/>
      </c>
      <c r="BA632" s="2">
        <f>IF($AS632="","",IF(AND($AS632&gt;=설정!$B$10,$AS632&lt;=설정!$B$11),"포함","기간 밖"))</f>
        <v/>
      </c>
      <c r="BB632" s="2">
        <f>IF($AS632="","",IF(OR($AT632&lt;0,AND($I$6&lt;&gt;"",ISNUMBER(FIND("수정",INDEX($A:$AP,ROW(),IF($I$6="",1,$I$6))&amp;"")))),"수정","일반"))</f>
        <v/>
      </c>
      <c r="BC632" s="2">
        <f>IF($AS632="","",MID(IF($BA632="기간 밖"," / 기간 밖(신고기간 아님)","")&amp;IF(AND($AW632&lt;&gt;"",COUNTIF($AW$8:$AW$1007,$AW632)&gt;1)," / 승인번호 중복(두 번 붙여넣기?)","")&amp;IF(ABS($AU632-ROUND($AT632*0.1,0))&gt;설정!$B$8,IF($AU632=0," / 세액 0원(영세율·면세 여부 확인)"," / 세액이 공급가액 10%와 다름"),"")&amp;IF($BB632="수정"," / 수정세금계산서(합계에서 자동 가감)",""),4,200))</f>
        <v/>
      </c>
      <c r="BD632" s="2">
        <f>IF($BA632&lt;&gt;"포함","",IF(COUNTIFS($AX$8:$AX632,$AX632,$BA$8:$BA632,"포함")=1,MAX($BD$7:BD631)+1,""))</f>
        <v/>
      </c>
      <c r="BE632" s="2">
        <f>IF($BC632="","",MAX($BE$7:BE631)+1)</f>
        <v/>
      </c>
    </row>
    <row r="633">
      <c r="AR633" s="2">
        <f>IF(OR($A$5="",$B$6="",ROW()&lt;$A$5),"",IF(INDEX($A:$AP,ROW(),$B$6)="","",INDEX($A:$AP,ROW(),$B$6)))</f>
        <v/>
      </c>
      <c r="AS633" s="22">
        <f>IF($AR633="","",IF(ISNUMBER($AR633),IF($AR633&gt;=10000000,IFERROR(DATE(INT($AR633/10000),MOD(INT($AR633/100),100),MOD($AR633,100)),""),INT($AR633)),IFERROR(DATE(--LEFT(LEFT(SUBSTITUTE(SUBSTITUTE(SUBSTITUTE(SUBSTITUTE(TRIM($AR633),"-",""),".",""),"/","")," ",""),8),4),--MID(LEFT(SUBSTITUTE(SUBSTITUTE(SUBSTITUTE(SUBSTITUTE(TRIM($AR633),"-",""),".",""),"/","")," ",""),8),5,2),--MID(LEFT(SUBSTITUTE(SUBSTITUTE(SUBSTITUTE(SUBSTITUTE(TRIM($AR633),"-",""),".",""),"/","")," ",""),8),7,2)),"")))</f>
        <v/>
      </c>
      <c r="AT633" s="23">
        <f>IF($AS633="","",IF($F$6="",0,IF(ISNUMBER(INDEX($A:$AP,ROW(),$F$6)),INDEX($A:$AP,ROW(),$F$6),IFERROR(--SUBSTITUTE(SUBSTITUTE(TRIM(INDEX($A:$AP,ROW(),$F$6)),",",""),"원",""),0))))</f>
        <v/>
      </c>
      <c r="AU633" s="23">
        <f>IF($AS633="","",IF($G$6="",0,IF(ISNUMBER(INDEX($A:$AP,ROW(),$G$6)),INDEX($A:$AP,ROW(),$G$6),IFERROR(--SUBSTITUTE(SUBSTITUTE(TRIM(INDEX($A:$AP,ROW(),$G$6)),",",""),"원",""),0))))</f>
        <v/>
      </c>
      <c r="AV633" s="23">
        <f>IF($AS633="","",IF($H$6="",$AT633+$AU633,IF($H$6="",0,IF(ISNUMBER(INDEX($A:$AP,ROW(),$H$6)),INDEX($A:$AP,ROW(),$H$6),IFERROR(--SUBSTITUTE(SUBSTITUTE(TRIM(INDEX($A:$AP,ROW(),$H$6)),",",""),"원",""),0)))))</f>
        <v/>
      </c>
      <c r="AW633" s="2">
        <f>IF(OR($AS633="",$C$6=""),"",TRIM(INDEX($A:$AP,ROW(),$C$6)&amp;""))</f>
        <v/>
      </c>
      <c r="AX633" s="2">
        <f>IF($AS633="","",IF($AZ633&lt;&gt;"",SUBSTITUTE(SUBSTITUTE($AZ633,"-","")," ",""),$AY633))</f>
        <v/>
      </c>
      <c r="AY633" s="2">
        <f>IF(OR($AS633="",$E$6=""),"",TRIM(INDEX($A:$AP,ROW(),$E$6)&amp;""))</f>
        <v/>
      </c>
      <c r="AZ633" s="2">
        <f>IF(OR($AS633="",$D$6=""),"",TRIM(INDEX($A:$AP,ROW(),$D$6)&amp;""))</f>
        <v/>
      </c>
      <c r="BA633" s="2">
        <f>IF($AS633="","",IF(AND($AS633&gt;=설정!$B$10,$AS633&lt;=설정!$B$11),"포함","기간 밖"))</f>
        <v/>
      </c>
      <c r="BB633" s="2">
        <f>IF($AS633="","",IF(OR($AT633&lt;0,AND($I$6&lt;&gt;"",ISNUMBER(FIND("수정",INDEX($A:$AP,ROW(),IF($I$6="",1,$I$6))&amp;"")))),"수정","일반"))</f>
        <v/>
      </c>
      <c r="BC633" s="2">
        <f>IF($AS633="","",MID(IF($BA633="기간 밖"," / 기간 밖(신고기간 아님)","")&amp;IF(AND($AW633&lt;&gt;"",COUNTIF($AW$8:$AW$1007,$AW633)&gt;1)," / 승인번호 중복(두 번 붙여넣기?)","")&amp;IF(ABS($AU633-ROUND($AT633*0.1,0))&gt;설정!$B$8,IF($AU633=0," / 세액 0원(영세율·면세 여부 확인)"," / 세액이 공급가액 10%와 다름"),"")&amp;IF($BB633="수정"," / 수정세금계산서(합계에서 자동 가감)",""),4,200))</f>
        <v/>
      </c>
      <c r="BD633" s="2">
        <f>IF($BA633&lt;&gt;"포함","",IF(COUNTIFS($AX$8:$AX633,$AX633,$BA$8:$BA633,"포함")=1,MAX($BD$7:BD632)+1,""))</f>
        <v/>
      </c>
      <c r="BE633" s="2">
        <f>IF($BC633="","",MAX($BE$7:BE632)+1)</f>
        <v/>
      </c>
    </row>
    <row r="634">
      <c r="AR634" s="2">
        <f>IF(OR($A$5="",$B$6="",ROW()&lt;$A$5),"",IF(INDEX($A:$AP,ROW(),$B$6)="","",INDEX($A:$AP,ROW(),$B$6)))</f>
        <v/>
      </c>
      <c r="AS634" s="22">
        <f>IF($AR634="","",IF(ISNUMBER($AR634),IF($AR634&gt;=10000000,IFERROR(DATE(INT($AR634/10000),MOD(INT($AR634/100),100),MOD($AR634,100)),""),INT($AR634)),IFERROR(DATE(--LEFT(LEFT(SUBSTITUTE(SUBSTITUTE(SUBSTITUTE(SUBSTITUTE(TRIM($AR634),"-",""),".",""),"/","")," ",""),8),4),--MID(LEFT(SUBSTITUTE(SUBSTITUTE(SUBSTITUTE(SUBSTITUTE(TRIM($AR634),"-",""),".",""),"/","")," ",""),8),5,2),--MID(LEFT(SUBSTITUTE(SUBSTITUTE(SUBSTITUTE(SUBSTITUTE(TRIM($AR634),"-",""),".",""),"/","")," ",""),8),7,2)),"")))</f>
        <v/>
      </c>
      <c r="AT634" s="23">
        <f>IF($AS634="","",IF($F$6="",0,IF(ISNUMBER(INDEX($A:$AP,ROW(),$F$6)),INDEX($A:$AP,ROW(),$F$6),IFERROR(--SUBSTITUTE(SUBSTITUTE(TRIM(INDEX($A:$AP,ROW(),$F$6)),",",""),"원",""),0))))</f>
        <v/>
      </c>
      <c r="AU634" s="23">
        <f>IF($AS634="","",IF($G$6="",0,IF(ISNUMBER(INDEX($A:$AP,ROW(),$G$6)),INDEX($A:$AP,ROW(),$G$6),IFERROR(--SUBSTITUTE(SUBSTITUTE(TRIM(INDEX($A:$AP,ROW(),$G$6)),",",""),"원",""),0))))</f>
        <v/>
      </c>
      <c r="AV634" s="23">
        <f>IF($AS634="","",IF($H$6="",$AT634+$AU634,IF($H$6="",0,IF(ISNUMBER(INDEX($A:$AP,ROW(),$H$6)),INDEX($A:$AP,ROW(),$H$6),IFERROR(--SUBSTITUTE(SUBSTITUTE(TRIM(INDEX($A:$AP,ROW(),$H$6)),",",""),"원",""),0)))))</f>
        <v/>
      </c>
      <c r="AW634" s="2">
        <f>IF(OR($AS634="",$C$6=""),"",TRIM(INDEX($A:$AP,ROW(),$C$6)&amp;""))</f>
        <v/>
      </c>
      <c r="AX634" s="2">
        <f>IF($AS634="","",IF($AZ634&lt;&gt;"",SUBSTITUTE(SUBSTITUTE($AZ634,"-","")," ",""),$AY634))</f>
        <v/>
      </c>
      <c r="AY634" s="2">
        <f>IF(OR($AS634="",$E$6=""),"",TRIM(INDEX($A:$AP,ROW(),$E$6)&amp;""))</f>
        <v/>
      </c>
      <c r="AZ634" s="2">
        <f>IF(OR($AS634="",$D$6=""),"",TRIM(INDEX($A:$AP,ROW(),$D$6)&amp;""))</f>
        <v/>
      </c>
      <c r="BA634" s="2">
        <f>IF($AS634="","",IF(AND($AS634&gt;=설정!$B$10,$AS634&lt;=설정!$B$11),"포함","기간 밖"))</f>
        <v/>
      </c>
      <c r="BB634" s="2">
        <f>IF($AS634="","",IF(OR($AT634&lt;0,AND($I$6&lt;&gt;"",ISNUMBER(FIND("수정",INDEX($A:$AP,ROW(),IF($I$6="",1,$I$6))&amp;"")))),"수정","일반"))</f>
        <v/>
      </c>
      <c r="BC634" s="2">
        <f>IF($AS634="","",MID(IF($BA634="기간 밖"," / 기간 밖(신고기간 아님)","")&amp;IF(AND($AW634&lt;&gt;"",COUNTIF($AW$8:$AW$1007,$AW634)&gt;1)," / 승인번호 중복(두 번 붙여넣기?)","")&amp;IF(ABS($AU634-ROUND($AT634*0.1,0))&gt;설정!$B$8,IF($AU634=0," / 세액 0원(영세율·면세 여부 확인)"," / 세액이 공급가액 10%와 다름"),"")&amp;IF($BB634="수정"," / 수정세금계산서(합계에서 자동 가감)",""),4,200))</f>
        <v/>
      </c>
      <c r="BD634" s="2">
        <f>IF($BA634&lt;&gt;"포함","",IF(COUNTIFS($AX$8:$AX634,$AX634,$BA$8:$BA634,"포함")=1,MAX($BD$7:BD633)+1,""))</f>
        <v/>
      </c>
      <c r="BE634" s="2">
        <f>IF($BC634="","",MAX($BE$7:BE633)+1)</f>
        <v/>
      </c>
    </row>
    <row r="635">
      <c r="AR635" s="2">
        <f>IF(OR($A$5="",$B$6="",ROW()&lt;$A$5),"",IF(INDEX($A:$AP,ROW(),$B$6)="","",INDEX($A:$AP,ROW(),$B$6)))</f>
        <v/>
      </c>
      <c r="AS635" s="22">
        <f>IF($AR635="","",IF(ISNUMBER($AR635),IF($AR635&gt;=10000000,IFERROR(DATE(INT($AR635/10000),MOD(INT($AR635/100),100),MOD($AR635,100)),""),INT($AR635)),IFERROR(DATE(--LEFT(LEFT(SUBSTITUTE(SUBSTITUTE(SUBSTITUTE(SUBSTITUTE(TRIM($AR635),"-",""),".",""),"/","")," ",""),8),4),--MID(LEFT(SUBSTITUTE(SUBSTITUTE(SUBSTITUTE(SUBSTITUTE(TRIM($AR635),"-",""),".",""),"/","")," ",""),8),5,2),--MID(LEFT(SUBSTITUTE(SUBSTITUTE(SUBSTITUTE(SUBSTITUTE(TRIM($AR635),"-",""),".",""),"/","")," ",""),8),7,2)),"")))</f>
        <v/>
      </c>
      <c r="AT635" s="23">
        <f>IF($AS635="","",IF($F$6="",0,IF(ISNUMBER(INDEX($A:$AP,ROW(),$F$6)),INDEX($A:$AP,ROW(),$F$6),IFERROR(--SUBSTITUTE(SUBSTITUTE(TRIM(INDEX($A:$AP,ROW(),$F$6)),",",""),"원",""),0))))</f>
        <v/>
      </c>
      <c r="AU635" s="23">
        <f>IF($AS635="","",IF($G$6="",0,IF(ISNUMBER(INDEX($A:$AP,ROW(),$G$6)),INDEX($A:$AP,ROW(),$G$6),IFERROR(--SUBSTITUTE(SUBSTITUTE(TRIM(INDEX($A:$AP,ROW(),$G$6)),",",""),"원",""),0))))</f>
        <v/>
      </c>
      <c r="AV635" s="23">
        <f>IF($AS635="","",IF($H$6="",$AT635+$AU635,IF($H$6="",0,IF(ISNUMBER(INDEX($A:$AP,ROW(),$H$6)),INDEX($A:$AP,ROW(),$H$6),IFERROR(--SUBSTITUTE(SUBSTITUTE(TRIM(INDEX($A:$AP,ROW(),$H$6)),",",""),"원",""),0)))))</f>
        <v/>
      </c>
      <c r="AW635" s="2">
        <f>IF(OR($AS635="",$C$6=""),"",TRIM(INDEX($A:$AP,ROW(),$C$6)&amp;""))</f>
        <v/>
      </c>
      <c r="AX635" s="2">
        <f>IF($AS635="","",IF($AZ635&lt;&gt;"",SUBSTITUTE(SUBSTITUTE($AZ635,"-","")," ",""),$AY635))</f>
        <v/>
      </c>
      <c r="AY635" s="2">
        <f>IF(OR($AS635="",$E$6=""),"",TRIM(INDEX($A:$AP,ROW(),$E$6)&amp;""))</f>
        <v/>
      </c>
      <c r="AZ635" s="2">
        <f>IF(OR($AS635="",$D$6=""),"",TRIM(INDEX($A:$AP,ROW(),$D$6)&amp;""))</f>
        <v/>
      </c>
      <c r="BA635" s="2">
        <f>IF($AS635="","",IF(AND($AS635&gt;=설정!$B$10,$AS635&lt;=설정!$B$11),"포함","기간 밖"))</f>
        <v/>
      </c>
      <c r="BB635" s="2">
        <f>IF($AS635="","",IF(OR($AT635&lt;0,AND($I$6&lt;&gt;"",ISNUMBER(FIND("수정",INDEX($A:$AP,ROW(),IF($I$6="",1,$I$6))&amp;"")))),"수정","일반"))</f>
        <v/>
      </c>
      <c r="BC635" s="2">
        <f>IF($AS635="","",MID(IF($BA635="기간 밖"," / 기간 밖(신고기간 아님)","")&amp;IF(AND($AW635&lt;&gt;"",COUNTIF($AW$8:$AW$1007,$AW635)&gt;1)," / 승인번호 중복(두 번 붙여넣기?)","")&amp;IF(ABS($AU635-ROUND($AT635*0.1,0))&gt;설정!$B$8,IF($AU635=0," / 세액 0원(영세율·면세 여부 확인)"," / 세액이 공급가액 10%와 다름"),"")&amp;IF($BB635="수정"," / 수정세금계산서(합계에서 자동 가감)",""),4,200))</f>
        <v/>
      </c>
      <c r="BD635" s="2">
        <f>IF($BA635&lt;&gt;"포함","",IF(COUNTIFS($AX$8:$AX635,$AX635,$BA$8:$BA635,"포함")=1,MAX($BD$7:BD634)+1,""))</f>
        <v/>
      </c>
      <c r="BE635" s="2">
        <f>IF($BC635="","",MAX($BE$7:BE634)+1)</f>
        <v/>
      </c>
    </row>
    <row r="636">
      <c r="AR636" s="2">
        <f>IF(OR($A$5="",$B$6="",ROW()&lt;$A$5),"",IF(INDEX($A:$AP,ROW(),$B$6)="","",INDEX($A:$AP,ROW(),$B$6)))</f>
        <v/>
      </c>
      <c r="AS636" s="22">
        <f>IF($AR636="","",IF(ISNUMBER($AR636),IF($AR636&gt;=10000000,IFERROR(DATE(INT($AR636/10000),MOD(INT($AR636/100),100),MOD($AR636,100)),""),INT($AR636)),IFERROR(DATE(--LEFT(LEFT(SUBSTITUTE(SUBSTITUTE(SUBSTITUTE(SUBSTITUTE(TRIM($AR636),"-",""),".",""),"/","")," ",""),8),4),--MID(LEFT(SUBSTITUTE(SUBSTITUTE(SUBSTITUTE(SUBSTITUTE(TRIM($AR636),"-",""),".",""),"/","")," ",""),8),5,2),--MID(LEFT(SUBSTITUTE(SUBSTITUTE(SUBSTITUTE(SUBSTITUTE(TRIM($AR636),"-",""),".",""),"/","")," ",""),8),7,2)),"")))</f>
        <v/>
      </c>
      <c r="AT636" s="23">
        <f>IF($AS636="","",IF($F$6="",0,IF(ISNUMBER(INDEX($A:$AP,ROW(),$F$6)),INDEX($A:$AP,ROW(),$F$6),IFERROR(--SUBSTITUTE(SUBSTITUTE(TRIM(INDEX($A:$AP,ROW(),$F$6)),",",""),"원",""),0))))</f>
        <v/>
      </c>
      <c r="AU636" s="23">
        <f>IF($AS636="","",IF($G$6="",0,IF(ISNUMBER(INDEX($A:$AP,ROW(),$G$6)),INDEX($A:$AP,ROW(),$G$6),IFERROR(--SUBSTITUTE(SUBSTITUTE(TRIM(INDEX($A:$AP,ROW(),$G$6)),",",""),"원",""),0))))</f>
        <v/>
      </c>
      <c r="AV636" s="23">
        <f>IF($AS636="","",IF($H$6="",$AT636+$AU636,IF($H$6="",0,IF(ISNUMBER(INDEX($A:$AP,ROW(),$H$6)),INDEX($A:$AP,ROW(),$H$6),IFERROR(--SUBSTITUTE(SUBSTITUTE(TRIM(INDEX($A:$AP,ROW(),$H$6)),",",""),"원",""),0)))))</f>
        <v/>
      </c>
      <c r="AW636" s="2">
        <f>IF(OR($AS636="",$C$6=""),"",TRIM(INDEX($A:$AP,ROW(),$C$6)&amp;""))</f>
        <v/>
      </c>
      <c r="AX636" s="2">
        <f>IF($AS636="","",IF($AZ636&lt;&gt;"",SUBSTITUTE(SUBSTITUTE($AZ636,"-","")," ",""),$AY636))</f>
        <v/>
      </c>
      <c r="AY636" s="2">
        <f>IF(OR($AS636="",$E$6=""),"",TRIM(INDEX($A:$AP,ROW(),$E$6)&amp;""))</f>
        <v/>
      </c>
      <c r="AZ636" s="2">
        <f>IF(OR($AS636="",$D$6=""),"",TRIM(INDEX($A:$AP,ROW(),$D$6)&amp;""))</f>
        <v/>
      </c>
      <c r="BA636" s="2">
        <f>IF($AS636="","",IF(AND($AS636&gt;=설정!$B$10,$AS636&lt;=설정!$B$11),"포함","기간 밖"))</f>
        <v/>
      </c>
      <c r="BB636" s="2">
        <f>IF($AS636="","",IF(OR($AT636&lt;0,AND($I$6&lt;&gt;"",ISNUMBER(FIND("수정",INDEX($A:$AP,ROW(),IF($I$6="",1,$I$6))&amp;"")))),"수정","일반"))</f>
        <v/>
      </c>
      <c r="BC636" s="2">
        <f>IF($AS636="","",MID(IF($BA636="기간 밖"," / 기간 밖(신고기간 아님)","")&amp;IF(AND($AW636&lt;&gt;"",COUNTIF($AW$8:$AW$1007,$AW636)&gt;1)," / 승인번호 중복(두 번 붙여넣기?)","")&amp;IF(ABS($AU636-ROUND($AT636*0.1,0))&gt;설정!$B$8,IF($AU636=0," / 세액 0원(영세율·면세 여부 확인)"," / 세액이 공급가액 10%와 다름"),"")&amp;IF($BB636="수정"," / 수정세금계산서(합계에서 자동 가감)",""),4,200))</f>
        <v/>
      </c>
      <c r="BD636" s="2">
        <f>IF($BA636&lt;&gt;"포함","",IF(COUNTIFS($AX$8:$AX636,$AX636,$BA$8:$BA636,"포함")=1,MAX($BD$7:BD635)+1,""))</f>
        <v/>
      </c>
      <c r="BE636" s="2">
        <f>IF($BC636="","",MAX($BE$7:BE635)+1)</f>
        <v/>
      </c>
    </row>
    <row r="637">
      <c r="AR637" s="2">
        <f>IF(OR($A$5="",$B$6="",ROW()&lt;$A$5),"",IF(INDEX($A:$AP,ROW(),$B$6)="","",INDEX($A:$AP,ROW(),$B$6)))</f>
        <v/>
      </c>
      <c r="AS637" s="22">
        <f>IF($AR637="","",IF(ISNUMBER($AR637),IF($AR637&gt;=10000000,IFERROR(DATE(INT($AR637/10000),MOD(INT($AR637/100),100),MOD($AR637,100)),""),INT($AR637)),IFERROR(DATE(--LEFT(LEFT(SUBSTITUTE(SUBSTITUTE(SUBSTITUTE(SUBSTITUTE(TRIM($AR637),"-",""),".",""),"/","")," ",""),8),4),--MID(LEFT(SUBSTITUTE(SUBSTITUTE(SUBSTITUTE(SUBSTITUTE(TRIM($AR637),"-",""),".",""),"/","")," ",""),8),5,2),--MID(LEFT(SUBSTITUTE(SUBSTITUTE(SUBSTITUTE(SUBSTITUTE(TRIM($AR637),"-",""),".",""),"/","")," ",""),8),7,2)),"")))</f>
        <v/>
      </c>
      <c r="AT637" s="23">
        <f>IF($AS637="","",IF($F$6="",0,IF(ISNUMBER(INDEX($A:$AP,ROW(),$F$6)),INDEX($A:$AP,ROW(),$F$6),IFERROR(--SUBSTITUTE(SUBSTITUTE(TRIM(INDEX($A:$AP,ROW(),$F$6)),",",""),"원",""),0))))</f>
        <v/>
      </c>
      <c r="AU637" s="23">
        <f>IF($AS637="","",IF($G$6="",0,IF(ISNUMBER(INDEX($A:$AP,ROW(),$G$6)),INDEX($A:$AP,ROW(),$G$6),IFERROR(--SUBSTITUTE(SUBSTITUTE(TRIM(INDEX($A:$AP,ROW(),$G$6)),",",""),"원",""),0))))</f>
        <v/>
      </c>
      <c r="AV637" s="23">
        <f>IF($AS637="","",IF($H$6="",$AT637+$AU637,IF($H$6="",0,IF(ISNUMBER(INDEX($A:$AP,ROW(),$H$6)),INDEX($A:$AP,ROW(),$H$6),IFERROR(--SUBSTITUTE(SUBSTITUTE(TRIM(INDEX($A:$AP,ROW(),$H$6)),",",""),"원",""),0)))))</f>
        <v/>
      </c>
      <c r="AW637" s="2">
        <f>IF(OR($AS637="",$C$6=""),"",TRIM(INDEX($A:$AP,ROW(),$C$6)&amp;""))</f>
        <v/>
      </c>
      <c r="AX637" s="2">
        <f>IF($AS637="","",IF($AZ637&lt;&gt;"",SUBSTITUTE(SUBSTITUTE($AZ637,"-","")," ",""),$AY637))</f>
        <v/>
      </c>
      <c r="AY637" s="2">
        <f>IF(OR($AS637="",$E$6=""),"",TRIM(INDEX($A:$AP,ROW(),$E$6)&amp;""))</f>
        <v/>
      </c>
      <c r="AZ637" s="2">
        <f>IF(OR($AS637="",$D$6=""),"",TRIM(INDEX($A:$AP,ROW(),$D$6)&amp;""))</f>
        <v/>
      </c>
      <c r="BA637" s="2">
        <f>IF($AS637="","",IF(AND($AS637&gt;=설정!$B$10,$AS637&lt;=설정!$B$11),"포함","기간 밖"))</f>
        <v/>
      </c>
      <c r="BB637" s="2">
        <f>IF($AS637="","",IF(OR($AT637&lt;0,AND($I$6&lt;&gt;"",ISNUMBER(FIND("수정",INDEX($A:$AP,ROW(),IF($I$6="",1,$I$6))&amp;"")))),"수정","일반"))</f>
        <v/>
      </c>
      <c r="BC637" s="2">
        <f>IF($AS637="","",MID(IF($BA637="기간 밖"," / 기간 밖(신고기간 아님)","")&amp;IF(AND($AW637&lt;&gt;"",COUNTIF($AW$8:$AW$1007,$AW637)&gt;1)," / 승인번호 중복(두 번 붙여넣기?)","")&amp;IF(ABS($AU637-ROUND($AT637*0.1,0))&gt;설정!$B$8,IF($AU637=0," / 세액 0원(영세율·면세 여부 확인)"," / 세액이 공급가액 10%와 다름"),"")&amp;IF($BB637="수정"," / 수정세금계산서(합계에서 자동 가감)",""),4,200))</f>
        <v/>
      </c>
      <c r="BD637" s="2">
        <f>IF($BA637&lt;&gt;"포함","",IF(COUNTIFS($AX$8:$AX637,$AX637,$BA$8:$BA637,"포함")=1,MAX($BD$7:BD636)+1,""))</f>
        <v/>
      </c>
      <c r="BE637" s="2">
        <f>IF($BC637="","",MAX($BE$7:BE636)+1)</f>
        <v/>
      </c>
    </row>
    <row r="638">
      <c r="AR638" s="2">
        <f>IF(OR($A$5="",$B$6="",ROW()&lt;$A$5),"",IF(INDEX($A:$AP,ROW(),$B$6)="","",INDEX($A:$AP,ROW(),$B$6)))</f>
        <v/>
      </c>
      <c r="AS638" s="22">
        <f>IF($AR638="","",IF(ISNUMBER($AR638),IF($AR638&gt;=10000000,IFERROR(DATE(INT($AR638/10000),MOD(INT($AR638/100),100),MOD($AR638,100)),""),INT($AR638)),IFERROR(DATE(--LEFT(LEFT(SUBSTITUTE(SUBSTITUTE(SUBSTITUTE(SUBSTITUTE(TRIM($AR638),"-",""),".",""),"/","")," ",""),8),4),--MID(LEFT(SUBSTITUTE(SUBSTITUTE(SUBSTITUTE(SUBSTITUTE(TRIM($AR638),"-",""),".",""),"/","")," ",""),8),5,2),--MID(LEFT(SUBSTITUTE(SUBSTITUTE(SUBSTITUTE(SUBSTITUTE(TRIM($AR638),"-",""),".",""),"/","")," ",""),8),7,2)),"")))</f>
        <v/>
      </c>
      <c r="AT638" s="23">
        <f>IF($AS638="","",IF($F$6="",0,IF(ISNUMBER(INDEX($A:$AP,ROW(),$F$6)),INDEX($A:$AP,ROW(),$F$6),IFERROR(--SUBSTITUTE(SUBSTITUTE(TRIM(INDEX($A:$AP,ROW(),$F$6)),",",""),"원",""),0))))</f>
        <v/>
      </c>
      <c r="AU638" s="23">
        <f>IF($AS638="","",IF($G$6="",0,IF(ISNUMBER(INDEX($A:$AP,ROW(),$G$6)),INDEX($A:$AP,ROW(),$G$6),IFERROR(--SUBSTITUTE(SUBSTITUTE(TRIM(INDEX($A:$AP,ROW(),$G$6)),",",""),"원",""),0))))</f>
        <v/>
      </c>
      <c r="AV638" s="23">
        <f>IF($AS638="","",IF($H$6="",$AT638+$AU638,IF($H$6="",0,IF(ISNUMBER(INDEX($A:$AP,ROW(),$H$6)),INDEX($A:$AP,ROW(),$H$6),IFERROR(--SUBSTITUTE(SUBSTITUTE(TRIM(INDEX($A:$AP,ROW(),$H$6)),",",""),"원",""),0)))))</f>
        <v/>
      </c>
      <c r="AW638" s="2">
        <f>IF(OR($AS638="",$C$6=""),"",TRIM(INDEX($A:$AP,ROW(),$C$6)&amp;""))</f>
        <v/>
      </c>
      <c r="AX638" s="2">
        <f>IF($AS638="","",IF($AZ638&lt;&gt;"",SUBSTITUTE(SUBSTITUTE($AZ638,"-","")," ",""),$AY638))</f>
        <v/>
      </c>
      <c r="AY638" s="2">
        <f>IF(OR($AS638="",$E$6=""),"",TRIM(INDEX($A:$AP,ROW(),$E$6)&amp;""))</f>
        <v/>
      </c>
      <c r="AZ638" s="2">
        <f>IF(OR($AS638="",$D$6=""),"",TRIM(INDEX($A:$AP,ROW(),$D$6)&amp;""))</f>
        <v/>
      </c>
      <c r="BA638" s="2">
        <f>IF($AS638="","",IF(AND($AS638&gt;=설정!$B$10,$AS638&lt;=설정!$B$11),"포함","기간 밖"))</f>
        <v/>
      </c>
      <c r="BB638" s="2">
        <f>IF($AS638="","",IF(OR($AT638&lt;0,AND($I$6&lt;&gt;"",ISNUMBER(FIND("수정",INDEX($A:$AP,ROW(),IF($I$6="",1,$I$6))&amp;"")))),"수정","일반"))</f>
        <v/>
      </c>
      <c r="BC638" s="2">
        <f>IF($AS638="","",MID(IF($BA638="기간 밖"," / 기간 밖(신고기간 아님)","")&amp;IF(AND($AW638&lt;&gt;"",COUNTIF($AW$8:$AW$1007,$AW638)&gt;1)," / 승인번호 중복(두 번 붙여넣기?)","")&amp;IF(ABS($AU638-ROUND($AT638*0.1,0))&gt;설정!$B$8,IF($AU638=0," / 세액 0원(영세율·면세 여부 확인)"," / 세액이 공급가액 10%와 다름"),"")&amp;IF($BB638="수정"," / 수정세금계산서(합계에서 자동 가감)",""),4,200))</f>
        <v/>
      </c>
      <c r="BD638" s="2">
        <f>IF($BA638&lt;&gt;"포함","",IF(COUNTIFS($AX$8:$AX638,$AX638,$BA$8:$BA638,"포함")=1,MAX($BD$7:BD637)+1,""))</f>
        <v/>
      </c>
      <c r="BE638" s="2">
        <f>IF($BC638="","",MAX($BE$7:BE637)+1)</f>
        <v/>
      </c>
    </row>
    <row r="639">
      <c r="AR639" s="2">
        <f>IF(OR($A$5="",$B$6="",ROW()&lt;$A$5),"",IF(INDEX($A:$AP,ROW(),$B$6)="","",INDEX($A:$AP,ROW(),$B$6)))</f>
        <v/>
      </c>
      <c r="AS639" s="22">
        <f>IF($AR639="","",IF(ISNUMBER($AR639),IF($AR639&gt;=10000000,IFERROR(DATE(INT($AR639/10000),MOD(INT($AR639/100),100),MOD($AR639,100)),""),INT($AR639)),IFERROR(DATE(--LEFT(LEFT(SUBSTITUTE(SUBSTITUTE(SUBSTITUTE(SUBSTITUTE(TRIM($AR639),"-",""),".",""),"/","")," ",""),8),4),--MID(LEFT(SUBSTITUTE(SUBSTITUTE(SUBSTITUTE(SUBSTITUTE(TRIM($AR639),"-",""),".",""),"/","")," ",""),8),5,2),--MID(LEFT(SUBSTITUTE(SUBSTITUTE(SUBSTITUTE(SUBSTITUTE(TRIM($AR639),"-",""),".",""),"/","")," ",""),8),7,2)),"")))</f>
        <v/>
      </c>
      <c r="AT639" s="23">
        <f>IF($AS639="","",IF($F$6="",0,IF(ISNUMBER(INDEX($A:$AP,ROW(),$F$6)),INDEX($A:$AP,ROW(),$F$6),IFERROR(--SUBSTITUTE(SUBSTITUTE(TRIM(INDEX($A:$AP,ROW(),$F$6)),",",""),"원",""),0))))</f>
        <v/>
      </c>
      <c r="AU639" s="23">
        <f>IF($AS639="","",IF($G$6="",0,IF(ISNUMBER(INDEX($A:$AP,ROW(),$G$6)),INDEX($A:$AP,ROW(),$G$6),IFERROR(--SUBSTITUTE(SUBSTITUTE(TRIM(INDEX($A:$AP,ROW(),$G$6)),",",""),"원",""),0))))</f>
        <v/>
      </c>
      <c r="AV639" s="23">
        <f>IF($AS639="","",IF($H$6="",$AT639+$AU639,IF($H$6="",0,IF(ISNUMBER(INDEX($A:$AP,ROW(),$H$6)),INDEX($A:$AP,ROW(),$H$6),IFERROR(--SUBSTITUTE(SUBSTITUTE(TRIM(INDEX($A:$AP,ROW(),$H$6)),",",""),"원",""),0)))))</f>
        <v/>
      </c>
      <c r="AW639" s="2">
        <f>IF(OR($AS639="",$C$6=""),"",TRIM(INDEX($A:$AP,ROW(),$C$6)&amp;""))</f>
        <v/>
      </c>
      <c r="AX639" s="2">
        <f>IF($AS639="","",IF($AZ639&lt;&gt;"",SUBSTITUTE(SUBSTITUTE($AZ639,"-","")," ",""),$AY639))</f>
        <v/>
      </c>
      <c r="AY639" s="2">
        <f>IF(OR($AS639="",$E$6=""),"",TRIM(INDEX($A:$AP,ROW(),$E$6)&amp;""))</f>
        <v/>
      </c>
      <c r="AZ639" s="2">
        <f>IF(OR($AS639="",$D$6=""),"",TRIM(INDEX($A:$AP,ROW(),$D$6)&amp;""))</f>
        <v/>
      </c>
      <c r="BA639" s="2">
        <f>IF($AS639="","",IF(AND($AS639&gt;=설정!$B$10,$AS639&lt;=설정!$B$11),"포함","기간 밖"))</f>
        <v/>
      </c>
      <c r="BB639" s="2">
        <f>IF($AS639="","",IF(OR($AT639&lt;0,AND($I$6&lt;&gt;"",ISNUMBER(FIND("수정",INDEX($A:$AP,ROW(),IF($I$6="",1,$I$6))&amp;"")))),"수정","일반"))</f>
        <v/>
      </c>
      <c r="BC639" s="2">
        <f>IF($AS639="","",MID(IF($BA639="기간 밖"," / 기간 밖(신고기간 아님)","")&amp;IF(AND($AW639&lt;&gt;"",COUNTIF($AW$8:$AW$1007,$AW639)&gt;1)," / 승인번호 중복(두 번 붙여넣기?)","")&amp;IF(ABS($AU639-ROUND($AT639*0.1,0))&gt;설정!$B$8,IF($AU639=0," / 세액 0원(영세율·면세 여부 확인)"," / 세액이 공급가액 10%와 다름"),"")&amp;IF($BB639="수정"," / 수정세금계산서(합계에서 자동 가감)",""),4,200))</f>
        <v/>
      </c>
      <c r="BD639" s="2">
        <f>IF($BA639&lt;&gt;"포함","",IF(COUNTIFS($AX$8:$AX639,$AX639,$BA$8:$BA639,"포함")=1,MAX($BD$7:BD638)+1,""))</f>
        <v/>
      </c>
      <c r="BE639" s="2">
        <f>IF($BC639="","",MAX($BE$7:BE638)+1)</f>
        <v/>
      </c>
    </row>
    <row r="640">
      <c r="AR640" s="2">
        <f>IF(OR($A$5="",$B$6="",ROW()&lt;$A$5),"",IF(INDEX($A:$AP,ROW(),$B$6)="","",INDEX($A:$AP,ROW(),$B$6)))</f>
        <v/>
      </c>
      <c r="AS640" s="22">
        <f>IF($AR640="","",IF(ISNUMBER($AR640),IF($AR640&gt;=10000000,IFERROR(DATE(INT($AR640/10000),MOD(INT($AR640/100),100),MOD($AR640,100)),""),INT($AR640)),IFERROR(DATE(--LEFT(LEFT(SUBSTITUTE(SUBSTITUTE(SUBSTITUTE(SUBSTITUTE(TRIM($AR640),"-",""),".",""),"/","")," ",""),8),4),--MID(LEFT(SUBSTITUTE(SUBSTITUTE(SUBSTITUTE(SUBSTITUTE(TRIM($AR640),"-",""),".",""),"/","")," ",""),8),5,2),--MID(LEFT(SUBSTITUTE(SUBSTITUTE(SUBSTITUTE(SUBSTITUTE(TRIM($AR640),"-",""),".",""),"/","")," ",""),8),7,2)),"")))</f>
        <v/>
      </c>
      <c r="AT640" s="23">
        <f>IF($AS640="","",IF($F$6="",0,IF(ISNUMBER(INDEX($A:$AP,ROW(),$F$6)),INDEX($A:$AP,ROW(),$F$6),IFERROR(--SUBSTITUTE(SUBSTITUTE(TRIM(INDEX($A:$AP,ROW(),$F$6)),",",""),"원",""),0))))</f>
        <v/>
      </c>
      <c r="AU640" s="23">
        <f>IF($AS640="","",IF($G$6="",0,IF(ISNUMBER(INDEX($A:$AP,ROW(),$G$6)),INDEX($A:$AP,ROW(),$G$6),IFERROR(--SUBSTITUTE(SUBSTITUTE(TRIM(INDEX($A:$AP,ROW(),$G$6)),",",""),"원",""),0))))</f>
        <v/>
      </c>
      <c r="AV640" s="23">
        <f>IF($AS640="","",IF($H$6="",$AT640+$AU640,IF($H$6="",0,IF(ISNUMBER(INDEX($A:$AP,ROW(),$H$6)),INDEX($A:$AP,ROW(),$H$6),IFERROR(--SUBSTITUTE(SUBSTITUTE(TRIM(INDEX($A:$AP,ROW(),$H$6)),",",""),"원",""),0)))))</f>
        <v/>
      </c>
      <c r="AW640" s="2">
        <f>IF(OR($AS640="",$C$6=""),"",TRIM(INDEX($A:$AP,ROW(),$C$6)&amp;""))</f>
        <v/>
      </c>
      <c r="AX640" s="2">
        <f>IF($AS640="","",IF($AZ640&lt;&gt;"",SUBSTITUTE(SUBSTITUTE($AZ640,"-","")," ",""),$AY640))</f>
        <v/>
      </c>
      <c r="AY640" s="2">
        <f>IF(OR($AS640="",$E$6=""),"",TRIM(INDEX($A:$AP,ROW(),$E$6)&amp;""))</f>
        <v/>
      </c>
      <c r="AZ640" s="2">
        <f>IF(OR($AS640="",$D$6=""),"",TRIM(INDEX($A:$AP,ROW(),$D$6)&amp;""))</f>
        <v/>
      </c>
      <c r="BA640" s="2">
        <f>IF($AS640="","",IF(AND($AS640&gt;=설정!$B$10,$AS640&lt;=설정!$B$11),"포함","기간 밖"))</f>
        <v/>
      </c>
      <c r="BB640" s="2">
        <f>IF($AS640="","",IF(OR($AT640&lt;0,AND($I$6&lt;&gt;"",ISNUMBER(FIND("수정",INDEX($A:$AP,ROW(),IF($I$6="",1,$I$6))&amp;"")))),"수정","일반"))</f>
        <v/>
      </c>
      <c r="BC640" s="2">
        <f>IF($AS640="","",MID(IF($BA640="기간 밖"," / 기간 밖(신고기간 아님)","")&amp;IF(AND($AW640&lt;&gt;"",COUNTIF($AW$8:$AW$1007,$AW640)&gt;1)," / 승인번호 중복(두 번 붙여넣기?)","")&amp;IF(ABS($AU640-ROUND($AT640*0.1,0))&gt;설정!$B$8,IF($AU640=0," / 세액 0원(영세율·면세 여부 확인)"," / 세액이 공급가액 10%와 다름"),"")&amp;IF($BB640="수정"," / 수정세금계산서(합계에서 자동 가감)",""),4,200))</f>
        <v/>
      </c>
      <c r="BD640" s="2">
        <f>IF($BA640&lt;&gt;"포함","",IF(COUNTIFS($AX$8:$AX640,$AX640,$BA$8:$BA640,"포함")=1,MAX($BD$7:BD639)+1,""))</f>
        <v/>
      </c>
      <c r="BE640" s="2">
        <f>IF($BC640="","",MAX($BE$7:BE639)+1)</f>
        <v/>
      </c>
    </row>
    <row r="641">
      <c r="AR641" s="2">
        <f>IF(OR($A$5="",$B$6="",ROW()&lt;$A$5),"",IF(INDEX($A:$AP,ROW(),$B$6)="","",INDEX($A:$AP,ROW(),$B$6)))</f>
        <v/>
      </c>
      <c r="AS641" s="22">
        <f>IF($AR641="","",IF(ISNUMBER($AR641),IF($AR641&gt;=10000000,IFERROR(DATE(INT($AR641/10000),MOD(INT($AR641/100),100),MOD($AR641,100)),""),INT($AR641)),IFERROR(DATE(--LEFT(LEFT(SUBSTITUTE(SUBSTITUTE(SUBSTITUTE(SUBSTITUTE(TRIM($AR641),"-",""),".",""),"/","")," ",""),8),4),--MID(LEFT(SUBSTITUTE(SUBSTITUTE(SUBSTITUTE(SUBSTITUTE(TRIM($AR641),"-",""),".",""),"/","")," ",""),8),5,2),--MID(LEFT(SUBSTITUTE(SUBSTITUTE(SUBSTITUTE(SUBSTITUTE(TRIM($AR641),"-",""),".",""),"/","")," ",""),8),7,2)),"")))</f>
        <v/>
      </c>
      <c r="AT641" s="23">
        <f>IF($AS641="","",IF($F$6="",0,IF(ISNUMBER(INDEX($A:$AP,ROW(),$F$6)),INDEX($A:$AP,ROW(),$F$6),IFERROR(--SUBSTITUTE(SUBSTITUTE(TRIM(INDEX($A:$AP,ROW(),$F$6)),",",""),"원",""),0))))</f>
        <v/>
      </c>
      <c r="AU641" s="23">
        <f>IF($AS641="","",IF($G$6="",0,IF(ISNUMBER(INDEX($A:$AP,ROW(),$G$6)),INDEX($A:$AP,ROW(),$G$6),IFERROR(--SUBSTITUTE(SUBSTITUTE(TRIM(INDEX($A:$AP,ROW(),$G$6)),",",""),"원",""),0))))</f>
        <v/>
      </c>
      <c r="AV641" s="23">
        <f>IF($AS641="","",IF($H$6="",$AT641+$AU641,IF($H$6="",0,IF(ISNUMBER(INDEX($A:$AP,ROW(),$H$6)),INDEX($A:$AP,ROW(),$H$6),IFERROR(--SUBSTITUTE(SUBSTITUTE(TRIM(INDEX($A:$AP,ROW(),$H$6)),",",""),"원",""),0)))))</f>
        <v/>
      </c>
      <c r="AW641" s="2">
        <f>IF(OR($AS641="",$C$6=""),"",TRIM(INDEX($A:$AP,ROW(),$C$6)&amp;""))</f>
        <v/>
      </c>
      <c r="AX641" s="2">
        <f>IF($AS641="","",IF($AZ641&lt;&gt;"",SUBSTITUTE(SUBSTITUTE($AZ641,"-","")," ",""),$AY641))</f>
        <v/>
      </c>
      <c r="AY641" s="2">
        <f>IF(OR($AS641="",$E$6=""),"",TRIM(INDEX($A:$AP,ROW(),$E$6)&amp;""))</f>
        <v/>
      </c>
      <c r="AZ641" s="2">
        <f>IF(OR($AS641="",$D$6=""),"",TRIM(INDEX($A:$AP,ROW(),$D$6)&amp;""))</f>
        <v/>
      </c>
      <c r="BA641" s="2">
        <f>IF($AS641="","",IF(AND($AS641&gt;=설정!$B$10,$AS641&lt;=설정!$B$11),"포함","기간 밖"))</f>
        <v/>
      </c>
      <c r="BB641" s="2">
        <f>IF($AS641="","",IF(OR($AT641&lt;0,AND($I$6&lt;&gt;"",ISNUMBER(FIND("수정",INDEX($A:$AP,ROW(),IF($I$6="",1,$I$6))&amp;"")))),"수정","일반"))</f>
        <v/>
      </c>
      <c r="BC641" s="2">
        <f>IF($AS641="","",MID(IF($BA641="기간 밖"," / 기간 밖(신고기간 아님)","")&amp;IF(AND($AW641&lt;&gt;"",COUNTIF($AW$8:$AW$1007,$AW641)&gt;1)," / 승인번호 중복(두 번 붙여넣기?)","")&amp;IF(ABS($AU641-ROUND($AT641*0.1,0))&gt;설정!$B$8,IF($AU641=0," / 세액 0원(영세율·면세 여부 확인)"," / 세액이 공급가액 10%와 다름"),"")&amp;IF($BB641="수정"," / 수정세금계산서(합계에서 자동 가감)",""),4,200))</f>
        <v/>
      </c>
      <c r="BD641" s="2">
        <f>IF($BA641&lt;&gt;"포함","",IF(COUNTIFS($AX$8:$AX641,$AX641,$BA$8:$BA641,"포함")=1,MAX($BD$7:BD640)+1,""))</f>
        <v/>
      </c>
      <c r="BE641" s="2">
        <f>IF($BC641="","",MAX($BE$7:BE640)+1)</f>
        <v/>
      </c>
    </row>
    <row r="642">
      <c r="AR642" s="2">
        <f>IF(OR($A$5="",$B$6="",ROW()&lt;$A$5),"",IF(INDEX($A:$AP,ROW(),$B$6)="","",INDEX($A:$AP,ROW(),$B$6)))</f>
        <v/>
      </c>
      <c r="AS642" s="22">
        <f>IF($AR642="","",IF(ISNUMBER($AR642),IF($AR642&gt;=10000000,IFERROR(DATE(INT($AR642/10000),MOD(INT($AR642/100),100),MOD($AR642,100)),""),INT($AR642)),IFERROR(DATE(--LEFT(LEFT(SUBSTITUTE(SUBSTITUTE(SUBSTITUTE(SUBSTITUTE(TRIM($AR642),"-",""),".",""),"/","")," ",""),8),4),--MID(LEFT(SUBSTITUTE(SUBSTITUTE(SUBSTITUTE(SUBSTITUTE(TRIM($AR642),"-",""),".",""),"/","")," ",""),8),5,2),--MID(LEFT(SUBSTITUTE(SUBSTITUTE(SUBSTITUTE(SUBSTITUTE(TRIM($AR642),"-",""),".",""),"/","")," ",""),8),7,2)),"")))</f>
        <v/>
      </c>
      <c r="AT642" s="23">
        <f>IF($AS642="","",IF($F$6="",0,IF(ISNUMBER(INDEX($A:$AP,ROW(),$F$6)),INDEX($A:$AP,ROW(),$F$6),IFERROR(--SUBSTITUTE(SUBSTITUTE(TRIM(INDEX($A:$AP,ROW(),$F$6)),",",""),"원",""),0))))</f>
        <v/>
      </c>
      <c r="AU642" s="23">
        <f>IF($AS642="","",IF($G$6="",0,IF(ISNUMBER(INDEX($A:$AP,ROW(),$G$6)),INDEX($A:$AP,ROW(),$G$6),IFERROR(--SUBSTITUTE(SUBSTITUTE(TRIM(INDEX($A:$AP,ROW(),$G$6)),",",""),"원",""),0))))</f>
        <v/>
      </c>
      <c r="AV642" s="23">
        <f>IF($AS642="","",IF($H$6="",$AT642+$AU642,IF($H$6="",0,IF(ISNUMBER(INDEX($A:$AP,ROW(),$H$6)),INDEX($A:$AP,ROW(),$H$6),IFERROR(--SUBSTITUTE(SUBSTITUTE(TRIM(INDEX($A:$AP,ROW(),$H$6)),",",""),"원",""),0)))))</f>
        <v/>
      </c>
      <c r="AW642" s="2">
        <f>IF(OR($AS642="",$C$6=""),"",TRIM(INDEX($A:$AP,ROW(),$C$6)&amp;""))</f>
        <v/>
      </c>
      <c r="AX642" s="2">
        <f>IF($AS642="","",IF($AZ642&lt;&gt;"",SUBSTITUTE(SUBSTITUTE($AZ642,"-","")," ",""),$AY642))</f>
        <v/>
      </c>
      <c r="AY642" s="2">
        <f>IF(OR($AS642="",$E$6=""),"",TRIM(INDEX($A:$AP,ROW(),$E$6)&amp;""))</f>
        <v/>
      </c>
      <c r="AZ642" s="2">
        <f>IF(OR($AS642="",$D$6=""),"",TRIM(INDEX($A:$AP,ROW(),$D$6)&amp;""))</f>
        <v/>
      </c>
      <c r="BA642" s="2">
        <f>IF($AS642="","",IF(AND($AS642&gt;=설정!$B$10,$AS642&lt;=설정!$B$11),"포함","기간 밖"))</f>
        <v/>
      </c>
      <c r="BB642" s="2">
        <f>IF($AS642="","",IF(OR($AT642&lt;0,AND($I$6&lt;&gt;"",ISNUMBER(FIND("수정",INDEX($A:$AP,ROW(),IF($I$6="",1,$I$6))&amp;"")))),"수정","일반"))</f>
        <v/>
      </c>
      <c r="BC642" s="2">
        <f>IF($AS642="","",MID(IF($BA642="기간 밖"," / 기간 밖(신고기간 아님)","")&amp;IF(AND($AW642&lt;&gt;"",COUNTIF($AW$8:$AW$1007,$AW642)&gt;1)," / 승인번호 중복(두 번 붙여넣기?)","")&amp;IF(ABS($AU642-ROUND($AT642*0.1,0))&gt;설정!$B$8,IF($AU642=0," / 세액 0원(영세율·면세 여부 확인)"," / 세액이 공급가액 10%와 다름"),"")&amp;IF($BB642="수정"," / 수정세금계산서(합계에서 자동 가감)",""),4,200))</f>
        <v/>
      </c>
      <c r="BD642" s="2">
        <f>IF($BA642&lt;&gt;"포함","",IF(COUNTIFS($AX$8:$AX642,$AX642,$BA$8:$BA642,"포함")=1,MAX($BD$7:BD641)+1,""))</f>
        <v/>
      </c>
      <c r="BE642" s="2">
        <f>IF($BC642="","",MAX($BE$7:BE641)+1)</f>
        <v/>
      </c>
    </row>
    <row r="643">
      <c r="AR643" s="2">
        <f>IF(OR($A$5="",$B$6="",ROW()&lt;$A$5),"",IF(INDEX($A:$AP,ROW(),$B$6)="","",INDEX($A:$AP,ROW(),$B$6)))</f>
        <v/>
      </c>
      <c r="AS643" s="22">
        <f>IF($AR643="","",IF(ISNUMBER($AR643),IF($AR643&gt;=10000000,IFERROR(DATE(INT($AR643/10000),MOD(INT($AR643/100),100),MOD($AR643,100)),""),INT($AR643)),IFERROR(DATE(--LEFT(LEFT(SUBSTITUTE(SUBSTITUTE(SUBSTITUTE(SUBSTITUTE(TRIM($AR643),"-",""),".",""),"/","")," ",""),8),4),--MID(LEFT(SUBSTITUTE(SUBSTITUTE(SUBSTITUTE(SUBSTITUTE(TRIM($AR643),"-",""),".",""),"/","")," ",""),8),5,2),--MID(LEFT(SUBSTITUTE(SUBSTITUTE(SUBSTITUTE(SUBSTITUTE(TRIM($AR643),"-",""),".",""),"/","")," ",""),8),7,2)),"")))</f>
        <v/>
      </c>
      <c r="AT643" s="23">
        <f>IF($AS643="","",IF($F$6="",0,IF(ISNUMBER(INDEX($A:$AP,ROW(),$F$6)),INDEX($A:$AP,ROW(),$F$6),IFERROR(--SUBSTITUTE(SUBSTITUTE(TRIM(INDEX($A:$AP,ROW(),$F$6)),",",""),"원",""),0))))</f>
        <v/>
      </c>
      <c r="AU643" s="23">
        <f>IF($AS643="","",IF($G$6="",0,IF(ISNUMBER(INDEX($A:$AP,ROW(),$G$6)),INDEX($A:$AP,ROW(),$G$6),IFERROR(--SUBSTITUTE(SUBSTITUTE(TRIM(INDEX($A:$AP,ROW(),$G$6)),",",""),"원",""),0))))</f>
        <v/>
      </c>
      <c r="AV643" s="23">
        <f>IF($AS643="","",IF($H$6="",$AT643+$AU643,IF($H$6="",0,IF(ISNUMBER(INDEX($A:$AP,ROW(),$H$6)),INDEX($A:$AP,ROW(),$H$6),IFERROR(--SUBSTITUTE(SUBSTITUTE(TRIM(INDEX($A:$AP,ROW(),$H$6)),",",""),"원",""),0)))))</f>
        <v/>
      </c>
      <c r="AW643" s="2">
        <f>IF(OR($AS643="",$C$6=""),"",TRIM(INDEX($A:$AP,ROW(),$C$6)&amp;""))</f>
        <v/>
      </c>
      <c r="AX643" s="2">
        <f>IF($AS643="","",IF($AZ643&lt;&gt;"",SUBSTITUTE(SUBSTITUTE($AZ643,"-","")," ",""),$AY643))</f>
        <v/>
      </c>
      <c r="AY643" s="2">
        <f>IF(OR($AS643="",$E$6=""),"",TRIM(INDEX($A:$AP,ROW(),$E$6)&amp;""))</f>
        <v/>
      </c>
      <c r="AZ643" s="2">
        <f>IF(OR($AS643="",$D$6=""),"",TRIM(INDEX($A:$AP,ROW(),$D$6)&amp;""))</f>
        <v/>
      </c>
      <c r="BA643" s="2">
        <f>IF($AS643="","",IF(AND($AS643&gt;=설정!$B$10,$AS643&lt;=설정!$B$11),"포함","기간 밖"))</f>
        <v/>
      </c>
      <c r="BB643" s="2">
        <f>IF($AS643="","",IF(OR($AT643&lt;0,AND($I$6&lt;&gt;"",ISNUMBER(FIND("수정",INDEX($A:$AP,ROW(),IF($I$6="",1,$I$6))&amp;"")))),"수정","일반"))</f>
        <v/>
      </c>
      <c r="BC643" s="2">
        <f>IF($AS643="","",MID(IF($BA643="기간 밖"," / 기간 밖(신고기간 아님)","")&amp;IF(AND($AW643&lt;&gt;"",COUNTIF($AW$8:$AW$1007,$AW643)&gt;1)," / 승인번호 중복(두 번 붙여넣기?)","")&amp;IF(ABS($AU643-ROUND($AT643*0.1,0))&gt;설정!$B$8,IF($AU643=0," / 세액 0원(영세율·면세 여부 확인)"," / 세액이 공급가액 10%와 다름"),"")&amp;IF($BB643="수정"," / 수정세금계산서(합계에서 자동 가감)",""),4,200))</f>
        <v/>
      </c>
      <c r="BD643" s="2">
        <f>IF($BA643&lt;&gt;"포함","",IF(COUNTIFS($AX$8:$AX643,$AX643,$BA$8:$BA643,"포함")=1,MAX($BD$7:BD642)+1,""))</f>
        <v/>
      </c>
      <c r="BE643" s="2">
        <f>IF($BC643="","",MAX($BE$7:BE642)+1)</f>
        <v/>
      </c>
    </row>
    <row r="644">
      <c r="AR644" s="2">
        <f>IF(OR($A$5="",$B$6="",ROW()&lt;$A$5),"",IF(INDEX($A:$AP,ROW(),$B$6)="","",INDEX($A:$AP,ROW(),$B$6)))</f>
        <v/>
      </c>
      <c r="AS644" s="22">
        <f>IF($AR644="","",IF(ISNUMBER($AR644),IF($AR644&gt;=10000000,IFERROR(DATE(INT($AR644/10000),MOD(INT($AR644/100),100),MOD($AR644,100)),""),INT($AR644)),IFERROR(DATE(--LEFT(LEFT(SUBSTITUTE(SUBSTITUTE(SUBSTITUTE(SUBSTITUTE(TRIM($AR644),"-",""),".",""),"/","")," ",""),8),4),--MID(LEFT(SUBSTITUTE(SUBSTITUTE(SUBSTITUTE(SUBSTITUTE(TRIM($AR644),"-",""),".",""),"/","")," ",""),8),5,2),--MID(LEFT(SUBSTITUTE(SUBSTITUTE(SUBSTITUTE(SUBSTITUTE(TRIM($AR644),"-",""),".",""),"/","")," ",""),8),7,2)),"")))</f>
        <v/>
      </c>
      <c r="AT644" s="23">
        <f>IF($AS644="","",IF($F$6="",0,IF(ISNUMBER(INDEX($A:$AP,ROW(),$F$6)),INDEX($A:$AP,ROW(),$F$6),IFERROR(--SUBSTITUTE(SUBSTITUTE(TRIM(INDEX($A:$AP,ROW(),$F$6)),",",""),"원",""),0))))</f>
        <v/>
      </c>
      <c r="AU644" s="23">
        <f>IF($AS644="","",IF($G$6="",0,IF(ISNUMBER(INDEX($A:$AP,ROW(),$G$6)),INDEX($A:$AP,ROW(),$G$6),IFERROR(--SUBSTITUTE(SUBSTITUTE(TRIM(INDEX($A:$AP,ROW(),$G$6)),",",""),"원",""),0))))</f>
        <v/>
      </c>
      <c r="AV644" s="23">
        <f>IF($AS644="","",IF($H$6="",$AT644+$AU644,IF($H$6="",0,IF(ISNUMBER(INDEX($A:$AP,ROW(),$H$6)),INDEX($A:$AP,ROW(),$H$6),IFERROR(--SUBSTITUTE(SUBSTITUTE(TRIM(INDEX($A:$AP,ROW(),$H$6)),",",""),"원",""),0)))))</f>
        <v/>
      </c>
      <c r="AW644" s="2">
        <f>IF(OR($AS644="",$C$6=""),"",TRIM(INDEX($A:$AP,ROW(),$C$6)&amp;""))</f>
        <v/>
      </c>
      <c r="AX644" s="2">
        <f>IF($AS644="","",IF($AZ644&lt;&gt;"",SUBSTITUTE(SUBSTITUTE($AZ644,"-","")," ",""),$AY644))</f>
        <v/>
      </c>
      <c r="AY644" s="2">
        <f>IF(OR($AS644="",$E$6=""),"",TRIM(INDEX($A:$AP,ROW(),$E$6)&amp;""))</f>
        <v/>
      </c>
      <c r="AZ644" s="2">
        <f>IF(OR($AS644="",$D$6=""),"",TRIM(INDEX($A:$AP,ROW(),$D$6)&amp;""))</f>
        <v/>
      </c>
      <c r="BA644" s="2">
        <f>IF($AS644="","",IF(AND($AS644&gt;=설정!$B$10,$AS644&lt;=설정!$B$11),"포함","기간 밖"))</f>
        <v/>
      </c>
      <c r="BB644" s="2">
        <f>IF($AS644="","",IF(OR($AT644&lt;0,AND($I$6&lt;&gt;"",ISNUMBER(FIND("수정",INDEX($A:$AP,ROW(),IF($I$6="",1,$I$6))&amp;"")))),"수정","일반"))</f>
        <v/>
      </c>
      <c r="BC644" s="2">
        <f>IF($AS644="","",MID(IF($BA644="기간 밖"," / 기간 밖(신고기간 아님)","")&amp;IF(AND($AW644&lt;&gt;"",COUNTIF($AW$8:$AW$1007,$AW644)&gt;1)," / 승인번호 중복(두 번 붙여넣기?)","")&amp;IF(ABS($AU644-ROUND($AT644*0.1,0))&gt;설정!$B$8,IF($AU644=0," / 세액 0원(영세율·면세 여부 확인)"," / 세액이 공급가액 10%와 다름"),"")&amp;IF($BB644="수정"," / 수정세금계산서(합계에서 자동 가감)",""),4,200))</f>
        <v/>
      </c>
      <c r="BD644" s="2">
        <f>IF($BA644&lt;&gt;"포함","",IF(COUNTIFS($AX$8:$AX644,$AX644,$BA$8:$BA644,"포함")=1,MAX($BD$7:BD643)+1,""))</f>
        <v/>
      </c>
      <c r="BE644" s="2">
        <f>IF($BC644="","",MAX($BE$7:BE643)+1)</f>
        <v/>
      </c>
    </row>
    <row r="645">
      <c r="AR645" s="2">
        <f>IF(OR($A$5="",$B$6="",ROW()&lt;$A$5),"",IF(INDEX($A:$AP,ROW(),$B$6)="","",INDEX($A:$AP,ROW(),$B$6)))</f>
        <v/>
      </c>
      <c r="AS645" s="22">
        <f>IF($AR645="","",IF(ISNUMBER($AR645),IF($AR645&gt;=10000000,IFERROR(DATE(INT($AR645/10000),MOD(INT($AR645/100),100),MOD($AR645,100)),""),INT($AR645)),IFERROR(DATE(--LEFT(LEFT(SUBSTITUTE(SUBSTITUTE(SUBSTITUTE(SUBSTITUTE(TRIM($AR645),"-",""),".",""),"/","")," ",""),8),4),--MID(LEFT(SUBSTITUTE(SUBSTITUTE(SUBSTITUTE(SUBSTITUTE(TRIM($AR645),"-",""),".",""),"/","")," ",""),8),5,2),--MID(LEFT(SUBSTITUTE(SUBSTITUTE(SUBSTITUTE(SUBSTITUTE(TRIM($AR645),"-",""),".",""),"/","")," ",""),8),7,2)),"")))</f>
        <v/>
      </c>
      <c r="AT645" s="23">
        <f>IF($AS645="","",IF($F$6="",0,IF(ISNUMBER(INDEX($A:$AP,ROW(),$F$6)),INDEX($A:$AP,ROW(),$F$6),IFERROR(--SUBSTITUTE(SUBSTITUTE(TRIM(INDEX($A:$AP,ROW(),$F$6)),",",""),"원",""),0))))</f>
        <v/>
      </c>
      <c r="AU645" s="23">
        <f>IF($AS645="","",IF($G$6="",0,IF(ISNUMBER(INDEX($A:$AP,ROW(),$G$6)),INDEX($A:$AP,ROW(),$G$6),IFERROR(--SUBSTITUTE(SUBSTITUTE(TRIM(INDEX($A:$AP,ROW(),$G$6)),",",""),"원",""),0))))</f>
        <v/>
      </c>
      <c r="AV645" s="23">
        <f>IF($AS645="","",IF($H$6="",$AT645+$AU645,IF($H$6="",0,IF(ISNUMBER(INDEX($A:$AP,ROW(),$H$6)),INDEX($A:$AP,ROW(),$H$6),IFERROR(--SUBSTITUTE(SUBSTITUTE(TRIM(INDEX($A:$AP,ROW(),$H$6)),",",""),"원",""),0)))))</f>
        <v/>
      </c>
      <c r="AW645" s="2">
        <f>IF(OR($AS645="",$C$6=""),"",TRIM(INDEX($A:$AP,ROW(),$C$6)&amp;""))</f>
        <v/>
      </c>
      <c r="AX645" s="2">
        <f>IF($AS645="","",IF($AZ645&lt;&gt;"",SUBSTITUTE(SUBSTITUTE($AZ645,"-","")," ",""),$AY645))</f>
        <v/>
      </c>
      <c r="AY645" s="2">
        <f>IF(OR($AS645="",$E$6=""),"",TRIM(INDEX($A:$AP,ROW(),$E$6)&amp;""))</f>
        <v/>
      </c>
      <c r="AZ645" s="2">
        <f>IF(OR($AS645="",$D$6=""),"",TRIM(INDEX($A:$AP,ROW(),$D$6)&amp;""))</f>
        <v/>
      </c>
      <c r="BA645" s="2">
        <f>IF($AS645="","",IF(AND($AS645&gt;=설정!$B$10,$AS645&lt;=설정!$B$11),"포함","기간 밖"))</f>
        <v/>
      </c>
      <c r="BB645" s="2">
        <f>IF($AS645="","",IF(OR($AT645&lt;0,AND($I$6&lt;&gt;"",ISNUMBER(FIND("수정",INDEX($A:$AP,ROW(),IF($I$6="",1,$I$6))&amp;"")))),"수정","일반"))</f>
        <v/>
      </c>
      <c r="BC645" s="2">
        <f>IF($AS645="","",MID(IF($BA645="기간 밖"," / 기간 밖(신고기간 아님)","")&amp;IF(AND($AW645&lt;&gt;"",COUNTIF($AW$8:$AW$1007,$AW645)&gt;1)," / 승인번호 중복(두 번 붙여넣기?)","")&amp;IF(ABS($AU645-ROUND($AT645*0.1,0))&gt;설정!$B$8,IF($AU645=0," / 세액 0원(영세율·면세 여부 확인)"," / 세액이 공급가액 10%와 다름"),"")&amp;IF($BB645="수정"," / 수정세금계산서(합계에서 자동 가감)",""),4,200))</f>
        <v/>
      </c>
      <c r="BD645" s="2">
        <f>IF($BA645&lt;&gt;"포함","",IF(COUNTIFS($AX$8:$AX645,$AX645,$BA$8:$BA645,"포함")=1,MAX($BD$7:BD644)+1,""))</f>
        <v/>
      </c>
      <c r="BE645" s="2">
        <f>IF($BC645="","",MAX($BE$7:BE644)+1)</f>
        <v/>
      </c>
    </row>
    <row r="646">
      <c r="AR646" s="2">
        <f>IF(OR($A$5="",$B$6="",ROW()&lt;$A$5),"",IF(INDEX($A:$AP,ROW(),$B$6)="","",INDEX($A:$AP,ROW(),$B$6)))</f>
        <v/>
      </c>
      <c r="AS646" s="22">
        <f>IF($AR646="","",IF(ISNUMBER($AR646),IF($AR646&gt;=10000000,IFERROR(DATE(INT($AR646/10000),MOD(INT($AR646/100),100),MOD($AR646,100)),""),INT($AR646)),IFERROR(DATE(--LEFT(LEFT(SUBSTITUTE(SUBSTITUTE(SUBSTITUTE(SUBSTITUTE(TRIM($AR646),"-",""),".",""),"/","")," ",""),8),4),--MID(LEFT(SUBSTITUTE(SUBSTITUTE(SUBSTITUTE(SUBSTITUTE(TRIM($AR646),"-",""),".",""),"/","")," ",""),8),5,2),--MID(LEFT(SUBSTITUTE(SUBSTITUTE(SUBSTITUTE(SUBSTITUTE(TRIM($AR646),"-",""),".",""),"/","")," ",""),8),7,2)),"")))</f>
        <v/>
      </c>
      <c r="AT646" s="23">
        <f>IF($AS646="","",IF($F$6="",0,IF(ISNUMBER(INDEX($A:$AP,ROW(),$F$6)),INDEX($A:$AP,ROW(),$F$6),IFERROR(--SUBSTITUTE(SUBSTITUTE(TRIM(INDEX($A:$AP,ROW(),$F$6)),",",""),"원",""),0))))</f>
        <v/>
      </c>
      <c r="AU646" s="23">
        <f>IF($AS646="","",IF($G$6="",0,IF(ISNUMBER(INDEX($A:$AP,ROW(),$G$6)),INDEX($A:$AP,ROW(),$G$6),IFERROR(--SUBSTITUTE(SUBSTITUTE(TRIM(INDEX($A:$AP,ROW(),$G$6)),",",""),"원",""),0))))</f>
        <v/>
      </c>
      <c r="AV646" s="23">
        <f>IF($AS646="","",IF($H$6="",$AT646+$AU646,IF($H$6="",0,IF(ISNUMBER(INDEX($A:$AP,ROW(),$H$6)),INDEX($A:$AP,ROW(),$H$6),IFERROR(--SUBSTITUTE(SUBSTITUTE(TRIM(INDEX($A:$AP,ROW(),$H$6)),",",""),"원",""),0)))))</f>
        <v/>
      </c>
      <c r="AW646" s="2">
        <f>IF(OR($AS646="",$C$6=""),"",TRIM(INDEX($A:$AP,ROW(),$C$6)&amp;""))</f>
        <v/>
      </c>
      <c r="AX646" s="2">
        <f>IF($AS646="","",IF($AZ646&lt;&gt;"",SUBSTITUTE(SUBSTITUTE($AZ646,"-","")," ",""),$AY646))</f>
        <v/>
      </c>
      <c r="AY646" s="2">
        <f>IF(OR($AS646="",$E$6=""),"",TRIM(INDEX($A:$AP,ROW(),$E$6)&amp;""))</f>
        <v/>
      </c>
      <c r="AZ646" s="2">
        <f>IF(OR($AS646="",$D$6=""),"",TRIM(INDEX($A:$AP,ROW(),$D$6)&amp;""))</f>
        <v/>
      </c>
      <c r="BA646" s="2">
        <f>IF($AS646="","",IF(AND($AS646&gt;=설정!$B$10,$AS646&lt;=설정!$B$11),"포함","기간 밖"))</f>
        <v/>
      </c>
      <c r="BB646" s="2">
        <f>IF($AS646="","",IF(OR($AT646&lt;0,AND($I$6&lt;&gt;"",ISNUMBER(FIND("수정",INDEX($A:$AP,ROW(),IF($I$6="",1,$I$6))&amp;"")))),"수정","일반"))</f>
        <v/>
      </c>
      <c r="BC646" s="2">
        <f>IF($AS646="","",MID(IF($BA646="기간 밖"," / 기간 밖(신고기간 아님)","")&amp;IF(AND($AW646&lt;&gt;"",COUNTIF($AW$8:$AW$1007,$AW646)&gt;1)," / 승인번호 중복(두 번 붙여넣기?)","")&amp;IF(ABS($AU646-ROUND($AT646*0.1,0))&gt;설정!$B$8,IF($AU646=0," / 세액 0원(영세율·면세 여부 확인)"," / 세액이 공급가액 10%와 다름"),"")&amp;IF($BB646="수정"," / 수정세금계산서(합계에서 자동 가감)",""),4,200))</f>
        <v/>
      </c>
      <c r="BD646" s="2">
        <f>IF($BA646&lt;&gt;"포함","",IF(COUNTIFS($AX$8:$AX646,$AX646,$BA$8:$BA646,"포함")=1,MAX($BD$7:BD645)+1,""))</f>
        <v/>
      </c>
      <c r="BE646" s="2">
        <f>IF($BC646="","",MAX($BE$7:BE645)+1)</f>
        <v/>
      </c>
    </row>
    <row r="647">
      <c r="AR647" s="2">
        <f>IF(OR($A$5="",$B$6="",ROW()&lt;$A$5),"",IF(INDEX($A:$AP,ROW(),$B$6)="","",INDEX($A:$AP,ROW(),$B$6)))</f>
        <v/>
      </c>
      <c r="AS647" s="22">
        <f>IF($AR647="","",IF(ISNUMBER($AR647),IF($AR647&gt;=10000000,IFERROR(DATE(INT($AR647/10000),MOD(INT($AR647/100),100),MOD($AR647,100)),""),INT($AR647)),IFERROR(DATE(--LEFT(LEFT(SUBSTITUTE(SUBSTITUTE(SUBSTITUTE(SUBSTITUTE(TRIM($AR647),"-",""),".",""),"/","")," ",""),8),4),--MID(LEFT(SUBSTITUTE(SUBSTITUTE(SUBSTITUTE(SUBSTITUTE(TRIM($AR647),"-",""),".",""),"/","")," ",""),8),5,2),--MID(LEFT(SUBSTITUTE(SUBSTITUTE(SUBSTITUTE(SUBSTITUTE(TRIM($AR647),"-",""),".",""),"/","")," ",""),8),7,2)),"")))</f>
        <v/>
      </c>
      <c r="AT647" s="23">
        <f>IF($AS647="","",IF($F$6="",0,IF(ISNUMBER(INDEX($A:$AP,ROW(),$F$6)),INDEX($A:$AP,ROW(),$F$6),IFERROR(--SUBSTITUTE(SUBSTITUTE(TRIM(INDEX($A:$AP,ROW(),$F$6)),",",""),"원",""),0))))</f>
        <v/>
      </c>
      <c r="AU647" s="23">
        <f>IF($AS647="","",IF($G$6="",0,IF(ISNUMBER(INDEX($A:$AP,ROW(),$G$6)),INDEX($A:$AP,ROW(),$G$6),IFERROR(--SUBSTITUTE(SUBSTITUTE(TRIM(INDEX($A:$AP,ROW(),$G$6)),",",""),"원",""),0))))</f>
        <v/>
      </c>
      <c r="AV647" s="23">
        <f>IF($AS647="","",IF($H$6="",$AT647+$AU647,IF($H$6="",0,IF(ISNUMBER(INDEX($A:$AP,ROW(),$H$6)),INDEX($A:$AP,ROW(),$H$6),IFERROR(--SUBSTITUTE(SUBSTITUTE(TRIM(INDEX($A:$AP,ROW(),$H$6)),",",""),"원",""),0)))))</f>
        <v/>
      </c>
      <c r="AW647" s="2">
        <f>IF(OR($AS647="",$C$6=""),"",TRIM(INDEX($A:$AP,ROW(),$C$6)&amp;""))</f>
        <v/>
      </c>
      <c r="AX647" s="2">
        <f>IF($AS647="","",IF($AZ647&lt;&gt;"",SUBSTITUTE(SUBSTITUTE($AZ647,"-","")," ",""),$AY647))</f>
        <v/>
      </c>
      <c r="AY647" s="2">
        <f>IF(OR($AS647="",$E$6=""),"",TRIM(INDEX($A:$AP,ROW(),$E$6)&amp;""))</f>
        <v/>
      </c>
      <c r="AZ647" s="2">
        <f>IF(OR($AS647="",$D$6=""),"",TRIM(INDEX($A:$AP,ROW(),$D$6)&amp;""))</f>
        <v/>
      </c>
      <c r="BA647" s="2">
        <f>IF($AS647="","",IF(AND($AS647&gt;=설정!$B$10,$AS647&lt;=설정!$B$11),"포함","기간 밖"))</f>
        <v/>
      </c>
      <c r="BB647" s="2">
        <f>IF($AS647="","",IF(OR($AT647&lt;0,AND($I$6&lt;&gt;"",ISNUMBER(FIND("수정",INDEX($A:$AP,ROW(),IF($I$6="",1,$I$6))&amp;"")))),"수정","일반"))</f>
        <v/>
      </c>
      <c r="BC647" s="2">
        <f>IF($AS647="","",MID(IF($BA647="기간 밖"," / 기간 밖(신고기간 아님)","")&amp;IF(AND($AW647&lt;&gt;"",COUNTIF($AW$8:$AW$1007,$AW647)&gt;1)," / 승인번호 중복(두 번 붙여넣기?)","")&amp;IF(ABS($AU647-ROUND($AT647*0.1,0))&gt;설정!$B$8,IF($AU647=0," / 세액 0원(영세율·면세 여부 확인)"," / 세액이 공급가액 10%와 다름"),"")&amp;IF($BB647="수정"," / 수정세금계산서(합계에서 자동 가감)",""),4,200))</f>
        <v/>
      </c>
      <c r="BD647" s="2">
        <f>IF($BA647&lt;&gt;"포함","",IF(COUNTIFS($AX$8:$AX647,$AX647,$BA$8:$BA647,"포함")=1,MAX($BD$7:BD646)+1,""))</f>
        <v/>
      </c>
      <c r="BE647" s="2">
        <f>IF($BC647="","",MAX($BE$7:BE646)+1)</f>
        <v/>
      </c>
    </row>
    <row r="648">
      <c r="AR648" s="2">
        <f>IF(OR($A$5="",$B$6="",ROW()&lt;$A$5),"",IF(INDEX($A:$AP,ROW(),$B$6)="","",INDEX($A:$AP,ROW(),$B$6)))</f>
        <v/>
      </c>
      <c r="AS648" s="22">
        <f>IF($AR648="","",IF(ISNUMBER($AR648),IF($AR648&gt;=10000000,IFERROR(DATE(INT($AR648/10000),MOD(INT($AR648/100),100),MOD($AR648,100)),""),INT($AR648)),IFERROR(DATE(--LEFT(LEFT(SUBSTITUTE(SUBSTITUTE(SUBSTITUTE(SUBSTITUTE(TRIM($AR648),"-",""),".",""),"/","")," ",""),8),4),--MID(LEFT(SUBSTITUTE(SUBSTITUTE(SUBSTITUTE(SUBSTITUTE(TRIM($AR648),"-",""),".",""),"/","")," ",""),8),5,2),--MID(LEFT(SUBSTITUTE(SUBSTITUTE(SUBSTITUTE(SUBSTITUTE(TRIM($AR648),"-",""),".",""),"/","")," ",""),8),7,2)),"")))</f>
        <v/>
      </c>
      <c r="AT648" s="23">
        <f>IF($AS648="","",IF($F$6="",0,IF(ISNUMBER(INDEX($A:$AP,ROW(),$F$6)),INDEX($A:$AP,ROW(),$F$6),IFERROR(--SUBSTITUTE(SUBSTITUTE(TRIM(INDEX($A:$AP,ROW(),$F$6)),",",""),"원",""),0))))</f>
        <v/>
      </c>
      <c r="AU648" s="23">
        <f>IF($AS648="","",IF($G$6="",0,IF(ISNUMBER(INDEX($A:$AP,ROW(),$G$6)),INDEX($A:$AP,ROW(),$G$6),IFERROR(--SUBSTITUTE(SUBSTITUTE(TRIM(INDEX($A:$AP,ROW(),$G$6)),",",""),"원",""),0))))</f>
        <v/>
      </c>
      <c r="AV648" s="23">
        <f>IF($AS648="","",IF($H$6="",$AT648+$AU648,IF($H$6="",0,IF(ISNUMBER(INDEX($A:$AP,ROW(),$H$6)),INDEX($A:$AP,ROW(),$H$6),IFERROR(--SUBSTITUTE(SUBSTITUTE(TRIM(INDEX($A:$AP,ROW(),$H$6)),",",""),"원",""),0)))))</f>
        <v/>
      </c>
      <c r="AW648" s="2">
        <f>IF(OR($AS648="",$C$6=""),"",TRIM(INDEX($A:$AP,ROW(),$C$6)&amp;""))</f>
        <v/>
      </c>
      <c r="AX648" s="2">
        <f>IF($AS648="","",IF($AZ648&lt;&gt;"",SUBSTITUTE(SUBSTITUTE($AZ648,"-","")," ",""),$AY648))</f>
        <v/>
      </c>
      <c r="AY648" s="2">
        <f>IF(OR($AS648="",$E$6=""),"",TRIM(INDEX($A:$AP,ROW(),$E$6)&amp;""))</f>
        <v/>
      </c>
      <c r="AZ648" s="2">
        <f>IF(OR($AS648="",$D$6=""),"",TRIM(INDEX($A:$AP,ROW(),$D$6)&amp;""))</f>
        <v/>
      </c>
      <c r="BA648" s="2">
        <f>IF($AS648="","",IF(AND($AS648&gt;=설정!$B$10,$AS648&lt;=설정!$B$11),"포함","기간 밖"))</f>
        <v/>
      </c>
      <c r="BB648" s="2">
        <f>IF($AS648="","",IF(OR($AT648&lt;0,AND($I$6&lt;&gt;"",ISNUMBER(FIND("수정",INDEX($A:$AP,ROW(),IF($I$6="",1,$I$6))&amp;"")))),"수정","일반"))</f>
        <v/>
      </c>
      <c r="BC648" s="2">
        <f>IF($AS648="","",MID(IF($BA648="기간 밖"," / 기간 밖(신고기간 아님)","")&amp;IF(AND($AW648&lt;&gt;"",COUNTIF($AW$8:$AW$1007,$AW648)&gt;1)," / 승인번호 중복(두 번 붙여넣기?)","")&amp;IF(ABS($AU648-ROUND($AT648*0.1,0))&gt;설정!$B$8,IF($AU648=0," / 세액 0원(영세율·면세 여부 확인)"," / 세액이 공급가액 10%와 다름"),"")&amp;IF($BB648="수정"," / 수정세금계산서(합계에서 자동 가감)",""),4,200))</f>
        <v/>
      </c>
      <c r="BD648" s="2">
        <f>IF($BA648&lt;&gt;"포함","",IF(COUNTIFS($AX$8:$AX648,$AX648,$BA$8:$BA648,"포함")=1,MAX($BD$7:BD647)+1,""))</f>
        <v/>
      </c>
      <c r="BE648" s="2">
        <f>IF($BC648="","",MAX($BE$7:BE647)+1)</f>
        <v/>
      </c>
    </row>
    <row r="649">
      <c r="AR649" s="2">
        <f>IF(OR($A$5="",$B$6="",ROW()&lt;$A$5),"",IF(INDEX($A:$AP,ROW(),$B$6)="","",INDEX($A:$AP,ROW(),$B$6)))</f>
        <v/>
      </c>
      <c r="AS649" s="22">
        <f>IF($AR649="","",IF(ISNUMBER($AR649),IF($AR649&gt;=10000000,IFERROR(DATE(INT($AR649/10000),MOD(INT($AR649/100),100),MOD($AR649,100)),""),INT($AR649)),IFERROR(DATE(--LEFT(LEFT(SUBSTITUTE(SUBSTITUTE(SUBSTITUTE(SUBSTITUTE(TRIM($AR649),"-",""),".",""),"/","")," ",""),8),4),--MID(LEFT(SUBSTITUTE(SUBSTITUTE(SUBSTITUTE(SUBSTITUTE(TRIM($AR649),"-",""),".",""),"/","")," ",""),8),5,2),--MID(LEFT(SUBSTITUTE(SUBSTITUTE(SUBSTITUTE(SUBSTITUTE(TRIM($AR649),"-",""),".",""),"/","")," ",""),8),7,2)),"")))</f>
        <v/>
      </c>
      <c r="AT649" s="23">
        <f>IF($AS649="","",IF($F$6="",0,IF(ISNUMBER(INDEX($A:$AP,ROW(),$F$6)),INDEX($A:$AP,ROW(),$F$6),IFERROR(--SUBSTITUTE(SUBSTITUTE(TRIM(INDEX($A:$AP,ROW(),$F$6)),",",""),"원",""),0))))</f>
        <v/>
      </c>
      <c r="AU649" s="23">
        <f>IF($AS649="","",IF($G$6="",0,IF(ISNUMBER(INDEX($A:$AP,ROW(),$G$6)),INDEX($A:$AP,ROW(),$G$6),IFERROR(--SUBSTITUTE(SUBSTITUTE(TRIM(INDEX($A:$AP,ROW(),$G$6)),",",""),"원",""),0))))</f>
        <v/>
      </c>
      <c r="AV649" s="23">
        <f>IF($AS649="","",IF($H$6="",$AT649+$AU649,IF($H$6="",0,IF(ISNUMBER(INDEX($A:$AP,ROW(),$H$6)),INDEX($A:$AP,ROW(),$H$6),IFERROR(--SUBSTITUTE(SUBSTITUTE(TRIM(INDEX($A:$AP,ROW(),$H$6)),",",""),"원",""),0)))))</f>
        <v/>
      </c>
      <c r="AW649" s="2">
        <f>IF(OR($AS649="",$C$6=""),"",TRIM(INDEX($A:$AP,ROW(),$C$6)&amp;""))</f>
        <v/>
      </c>
      <c r="AX649" s="2">
        <f>IF($AS649="","",IF($AZ649&lt;&gt;"",SUBSTITUTE(SUBSTITUTE($AZ649,"-","")," ",""),$AY649))</f>
        <v/>
      </c>
      <c r="AY649" s="2">
        <f>IF(OR($AS649="",$E$6=""),"",TRIM(INDEX($A:$AP,ROW(),$E$6)&amp;""))</f>
        <v/>
      </c>
      <c r="AZ649" s="2">
        <f>IF(OR($AS649="",$D$6=""),"",TRIM(INDEX($A:$AP,ROW(),$D$6)&amp;""))</f>
        <v/>
      </c>
      <c r="BA649" s="2">
        <f>IF($AS649="","",IF(AND($AS649&gt;=설정!$B$10,$AS649&lt;=설정!$B$11),"포함","기간 밖"))</f>
        <v/>
      </c>
      <c r="BB649" s="2">
        <f>IF($AS649="","",IF(OR($AT649&lt;0,AND($I$6&lt;&gt;"",ISNUMBER(FIND("수정",INDEX($A:$AP,ROW(),IF($I$6="",1,$I$6))&amp;"")))),"수정","일반"))</f>
        <v/>
      </c>
      <c r="BC649" s="2">
        <f>IF($AS649="","",MID(IF($BA649="기간 밖"," / 기간 밖(신고기간 아님)","")&amp;IF(AND($AW649&lt;&gt;"",COUNTIF($AW$8:$AW$1007,$AW649)&gt;1)," / 승인번호 중복(두 번 붙여넣기?)","")&amp;IF(ABS($AU649-ROUND($AT649*0.1,0))&gt;설정!$B$8,IF($AU649=0," / 세액 0원(영세율·면세 여부 확인)"," / 세액이 공급가액 10%와 다름"),"")&amp;IF($BB649="수정"," / 수정세금계산서(합계에서 자동 가감)",""),4,200))</f>
        <v/>
      </c>
      <c r="BD649" s="2">
        <f>IF($BA649&lt;&gt;"포함","",IF(COUNTIFS($AX$8:$AX649,$AX649,$BA$8:$BA649,"포함")=1,MAX($BD$7:BD648)+1,""))</f>
        <v/>
      </c>
      <c r="BE649" s="2">
        <f>IF($BC649="","",MAX($BE$7:BE648)+1)</f>
        <v/>
      </c>
    </row>
    <row r="650">
      <c r="AR650" s="2">
        <f>IF(OR($A$5="",$B$6="",ROW()&lt;$A$5),"",IF(INDEX($A:$AP,ROW(),$B$6)="","",INDEX($A:$AP,ROW(),$B$6)))</f>
        <v/>
      </c>
      <c r="AS650" s="22">
        <f>IF($AR650="","",IF(ISNUMBER($AR650),IF($AR650&gt;=10000000,IFERROR(DATE(INT($AR650/10000),MOD(INT($AR650/100),100),MOD($AR650,100)),""),INT($AR650)),IFERROR(DATE(--LEFT(LEFT(SUBSTITUTE(SUBSTITUTE(SUBSTITUTE(SUBSTITUTE(TRIM($AR650),"-",""),".",""),"/","")," ",""),8),4),--MID(LEFT(SUBSTITUTE(SUBSTITUTE(SUBSTITUTE(SUBSTITUTE(TRIM($AR650),"-",""),".",""),"/","")," ",""),8),5,2),--MID(LEFT(SUBSTITUTE(SUBSTITUTE(SUBSTITUTE(SUBSTITUTE(TRIM($AR650),"-",""),".",""),"/","")," ",""),8),7,2)),"")))</f>
        <v/>
      </c>
      <c r="AT650" s="23">
        <f>IF($AS650="","",IF($F$6="",0,IF(ISNUMBER(INDEX($A:$AP,ROW(),$F$6)),INDEX($A:$AP,ROW(),$F$6),IFERROR(--SUBSTITUTE(SUBSTITUTE(TRIM(INDEX($A:$AP,ROW(),$F$6)),",",""),"원",""),0))))</f>
        <v/>
      </c>
      <c r="AU650" s="23">
        <f>IF($AS650="","",IF($G$6="",0,IF(ISNUMBER(INDEX($A:$AP,ROW(),$G$6)),INDEX($A:$AP,ROW(),$G$6),IFERROR(--SUBSTITUTE(SUBSTITUTE(TRIM(INDEX($A:$AP,ROW(),$G$6)),",",""),"원",""),0))))</f>
        <v/>
      </c>
      <c r="AV650" s="23">
        <f>IF($AS650="","",IF($H$6="",$AT650+$AU650,IF($H$6="",0,IF(ISNUMBER(INDEX($A:$AP,ROW(),$H$6)),INDEX($A:$AP,ROW(),$H$6),IFERROR(--SUBSTITUTE(SUBSTITUTE(TRIM(INDEX($A:$AP,ROW(),$H$6)),",",""),"원",""),0)))))</f>
        <v/>
      </c>
      <c r="AW650" s="2">
        <f>IF(OR($AS650="",$C$6=""),"",TRIM(INDEX($A:$AP,ROW(),$C$6)&amp;""))</f>
        <v/>
      </c>
      <c r="AX650" s="2">
        <f>IF($AS650="","",IF($AZ650&lt;&gt;"",SUBSTITUTE(SUBSTITUTE($AZ650,"-","")," ",""),$AY650))</f>
        <v/>
      </c>
      <c r="AY650" s="2">
        <f>IF(OR($AS650="",$E$6=""),"",TRIM(INDEX($A:$AP,ROW(),$E$6)&amp;""))</f>
        <v/>
      </c>
      <c r="AZ650" s="2">
        <f>IF(OR($AS650="",$D$6=""),"",TRIM(INDEX($A:$AP,ROW(),$D$6)&amp;""))</f>
        <v/>
      </c>
      <c r="BA650" s="2">
        <f>IF($AS650="","",IF(AND($AS650&gt;=설정!$B$10,$AS650&lt;=설정!$B$11),"포함","기간 밖"))</f>
        <v/>
      </c>
      <c r="BB650" s="2">
        <f>IF($AS650="","",IF(OR($AT650&lt;0,AND($I$6&lt;&gt;"",ISNUMBER(FIND("수정",INDEX($A:$AP,ROW(),IF($I$6="",1,$I$6))&amp;"")))),"수정","일반"))</f>
        <v/>
      </c>
      <c r="BC650" s="2">
        <f>IF($AS650="","",MID(IF($BA650="기간 밖"," / 기간 밖(신고기간 아님)","")&amp;IF(AND($AW650&lt;&gt;"",COUNTIF($AW$8:$AW$1007,$AW650)&gt;1)," / 승인번호 중복(두 번 붙여넣기?)","")&amp;IF(ABS($AU650-ROUND($AT650*0.1,0))&gt;설정!$B$8,IF($AU650=0," / 세액 0원(영세율·면세 여부 확인)"," / 세액이 공급가액 10%와 다름"),"")&amp;IF($BB650="수정"," / 수정세금계산서(합계에서 자동 가감)",""),4,200))</f>
        <v/>
      </c>
      <c r="BD650" s="2">
        <f>IF($BA650&lt;&gt;"포함","",IF(COUNTIFS($AX$8:$AX650,$AX650,$BA$8:$BA650,"포함")=1,MAX($BD$7:BD649)+1,""))</f>
        <v/>
      </c>
      <c r="BE650" s="2">
        <f>IF($BC650="","",MAX($BE$7:BE649)+1)</f>
        <v/>
      </c>
    </row>
    <row r="651">
      <c r="AR651" s="2">
        <f>IF(OR($A$5="",$B$6="",ROW()&lt;$A$5),"",IF(INDEX($A:$AP,ROW(),$B$6)="","",INDEX($A:$AP,ROW(),$B$6)))</f>
        <v/>
      </c>
      <c r="AS651" s="22">
        <f>IF($AR651="","",IF(ISNUMBER($AR651),IF($AR651&gt;=10000000,IFERROR(DATE(INT($AR651/10000),MOD(INT($AR651/100),100),MOD($AR651,100)),""),INT($AR651)),IFERROR(DATE(--LEFT(LEFT(SUBSTITUTE(SUBSTITUTE(SUBSTITUTE(SUBSTITUTE(TRIM($AR651),"-",""),".",""),"/","")," ",""),8),4),--MID(LEFT(SUBSTITUTE(SUBSTITUTE(SUBSTITUTE(SUBSTITUTE(TRIM($AR651),"-",""),".",""),"/","")," ",""),8),5,2),--MID(LEFT(SUBSTITUTE(SUBSTITUTE(SUBSTITUTE(SUBSTITUTE(TRIM($AR651),"-",""),".",""),"/","")," ",""),8),7,2)),"")))</f>
        <v/>
      </c>
      <c r="AT651" s="23">
        <f>IF($AS651="","",IF($F$6="",0,IF(ISNUMBER(INDEX($A:$AP,ROW(),$F$6)),INDEX($A:$AP,ROW(),$F$6),IFERROR(--SUBSTITUTE(SUBSTITUTE(TRIM(INDEX($A:$AP,ROW(),$F$6)),",",""),"원",""),0))))</f>
        <v/>
      </c>
      <c r="AU651" s="23">
        <f>IF($AS651="","",IF($G$6="",0,IF(ISNUMBER(INDEX($A:$AP,ROW(),$G$6)),INDEX($A:$AP,ROW(),$G$6),IFERROR(--SUBSTITUTE(SUBSTITUTE(TRIM(INDEX($A:$AP,ROW(),$G$6)),",",""),"원",""),0))))</f>
        <v/>
      </c>
      <c r="AV651" s="23">
        <f>IF($AS651="","",IF($H$6="",$AT651+$AU651,IF($H$6="",0,IF(ISNUMBER(INDEX($A:$AP,ROW(),$H$6)),INDEX($A:$AP,ROW(),$H$6),IFERROR(--SUBSTITUTE(SUBSTITUTE(TRIM(INDEX($A:$AP,ROW(),$H$6)),",",""),"원",""),0)))))</f>
        <v/>
      </c>
      <c r="AW651" s="2">
        <f>IF(OR($AS651="",$C$6=""),"",TRIM(INDEX($A:$AP,ROW(),$C$6)&amp;""))</f>
        <v/>
      </c>
      <c r="AX651" s="2">
        <f>IF($AS651="","",IF($AZ651&lt;&gt;"",SUBSTITUTE(SUBSTITUTE($AZ651,"-","")," ",""),$AY651))</f>
        <v/>
      </c>
      <c r="AY651" s="2">
        <f>IF(OR($AS651="",$E$6=""),"",TRIM(INDEX($A:$AP,ROW(),$E$6)&amp;""))</f>
        <v/>
      </c>
      <c r="AZ651" s="2">
        <f>IF(OR($AS651="",$D$6=""),"",TRIM(INDEX($A:$AP,ROW(),$D$6)&amp;""))</f>
        <v/>
      </c>
      <c r="BA651" s="2">
        <f>IF($AS651="","",IF(AND($AS651&gt;=설정!$B$10,$AS651&lt;=설정!$B$11),"포함","기간 밖"))</f>
        <v/>
      </c>
      <c r="BB651" s="2">
        <f>IF($AS651="","",IF(OR($AT651&lt;0,AND($I$6&lt;&gt;"",ISNUMBER(FIND("수정",INDEX($A:$AP,ROW(),IF($I$6="",1,$I$6))&amp;"")))),"수정","일반"))</f>
        <v/>
      </c>
      <c r="BC651" s="2">
        <f>IF($AS651="","",MID(IF($BA651="기간 밖"," / 기간 밖(신고기간 아님)","")&amp;IF(AND($AW651&lt;&gt;"",COUNTIF($AW$8:$AW$1007,$AW651)&gt;1)," / 승인번호 중복(두 번 붙여넣기?)","")&amp;IF(ABS($AU651-ROUND($AT651*0.1,0))&gt;설정!$B$8,IF($AU651=0," / 세액 0원(영세율·면세 여부 확인)"," / 세액이 공급가액 10%와 다름"),"")&amp;IF($BB651="수정"," / 수정세금계산서(합계에서 자동 가감)",""),4,200))</f>
        <v/>
      </c>
      <c r="BD651" s="2">
        <f>IF($BA651&lt;&gt;"포함","",IF(COUNTIFS($AX$8:$AX651,$AX651,$BA$8:$BA651,"포함")=1,MAX($BD$7:BD650)+1,""))</f>
        <v/>
      </c>
      <c r="BE651" s="2">
        <f>IF($BC651="","",MAX($BE$7:BE650)+1)</f>
        <v/>
      </c>
    </row>
    <row r="652">
      <c r="AR652" s="2">
        <f>IF(OR($A$5="",$B$6="",ROW()&lt;$A$5),"",IF(INDEX($A:$AP,ROW(),$B$6)="","",INDEX($A:$AP,ROW(),$B$6)))</f>
        <v/>
      </c>
      <c r="AS652" s="22">
        <f>IF($AR652="","",IF(ISNUMBER($AR652),IF($AR652&gt;=10000000,IFERROR(DATE(INT($AR652/10000),MOD(INT($AR652/100),100),MOD($AR652,100)),""),INT($AR652)),IFERROR(DATE(--LEFT(LEFT(SUBSTITUTE(SUBSTITUTE(SUBSTITUTE(SUBSTITUTE(TRIM($AR652),"-",""),".",""),"/","")," ",""),8),4),--MID(LEFT(SUBSTITUTE(SUBSTITUTE(SUBSTITUTE(SUBSTITUTE(TRIM($AR652),"-",""),".",""),"/","")," ",""),8),5,2),--MID(LEFT(SUBSTITUTE(SUBSTITUTE(SUBSTITUTE(SUBSTITUTE(TRIM($AR652),"-",""),".",""),"/","")," ",""),8),7,2)),"")))</f>
        <v/>
      </c>
      <c r="AT652" s="23">
        <f>IF($AS652="","",IF($F$6="",0,IF(ISNUMBER(INDEX($A:$AP,ROW(),$F$6)),INDEX($A:$AP,ROW(),$F$6),IFERROR(--SUBSTITUTE(SUBSTITUTE(TRIM(INDEX($A:$AP,ROW(),$F$6)),",",""),"원",""),0))))</f>
        <v/>
      </c>
      <c r="AU652" s="23">
        <f>IF($AS652="","",IF($G$6="",0,IF(ISNUMBER(INDEX($A:$AP,ROW(),$G$6)),INDEX($A:$AP,ROW(),$G$6),IFERROR(--SUBSTITUTE(SUBSTITUTE(TRIM(INDEX($A:$AP,ROW(),$G$6)),",",""),"원",""),0))))</f>
        <v/>
      </c>
      <c r="AV652" s="23">
        <f>IF($AS652="","",IF($H$6="",$AT652+$AU652,IF($H$6="",0,IF(ISNUMBER(INDEX($A:$AP,ROW(),$H$6)),INDEX($A:$AP,ROW(),$H$6),IFERROR(--SUBSTITUTE(SUBSTITUTE(TRIM(INDEX($A:$AP,ROW(),$H$6)),",",""),"원",""),0)))))</f>
        <v/>
      </c>
      <c r="AW652" s="2">
        <f>IF(OR($AS652="",$C$6=""),"",TRIM(INDEX($A:$AP,ROW(),$C$6)&amp;""))</f>
        <v/>
      </c>
      <c r="AX652" s="2">
        <f>IF($AS652="","",IF($AZ652&lt;&gt;"",SUBSTITUTE(SUBSTITUTE($AZ652,"-","")," ",""),$AY652))</f>
        <v/>
      </c>
      <c r="AY652" s="2">
        <f>IF(OR($AS652="",$E$6=""),"",TRIM(INDEX($A:$AP,ROW(),$E$6)&amp;""))</f>
        <v/>
      </c>
      <c r="AZ652" s="2">
        <f>IF(OR($AS652="",$D$6=""),"",TRIM(INDEX($A:$AP,ROW(),$D$6)&amp;""))</f>
        <v/>
      </c>
      <c r="BA652" s="2">
        <f>IF($AS652="","",IF(AND($AS652&gt;=설정!$B$10,$AS652&lt;=설정!$B$11),"포함","기간 밖"))</f>
        <v/>
      </c>
      <c r="BB652" s="2">
        <f>IF($AS652="","",IF(OR($AT652&lt;0,AND($I$6&lt;&gt;"",ISNUMBER(FIND("수정",INDEX($A:$AP,ROW(),IF($I$6="",1,$I$6))&amp;"")))),"수정","일반"))</f>
        <v/>
      </c>
      <c r="BC652" s="2">
        <f>IF($AS652="","",MID(IF($BA652="기간 밖"," / 기간 밖(신고기간 아님)","")&amp;IF(AND($AW652&lt;&gt;"",COUNTIF($AW$8:$AW$1007,$AW652)&gt;1)," / 승인번호 중복(두 번 붙여넣기?)","")&amp;IF(ABS($AU652-ROUND($AT652*0.1,0))&gt;설정!$B$8,IF($AU652=0," / 세액 0원(영세율·면세 여부 확인)"," / 세액이 공급가액 10%와 다름"),"")&amp;IF($BB652="수정"," / 수정세금계산서(합계에서 자동 가감)",""),4,200))</f>
        <v/>
      </c>
      <c r="BD652" s="2">
        <f>IF($BA652&lt;&gt;"포함","",IF(COUNTIFS($AX$8:$AX652,$AX652,$BA$8:$BA652,"포함")=1,MAX($BD$7:BD651)+1,""))</f>
        <v/>
      </c>
      <c r="BE652" s="2">
        <f>IF($BC652="","",MAX($BE$7:BE651)+1)</f>
        <v/>
      </c>
    </row>
    <row r="653">
      <c r="AR653" s="2">
        <f>IF(OR($A$5="",$B$6="",ROW()&lt;$A$5),"",IF(INDEX($A:$AP,ROW(),$B$6)="","",INDEX($A:$AP,ROW(),$B$6)))</f>
        <v/>
      </c>
      <c r="AS653" s="22">
        <f>IF($AR653="","",IF(ISNUMBER($AR653),IF($AR653&gt;=10000000,IFERROR(DATE(INT($AR653/10000),MOD(INT($AR653/100),100),MOD($AR653,100)),""),INT($AR653)),IFERROR(DATE(--LEFT(LEFT(SUBSTITUTE(SUBSTITUTE(SUBSTITUTE(SUBSTITUTE(TRIM($AR653),"-",""),".",""),"/","")," ",""),8),4),--MID(LEFT(SUBSTITUTE(SUBSTITUTE(SUBSTITUTE(SUBSTITUTE(TRIM($AR653),"-",""),".",""),"/","")," ",""),8),5,2),--MID(LEFT(SUBSTITUTE(SUBSTITUTE(SUBSTITUTE(SUBSTITUTE(TRIM($AR653),"-",""),".",""),"/","")," ",""),8),7,2)),"")))</f>
        <v/>
      </c>
      <c r="AT653" s="23">
        <f>IF($AS653="","",IF($F$6="",0,IF(ISNUMBER(INDEX($A:$AP,ROW(),$F$6)),INDEX($A:$AP,ROW(),$F$6),IFERROR(--SUBSTITUTE(SUBSTITUTE(TRIM(INDEX($A:$AP,ROW(),$F$6)),",",""),"원",""),0))))</f>
        <v/>
      </c>
      <c r="AU653" s="23">
        <f>IF($AS653="","",IF($G$6="",0,IF(ISNUMBER(INDEX($A:$AP,ROW(),$G$6)),INDEX($A:$AP,ROW(),$G$6),IFERROR(--SUBSTITUTE(SUBSTITUTE(TRIM(INDEX($A:$AP,ROW(),$G$6)),",",""),"원",""),0))))</f>
        <v/>
      </c>
      <c r="AV653" s="23">
        <f>IF($AS653="","",IF($H$6="",$AT653+$AU653,IF($H$6="",0,IF(ISNUMBER(INDEX($A:$AP,ROW(),$H$6)),INDEX($A:$AP,ROW(),$H$6),IFERROR(--SUBSTITUTE(SUBSTITUTE(TRIM(INDEX($A:$AP,ROW(),$H$6)),",",""),"원",""),0)))))</f>
        <v/>
      </c>
      <c r="AW653" s="2">
        <f>IF(OR($AS653="",$C$6=""),"",TRIM(INDEX($A:$AP,ROW(),$C$6)&amp;""))</f>
        <v/>
      </c>
      <c r="AX653" s="2">
        <f>IF($AS653="","",IF($AZ653&lt;&gt;"",SUBSTITUTE(SUBSTITUTE($AZ653,"-","")," ",""),$AY653))</f>
        <v/>
      </c>
      <c r="AY653" s="2">
        <f>IF(OR($AS653="",$E$6=""),"",TRIM(INDEX($A:$AP,ROW(),$E$6)&amp;""))</f>
        <v/>
      </c>
      <c r="AZ653" s="2">
        <f>IF(OR($AS653="",$D$6=""),"",TRIM(INDEX($A:$AP,ROW(),$D$6)&amp;""))</f>
        <v/>
      </c>
      <c r="BA653" s="2">
        <f>IF($AS653="","",IF(AND($AS653&gt;=설정!$B$10,$AS653&lt;=설정!$B$11),"포함","기간 밖"))</f>
        <v/>
      </c>
      <c r="BB653" s="2">
        <f>IF($AS653="","",IF(OR($AT653&lt;0,AND($I$6&lt;&gt;"",ISNUMBER(FIND("수정",INDEX($A:$AP,ROW(),IF($I$6="",1,$I$6))&amp;"")))),"수정","일반"))</f>
        <v/>
      </c>
      <c r="BC653" s="2">
        <f>IF($AS653="","",MID(IF($BA653="기간 밖"," / 기간 밖(신고기간 아님)","")&amp;IF(AND($AW653&lt;&gt;"",COUNTIF($AW$8:$AW$1007,$AW653)&gt;1)," / 승인번호 중복(두 번 붙여넣기?)","")&amp;IF(ABS($AU653-ROUND($AT653*0.1,0))&gt;설정!$B$8,IF($AU653=0," / 세액 0원(영세율·면세 여부 확인)"," / 세액이 공급가액 10%와 다름"),"")&amp;IF($BB653="수정"," / 수정세금계산서(합계에서 자동 가감)",""),4,200))</f>
        <v/>
      </c>
      <c r="BD653" s="2">
        <f>IF($BA653&lt;&gt;"포함","",IF(COUNTIFS($AX$8:$AX653,$AX653,$BA$8:$BA653,"포함")=1,MAX($BD$7:BD652)+1,""))</f>
        <v/>
      </c>
      <c r="BE653" s="2">
        <f>IF($BC653="","",MAX($BE$7:BE652)+1)</f>
        <v/>
      </c>
    </row>
    <row r="654">
      <c r="AR654" s="2">
        <f>IF(OR($A$5="",$B$6="",ROW()&lt;$A$5),"",IF(INDEX($A:$AP,ROW(),$B$6)="","",INDEX($A:$AP,ROW(),$B$6)))</f>
        <v/>
      </c>
      <c r="AS654" s="22">
        <f>IF($AR654="","",IF(ISNUMBER($AR654),IF($AR654&gt;=10000000,IFERROR(DATE(INT($AR654/10000),MOD(INT($AR654/100),100),MOD($AR654,100)),""),INT($AR654)),IFERROR(DATE(--LEFT(LEFT(SUBSTITUTE(SUBSTITUTE(SUBSTITUTE(SUBSTITUTE(TRIM($AR654),"-",""),".",""),"/","")," ",""),8),4),--MID(LEFT(SUBSTITUTE(SUBSTITUTE(SUBSTITUTE(SUBSTITUTE(TRIM($AR654),"-",""),".",""),"/","")," ",""),8),5,2),--MID(LEFT(SUBSTITUTE(SUBSTITUTE(SUBSTITUTE(SUBSTITUTE(TRIM($AR654),"-",""),".",""),"/","")," ",""),8),7,2)),"")))</f>
        <v/>
      </c>
      <c r="AT654" s="23">
        <f>IF($AS654="","",IF($F$6="",0,IF(ISNUMBER(INDEX($A:$AP,ROW(),$F$6)),INDEX($A:$AP,ROW(),$F$6),IFERROR(--SUBSTITUTE(SUBSTITUTE(TRIM(INDEX($A:$AP,ROW(),$F$6)),",",""),"원",""),0))))</f>
        <v/>
      </c>
      <c r="AU654" s="23">
        <f>IF($AS654="","",IF($G$6="",0,IF(ISNUMBER(INDEX($A:$AP,ROW(),$G$6)),INDEX($A:$AP,ROW(),$G$6),IFERROR(--SUBSTITUTE(SUBSTITUTE(TRIM(INDEX($A:$AP,ROW(),$G$6)),",",""),"원",""),0))))</f>
        <v/>
      </c>
      <c r="AV654" s="23">
        <f>IF($AS654="","",IF($H$6="",$AT654+$AU654,IF($H$6="",0,IF(ISNUMBER(INDEX($A:$AP,ROW(),$H$6)),INDEX($A:$AP,ROW(),$H$6),IFERROR(--SUBSTITUTE(SUBSTITUTE(TRIM(INDEX($A:$AP,ROW(),$H$6)),",",""),"원",""),0)))))</f>
        <v/>
      </c>
      <c r="AW654" s="2">
        <f>IF(OR($AS654="",$C$6=""),"",TRIM(INDEX($A:$AP,ROW(),$C$6)&amp;""))</f>
        <v/>
      </c>
      <c r="AX654" s="2">
        <f>IF($AS654="","",IF($AZ654&lt;&gt;"",SUBSTITUTE(SUBSTITUTE($AZ654,"-","")," ",""),$AY654))</f>
        <v/>
      </c>
      <c r="AY654" s="2">
        <f>IF(OR($AS654="",$E$6=""),"",TRIM(INDEX($A:$AP,ROW(),$E$6)&amp;""))</f>
        <v/>
      </c>
      <c r="AZ654" s="2">
        <f>IF(OR($AS654="",$D$6=""),"",TRIM(INDEX($A:$AP,ROW(),$D$6)&amp;""))</f>
        <v/>
      </c>
      <c r="BA654" s="2">
        <f>IF($AS654="","",IF(AND($AS654&gt;=설정!$B$10,$AS654&lt;=설정!$B$11),"포함","기간 밖"))</f>
        <v/>
      </c>
      <c r="BB654" s="2">
        <f>IF($AS654="","",IF(OR($AT654&lt;0,AND($I$6&lt;&gt;"",ISNUMBER(FIND("수정",INDEX($A:$AP,ROW(),IF($I$6="",1,$I$6))&amp;"")))),"수정","일반"))</f>
        <v/>
      </c>
      <c r="BC654" s="2">
        <f>IF($AS654="","",MID(IF($BA654="기간 밖"," / 기간 밖(신고기간 아님)","")&amp;IF(AND($AW654&lt;&gt;"",COUNTIF($AW$8:$AW$1007,$AW654)&gt;1)," / 승인번호 중복(두 번 붙여넣기?)","")&amp;IF(ABS($AU654-ROUND($AT654*0.1,0))&gt;설정!$B$8,IF($AU654=0," / 세액 0원(영세율·면세 여부 확인)"," / 세액이 공급가액 10%와 다름"),"")&amp;IF($BB654="수정"," / 수정세금계산서(합계에서 자동 가감)",""),4,200))</f>
        <v/>
      </c>
      <c r="BD654" s="2">
        <f>IF($BA654&lt;&gt;"포함","",IF(COUNTIFS($AX$8:$AX654,$AX654,$BA$8:$BA654,"포함")=1,MAX($BD$7:BD653)+1,""))</f>
        <v/>
      </c>
      <c r="BE654" s="2">
        <f>IF($BC654="","",MAX($BE$7:BE653)+1)</f>
        <v/>
      </c>
    </row>
    <row r="655">
      <c r="AR655" s="2">
        <f>IF(OR($A$5="",$B$6="",ROW()&lt;$A$5),"",IF(INDEX($A:$AP,ROW(),$B$6)="","",INDEX($A:$AP,ROW(),$B$6)))</f>
        <v/>
      </c>
      <c r="AS655" s="22">
        <f>IF($AR655="","",IF(ISNUMBER($AR655),IF($AR655&gt;=10000000,IFERROR(DATE(INT($AR655/10000),MOD(INT($AR655/100),100),MOD($AR655,100)),""),INT($AR655)),IFERROR(DATE(--LEFT(LEFT(SUBSTITUTE(SUBSTITUTE(SUBSTITUTE(SUBSTITUTE(TRIM($AR655),"-",""),".",""),"/","")," ",""),8),4),--MID(LEFT(SUBSTITUTE(SUBSTITUTE(SUBSTITUTE(SUBSTITUTE(TRIM($AR655),"-",""),".",""),"/","")," ",""),8),5,2),--MID(LEFT(SUBSTITUTE(SUBSTITUTE(SUBSTITUTE(SUBSTITUTE(TRIM($AR655),"-",""),".",""),"/","")," ",""),8),7,2)),"")))</f>
        <v/>
      </c>
      <c r="AT655" s="23">
        <f>IF($AS655="","",IF($F$6="",0,IF(ISNUMBER(INDEX($A:$AP,ROW(),$F$6)),INDEX($A:$AP,ROW(),$F$6),IFERROR(--SUBSTITUTE(SUBSTITUTE(TRIM(INDEX($A:$AP,ROW(),$F$6)),",",""),"원",""),0))))</f>
        <v/>
      </c>
      <c r="AU655" s="23">
        <f>IF($AS655="","",IF($G$6="",0,IF(ISNUMBER(INDEX($A:$AP,ROW(),$G$6)),INDEX($A:$AP,ROW(),$G$6),IFERROR(--SUBSTITUTE(SUBSTITUTE(TRIM(INDEX($A:$AP,ROW(),$G$6)),",",""),"원",""),0))))</f>
        <v/>
      </c>
      <c r="AV655" s="23">
        <f>IF($AS655="","",IF($H$6="",$AT655+$AU655,IF($H$6="",0,IF(ISNUMBER(INDEX($A:$AP,ROW(),$H$6)),INDEX($A:$AP,ROW(),$H$6),IFERROR(--SUBSTITUTE(SUBSTITUTE(TRIM(INDEX($A:$AP,ROW(),$H$6)),",",""),"원",""),0)))))</f>
        <v/>
      </c>
      <c r="AW655" s="2">
        <f>IF(OR($AS655="",$C$6=""),"",TRIM(INDEX($A:$AP,ROW(),$C$6)&amp;""))</f>
        <v/>
      </c>
      <c r="AX655" s="2">
        <f>IF($AS655="","",IF($AZ655&lt;&gt;"",SUBSTITUTE(SUBSTITUTE($AZ655,"-","")," ",""),$AY655))</f>
        <v/>
      </c>
      <c r="AY655" s="2">
        <f>IF(OR($AS655="",$E$6=""),"",TRIM(INDEX($A:$AP,ROW(),$E$6)&amp;""))</f>
        <v/>
      </c>
      <c r="AZ655" s="2">
        <f>IF(OR($AS655="",$D$6=""),"",TRIM(INDEX($A:$AP,ROW(),$D$6)&amp;""))</f>
        <v/>
      </c>
      <c r="BA655" s="2">
        <f>IF($AS655="","",IF(AND($AS655&gt;=설정!$B$10,$AS655&lt;=설정!$B$11),"포함","기간 밖"))</f>
        <v/>
      </c>
      <c r="BB655" s="2">
        <f>IF($AS655="","",IF(OR($AT655&lt;0,AND($I$6&lt;&gt;"",ISNUMBER(FIND("수정",INDEX($A:$AP,ROW(),IF($I$6="",1,$I$6))&amp;"")))),"수정","일반"))</f>
        <v/>
      </c>
      <c r="BC655" s="2">
        <f>IF($AS655="","",MID(IF($BA655="기간 밖"," / 기간 밖(신고기간 아님)","")&amp;IF(AND($AW655&lt;&gt;"",COUNTIF($AW$8:$AW$1007,$AW655)&gt;1)," / 승인번호 중복(두 번 붙여넣기?)","")&amp;IF(ABS($AU655-ROUND($AT655*0.1,0))&gt;설정!$B$8,IF($AU655=0," / 세액 0원(영세율·면세 여부 확인)"," / 세액이 공급가액 10%와 다름"),"")&amp;IF($BB655="수정"," / 수정세금계산서(합계에서 자동 가감)",""),4,200))</f>
        <v/>
      </c>
      <c r="BD655" s="2">
        <f>IF($BA655&lt;&gt;"포함","",IF(COUNTIFS($AX$8:$AX655,$AX655,$BA$8:$BA655,"포함")=1,MAX($BD$7:BD654)+1,""))</f>
        <v/>
      </c>
      <c r="BE655" s="2">
        <f>IF($BC655="","",MAX($BE$7:BE654)+1)</f>
        <v/>
      </c>
    </row>
    <row r="656">
      <c r="AR656" s="2">
        <f>IF(OR($A$5="",$B$6="",ROW()&lt;$A$5),"",IF(INDEX($A:$AP,ROW(),$B$6)="","",INDEX($A:$AP,ROW(),$B$6)))</f>
        <v/>
      </c>
      <c r="AS656" s="22">
        <f>IF($AR656="","",IF(ISNUMBER($AR656),IF($AR656&gt;=10000000,IFERROR(DATE(INT($AR656/10000),MOD(INT($AR656/100),100),MOD($AR656,100)),""),INT($AR656)),IFERROR(DATE(--LEFT(LEFT(SUBSTITUTE(SUBSTITUTE(SUBSTITUTE(SUBSTITUTE(TRIM($AR656),"-",""),".",""),"/","")," ",""),8),4),--MID(LEFT(SUBSTITUTE(SUBSTITUTE(SUBSTITUTE(SUBSTITUTE(TRIM($AR656),"-",""),".",""),"/","")," ",""),8),5,2),--MID(LEFT(SUBSTITUTE(SUBSTITUTE(SUBSTITUTE(SUBSTITUTE(TRIM($AR656),"-",""),".",""),"/","")," ",""),8),7,2)),"")))</f>
        <v/>
      </c>
      <c r="AT656" s="23">
        <f>IF($AS656="","",IF($F$6="",0,IF(ISNUMBER(INDEX($A:$AP,ROW(),$F$6)),INDEX($A:$AP,ROW(),$F$6),IFERROR(--SUBSTITUTE(SUBSTITUTE(TRIM(INDEX($A:$AP,ROW(),$F$6)),",",""),"원",""),0))))</f>
        <v/>
      </c>
      <c r="AU656" s="23">
        <f>IF($AS656="","",IF($G$6="",0,IF(ISNUMBER(INDEX($A:$AP,ROW(),$G$6)),INDEX($A:$AP,ROW(),$G$6),IFERROR(--SUBSTITUTE(SUBSTITUTE(TRIM(INDEX($A:$AP,ROW(),$G$6)),",",""),"원",""),0))))</f>
        <v/>
      </c>
      <c r="AV656" s="23">
        <f>IF($AS656="","",IF($H$6="",$AT656+$AU656,IF($H$6="",0,IF(ISNUMBER(INDEX($A:$AP,ROW(),$H$6)),INDEX($A:$AP,ROW(),$H$6),IFERROR(--SUBSTITUTE(SUBSTITUTE(TRIM(INDEX($A:$AP,ROW(),$H$6)),",",""),"원",""),0)))))</f>
        <v/>
      </c>
      <c r="AW656" s="2">
        <f>IF(OR($AS656="",$C$6=""),"",TRIM(INDEX($A:$AP,ROW(),$C$6)&amp;""))</f>
        <v/>
      </c>
      <c r="AX656" s="2">
        <f>IF($AS656="","",IF($AZ656&lt;&gt;"",SUBSTITUTE(SUBSTITUTE($AZ656,"-","")," ",""),$AY656))</f>
        <v/>
      </c>
      <c r="AY656" s="2">
        <f>IF(OR($AS656="",$E$6=""),"",TRIM(INDEX($A:$AP,ROW(),$E$6)&amp;""))</f>
        <v/>
      </c>
      <c r="AZ656" s="2">
        <f>IF(OR($AS656="",$D$6=""),"",TRIM(INDEX($A:$AP,ROW(),$D$6)&amp;""))</f>
        <v/>
      </c>
      <c r="BA656" s="2">
        <f>IF($AS656="","",IF(AND($AS656&gt;=설정!$B$10,$AS656&lt;=설정!$B$11),"포함","기간 밖"))</f>
        <v/>
      </c>
      <c r="BB656" s="2">
        <f>IF($AS656="","",IF(OR($AT656&lt;0,AND($I$6&lt;&gt;"",ISNUMBER(FIND("수정",INDEX($A:$AP,ROW(),IF($I$6="",1,$I$6))&amp;"")))),"수정","일반"))</f>
        <v/>
      </c>
      <c r="BC656" s="2">
        <f>IF($AS656="","",MID(IF($BA656="기간 밖"," / 기간 밖(신고기간 아님)","")&amp;IF(AND($AW656&lt;&gt;"",COUNTIF($AW$8:$AW$1007,$AW656)&gt;1)," / 승인번호 중복(두 번 붙여넣기?)","")&amp;IF(ABS($AU656-ROUND($AT656*0.1,0))&gt;설정!$B$8,IF($AU656=0," / 세액 0원(영세율·면세 여부 확인)"," / 세액이 공급가액 10%와 다름"),"")&amp;IF($BB656="수정"," / 수정세금계산서(합계에서 자동 가감)",""),4,200))</f>
        <v/>
      </c>
      <c r="BD656" s="2">
        <f>IF($BA656&lt;&gt;"포함","",IF(COUNTIFS($AX$8:$AX656,$AX656,$BA$8:$BA656,"포함")=1,MAX($BD$7:BD655)+1,""))</f>
        <v/>
      </c>
      <c r="BE656" s="2">
        <f>IF($BC656="","",MAX($BE$7:BE655)+1)</f>
        <v/>
      </c>
    </row>
    <row r="657">
      <c r="AR657" s="2">
        <f>IF(OR($A$5="",$B$6="",ROW()&lt;$A$5),"",IF(INDEX($A:$AP,ROW(),$B$6)="","",INDEX($A:$AP,ROW(),$B$6)))</f>
        <v/>
      </c>
      <c r="AS657" s="22">
        <f>IF($AR657="","",IF(ISNUMBER($AR657),IF($AR657&gt;=10000000,IFERROR(DATE(INT($AR657/10000),MOD(INT($AR657/100),100),MOD($AR657,100)),""),INT($AR657)),IFERROR(DATE(--LEFT(LEFT(SUBSTITUTE(SUBSTITUTE(SUBSTITUTE(SUBSTITUTE(TRIM($AR657),"-",""),".",""),"/","")," ",""),8),4),--MID(LEFT(SUBSTITUTE(SUBSTITUTE(SUBSTITUTE(SUBSTITUTE(TRIM($AR657),"-",""),".",""),"/","")," ",""),8),5,2),--MID(LEFT(SUBSTITUTE(SUBSTITUTE(SUBSTITUTE(SUBSTITUTE(TRIM($AR657),"-",""),".",""),"/","")," ",""),8),7,2)),"")))</f>
        <v/>
      </c>
      <c r="AT657" s="23">
        <f>IF($AS657="","",IF($F$6="",0,IF(ISNUMBER(INDEX($A:$AP,ROW(),$F$6)),INDEX($A:$AP,ROW(),$F$6),IFERROR(--SUBSTITUTE(SUBSTITUTE(TRIM(INDEX($A:$AP,ROW(),$F$6)),",",""),"원",""),0))))</f>
        <v/>
      </c>
      <c r="AU657" s="23">
        <f>IF($AS657="","",IF($G$6="",0,IF(ISNUMBER(INDEX($A:$AP,ROW(),$G$6)),INDEX($A:$AP,ROW(),$G$6),IFERROR(--SUBSTITUTE(SUBSTITUTE(TRIM(INDEX($A:$AP,ROW(),$G$6)),",",""),"원",""),0))))</f>
        <v/>
      </c>
      <c r="AV657" s="23">
        <f>IF($AS657="","",IF($H$6="",$AT657+$AU657,IF($H$6="",0,IF(ISNUMBER(INDEX($A:$AP,ROW(),$H$6)),INDEX($A:$AP,ROW(),$H$6),IFERROR(--SUBSTITUTE(SUBSTITUTE(TRIM(INDEX($A:$AP,ROW(),$H$6)),",",""),"원",""),0)))))</f>
        <v/>
      </c>
      <c r="AW657" s="2">
        <f>IF(OR($AS657="",$C$6=""),"",TRIM(INDEX($A:$AP,ROW(),$C$6)&amp;""))</f>
        <v/>
      </c>
      <c r="AX657" s="2">
        <f>IF($AS657="","",IF($AZ657&lt;&gt;"",SUBSTITUTE(SUBSTITUTE($AZ657,"-","")," ",""),$AY657))</f>
        <v/>
      </c>
      <c r="AY657" s="2">
        <f>IF(OR($AS657="",$E$6=""),"",TRIM(INDEX($A:$AP,ROW(),$E$6)&amp;""))</f>
        <v/>
      </c>
      <c r="AZ657" s="2">
        <f>IF(OR($AS657="",$D$6=""),"",TRIM(INDEX($A:$AP,ROW(),$D$6)&amp;""))</f>
        <v/>
      </c>
      <c r="BA657" s="2">
        <f>IF($AS657="","",IF(AND($AS657&gt;=설정!$B$10,$AS657&lt;=설정!$B$11),"포함","기간 밖"))</f>
        <v/>
      </c>
      <c r="BB657" s="2">
        <f>IF($AS657="","",IF(OR($AT657&lt;0,AND($I$6&lt;&gt;"",ISNUMBER(FIND("수정",INDEX($A:$AP,ROW(),IF($I$6="",1,$I$6))&amp;"")))),"수정","일반"))</f>
        <v/>
      </c>
      <c r="BC657" s="2">
        <f>IF($AS657="","",MID(IF($BA657="기간 밖"," / 기간 밖(신고기간 아님)","")&amp;IF(AND($AW657&lt;&gt;"",COUNTIF($AW$8:$AW$1007,$AW657)&gt;1)," / 승인번호 중복(두 번 붙여넣기?)","")&amp;IF(ABS($AU657-ROUND($AT657*0.1,0))&gt;설정!$B$8,IF($AU657=0," / 세액 0원(영세율·면세 여부 확인)"," / 세액이 공급가액 10%와 다름"),"")&amp;IF($BB657="수정"," / 수정세금계산서(합계에서 자동 가감)",""),4,200))</f>
        <v/>
      </c>
      <c r="BD657" s="2">
        <f>IF($BA657&lt;&gt;"포함","",IF(COUNTIFS($AX$8:$AX657,$AX657,$BA$8:$BA657,"포함")=1,MAX($BD$7:BD656)+1,""))</f>
        <v/>
      </c>
      <c r="BE657" s="2">
        <f>IF($BC657="","",MAX($BE$7:BE656)+1)</f>
        <v/>
      </c>
    </row>
    <row r="658">
      <c r="AR658" s="2">
        <f>IF(OR($A$5="",$B$6="",ROW()&lt;$A$5),"",IF(INDEX($A:$AP,ROW(),$B$6)="","",INDEX($A:$AP,ROW(),$B$6)))</f>
        <v/>
      </c>
      <c r="AS658" s="22">
        <f>IF($AR658="","",IF(ISNUMBER($AR658),IF($AR658&gt;=10000000,IFERROR(DATE(INT($AR658/10000),MOD(INT($AR658/100),100),MOD($AR658,100)),""),INT($AR658)),IFERROR(DATE(--LEFT(LEFT(SUBSTITUTE(SUBSTITUTE(SUBSTITUTE(SUBSTITUTE(TRIM($AR658),"-",""),".",""),"/","")," ",""),8),4),--MID(LEFT(SUBSTITUTE(SUBSTITUTE(SUBSTITUTE(SUBSTITUTE(TRIM($AR658),"-",""),".",""),"/","")," ",""),8),5,2),--MID(LEFT(SUBSTITUTE(SUBSTITUTE(SUBSTITUTE(SUBSTITUTE(TRIM($AR658),"-",""),".",""),"/","")," ",""),8),7,2)),"")))</f>
        <v/>
      </c>
      <c r="AT658" s="23">
        <f>IF($AS658="","",IF($F$6="",0,IF(ISNUMBER(INDEX($A:$AP,ROW(),$F$6)),INDEX($A:$AP,ROW(),$F$6),IFERROR(--SUBSTITUTE(SUBSTITUTE(TRIM(INDEX($A:$AP,ROW(),$F$6)),",",""),"원",""),0))))</f>
        <v/>
      </c>
      <c r="AU658" s="23">
        <f>IF($AS658="","",IF($G$6="",0,IF(ISNUMBER(INDEX($A:$AP,ROW(),$G$6)),INDEX($A:$AP,ROW(),$G$6),IFERROR(--SUBSTITUTE(SUBSTITUTE(TRIM(INDEX($A:$AP,ROW(),$G$6)),",",""),"원",""),0))))</f>
        <v/>
      </c>
      <c r="AV658" s="23">
        <f>IF($AS658="","",IF($H$6="",$AT658+$AU658,IF($H$6="",0,IF(ISNUMBER(INDEX($A:$AP,ROW(),$H$6)),INDEX($A:$AP,ROW(),$H$6),IFERROR(--SUBSTITUTE(SUBSTITUTE(TRIM(INDEX($A:$AP,ROW(),$H$6)),",",""),"원",""),0)))))</f>
        <v/>
      </c>
      <c r="AW658" s="2">
        <f>IF(OR($AS658="",$C$6=""),"",TRIM(INDEX($A:$AP,ROW(),$C$6)&amp;""))</f>
        <v/>
      </c>
      <c r="AX658" s="2">
        <f>IF($AS658="","",IF($AZ658&lt;&gt;"",SUBSTITUTE(SUBSTITUTE($AZ658,"-","")," ",""),$AY658))</f>
        <v/>
      </c>
      <c r="AY658" s="2">
        <f>IF(OR($AS658="",$E$6=""),"",TRIM(INDEX($A:$AP,ROW(),$E$6)&amp;""))</f>
        <v/>
      </c>
      <c r="AZ658" s="2">
        <f>IF(OR($AS658="",$D$6=""),"",TRIM(INDEX($A:$AP,ROW(),$D$6)&amp;""))</f>
        <v/>
      </c>
      <c r="BA658" s="2">
        <f>IF($AS658="","",IF(AND($AS658&gt;=설정!$B$10,$AS658&lt;=설정!$B$11),"포함","기간 밖"))</f>
        <v/>
      </c>
      <c r="BB658" s="2">
        <f>IF($AS658="","",IF(OR($AT658&lt;0,AND($I$6&lt;&gt;"",ISNUMBER(FIND("수정",INDEX($A:$AP,ROW(),IF($I$6="",1,$I$6))&amp;"")))),"수정","일반"))</f>
        <v/>
      </c>
      <c r="BC658" s="2">
        <f>IF($AS658="","",MID(IF($BA658="기간 밖"," / 기간 밖(신고기간 아님)","")&amp;IF(AND($AW658&lt;&gt;"",COUNTIF($AW$8:$AW$1007,$AW658)&gt;1)," / 승인번호 중복(두 번 붙여넣기?)","")&amp;IF(ABS($AU658-ROUND($AT658*0.1,0))&gt;설정!$B$8,IF($AU658=0," / 세액 0원(영세율·면세 여부 확인)"," / 세액이 공급가액 10%와 다름"),"")&amp;IF($BB658="수정"," / 수정세금계산서(합계에서 자동 가감)",""),4,200))</f>
        <v/>
      </c>
      <c r="BD658" s="2">
        <f>IF($BA658&lt;&gt;"포함","",IF(COUNTIFS($AX$8:$AX658,$AX658,$BA$8:$BA658,"포함")=1,MAX($BD$7:BD657)+1,""))</f>
        <v/>
      </c>
      <c r="BE658" s="2">
        <f>IF($BC658="","",MAX($BE$7:BE657)+1)</f>
        <v/>
      </c>
    </row>
    <row r="659">
      <c r="AR659" s="2">
        <f>IF(OR($A$5="",$B$6="",ROW()&lt;$A$5),"",IF(INDEX($A:$AP,ROW(),$B$6)="","",INDEX($A:$AP,ROW(),$B$6)))</f>
        <v/>
      </c>
      <c r="AS659" s="22">
        <f>IF($AR659="","",IF(ISNUMBER($AR659),IF($AR659&gt;=10000000,IFERROR(DATE(INT($AR659/10000),MOD(INT($AR659/100),100),MOD($AR659,100)),""),INT($AR659)),IFERROR(DATE(--LEFT(LEFT(SUBSTITUTE(SUBSTITUTE(SUBSTITUTE(SUBSTITUTE(TRIM($AR659),"-",""),".",""),"/","")," ",""),8),4),--MID(LEFT(SUBSTITUTE(SUBSTITUTE(SUBSTITUTE(SUBSTITUTE(TRIM($AR659),"-",""),".",""),"/","")," ",""),8),5,2),--MID(LEFT(SUBSTITUTE(SUBSTITUTE(SUBSTITUTE(SUBSTITUTE(TRIM($AR659),"-",""),".",""),"/","")," ",""),8),7,2)),"")))</f>
        <v/>
      </c>
      <c r="AT659" s="23">
        <f>IF($AS659="","",IF($F$6="",0,IF(ISNUMBER(INDEX($A:$AP,ROW(),$F$6)),INDEX($A:$AP,ROW(),$F$6),IFERROR(--SUBSTITUTE(SUBSTITUTE(TRIM(INDEX($A:$AP,ROW(),$F$6)),",",""),"원",""),0))))</f>
        <v/>
      </c>
      <c r="AU659" s="23">
        <f>IF($AS659="","",IF($G$6="",0,IF(ISNUMBER(INDEX($A:$AP,ROW(),$G$6)),INDEX($A:$AP,ROW(),$G$6),IFERROR(--SUBSTITUTE(SUBSTITUTE(TRIM(INDEX($A:$AP,ROW(),$G$6)),",",""),"원",""),0))))</f>
        <v/>
      </c>
      <c r="AV659" s="23">
        <f>IF($AS659="","",IF($H$6="",$AT659+$AU659,IF($H$6="",0,IF(ISNUMBER(INDEX($A:$AP,ROW(),$H$6)),INDEX($A:$AP,ROW(),$H$6),IFERROR(--SUBSTITUTE(SUBSTITUTE(TRIM(INDEX($A:$AP,ROW(),$H$6)),",",""),"원",""),0)))))</f>
        <v/>
      </c>
      <c r="AW659" s="2">
        <f>IF(OR($AS659="",$C$6=""),"",TRIM(INDEX($A:$AP,ROW(),$C$6)&amp;""))</f>
        <v/>
      </c>
      <c r="AX659" s="2">
        <f>IF($AS659="","",IF($AZ659&lt;&gt;"",SUBSTITUTE(SUBSTITUTE($AZ659,"-","")," ",""),$AY659))</f>
        <v/>
      </c>
      <c r="AY659" s="2">
        <f>IF(OR($AS659="",$E$6=""),"",TRIM(INDEX($A:$AP,ROW(),$E$6)&amp;""))</f>
        <v/>
      </c>
      <c r="AZ659" s="2">
        <f>IF(OR($AS659="",$D$6=""),"",TRIM(INDEX($A:$AP,ROW(),$D$6)&amp;""))</f>
        <v/>
      </c>
      <c r="BA659" s="2">
        <f>IF($AS659="","",IF(AND($AS659&gt;=설정!$B$10,$AS659&lt;=설정!$B$11),"포함","기간 밖"))</f>
        <v/>
      </c>
      <c r="BB659" s="2">
        <f>IF($AS659="","",IF(OR($AT659&lt;0,AND($I$6&lt;&gt;"",ISNUMBER(FIND("수정",INDEX($A:$AP,ROW(),IF($I$6="",1,$I$6))&amp;"")))),"수정","일반"))</f>
        <v/>
      </c>
      <c r="BC659" s="2">
        <f>IF($AS659="","",MID(IF($BA659="기간 밖"," / 기간 밖(신고기간 아님)","")&amp;IF(AND($AW659&lt;&gt;"",COUNTIF($AW$8:$AW$1007,$AW659)&gt;1)," / 승인번호 중복(두 번 붙여넣기?)","")&amp;IF(ABS($AU659-ROUND($AT659*0.1,0))&gt;설정!$B$8,IF($AU659=0," / 세액 0원(영세율·면세 여부 확인)"," / 세액이 공급가액 10%와 다름"),"")&amp;IF($BB659="수정"," / 수정세금계산서(합계에서 자동 가감)",""),4,200))</f>
        <v/>
      </c>
      <c r="BD659" s="2">
        <f>IF($BA659&lt;&gt;"포함","",IF(COUNTIFS($AX$8:$AX659,$AX659,$BA$8:$BA659,"포함")=1,MAX($BD$7:BD658)+1,""))</f>
        <v/>
      </c>
      <c r="BE659" s="2">
        <f>IF($BC659="","",MAX($BE$7:BE658)+1)</f>
        <v/>
      </c>
    </row>
    <row r="660">
      <c r="AR660" s="2">
        <f>IF(OR($A$5="",$B$6="",ROW()&lt;$A$5),"",IF(INDEX($A:$AP,ROW(),$B$6)="","",INDEX($A:$AP,ROW(),$B$6)))</f>
        <v/>
      </c>
      <c r="AS660" s="22">
        <f>IF($AR660="","",IF(ISNUMBER($AR660),IF($AR660&gt;=10000000,IFERROR(DATE(INT($AR660/10000),MOD(INT($AR660/100),100),MOD($AR660,100)),""),INT($AR660)),IFERROR(DATE(--LEFT(LEFT(SUBSTITUTE(SUBSTITUTE(SUBSTITUTE(SUBSTITUTE(TRIM($AR660),"-",""),".",""),"/","")," ",""),8),4),--MID(LEFT(SUBSTITUTE(SUBSTITUTE(SUBSTITUTE(SUBSTITUTE(TRIM($AR660),"-",""),".",""),"/","")," ",""),8),5,2),--MID(LEFT(SUBSTITUTE(SUBSTITUTE(SUBSTITUTE(SUBSTITUTE(TRIM($AR660),"-",""),".",""),"/","")," ",""),8),7,2)),"")))</f>
        <v/>
      </c>
      <c r="AT660" s="23">
        <f>IF($AS660="","",IF($F$6="",0,IF(ISNUMBER(INDEX($A:$AP,ROW(),$F$6)),INDEX($A:$AP,ROW(),$F$6),IFERROR(--SUBSTITUTE(SUBSTITUTE(TRIM(INDEX($A:$AP,ROW(),$F$6)),",",""),"원",""),0))))</f>
        <v/>
      </c>
      <c r="AU660" s="23">
        <f>IF($AS660="","",IF($G$6="",0,IF(ISNUMBER(INDEX($A:$AP,ROW(),$G$6)),INDEX($A:$AP,ROW(),$G$6),IFERROR(--SUBSTITUTE(SUBSTITUTE(TRIM(INDEX($A:$AP,ROW(),$G$6)),",",""),"원",""),0))))</f>
        <v/>
      </c>
      <c r="AV660" s="23">
        <f>IF($AS660="","",IF($H$6="",$AT660+$AU660,IF($H$6="",0,IF(ISNUMBER(INDEX($A:$AP,ROW(),$H$6)),INDEX($A:$AP,ROW(),$H$6),IFERROR(--SUBSTITUTE(SUBSTITUTE(TRIM(INDEX($A:$AP,ROW(),$H$6)),",",""),"원",""),0)))))</f>
        <v/>
      </c>
      <c r="AW660" s="2">
        <f>IF(OR($AS660="",$C$6=""),"",TRIM(INDEX($A:$AP,ROW(),$C$6)&amp;""))</f>
        <v/>
      </c>
      <c r="AX660" s="2">
        <f>IF($AS660="","",IF($AZ660&lt;&gt;"",SUBSTITUTE(SUBSTITUTE($AZ660,"-","")," ",""),$AY660))</f>
        <v/>
      </c>
      <c r="AY660" s="2">
        <f>IF(OR($AS660="",$E$6=""),"",TRIM(INDEX($A:$AP,ROW(),$E$6)&amp;""))</f>
        <v/>
      </c>
      <c r="AZ660" s="2">
        <f>IF(OR($AS660="",$D$6=""),"",TRIM(INDEX($A:$AP,ROW(),$D$6)&amp;""))</f>
        <v/>
      </c>
      <c r="BA660" s="2">
        <f>IF($AS660="","",IF(AND($AS660&gt;=설정!$B$10,$AS660&lt;=설정!$B$11),"포함","기간 밖"))</f>
        <v/>
      </c>
      <c r="BB660" s="2">
        <f>IF($AS660="","",IF(OR($AT660&lt;0,AND($I$6&lt;&gt;"",ISNUMBER(FIND("수정",INDEX($A:$AP,ROW(),IF($I$6="",1,$I$6))&amp;"")))),"수정","일반"))</f>
        <v/>
      </c>
      <c r="BC660" s="2">
        <f>IF($AS660="","",MID(IF($BA660="기간 밖"," / 기간 밖(신고기간 아님)","")&amp;IF(AND($AW660&lt;&gt;"",COUNTIF($AW$8:$AW$1007,$AW660)&gt;1)," / 승인번호 중복(두 번 붙여넣기?)","")&amp;IF(ABS($AU660-ROUND($AT660*0.1,0))&gt;설정!$B$8,IF($AU660=0," / 세액 0원(영세율·면세 여부 확인)"," / 세액이 공급가액 10%와 다름"),"")&amp;IF($BB660="수정"," / 수정세금계산서(합계에서 자동 가감)",""),4,200))</f>
        <v/>
      </c>
      <c r="BD660" s="2">
        <f>IF($BA660&lt;&gt;"포함","",IF(COUNTIFS($AX$8:$AX660,$AX660,$BA$8:$BA660,"포함")=1,MAX($BD$7:BD659)+1,""))</f>
        <v/>
      </c>
      <c r="BE660" s="2">
        <f>IF($BC660="","",MAX($BE$7:BE659)+1)</f>
        <v/>
      </c>
    </row>
    <row r="661">
      <c r="AR661" s="2">
        <f>IF(OR($A$5="",$B$6="",ROW()&lt;$A$5),"",IF(INDEX($A:$AP,ROW(),$B$6)="","",INDEX($A:$AP,ROW(),$B$6)))</f>
        <v/>
      </c>
      <c r="AS661" s="22">
        <f>IF($AR661="","",IF(ISNUMBER($AR661),IF($AR661&gt;=10000000,IFERROR(DATE(INT($AR661/10000),MOD(INT($AR661/100),100),MOD($AR661,100)),""),INT($AR661)),IFERROR(DATE(--LEFT(LEFT(SUBSTITUTE(SUBSTITUTE(SUBSTITUTE(SUBSTITUTE(TRIM($AR661),"-",""),".",""),"/","")," ",""),8),4),--MID(LEFT(SUBSTITUTE(SUBSTITUTE(SUBSTITUTE(SUBSTITUTE(TRIM($AR661),"-",""),".",""),"/","")," ",""),8),5,2),--MID(LEFT(SUBSTITUTE(SUBSTITUTE(SUBSTITUTE(SUBSTITUTE(TRIM($AR661),"-",""),".",""),"/","")," ",""),8),7,2)),"")))</f>
        <v/>
      </c>
      <c r="AT661" s="23">
        <f>IF($AS661="","",IF($F$6="",0,IF(ISNUMBER(INDEX($A:$AP,ROW(),$F$6)),INDEX($A:$AP,ROW(),$F$6),IFERROR(--SUBSTITUTE(SUBSTITUTE(TRIM(INDEX($A:$AP,ROW(),$F$6)),",",""),"원",""),0))))</f>
        <v/>
      </c>
      <c r="AU661" s="23">
        <f>IF($AS661="","",IF($G$6="",0,IF(ISNUMBER(INDEX($A:$AP,ROW(),$G$6)),INDEX($A:$AP,ROW(),$G$6),IFERROR(--SUBSTITUTE(SUBSTITUTE(TRIM(INDEX($A:$AP,ROW(),$G$6)),",",""),"원",""),0))))</f>
        <v/>
      </c>
      <c r="AV661" s="23">
        <f>IF($AS661="","",IF($H$6="",$AT661+$AU661,IF($H$6="",0,IF(ISNUMBER(INDEX($A:$AP,ROW(),$H$6)),INDEX($A:$AP,ROW(),$H$6),IFERROR(--SUBSTITUTE(SUBSTITUTE(TRIM(INDEX($A:$AP,ROW(),$H$6)),",",""),"원",""),0)))))</f>
        <v/>
      </c>
      <c r="AW661" s="2">
        <f>IF(OR($AS661="",$C$6=""),"",TRIM(INDEX($A:$AP,ROW(),$C$6)&amp;""))</f>
        <v/>
      </c>
      <c r="AX661" s="2">
        <f>IF($AS661="","",IF($AZ661&lt;&gt;"",SUBSTITUTE(SUBSTITUTE($AZ661,"-","")," ",""),$AY661))</f>
        <v/>
      </c>
      <c r="AY661" s="2">
        <f>IF(OR($AS661="",$E$6=""),"",TRIM(INDEX($A:$AP,ROW(),$E$6)&amp;""))</f>
        <v/>
      </c>
      <c r="AZ661" s="2">
        <f>IF(OR($AS661="",$D$6=""),"",TRIM(INDEX($A:$AP,ROW(),$D$6)&amp;""))</f>
        <v/>
      </c>
      <c r="BA661" s="2">
        <f>IF($AS661="","",IF(AND($AS661&gt;=설정!$B$10,$AS661&lt;=설정!$B$11),"포함","기간 밖"))</f>
        <v/>
      </c>
      <c r="BB661" s="2">
        <f>IF($AS661="","",IF(OR($AT661&lt;0,AND($I$6&lt;&gt;"",ISNUMBER(FIND("수정",INDEX($A:$AP,ROW(),IF($I$6="",1,$I$6))&amp;"")))),"수정","일반"))</f>
        <v/>
      </c>
      <c r="BC661" s="2">
        <f>IF($AS661="","",MID(IF($BA661="기간 밖"," / 기간 밖(신고기간 아님)","")&amp;IF(AND($AW661&lt;&gt;"",COUNTIF($AW$8:$AW$1007,$AW661)&gt;1)," / 승인번호 중복(두 번 붙여넣기?)","")&amp;IF(ABS($AU661-ROUND($AT661*0.1,0))&gt;설정!$B$8,IF($AU661=0," / 세액 0원(영세율·면세 여부 확인)"," / 세액이 공급가액 10%와 다름"),"")&amp;IF($BB661="수정"," / 수정세금계산서(합계에서 자동 가감)",""),4,200))</f>
        <v/>
      </c>
      <c r="BD661" s="2">
        <f>IF($BA661&lt;&gt;"포함","",IF(COUNTIFS($AX$8:$AX661,$AX661,$BA$8:$BA661,"포함")=1,MAX($BD$7:BD660)+1,""))</f>
        <v/>
      </c>
      <c r="BE661" s="2">
        <f>IF($BC661="","",MAX($BE$7:BE660)+1)</f>
        <v/>
      </c>
    </row>
    <row r="662">
      <c r="AR662" s="2">
        <f>IF(OR($A$5="",$B$6="",ROW()&lt;$A$5),"",IF(INDEX($A:$AP,ROW(),$B$6)="","",INDEX($A:$AP,ROW(),$B$6)))</f>
        <v/>
      </c>
      <c r="AS662" s="22">
        <f>IF($AR662="","",IF(ISNUMBER($AR662),IF($AR662&gt;=10000000,IFERROR(DATE(INT($AR662/10000),MOD(INT($AR662/100),100),MOD($AR662,100)),""),INT($AR662)),IFERROR(DATE(--LEFT(LEFT(SUBSTITUTE(SUBSTITUTE(SUBSTITUTE(SUBSTITUTE(TRIM($AR662),"-",""),".",""),"/","")," ",""),8),4),--MID(LEFT(SUBSTITUTE(SUBSTITUTE(SUBSTITUTE(SUBSTITUTE(TRIM($AR662),"-",""),".",""),"/","")," ",""),8),5,2),--MID(LEFT(SUBSTITUTE(SUBSTITUTE(SUBSTITUTE(SUBSTITUTE(TRIM($AR662),"-",""),".",""),"/","")," ",""),8),7,2)),"")))</f>
        <v/>
      </c>
      <c r="AT662" s="23">
        <f>IF($AS662="","",IF($F$6="",0,IF(ISNUMBER(INDEX($A:$AP,ROW(),$F$6)),INDEX($A:$AP,ROW(),$F$6),IFERROR(--SUBSTITUTE(SUBSTITUTE(TRIM(INDEX($A:$AP,ROW(),$F$6)),",",""),"원",""),0))))</f>
        <v/>
      </c>
      <c r="AU662" s="23">
        <f>IF($AS662="","",IF($G$6="",0,IF(ISNUMBER(INDEX($A:$AP,ROW(),$G$6)),INDEX($A:$AP,ROW(),$G$6),IFERROR(--SUBSTITUTE(SUBSTITUTE(TRIM(INDEX($A:$AP,ROW(),$G$6)),",",""),"원",""),0))))</f>
        <v/>
      </c>
      <c r="AV662" s="23">
        <f>IF($AS662="","",IF($H$6="",$AT662+$AU662,IF($H$6="",0,IF(ISNUMBER(INDEX($A:$AP,ROW(),$H$6)),INDEX($A:$AP,ROW(),$H$6),IFERROR(--SUBSTITUTE(SUBSTITUTE(TRIM(INDEX($A:$AP,ROW(),$H$6)),",",""),"원",""),0)))))</f>
        <v/>
      </c>
      <c r="AW662" s="2">
        <f>IF(OR($AS662="",$C$6=""),"",TRIM(INDEX($A:$AP,ROW(),$C$6)&amp;""))</f>
        <v/>
      </c>
      <c r="AX662" s="2">
        <f>IF($AS662="","",IF($AZ662&lt;&gt;"",SUBSTITUTE(SUBSTITUTE($AZ662,"-","")," ",""),$AY662))</f>
        <v/>
      </c>
      <c r="AY662" s="2">
        <f>IF(OR($AS662="",$E$6=""),"",TRIM(INDEX($A:$AP,ROW(),$E$6)&amp;""))</f>
        <v/>
      </c>
      <c r="AZ662" s="2">
        <f>IF(OR($AS662="",$D$6=""),"",TRIM(INDEX($A:$AP,ROW(),$D$6)&amp;""))</f>
        <v/>
      </c>
      <c r="BA662" s="2">
        <f>IF($AS662="","",IF(AND($AS662&gt;=설정!$B$10,$AS662&lt;=설정!$B$11),"포함","기간 밖"))</f>
        <v/>
      </c>
      <c r="BB662" s="2">
        <f>IF($AS662="","",IF(OR($AT662&lt;0,AND($I$6&lt;&gt;"",ISNUMBER(FIND("수정",INDEX($A:$AP,ROW(),IF($I$6="",1,$I$6))&amp;"")))),"수정","일반"))</f>
        <v/>
      </c>
      <c r="BC662" s="2">
        <f>IF($AS662="","",MID(IF($BA662="기간 밖"," / 기간 밖(신고기간 아님)","")&amp;IF(AND($AW662&lt;&gt;"",COUNTIF($AW$8:$AW$1007,$AW662)&gt;1)," / 승인번호 중복(두 번 붙여넣기?)","")&amp;IF(ABS($AU662-ROUND($AT662*0.1,0))&gt;설정!$B$8,IF($AU662=0," / 세액 0원(영세율·면세 여부 확인)"," / 세액이 공급가액 10%와 다름"),"")&amp;IF($BB662="수정"," / 수정세금계산서(합계에서 자동 가감)",""),4,200))</f>
        <v/>
      </c>
      <c r="BD662" s="2">
        <f>IF($BA662&lt;&gt;"포함","",IF(COUNTIFS($AX$8:$AX662,$AX662,$BA$8:$BA662,"포함")=1,MAX($BD$7:BD661)+1,""))</f>
        <v/>
      </c>
      <c r="BE662" s="2">
        <f>IF($BC662="","",MAX($BE$7:BE661)+1)</f>
        <v/>
      </c>
    </row>
    <row r="663">
      <c r="AR663" s="2">
        <f>IF(OR($A$5="",$B$6="",ROW()&lt;$A$5),"",IF(INDEX($A:$AP,ROW(),$B$6)="","",INDEX($A:$AP,ROW(),$B$6)))</f>
        <v/>
      </c>
      <c r="AS663" s="22">
        <f>IF($AR663="","",IF(ISNUMBER($AR663),IF($AR663&gt;=10000000,IFERROR(DATE(INT($AR663/10000),MOD(INT($AR663/100),100),MOD($AR663,100)),""),INT($AR663)),IFERROR(DATE(--LEFT(LEFT(SUBSTITUTE(SUBSTITUTE(SUBSTITUTE(SUBSTITUTE(TRIM($AR663),"-",""),".",""),"/","")," ",""),8),4),--MID(LEFT(SUBSTITUTE(SUBSTITUTE(SUBSTITUTE(SUBSTITUTE(TRIM($AR663),"-",""),".",""),"/","")," ",""),8),5,2),--MID(LEFT(SUBSTITUTE(SUBSTITUTE(SUBSTITUTE(SUBSTITUTE(TRIM($AR663),"-",""),".",""),"/","")," ",""),8),7,2)),"")))</f>
        <v/>
      </c>
      <c r="AT663" s="23">
        <f>IF($AS663="","",IF($F$6="",0,IF(ISNUMBER(INDEX($A:$AP,ROW(),$F$6)),INDEX($A:$AP,ROW(),$F$6),IFERROR(--SUBSTITUTE(SUBSTITUTE(TRIM(INDEX($A:$AP,ROW(),$F$6)),",",""),"원",""),0))))</f>
        <v/>
      </c>
      <c r="AU663" s="23">
        <f>IF($AS663="","",IF($G$6="",0,IF(ISNUMBER(INDEX($A:$AP,ROW(),$G$6)),INDEX($A:$AP,ROW(),$G$6),IFERROR(--SUBSTITUTE(SUBSTITUTE(TRIM(INDEX($A:$AP,ROW(),$G$6)),",",""),"원",""),0))))</f>
        <v/>
      </c>
      <c r="AV663" s="23">
        <f>IF($AS663="","",IF($H$6="",$AT663+$AU663,IF($H$6="",0,IF(ISNUMBER(INDEX($A:$AP,ROW(),$H$6)),INDEX($A:$AP,ROW(),$H$6),IFERROR(--SUBSTITUTE(SUBSTITUTE(TRIM(INDEX($A:$AP,ROW(),$H$6)),",",""),"원",""),0)))))</f>
        <v/>
      </c>
      <c r="AW663" s="2">
        <f>IF(OR($AS663="",$C$6=""),"",TRIM(INDEX($A:$AP,ROW(),$C$6)&amp;""))</f>
        <v/>
      </c>
      <c r="AX663" s="2">
        <f>IF($AS663="","",IF($AZ663&lt;&gt;"",SUBSTITUTE(SUBSTITUTE($AZ663,"-","")," ",""),$AY663))</f>
        <v/>
      </c>
      <c r="AY663" s="2">
        <f>IF(OR($AS663="",$E$6=""),"",TRIM(INDEX($A:$AP,ROW(),$E$6)&amp;""))</f>
        <v/>
      </c>
      <c r="AZ663" s="2">
        <f>IF(OR($AS663="",$D$6=""),"",TRIM(INDEX($A:$AP,ROW(),$D$6)&amp;""))</f>
        <v/>
      </c>
      <c r="BA663" s="2">
        <f>IF($AS663="","",IF(AND($AS663&gt;=설정!$B$10,$AS663&lt;=설정!$B$11),"포함","기간 밖"))</f>
        <v/>
      </c>
      <c r="BB663" s="2">
        <f>IF($AS663="","",IF(OR($AT663&lt;0,AND($I$6&lt;&gt;"",ISNUMBER(FIND("수정",INDEX($A:$AP,ROW(),IF($I$6="",1,$I$6))&amp;"")))),"수정","일반"))</f>
        <v/>
      </c>
      <c r="BC663" s="2">
        <f>IF($AS663="","",MID(IF($BA663="기간 밖"," / 기간 밖(신고기간 아님)","")&amp;IF(AND($AW663&lt;&gt;"",COUNTIF($AW$8:$AW$1007,$AW663)&gt;1)," / 승인번호 중복(두 번 붙여넣기?)","")&amp;IF(ABS($AU663-ROUND($AT663*0.1,0))&gt;설정!$B$8,IF($AU663=0," / 세액 0원(영세율·면세 여부 확인)"," / 세액이 공급가액 10%와 다름"),"")&amp;IF($BB663="수정"," / 수정세금계산서(합계에서 자동 가감)",""),4,200))</f>
        <v/>
      </c>
      <c r="BD663" s="2">
        <f>IF($BA663&lt;&gt;"포함","",IF(COUNTIFS($AX$8:$AX663,$AX663,$BA$8:$BA663,"포함")=1,MAX($BD$7:BD662)+1,""))</f>
        <v/>
      </c>
      <c r="BE663" s="2">
        <f>IF($BC663="","",MAX($BE$7:BE662)+1)</f>
        <v/>
      </c>
    </row>
    <row r="664">
      <c r="AR664" s="2">
        <f>IF(OR($A$5="",$B$6="",ROW()&lt;$A$5),"",IF(INDEX($A:$AP,ROW(),$B$6)="","",INDEX($A:$AP,ROW(),$B$6)))</f>
        <v/>
      </c>
      <c r="AS664" s="22">
        <f>IF($AR664="","",IF(ISNUMBER($AR664),IF($AR664&gt;=10000000,IFERROR(DATE(INT($AR664/10000),MOD(INT($AR664/100),100),MOD($AR664,100)),""),INT($AR664)),IFERROR(DATE(--LEFT(LEFT(SUBSTITUTE(SUBSTITUTE(SUBSTITUTE(SUBSTITUTE(TRIM($AR664),"-",""),".",""),"/","")," ",""),8),4),--MID(LEFT(SUBSTITUTE(SUBSTITUTE(SUBSTITUTE(SUBSTITUTE(TRIM($AR664),"-",""),".",""),"/","")," ",""),8),5,2),--MID(LEFT(SUBSTITUTE(SUBSTITUTE(SUBSTITUTE(SUBSTITUTE(TRIM($AR664),"-",""),".",""),"/","")," ",""),8),7,2)),"")))</f>
        <v/>
      </c>
      <c r="AT664" s="23">
        <f>IF($AS664="","",IF($F$6="",0,IF(ISNUMBER(INDEX($A:$AP,ROW(),$F$6)),INDEX($A:$AP,ROW(),$F$6),IFERROR(--SUBSTITUTE(SUBSTITUTE(TRIM(INDEX($A:$AP,ROW(),$F$6)),",",""),"원",""),0))))</f>
        <v/>
      </c>
      <c r="AU664" s="23">
        <f>IF($AS664="","",IF($G$6="",0,IF(ISNUMBER(INDEX($A:$AP,ROW(),$G$6)),INDEX($A:$AP,ROW(),$G$6),IFERROR(--SUBSTITUTE(SUBSTITUTE(TRIM(INDEX($A:$AP,ROW(),$G$6)),",",""),"원",""),0))))</f>
        <v/>
      </c>
      <c r="AV664" s="23">
        <f>IF($AS664="","",IF($H$6="",$AT664+$AU664,IF($H$6="",0,IF(ISNUMBER(INDEX($A:$AP,ROW(),$H$6)),INDEX($A:$AP,ROW(),$H$6),IFERROR(--SUBSTITUTE(SUBSTITUTE(TRIM(INDEX($A:$AP,ROW(),$H$6)),",",""),"원",""),0)))))</f>
        <v/>
      </c>
      <c r="AW664" s="2">
        <f>IF(OR($AS664="",$C$6=""),"",TRIM(INDEX($A:$AP,ROW(),$C$6)&amp;""))</f>
        <v/>
      </c>
      <c r="AX664" s="2">
        <f>IF($AS664="","",IF($AZ664&lt;&gt;"",SUBSTITUTE(SUBSTITUTE($AZ664,"-","")," ",""),$AY664))</f>
        <v/>
      </c>
      <c r="AY664" s="2">
        <f>IF(OR($AS664="",$E$6=""),"",TRIM(INDEX($A:$AP,ROW(),$E$6)&amp;""))</f>
        <v/>
      </c>
      <c r="AZ664" s="2">
        <f>IF(OR($AS664="",$D$6=""),"",TRIM(INDEX($A:$AP,ROW(),$D$6)&amp;""))</f>
        <v/>
      </c>
      <c r="BA664" s="2">
        <f>IF($AS664="","",IF(AND($AS664&gt;=설정!$B$10,$AS664&lt;=설정!$B$11),"포함","기간 밖"))</f>
        <v/>
      </c>
      <c r="BB664" s="2">
        <f>IF($AS664="","",IF(OR($AT664&lt;0,AND($I$6&lt;&gt;"",ISNUMBER(FIND("수정",INDEX($A:$AP,ROW(),IF($I$6="",1,$I$6))&amp;"")))),"수정","일반"))</f>
        <v/>
      </c>
      <c r="BC664" s="2">
        <f>IF($AS664="","",MID(IF($BA664="기간 밖"," / 기간 밖(신고기간 아님)","")&amp;IF(AND($AW664&lt;&gt;"",COUNTIF($AW$8:$AW$1007,$AW664)&gt;1)," / 승인번호 중복(두 번 붙여넣기?)","")&amp;IF(ABS($AU664-ROUND($AT664*0.1,0))&gt;설정!$B$8,IF($AU664=0," / 세액 0원(영세율·면세 여부 확인)"," / 세액이 공급가액 10%와 다름"),"")&amp;IF($BB664="수정"," / 수정세금계산서(합계에서 자동 가감)",""),4,200))</f>
        <v/>
      </c>
      <c r="BD664" s="2">
        <f>IF($BA664&lt;&gt;"포함","",IF(COUNTIFS($AX$8:$AX664,$AX664,$BA$8:$BA664,"포함")=1,MAX($BD$7:BD663)+1,""))</f>
        <v/>
      </c>
      <c r="BE664" s="2">
        <f>IF($BC664="","",MAX($BE$7:BE663)+1)</f>
        <v/>
      </c>
    </row>
    <row r="665">
      <c r="AR665" s="2">
        <f>IF(OR($A$5="",$B$6="",ROW()&lt;$A$5),"",IF(INDEX($A:$AP,ROW(),$B$6)="","",INDEX($A:$AP,ROW(),$B$6)))</f>
        <v/>
      </c>
      <c r="AS665" s="22">
        <f>IF($AR665="","",IF(ISNUMBER($AR665),IF($AR665&gt;=10000000,IFERROR(DATE(INT($AR665/10000),MOD(INT($AR665/100),100),MOD($AR665,100)),""),INT($AR665)),IFERROR(DATE(--LEFT(LEFT(SUBSTITUTE(SUBSTITUTE(SUBSTITUTE(SUBSTITUTE(TRIM($AR665),"-",""),".",""),"/","")," ",""),8),4),--MID(LEFT(SUBSTITUTE(SUBSTITUTE(SUBSTITUTE(SUBSTITUTE(TRIM($AR665),"-",""),".",""),"/","")," ",""),8),5,2),--MID(LEFT(SUBSTITUTE(SUBSTITUTE(SUBSTITUTE(SUBSTITUTE(TRIM($AR665),"-",""),".",""),"/","")," ",""),8),7,2)),"")))</f>
        <v/>
      </c>
      <c r="AT665" s="23">
        <f>IF($AS665="","",IF($F$6="",0,IF(ISNUMBER(INDEX($A:$AP,ROW(),$F$6)),INDEX($A:$AP,ROW(),$F$6),IFERROR(--SUBSTITUTE(SUBSTITUTE(TRIM(INDEX($A:$AP,ROW(),$F$6)),",",""),"원",""),0))))</f>
        <v/>
      </c>
      <c r="AU665" s="23">
        <f>IF($AS665="","",IF($G$6="",0,IF(ISNUMBER(INDEX($A:$AP,ROW(),$G$6)),INDEX($A:$AP,ROW(),$G$6),IFERROR(--SUBSTITUTE(SUBSTITUTE(TRIM(INDEX($A:$AP,ROW(),$G$6)),",",""),"원",""),0))))</f>
        <v/>
      </c>
      <c r="AV665" s="23">
        <f>IF($AS665="","",IF($H$6="",$AT665+$AU665,IF($H$6="",0,IF(ISNUMBER(INDEX($A:$AP,ROW(),$H$6)),INDEX($A:$AP,ROW(),$H$6),IFERROR(--SUBSTITUTE(SUBSTITUTE(TRIM(INDEX($A:$AP,ROW(),$H$6)),",",""),"원",""),0)))))</f>
        <v/>
      </c>
      <c r="AW665" s="2">
        <f>IF(OR($AS665="",$C$6=""),"",TRIM(INDEX($A:$AP,ROW(),$C$6)&amp;""))</f>
        <v/>
      </c>
      <c r="AX665" s="2">
        <f>IF($AS665="","",IF($AZ665&lt;&gt;"",SUBSTITUTE(SUBSTITUTE($AZ665,"-","")," ",""),$AY665))</f>
        <v/>
      </c>
      <c r="AY665" s="2">
        <f>IF(OR($AS665="",$E$6=""),"",TRIM(INDEX($A:$AP,ROW(),$E$6)&amp;""))</f>
        <v/>
      </c>
      <c r="AZ665" s="2">
        <f>IF(OR($AS665="",$D$6=""),"",TRIM(INDEX($A:$AP,ROW(),$D$6)&amp;""))</f>
        <v/>
      </c>
      <c r="BA665" s="2">
        <f>IF($AS665="","",IF(AND($AS665&gt;=설정!$B$10,$AS665&lt;=설정!$B$11),"포함","기간 밖"))</f>
        <v/>
      </c>
      <c r="BB665" s="2">
        <f>IF($AS665="","",IF(OR($AT665&lt;0,AND($I$6&lt;&gt;"",ISNUMBER(FIND("수정",INDEX($A:$AP,ROW(),IF($I$6="",1,$I$6))&amp;"")))),"수정","일반"))</f>
        <v/>
      </c>
      <c r="BC665" s="2">
        <f>IF($AS665="","",MID(IF($BA665="기간 밖"," / 기간 밖(신고기간 아님)","")&amp;IF(AND($AW665&lt;&gt;"",COUNTIF($AW$8:$AW$1007,$AW665)&gt;1)," / 승인번호 중복(두 번 붙여넣기?)","")&amp;IF(ABS($AU665-ROUND($AT665*0.1,0))&gt;설정!$B$8,IF($AU665=0," / 세액 0원(영세율·면세 여부 확인)"," / 세액이 공급가액 10%와 다름"),"")&amp;IF($BB665="수정"," / 수정세금계산서(합계에서 자동 가감)",""),4,200))</f>
        <v/>
      </c>
      <c r="BD665" s="2">
        <f>IF($BA665&lt;&gt;"포함","",IF(COUNTIFS($AX$8:$AX665,$AX665,$BA$8:$BA665,"포함")=1,MAX($BD$7:BD664)+1,""))</f>
        <v/>
      </c>
      <c r="BE665" s="2">
        <f>IF($BC665="","",MAX($BE$7:BE664)+1)</f>
        <v/>
      </c>
    </row>
    <row r="666">
      <c r="AR666" s="2">
        <f>IF(OR($A$5="",$B$6="",ROW()&lt;$A$5),"",IF(INDEX($A:$AP,ROW(),$B$6)="","",INDEX($A:$AP,ROW(),$B$6)))</f>
        <v/>
      </c>
      <c r="AS666" s="22">
        <f>IF($AR666="","",IF(ISNUMBER($AR666),IF($AR666&gt;=10000000,IFERROR(DATE(INT($AR666/10000),MOD(INT($AR666/100),100),MOD($AR666,100)),""),INT($AR666)),IFERROR(DATE(--LEFT(LEFT(SUBSTITUTE(SUBSTITUTE(SUBSTITUTE(SUBSTITUTE(TRIM($AR666),"-",""),".",""),"/","")," ",""),8),4),--MID(LEFT(SUBSTITUTE(SUBSTITUTE(SUBSTITUTE(SUBSTITUTE(TRIM($AR666),"-",""),".",""),"/","")," ",""),8),5,2),--MID(LEFT(SUBSTITUTE(SUBSTITUTE(SUBSTITUTE(SUBSTITUTE(TRIM($AR666),"-",""),".",""),"/","")," ",""),8),7,2)),"")))</f>
        <v/>
      </c>
      <c r="AT666" s="23">
        <f>IF($AS666="","",IF($F$6="",0,IF(ISNUMBER(INDEX($A:$AP,ROW(),$F$6)),INDEX($A:$AP,ROW(),$F$6),IFERROR(--SUBSTITUTE(SUBSTITUTE(TRIM(INDEX($A:$AP,ROW(),$F$6)),",",""),"원",""),0))))</f>
        <v/>
      </c>
      <c r="AU666" s="23">
        <f>IF($AS666="","",IF($G$6="",0,IF(ISNUMBER(INDEX($A:$AP,ROW(),$G$6)),INDEX($A:$AP,ROW(),$G$6),IFERROR(--SUBSTITUTE(SUBSTITUTE(TRIM(INDEX($A:$AP,ROW(),$G$6)),",",""),"원",""),0))))</f>
        <v/>
      </c>
      <c r="AV666" s="23">
        <f>IF($AS666="","",IF($H$6="",$AT666+$AU666,IF($H$6="",0,IF(ISNUMBER(INDEX($A:$AP,ROW(),$H$6)),INDEX($A:$AP,ROW(),$H$6),IFERROR(--SUBSTITUTE(SUBSTITUTE(TRIM(INDEX($A:$AP,ROW(),$H$6)),",",""),"원",""),0)))))</f>
        <v/>
      </c>
      <c r="AW666" s="2">
        <f>IF(OR($AS666="",$C$6=""),"",TRIM(INDEX($A:$AP,ROW(),$C$6)&amp;""))</f>
        <v/>
      </c>
      <c r="AX666" s="2">
        <f>IF($AS666="","",IF($AZ666&lt;&gt;"",SUBSTITUTE(SUBSTITUTE($AZ666,"-","")," ",""),$AY666))</f>
        <v/>
      </c>
      <c r="AY666" s="2">
        <f>IF(OR($AS666="",$E$6=""),"",TRIM(INDEX($A:$AP,ROW(),$E$6)&amp;""))</f>
        <v/>
      </c>
      <c r="AZ666" s="2">
        <f>IF(OR($AS666="",$D$6=""),"",TRIM(INDEX($A:$AP,ROW(),$D$6)&amp;""))</f>
        <v/>
      </c>
      <c r="BA666" s="2">
        <f>IF($AS666="","",IF(AND($AS666&gt;=설정!$B$10,$AS666&lt;=설정!$B$11),"포함","기간 밖"))</f>
        <v/>
      </c>
      <c r="BB666" s="2">
        <f>IF($AS666="","",IF(OR($AT666&lt;0,AND($I$6&lt;&gt;"",ISNUMBER(FIND("수정",INDEX($A:$AP,ROW(),IF($I$6="",1,$I$6))&amp;"")))),"수정","일반"))</f>
        <v/>
      </c>
      <c r="BC666" s="2">
        <f>IF($AS666="","",MID(IF($BA666="기간 밖"," / 기간 밖(신고기간 아님)","")&amp;IF(AND($AW666&lt;&gt;"",COUNTIF($AW$8:$AW$1007,$AW666)&gt;1)," / 승인번호 중복(두 번 붙여넣기?)","")&amp;IF(ABS($AU666-ROUND($AT666*0.1,0))&gt;설정!$B$8,IF($AU666=0," / 세액 0원(영세율·면세 여부 확인)"," / 세액이 공급가액 10%와 다름"),"")&amp;IF($BB666="수정"," / 수정세금계산서(합계에서 자동 가감)",""),4,200))</f>
        <v/>
      </c>
      <c r="BD666" s="2">
        <f>IF($BA666&lt;&gt;"포함","",IF(COUNTIFS($AX$8:$AX666,$AX666,$BA$8:$BA666,"포함")=1,MAX($BD$7:BD665)+1,""))</f>
        <v/>
      </c>
      <c r="BE666" s="2">
        <f>IF($BC666="","",MAX($BE$7:BE665)+1)</f>
        <v/>
      </c>
    </row>
    <row r="667">
      <c r="AR667" s="2">
        <f>IF(OR($A$5="",$B$6="",ROW()&lt;$A$5),"",IF(INDEX($A:$AP,ROW(),$B$6)="","",INDEX($A:$AP,ROW(),$B$6)))</f>
        <v/>
      </c>
      <c r="AS667" s="22">
        <f>IF($AR667="","",IF(ISNUMBER($AR667),IF($AR667&gt;=10000000,IFERROR(DATE(INT($AR667/10000),MOD(INT($AR667/100),100),MOD($AR667,100)),""),INT($AR667)),IFERROR(DATE(--LEFT(LEFT(SUBSTITUTE(SUBSTITUTE(SUBSTITUTE(SUBSTITUTE(TRIM($AR667),"-",""),".",""),"/","")," ",""),8),4),--MID(LEFT(SUBSTITUTE(SUBSTITUTE(SUBSTITUTE(SUBSTITUTE(TRIM($AR667),"-",""),".",""),"/","")," ",""),8),5,2),--MID(LEFT(SUBSTITUTE(SUBSTITUTE(SUBSTITUTE(SUBSTITUTE(TRIM($AR667),"-",""),".",""),"/","")," ",""),8),7,2)),"")))</f>
        <v/>
      </c>
      <c r="AT667" s="23">
        <f>IF($AS667="","",IF($F$6="",0,IF(ISNUMBER(INDEX($A:$AP,ROW(),$F$6)),INDEX($A:$AP,ROW(),$F$6),IFERROR(--SUBSTITUTE(SUBSTITUTE(TRIM(INDEX($A:$AP,ROW(),$F$6)),",",""),"원",""),0))))</f>
        <v/>
      </c>
      <c r="AU667" s="23">
        <f>IF($AS667="","",IF($G$6="",0,IF(ISNUMBER(INDEX($A:$AP,ROW(),$G$6)),INDEX($A:$AP,ROW(),$G$6),IFERROR(--SUBSTITUTE(SUBSTITUTE(TRIM(INDEX($A:$AP,ROW(),$G$6)),",",""),"원",""),0))))</f>
        <v/>
      </c>
      <c r="AV667" s="23">
        <f>IF($AS667="","",IF($H$6="",$AT667+$AU667,IF($H$6="",0,IF(ISNUMBER(INDEX($A:$AP,ROW(),$H$6)),INDEX($A:$AP,ROW(),$H$6),IFERROR(--SUBSTITUTE(SUBSTITUTE(TRIM(INDEX($A:$AP,ROW(),$H$6)),",",""),"원",""),0)))))</f>
        <v/>
      </c>
      <c r="AW667" s="2">
        <f>IF(OR($AS667="",$C$6=""),"",TRIM(INDEX($A:$AP,ROW(),$C$6)&amp;""))</f>
        <v/>
      </c>
      <c r="AX667" s="2">
        <f>IF($AS667="","",IF($AZ667&lt;&gt;"",SUBSTITUTE(SUBSTITUTE($AZ667,"-","")," ",""),$AY667))</f>
        <v/>
      </c>
      <c r="AY667" s="2">
        <f>IF(OR($AS667="",$E$6=""),"",TRIM(INDEX($A:$AP,ROW(),$E$6)&amp;""))</f>
        <v/>
      </c>
      <c r="AZ667" s="2">
        <f>IF(OR($AS667="",$D$6=""),"",TRIM(INDEX($A:$AP,ROW(),$D$6)&amp;""))</f>
        <v/>
      </c>
      <c r="BA667" s="2">
        <f>IF($AS667="","",IF(AND($AS667&gt;=설정!$B$10,$AS667&lt;=설정!$B$11),"포함","기간 밖"))</f>
        <v/>
      </c>
      <c r="BB667" s="2">
        <f>IF($AS667="","",IF(OR($AT667&lt;0,AND($I$6&lt;&gt;"",ISNUMBER(FIND("수정",INDEX($A:$AP,ROW(),IF($I$6="",1,$I$6))&amp;"")))),"수정","일반"))</f>
        <v/>
      </c>
      <c r="BC667" s="2">
        <f>IF($AS667="","",MID(IF($BA667="기간 밖"," / 기간 밖(신고기간 아님)","")&amp;IF(AND($AW667&lt;&gt;"",COUNTIF($AW$8:$AW$1007,$AW667)&gt;1)," / 승인번호 중복(두 번 붙여넣기?)","")&amp;IF(ABS($AU667-ROUND($AT667*0.1,0))&gt;설정!$B$8,IF($AU667=0," / 세액 0원(영세율·면세 여부 확인)"," / 세액이 공급가액 10%와 다름"),"")&amp;IF($BB667="수정"," / 수정세금계산서(합계에서 자동 가감)",""),4,200))</f>
        <v/>
      </c>
      <c r="BD667" s="2">
        <f>IF($BA667&lt;&gt;"포함","",IF(COUNTIFS($AX$8:$AX667,$AX667,$BA$8:$BA667,"포함")=1,MAX($BD$7:BD666)+1,""))</f>
        <v/>
      </c>
      <c r="BE667" s="2">
        <f>IF($BC667="","",MAX($BE$7:BE666)+1)</f>
        <v/>
      </c>
    </row>
    <row r="668">
      <c r="AR668" s="2">
        <f>IF(OR($A$5="",$B$6="",ROW()&lt;$A$5),"",IF(INDEX($A:$AP,ROW(),$B$6)="","",INDEX($A:$AP,ROW(),$B$6)))</f>
        <v/>
      </c>
      <c r="AS668" s="22">
        <f>IF($AR668="","",IF(ISNUMBER($AR668),IF($AR668&gt;=10000000,IFERROR(DATE(INT($AR668/10000),MOD(INT($AR668/100),100),MOD($AR668,100)),""),INT($AR668)),IFERROR(DATE(--LEFT(LEFT(SUBSTITUTE(SUBSTITUTE(SUBSTITUTE(SUBSTITUTE(TRIM($AR668),"-",""),".",""),"/","")," ",""),8),4),--MID(LEFT(SUBSTITUTE(SUBSTITUTE(SUBSTITUTE(SUBSTITUTE(TRIM($AR668),"-",""),".",""),"/","")," ",""),8),5,2),--MID(LEFT(SUBSTITUTE(SUBSTITUTE(SUBSTITUTE(SUBSTITUTE(TRIM($AR668),"-",""),".",""),"/","")," ",""),8),7,2)),"")))</f>
        <v/>
      </c>
      <c r="AT668" s="23">
        <f>IF($AS668="","",IF($F$6="",0,IF(ISNUMBER(INDEX($A:$AP,ROW(),$F$6)),INDEX($A:$AP,ROW(),$F$6),IFERROR(--SUBSTITUTE(SUBSTITUTE(TRIM(INDEX($A:$AP,ROW(),$F$6)),",",""),"원",""),0))))</f>
        <v/>
      </c>
      <c r="AU668" s="23">
        <f>IF($AS668="","",IF($G$6="",0,IF(ISNUMBER(INDEX($A:$AP,ROW(),$G$6)),INDEX($A:$AP,ROW(),$G$6),IFERROR(--SUBSTITUTE(SUBSTITUTE(TRIM(INDEX($A:$AP,ROW(),$G$6)),",",""),"원",""),0))))</f>
        <v/>
      </c>
      <c r="AV668" s="23">
        <f>IF($AS668="","",IF($H$6="",$AT668+$AU668,IF($H$6="",0,IF(ISNUMBER(INDEX($A:$AP,ROW(),$H$6)),INDEX($A:$AP,ROW(),$H$6),IFERROR(--SUBSTITUTE(SUBSTITUTE(TRIM(INDEX($A:$AP,ROW(),$H$6)),",",""),"원",""),0)))))</f>
        <v/>
      </c>
      <c r="AW668" s="2">
        <f>IF(OR($AS668="",$C$6=""),"",TRIM(INDEX($A:$AP,ROW(),$C$6)&amp;""))</f>
        <v/>
      </c>
      <c r="AX668" s="2">
        <f>IF($AS668="","",IF($AZ668&lt;&gt;"",SUBSTITUTE(SUBSTITUTE($AZ668,"-","")," ",""),$AY668))</f>
        <v/>
      </c>
      <c r="AY668" s="2">
        <f>IF(OR($AS668="",$E$6=""),"",TRIM(INDEX($A:$AP,ROW(),$E$6)&amp;""))</f>
        <v/>
      </c>
      <c r="AZ668" s="2">
        <f>IF(OR($AS668="",$D$6=""),"",TRIM(INDEX($A:$AP,ROW(),$D$6)&amp;""))</f>
        <v/>
      </c>
      <c r="BA668" s="2">
        <f>IF($AS668="","",IF(AND($AS668&gt;=설정!$B$10,$AS668&lt;=설정!$B$11),"포함","기간 밖"))</f>
        <v/>
      </c>
      <c r="BB668" s="2">
        <f>IF($AS668="","",IF(OR($AT668&lt;0,AND($I$6&lt;&gt;"",ISNUMBER(FIND("수정",INDEX($A:$AP,ROW(),IF($I$6="",1,$I$6))&amp;"")))),"수정","일반"))</f>
        <v/>
      </c>
      <c r="BC668" s="2">
        <f>IF($AS668="","",MID(IF($BA668="기간 밖"," / 기간 밖(신고기간 아님)","")&amp;IF(AND($AW668&lt;&gt;"",COUNTIF($AW$8:$AW$1007,$AW668)&gt;1)," / 승인번호 중복(두 번 붙여넣기?)","")&amp;IF(ABS($AU668-ROUND($AT668*0.1,0))&gt;설정!$B$8,IF($AU668=0," / 세액 0원(영세율·면세 여부 확인)"," / 세액이 공급가액 10%와 다름"),"")&amp;IF($BB668="수정"," / 수정세금계산서(합계에서 자동 가감)",""),4,200))</f>
        <v/>
      </c>
      <c r="BD668" s="2">
        <f>IF($BA668&lt;&gt;"포함","",IF(COUNTIFS($AX$8:$AX668,$AX668,$BA$8:$BA668,"포함")=1,MAX($BD$7:BD667)+1,""))</f>
        <v/>
      </c>
      <c r="BE668" s="2">
        <f>IF($BC668="","",MAX($BE$7:BE667)+1)</f>
        <v/>
      </c>
    </row>
    <row r="669">
      <c r="AR669" s="2">
        <f>IF(OR($A$5="",$B$6="",ROW()&lt;$A$5),"",IF(INDEX($A:$AP,ROW(),$B$6)="","",INDEX($A:$AP,ROW(),$B$6)))</f>
        <v/>
      </c>
      <c r="AS669" s="22">
        <f>IF($AR669="","",IF(ISNUMBER($AR669),IF($AR669&gt;=10000000,IFERROR(DATE(INT($AR669/10000),MOD(INT($AR669/100),100),MOD($AR669,100)),""),INT($AR669)),IFERROR(DATE(--LEFT(LEFT(SUBSTITUTE(SUBSTITUTE(SUBSTITUTE(SUBSTITUTE(TRIM($AR669),"-",""),".",""),"/","")," ",""),8),4),--MID(LEFT(SUBSTITUTE(SUBSTITUTE(SUBSTITUTE(SUBSTITUTE(TRIM($AR669),"-",""),".",""),"/","")," ",""),8),5,2),--MID(LEFT(SUBSTITUTE(SUBSTITUTE(SUBSTITUTE(SUBSTITUTE(TRIM($AR669),"-",""),".",""),"/","")," ",""),8),7,2)),"")))</f>
        <v/>
      </c>
      <c r="AT669" s="23">
        <f>IF($AS669="","",IF($F$6="",0,IF(ISNUMBER(INDEX($A:$AP,ROW(),$F$6)),INDEX($A:$AP,ROW(),$F$6),IFERROR(--SUBSTITUTE(SUBSTITUTE(TRIM(INDEX($A:$AP,ROW(),$F$6)),",",""),"원",""),0))))</f>
        <v/>
      </c>
      <c r="AU669" s="23">
        <f>IF($AS669="","",IF($G$6="",0,IF(ISNUMBER(INDEX($A:$AP,ROW(),$G$6)),INDEX($A:$AP,ROW(),$G$6),IFERROR(--SUBSTITUTE(SUBSTITUTE(TRIM(INDEX($A:$AP,ROW(),$G$6)),",",""),"원",""),0))))</f>
        <v/>
      </c>
      <c r="AV669" s="23">
        <f>IF($AS669="","",IF($H$6="",$AT669+$AU669,IF($H$6="",0,IF(ISNUMBER(INDEX($A:$AP,ROW(),$H$6)),INDEX($A:$AP,ROW(),$H$6),IFERROR(--SUBSTITUTE(SUBSTITUTE(TRIM(INDEX($A:$AP,ROW(),$H$6)),",",""),"원",""),0)))))</f>
        <v/>
      </c>
      <c r="AW669" s="2">
        <f>IF(OR($AS669="",$C$6=""),"",TRIM(INDEX($A:$AP,ROW(),$C$6)&amp;""))</f>
        <v/>
      </c>
      <c r="AX669" s="2">
        <f>IF($AS669="","",IF($AZ669&lt;&gt;"",SUBSTITUTE(SUBSTITUTE($AZ669,"-","")," ",""),$AY669))</f>
        <v/>
      </c>
      <c r="AY669" s="2">
        <f>IF(OR($AS669="",$E$6=""),"",TRIM(INDEX($A:$AP,ROW(),$E$6)&amp;""))</f>
        <v/>
      </c>
      <c r="AZ669" s="2">
        <f>IF(OR($AS669="",$D$6=""),"",TRIM(INDEX($A:$AP,ROW(),$D$6)&amp;""))</f>
        <v/>
      </c>
      <c r="BA669" s="2">
        <f>IF($AS669="","",IF(AND($AS669&gt;=설정!$B$10,$AS669&lt;=설정!$B$11),"포함","기간 밖"))</f>
        <v/>
      </c>
      <c r="BB669" s="2">
        <f>IF($AS669="","",IF(OR($AT669&lt;0,AND($I$6&lt;&gt;"",ISNUMBER(FIND("수정",INDEX($A:$AP,ROW(),IF($I$6="",1,$I$6))&amp;"")))),"수정","일반"))</f>
        <v/>
      </c>
      <c r="BC669" s="2">
        <f>IF($AS669="","",MID(IF($BA669="기간 밖"," / 기간 밖(신고기간 아님)","")&amp;IF(AND($AW669&lt;&gt;"",COUNTIF($AW$8:$AW$1007,$AW669)&gt;1)," / 승인번호 중복(두 번 붙여넣기?)","")&amp;IF(ABS($AU669-ROUND($AT669*0.1,0))&gt;설정!$B$8,IF($AU669=0," / 세액 0원(영세율·면세 여부 확인)"," / 세액이 공급가액 10%와 다름"),"")&amp;IF($BB669="수정"," / 수정세금계산서(합계에서 자동 가감)",""),4,200))</f>
        <v/>
      </c>
      <c r="BD669" s="2">
        <f>IF($BA669&lt;&gt;"포함","",IF(COUNTIFS($AX$8:$AX669,$AX669,$BA$8:$BA669,"포함")=1,MAX($BD$7:BD668)+1,""))</f>
        <v/>
      </c>
      <c r="BE669" s="2">
        <f>IF($BC669="","",MAX($BE$7:BE668)+1)</f>
        <v/>
      </c>
    </row>
    <row r="670">
      <c r="AR670" s="2">
        <f>IF(OR($A$5="",$B$6="",ROW()&lt;$A$5),"",IF(INDEX($A:$AP,ROW(),$B$6)="","",INDEX($A:$AP,ROW(),$B$6)))</f>
        <v/>
      </c>
      <c r="AS670" s="22">
        <f>IF($AR670="","",IF(ISNUMBER($AR670),IF($AR670&gt;=10000000,IFERROR(DATE(INT($AR670/10000),MOD(INT($AR670/100),100),MOD($AR670,100)),""),INT($AR670)),IFERROR(DATE(--LEFT(LEFT(SUBSTITUTE(SUBSTITUTE(SUBSTITUTE(SUBSTITUTE(TRIM($AR670),"-",""),".",""),"/","")," ",""),8),4),--MID(LEFT(SUBSTITUTE(SUBSTITUTE(SUBSTITUTE(SUBSTITUTE(TRIM($AR670),"-",""),".",""),"/","")," ",""),8),5,2),--MID(LEFT(SUBSTITUTE(SUBSTITUTE(SUBSTITUTE(SUBSTITUTE(TRIM($AR670),"-",""),".",""),"/","")," ",""),8),7,2)),"")))</f>
        <v/>
      </c>
      <c r="AT670" s="23">
        <f>IF($AS670="","",IF($F$6="",0,IF(ISNUMBER(INDEX($A:$AP,ROW(),$F$6)),INDEX($A:$AP,ROW(),$F$6),IFERROR(--SUBSTITUTE(SUBSTITUTE(TRIM(INDEX($A:$AP,ROW(),$F$6)),",",""),"원",""),0))))</f>
        <v/>
      </c>
      <c r="AU670" s="23">
        <f>IF($AS670="","",IF($G$6="",0,IF(ISNUMBER(INDEX($A:$AP,ROW(),$G$6)),INDEX($A:$AP,ROW(),$G$6),IFERROR(--SUBSTITUTE(SUBSTITUTE(TRIM(INDEX($A:$AP,ROW(),$G$6)),",",""),"원",""),0))))</f>
        <v/>
      </c>
      <c r="AV670" s="23">
        <f>IF($AS670="","",IF($H$6="",$AT670+$AU670,IF($H$6="",0,IF(ISNUMBER(INDEX($A:$AP,ROW(),$H$6)),INDEX($A:$AP,ROW(),$H$6),IFERROR(--SUBSTITUTE(SUBSTITUTE(TRIM(INDEX($A:$AP,ROW(),$H$6)),",",""),"원",""),0)))))</f>
        <v/>
      </c>
      <c r="AW670" s="2">
        <f>IF(OR($AS670="",$C$6=""),"",TRIM(INDEX($A:$AP,ROW(),$C$6)&amp;""))</f>
        <v/>
      </c>
      <c r="AX670" s="2">
        <f>IF($AS670="","",IF($AZ670&lt;&gt;"",SUBSTITUTE(SUBSTITUTE($AZ670,"-","")," ",""),$AY670))</f>
        <v/>
      </c>
      <c r="AY670" s="2">
        <f>IF(OR($AS670="",$E$6=""),"",TRIM(INDEX($A:$AP,ROW(),$E$6)&amp;""))</f>
        <v/>
      </c>
      <c r="AZ670" s="2">
        <f>IF(OR($AS670="",$D$6=""),"",TRIM(INDEX($A:$AP,ROW(),$D$6)&amp;""))</f>
        <v/>
      </c>
      <c r="BA670" s="2">
        <f>IF($AS670="","",IF(AND($AS670&gt;=설정!$B$10,$AS670&lt;=설정!$B$11),"포함","기간 밖"))</f>
        <v/>
      </c>
      <c r="BB670" s="2">
        <f>IF($AS670="","",IF(OR($AT670&lt;0,AND($I$6&lt;&gt;"",ISNUMBER(FIND("수정",INDEX($A:$AP,ROW(),IF($I$6="",1,$I$6))&amp;"")))),"수정","일반"))</f>
        <v/>
      </c>
      <c r="BC670" s="2">
        <f>IF($AS670="","",MID(IF($BA670="기간 밖"," / 기간 밖(신고기간 아님)","")&amp;IF(AND($AW670&lt;&gt;"",COUNTIF($AW$8:$AW$1007,$AW670)&gt;1)," / 승인번호 중복(두 번 붙여넣기?)","")&amp;IF(ABS($AU670-ROUND($AT670*0.1,0))&gt;설정!$B$8,IF($AU670=0," / 세액 0원(영세율·면세 여부 확인)"," / 세액이 공급가액 10%와 다름"),"")&amp;IF($BB670="수정"," / 수정세금계산서(합계에서 자동 가감)",""),4,200))</f>
        <v/>
      </c>
      <c r="BD670" s="2">
        <f>IF($BA670&lt;&gt;"포함","",IF(COUNTIFS($AX$8:$AX670,$AX670,$BA$8:$BA670,"포함")=1,MAX($BD$7:BD669)+1,""))</f>
        <v/>
      </c>
      <c r="BE670" s="2">
        <f>IF($BC670="","",MAX($BE$7:BE669)+1)</f>
        <v/>
      </c>
    </row>
    <row r="671">
      <c r="AR671" s="2">
        <f>IF(OR($A$5="",$B$6="",ROW()&lt;$A$5),"",IF(INDEX($A:$AP,ROW(),$B$6)="","",INDEX($A:$AP,ROW(),$B$6)))</f>
        <v/>
      </c>
      <c r="AS671" s="22">
        <f>IF($AR671="","",IF(ISNUMBER($AR671),IF($AR671&gt;=10000000,IFERROR(DATE(INT($AR671/10000),MOD(INT($AR671/100),100),MOD($AR671,100)),""),INT($AR671)),IFERROR(DATE(--LEFT(LEFT(SUBSTITUTE(SUBSTITUTE(SUBSTITUTE(SUBSTITUTE(TRIM($AR671),"-",""),".",""),"/","")," ",""),8),4),--MID(LEFT(SUBSTITUTE(SUBSTITUTE(SUBSTITUTE(SUBSTITUTE(TRIM($AR671),"-",""),".",""),"/","")," ",""),8),5,2),--MID(LEFT(SUBSTITUTE(SUBSTITUTE(SUBSTITUTE(SUBSTITUTE(TRIM($AR671),"-",""),".",""),"/","")," ",""),8),7,2)),"")))</f>
        <v/>
      </c>
      <c r="AT671" s="23">
        <f>IF($AS671="","",IF($F$6="",0,IF(ISNUMBER(INDEX($A:$AP,ROW(),$F$6)),INDEX($A:$AP,ROW(),$F$6),IFERROR(--SUBSTITUTE(SUBSTITUTE(TRIM(INDEX($A:$AP,ROW(),$F$6)),",",""),"원",""),0))))</f>
        <v/>
      </c>
      <c r="AU671" s="23">
        <f>IF($AS671="","",IF($G$6="",0,IF(ISNUMBER(INDEX($A:$AP,ROW(),$G$6)),INDEX($A:$AP,ROW(),$G$6),IFERROR(--SUBSTITUTE(SUBSTITUTE(TRIM(INDEX($A:$AP,ROW(),$G$6)),",",""),"원",""),0))))</f>
        <v/>
      </c>
      <c r="AV671" s="23">
        <f>IF($AS671="","",IF($H$6="",$AT671+$AU671,IF($H$6="",0,IF(ISNUMBER(INDEX($A:$AP,ROW(),$H$6)),INDEX($A:$AP,ROW(),$H$6),IFERROR(--SUBSTITUTE(SUBSTITUTE(TRIM(INDEX($A:$AP,ROW(),$H$6)),",",""),"원",""),0)))))</f>
        <v/>
      </c>
      <c r="AW671" s="2">
        <f>IF(OR($AS671="",$C$6=""),"",TRIM(INDEX($A:$AP,ROW(),$C$6)&amp;""))</f>
        <v/>
      </c>
      <c r="AX671" s="2">
        <f>IF($AS671="","",IF($AZ671&lt;&gt;"",SUBSTITUTE(SUBSTITUTE($AZ671,"-","")," ",""),$AY671))</f>
        <v/>
      </c>
      <c r="AY671" s="2">
        <f>IF(OR($AS671="",$E$6=""),"",TRIM(INDEX($A:$AP,ROW(),$E$6)&amp;""))</f>
        <v/>
      </c>
      <c r="AZ671" s="2">
        <f>IF(OR($AS671="",$D$6=""),"",TRIM(INDEX($A:$AP,ROW(),$D$6)&amp;""))</f>
        <v/>
      </c>
      <c r="BA671" s="2">
        <f>IF($AS671="","",IF(AND($AS671&gt;=설정!$B$10,$AS671&lt;=설정!$B$11),"포함","기간 밖"))</f>
        <v/>
      </c>
      <c r="BB671" s="2">
        <f>IF($AS671="","",IF(OR($AT671&lt;0,AND($I$6&lt;&gt;"",ISNUMBER(FIND("수정",INDEX($A:$AP,ROW(),IF($I$6="",1,$I$6))&amp;"")))),"수정","일반"))</f>
        <v/>
      </c>
      <c r="BC671" s="2">
        <f>IF($AS671="","",MID(IF($BA671="기간 밖"," / 기간 밖(신고기간 아님)","")&amp;IF(AND($AW671&lt;&gt;"",COUNTIF($AW$8:$AW$1007,$AW671)&gt;1)," / 승인번호 중복(두 번 붙여넣기?)","")&amp;IF(ABS($AU671-ROUND($AT671*0.1,0))&gt;설정!$B$8,IF($AU671=0," / 세액 0원(영세율·면세 여부 확인)"," / 세액이 공급가액 10%와 다름"),"")&amp;IF($BB671="수정"," / 수정세금계산서(합계에서 자동 가감)",""),4,200))</f>
        <v/>
      </c>
      <c r="BD671" s="2">
        <f>IF($BA671&lt;&gt;"포함","",IF(COUNTIFS($AX$8:$AX671,$AX671,$BA$8:$BA671,"포함")=1,MAX($BD$7:BD670)+1,""))</f>
        <v/>
      </c>
      <c r="BE671" s="2">
        <f>IF($BC671="","",MAX($BE$7:BE670)+1)</f>
        <v/>
      </c>
    </row>
    <row r="672">
      <c r="AR672" s="2">
        <f>IF(OR($A$5="",$B$6="",ROW()&lt;$A$5),"",IF(INDEX($A:$AP,ROW(),$B$6)="","",INDEX($A:$AP,ROW(),$B$6)))</f>
        <v/>
      </c>
      <c r="AS672" s="22">
        <f>IF($AR672="","",IF(ISNUMBER($AR672),IF($AR672&gt;=10000000,IFERROR(DATE(INT($AR672/10000),MOD(INT($AR672/100),100),MOD($AR672,100)),""),INT($AR672)),IFERROR(DATE(--LEFT(LEFT(SUBSTITUTE(SUBSTITUTE(SUBSTITUTE(SUBSTITUTE(TRIM($AR672),"-",""),".",""),"/","")," ",""),8),4),--MID(LEFT(SUBSTITUTE(SUBSTITUTE(SUBSTITUTE(SUBSTITUTE(TRIM($AR672),"-",""),".",""),"/","")," ",""),8),5,2),--MID(LEFT(SUBSTITUTE(SUBSTITUTE(SUBSTITUTE(SUBSTITUTE(TRIM($AR672),"-",""),".",""),"/","")," ",""),8),7,2)),"")))</f>
        <v/>
      </c>
      <c r="AT672" s="23">
        <f>IF($AS672="","",IF($F$6="",0,IF(ISNUMBER(INDEX($A:$AP,ROW(),$F$6)),INDEX($A:$AP,ROW(),$F$6),IFERROR(--SUBSTITUTE(SUBSTITUTE(TRIM(INDEX($A:$AP,ROW(),$F$6)),",",""),"원",""),0))))</f>
        <v/>
      </c>
      <c r="AU672" s="23">
        <f>IF($AS672="","",IF($G$6="",0,IF(ISNUMBER(INDEX($A:$AP,ROW(),$G$6)),INDEX($A:$AP,ROW(),$G$6),IFERROR(--SUBSTITUTE(SUBSTITUTE(TRIM(INDEX($A:$AP,ROW(),$G$6)),",",""),"원",""),0))))</f>
        <v/>
      </c>
      <c r="AV672" s="23">
        <f>IF($AS672="","",IF($H$6="",$AT672+$AU672,IF($H$6="",0,IF(ISNUMBER(INDEX($A:$AP,ROW(),$H$6)),INDEX($A:$AP,ROW(),$H$6),IFERROR(--SUBSTITUTE(SUBSTITUTE(TRIM(INDEX($A:$AP,ROW(),$H$6)),",",""),"원",""),0)))))</f>
        <v/>
      </c>
      <c r="AW672" s="2">
        <f>IF(OR($AS672="",$C$6=""),"",TRIM(INDEX($A:$AP,ROW(),$C$6)&amp;""))</f>
        <v/>
      </c>
      <c r="AX672" s="2">
        <f>IF($AS672="","",IF($AZ672&lt;&gt;"",SUBSTITUTE(SUBSTITUTE($AZ672,"-","")," ",""),$AY672))</f>
        <v/>
      </c>
      <c r="AY672" s="2">
        <f>IF(OR($AS672="",$E$6=""),"",TRIM(INDEX($A:$AP,ROW(),$E$6)&amp;""))</f>
        <v/>
      </c>
      <c r="AZ672" s="2">
        <f>IF(OR($AS672="",$D$6=""),"",TRIM(INDEX($A:$AP,ROW(),$D$6)&amp;""))</f>
        <v/>
      </c>
      <c r="BA672" s="2">
        <f>IF($AS672="","",IF(AND($AS672&gt;=설정!$B$10,$AS672&lt;=설정!$B$11),"포함","기간 밖"))</f>
        <v/>
      </c>
      <c r="BB672" s="2">
        <f>IF($AS672="","",IF(OR($AT672&lt;0,AND($I$6&lt;&gt;"",ISNUMBER(FIND("수정",INDEX($A:$AP,ROW(),IF($I$6="",1,$I$6))&amp;"")))),"수정","일반"))</f>
        <v/>
      </c>
      <c r="BC672" s="2">
        <f>IF($AS672="","",MID(IF($BA672="기간 밖"," / 기간 밖(신고기간 아님)","")&amp;IF(AND($AW672&lt;&gt;"",COUNTIF($AW$8:$AW$1007,$AW672)&gt;1)," / 승인번호 중복(두 번 붙여넣기?)","")&amp;IF(ABS($AU672-ROUND($AT672*0.1,0))&gt;설정!$B$8,IF($AU672=0," / 세액 0원(영세율·면세 여부 확인)"," / 세액이 공급가액 10%와 다름"),"")&amp;IF($BB672="수정"," / 수정세금계산서(합계에서 자동 가감)",""),4,200))</f>
        <v/>
      </c>
      <c r="BD672" s="2">
        <f>IF($BA672&lt;&gt;"포함","",IF(COUNTIFS($AX$8:$AX672,$AX672,$BA$8:$BA672,"포함")=1,MAX($BD$7:BD671)+1,""))</f>
        <v/>
      </c>
      <c r="BE672" s="2">
        <f>IF($BC672="","",MAX($BE$7:BE671)+1)</f>
        <v/>
      </c>
    </row>
    <row r="673">
      <c r="AR673" s="2">
        <f>IF(OR($A$5="",$B$6="",ROW()&lt;$A$5),"",IF(INDEX($A:$AP,ROW(),$B$6)="","",INDEX($A:$AP,ROW(),$B$6)))</f>
        <v/>
      </c>
      <c r="AS673" s="22">
        <f>IF($AR673="","",IF(ISNUMBER($AR673),IF($AR673&gt;=10000000,IFERROR(DATE(INT($AR673/10000),MOD(INT($AR673/100),100),MOD($AR673,100)),""),INT($AR673)),IFERROR(DATE(--LEFT(LEFT(SUBSTITUTE(SUBSTITUTE(SUBSTITUTE(SUBSTITUTE(TRIM($AR673),"-",""),".",""),"/","")," ",""),8),4),--MID(LEFT(SUBSTITUTE(SUBSTITUTE(SUBSTITUTE(SUBSTITUTE(TRIM($AR673),"-",""),".",""),"/","")," ",""),8),5,2),--MID(LEFT(SUBSTITUTE(SUBSTITUTE(SUBSTITUTE(SUBSTITUTE(TRIM($AR673),"-",""),".",""),"/","")," ",""),8),7,2)),"")))</f>
        <v/>
      </c>
      <c r="AT673" s="23">
        <f>IF($AS673="","",IF($F$6="",0,IF(ISNUMBER(INDEX($A:$AP,ROW(),$F$6)),INDEX($A:$AP,ROW(),$F$6),IFERROR(--SUBSTITUTE(SUBSTITUTE(TRIM(INDEX($A:$AP,ROW(),$F$6)),",",""),"원",""),0))))</f>
        <v/>
      </c>
      <c r="AU673" s="23">
        <f>IF($AS673="","",IF($G$6="",0,IF(ISNUMBER(INDEX($A:$AP,ROW(),$G$6)),INDEX($A:$AP,ROW(),$G$6),IFERROR(--SUBSTITUTE(SUBSTITUTE(TRIM(INDEX($A:$AP,ROW(),$G$6)),",",""),"원",""),0))))</f>
        <v/>
      </c>
      <c r="AV673" s="23">
        <f>IF($AS673="","",IF($H$6="",$AT673+$AU673,IF($H$6="",0,IF(ISNUMBER(INDEX($A:$AP,ROW(),$H$6)),INDEX($A:$AP,ROW(),$H$6),IFERROR(--SUBSTITUTE(SUBSTITUTE(TRIM(INDEX($A:$AP,ROW(),$H$6)),",",""),"원",""),0)))))</f>
        <v/>
      </c>
      <c r="AW673" s="2">
        <f>IF(OR($AS673="",$C$6=""),"",TRIM(INDEX($A:$AP,ROW(),$C$6)&amp;""))</f>
        <v/>
      </c>
      <c r="AX673" s="2">
        <f>IF($AS673="","",IF($AZ673&lt;&gt;"",SUBSTITUTE(SUBSTITUTE($AZ673,"-","")," ",""),$AY673))</f>
        <v/>
      </c>
      <c r="AY673" s="2">
        <f>IF(OR($AS673="",$E$6=""),"",TRIM(INDEX($A:$AP,ROW(),$E$6)&amp;""))</f>
        <v/>
      </c>
      <c r="AZ673" s="2">
        <f>IF(OR($AS673="",$D$6=""),"",TRIM(INDEX($A:$AP,ROW(),$D$6)&amp;""))</f>
        <v/>
      </c>
      <c r="BA673" s="2">
        <f>IF($AS673="","",IF(AND($AS673&gt;=설정!$B$10,$AS673&lt;=설정!$B$11),"포함","기간 밖"))</f>
        <v/>
      </c>
      <c r="BB673" s="2">
        <f>IF($AS673="","",IF(OR($AT673&lt;0,AND($I$6&lt;&gt;"",ISNUMBER(FIND("수정",INDEX($A:$AP,ROW(),IF($I$6="",1,$I$6))&amp;"")))),"수정","일반"))</f>
        <v/>
      </c>
      <c r="BC673" s="2">
        <f>IF($AS673="","",MID(IF($BA673="기간 밖"," / 기간 밖(신고기간 아님)","")&amp;IF(AND($AW673&lt;&gt;"",COUNTIF($AW$8:$AW$1007,$AW673)&gt;1)," / 승인번호 중복(두 번 붙여넣기?)","")&amp;IF(ABS($AU673-ROUND($AT673*0.1,0))&gt;설정!$B$8,IF($AU673=0," / 세액 0원(영세율·면세 여부 확인)"," / 세액이 공급가액 10%와 다름"),"")&amp;IF($BB673="수정"," / 수정세금계산서(합계에서 자동 가감)",""),4,200))</f>
        <v/>
      </c>
      <c r="BD673" s="2">
        <f>IF($BA673&lt;&gt;"포함","",IF(COUNTIFS($AX$8:$AX673,$AX673,$BA$8:$BA673,"포함")=1,MAX($BD$7:BD672)+1,""))</f>
        <v/>
      </c>
      <c r="BE673" s="2">
        <f>IF($BC673="","",MAX($BE$7:BE672)+1)</f>
        <v/>
      </c>
    </row>
    <row r="674">
      <c r="AR674" s="2">
        <f>IF(OR($A$5="",$B$6="",ROW()&lt;$A$5),"",IF(INDEX($A:$AP,ROW(),$B$6)="","",INDEX($A:$AP,ROW(),$B$6)))</f>
        <v/>
      </c>
      <c r="AS674" s="22">
        <f>IF($AR674="","",IF(ISNUMBER($AR674),IF($AR674&gt;=10000000,IFERROR(DATE(INT($AR674/10000),MOD(INT($AR674/100),100),MOD($AR674,100)),""),INT($AR674)),IFERROR(DATE(--LEFT(LEFT(SUBSTITUTE(SUBSTITUTE(SUBSTITUTE(SUBSTITUTE(TRIM($AR674),"-",""),".",""),"/","")," ",""),8),4),--MID(LEFT(SUBSTITUTE(SUBSTITUTE(SUBSTITUTE(SUBSTITUTE(TRIM($AR674),"-",""),".",""),"/","")," ",""),8),5,2),--MID(LEFT(SUBSTITUTE(SUBSTITUTE(SUBSTITUTE(SUBSTITUTE(TRIM($AR674),"-",""),".",""),"/","")," ",""),8),7,2)),"")))</f>
        <v/>
      </c>
      <c r="AT674" s="23">
        <f>IF($AS674="","",IF($F$6="",0,IF(ISNUMBER(INDEX($A:$AP,ROW(),$F$6)),INDEX($A:$AP,ROW(),$F$6),IFERROR(--SUBSTITUTE(SUBSTITUTE(TRIM(INDEX($A:$AP,ROW(),$F$6)),",",""),"원",""),0))))</f>
        <v/>
      </c>
      <c r="AU674" s="23">
        <f>IF($AS674="","",IF($G$6="",0,IF(ISNUMBER(INDEX($A:$AP,ROW(),$G$6)),INDEX($A:$AP,ROW(),$G$6),IFERROR(--SUBSTITUTE(SUBSTITUTE(TRIM(INDEX($A:$AP,ROW(),$G$6)),",",""),"원",""),0))))</f>
        <v/>
      </c>
      <c r="AV674" s="23">
        <f>IF($AS674="","",IF($H$6="",$AT674+$AU674,IF($H$6="",0,IF(ISNUMBER(INDEX($A:$AP,ROW(),$H$6)),INDEX($A:$AP,ROW(),$H$6),IFERROR(--SUBSTITUTE(SUBSTITUTE(TRIM(INDEX($A:$AP,ROW(),$H$6)),",",""),"원",""),0)))))</f>
        <v/>
      </c>
      <c r="AW674" s="2">
        <f>IF(OR($AS674="",$C$6=""),"",TRIM(INDEX($A:$AP,ROW(),$C$6)&amp;""))</f>
        <v/>
      </c>
      <c r="AX674" s="2">
        <f>IF($AS674="","",IF($AZ674&lt;&gt;"",SUBSTITUTE(SUBSTITUTE($AZ674,"-","")," ",""),$AY674))</f>
        <v/>
      </c>
      <c r="AY674" s="2">
        <f>IF(OR($AS674="",$E$6=""),"",TRIM(INDEX($A:$AP,ROW(),$E$6)&amp;""))</f>
        <v/>
      </c>
      <c r="AZ674" s="2">
        <f>IF(OR($AS674="",$D$6=""),"",TRIM(INDEX($A:$AP,ROW(),$D$6)&amp;""))</f>
        <v/>
      </c>
      <c r="BA674" s="2">
        <f>IF($AS674="","",IF(AND($AS674&gt;=설정!$B$10,$AS674&lt;=설정!$B$11),"포함","기간 밖"))</f>
        <v/>
      </c>
      <c r="BB674" s="2">
        <f>IF($AS674="","",IF(OR($AT674&lt;0,AND($I$6&lt;&gt;"",ISNUMBER(FIND("수정",INDEX($A:$AP,ROW(),IF($I$6="",1,$I$6))&amp;"")))),"수정","일반"))</f>
        <v/>
      </c>
      <c r="BC674" s="2">
        <f>IF($AS674="","",MID(IF($BA674="기간 밖"," / 기간 밖(신고기간 아님)","")&amp;IF(AND($AW674&lt;&gt;"",COUNTIF($AW$8:$AW$1007,$AW674)&gt;1)," / 승인번호 중복(두 번 붙여넣기?)","")&amp;IF(ABS($AU674-ROUND($AT674*0.1,0))&gt;설정!$B$8,IF($AU674=0," / 세액 0원(영세율·면세 여부 확인)"," / 세액이 공급가액 10%와 다름"),"")&amp;IF($BB674="수정"," / 수정세금계산서(합계에서 자동 가감)",""),4,200))</f>
        <v/>
      </c>
      <c r="BD674" s="2">
        <f>IF($BA674&lt;&gt;"포함","",IF(COUNTIFS($AX$8:$AX674,$AX674,$BA$8:$BA674,"포함")=1,MAX($BD$7:BD673)+1,""))</f>
        <v/>
      </c>
      <c r="BE674" s="2">
        <f>IF($BC674="","",MAX($BE$7:BE673)+1)</f>
        <v/>
      </c>
    </row>
    <row r="675">
      <c r="AR675" s="2">
        <f>IF(OR($A$5="",$B$6="",ROW()&lt;$A$5),"",IF(INDEX($A:$AP,ROW(),$B$6)="","",INDEX($A:$AP,ROW(),$B$6)))</f>
        <v/>
      </c>
      <c r="AS675" s="22">
        <f>IF($AR675="","",IF(ISNUMBER($AR675),IF($AR675&gt;=10000000,IFERROR(DATE(INT($AR675/10000),MOD(INT($AR675/100),100),MOD($AR675,100)),""),INT($AR675)),IFERROR(DATE(--LEFT(LEFT(SUBSTITUTE(SUBSTITUTE(SUBSTITUTE(SUBSTITUTE(TRIM($AR675),"-",""),".",""),"/","")," ",""),8),4),--MID(LEFT(SUBSTITUTE(SUBSTITUTE(SUBSTITUTE(SUBSTITUTE(TRIM($AR675),"-",""),".",""),"/","")," ",""),8),5,2),--MID(LEFT(SUBSTITUTE(SUBSTITUTE(SUBSTITUTE(SUBSTITUTE(TRIM($AR675),"-",""),".",""),"/","")," ",""),8),7,2)),"")))</f>
        <v/>
      </c>
      <c r="AT675" s="23">
        <f>IF($AS675="","",IF($F$6="",0,IF(ISNUMBER(INDEX($A:$AP,ROW(),$F$6)),INDEX($A:$AP,ROW(),$F$6),IFERROR(--SUBSTITUTE(SUBSTITUTE(TRIM(INDEX($A:$AP,ROW(),$F$6)),",",""),"원",""),0))))</f>
        <v/>
      </c>
      <c r="AU675" s="23">
        <f>IF($AS675="","",IF($G$6="",0,IF(ISNUMBER(INDEX($A:$AP,ROW(),$G$6)),INDEX($A:$AP,ROW(),$G$6),IFERROR(--SUBSTITUTE(SUBSTITUTE(TRIM(INDEX($A:$AP,ROW(),$G$6)),",",""),"원",""),0))))</f>
        <v/>
      </c>
      <c r="AV675" s="23">
        <f>IF($AS675="","",IF($H$6="",$AT675+$AU675,IF($H$6="",0,IF(ISNUMBER(INDEX($A:$AP,ROW(),$H$6)),INDEX($A:$AP,ROW(),$H$6),IFERROR(--SUBSTITUTE(SUBSTITUTE(TRIM(INDEX($A:$AP,ROW(),$H$6)),",",""),"원",""),0)))))</f>
        <v/>
      </c>
      <c r="AW675" s="2">
        <f>IF(OR($AS675="",$C$6=""),"",TRIM(INDEX($A:$AP,ROW(),$C$6)&amp;""))</f>
        <v/>
      </c>
      <c r="AX675" s="2">
        <f>IF($AS675="","",IF($AZ675&lt;&gt;"",SUBSTITUTE(SUBSTITUTE($AZ675,"-","")," ",""),$AY675))</f>
        <v/>
      </c>
      <c r="AY675" s="2">
        <f>IF(OR($AS675="",$E$6=""),"",TRIM(INDEX($A:$AP,ROW(),$E$6)&amp;""))</f>
        <v/>
      </c>
      <c r="AZ675" s="2">
        <f>IF(OR($AS675="",$D$6=""),"",TRIM(INDEX($A:$AP,ROW(),$D$6)&amp;""))</f>
        <v/>
      </c>
      <c r="BA675" s="2">
        <f>IF($AS675="","",IF(AND($AS675&gt;=설정!$B$10,$AS675&lt;=설정!$B$11),"포함","기간 밖"))</f>
        <v/>
      </c>
      <c r="BB675" s="2">
        <f>IF($AS675="","",IF(OR($AT675&lt;0,AND($I$6&lt;&gt;"",ISNUMBER(FIND("수정",INDEX($A:$AP,ROW(),IF($I$6="",1,$I$6))&amp;"")))),"수정","일반"))</f>
        <v/>
      </c>
      <c r="BC675" s="2">
        <f>IF($AS675="","",MID(IF($BA675="기간 밖"," / 기간 밖(신고기간 아님)","")&amp;IF(AND($AW675&lt;&gt;"",COUNTIF($AW$8:$AW$1007,$AW675)&gt;1)," / 승인번호 중복(두 번 붙여넣기?)","")&amp;IF(ABS($AU675-ROUND($AT675*0.1,0))&gt;설정!$B$8,IF($AU675=0," / 세액 0원(영세율·면세 여부 확인)"," / 세액이 공급가액 10%와 다름"),"")&amp;IF($BB675="수정"," / 수정세금계산서(합계에서 자동 가감)",""),4,200))</f>
        <v/>
      </c>
      <c r="BD675" s="2">
        <f>IF($BA675&lt;&gt;"포함","",IF(COUNTIFS($AX$8:$AX675,$AX675,$BA$8:$BA675,"포함")=1,MAX($BD$7:BD674)+1,""))</f>
        <v/>
      </c>
      <c r="BE675" s="2">
        <f>IF($BC675="","",MAX($BE$7:BE674)+1)</f>
        <v/>
      </c>
    </row>
    <row r="676">
      <c r="AR676" s="2">
        <f>IF(OR($A$5="",$B$6="",ROW()&lt;$A$5),"",IF(INDEX($A:$AP,ROW(),$B$6)="","",INDEX($A:$AP,ROW(),$B$6)))</f>
        <v/>
      </c>
      <c r="AS676" s="22">
        <f>IF($AR676="","",IF(ISNUMBER($AR676),IF($AR676&gt;=10000000,IFERROR(DATE(INT($AR676/10000),MOD(INT($AR676/100),100),MOD($AR676,100)),""),INT($AR676)),IFERROR(DATE(--LEFT(LEFT(SUBSTITUTE(SUBSTITUTE(SUBSTITUTE(SUBSTITUTE(TRIM($AR676),"-",""),".",""),"/","")," ",""),8),4),--MID(LEFT(SUBSTITUTE(SUBSTITUTE(SUBSTITUTE(SUBSTITUTE(TRIM($AR676),"-",""),".",""),"/","")," ",""),8),5,2),--MID(LEFT(SUBSTITUTE(SUBSTITUTE(SUBSTITUTE(SUBSTITUTE(TRIM($AR676),"-",""),".",""),"/","")," ",""),8),7,2)),"")))</f>
        <v/>
      </c>
      <c r="AT676" s="23">
        <f>IF($AS676="","",IF($F$6="",0,IF(ISNUMBER(INDEX($A:$AP,ROW(),$F$6)),INDEX($A:$AP,ROW(),$F$6),IFERROR(--SUBSTITUTE(SUBSTITUTE(TRIM(INDEX($A:$AP,ROW(),$F$6)),",",""),"원",""),0))))</f>
        <v/>
      </c>
      <c r="AU676" s="23">
        <f>IF($AS676="","",IF($G$6="",0,IF(ISNUMBER(INDEX($A:$AP,ROW(),$G$6)),INDEX($A:$AP,ROW(),$G$6),IFERROR(--SUBSTITUTE(SUBSTITUTE(TRIM(INDEX($A:$AP,ROW(),$G$6)),",",""),"원",""),0))))</f>
        <v/>
      </c>
      <c r="AV676" s="23">
        <f>IF($AS676="","",IF($H$6="",$AT676+$AU676,IF($H$6="",0,IF(ISNUMBER(INDEX($A:$AP,ROW(),$H$6)),INDEX($A:$AP,ROW(),$H$6),IFERROR(--SUBSTITUTE(SUBSTITUTE(TRIM(INDEX($A:$AP,ROW(),$H$6)),",",""),"원",""),0)))))</f>
        <v/>
      </c>
      <c r="AW676" s="2">
        <f>IF(OR($AS676="",$C$6=""),"",TRIM(INDEX($A:$AP,ROW(),$C$6)&amp;""))</f>
        <v/>
      </c>
      <c r="AX676" s="2">
        <f>IF($AS676="","",IF($AZ676&lt;&gt;"",SUBSTITUTE(SUBSTITUTE($AZ676,"-","")," ",""),$AY676))</f>
        <v/>
      </c>
      <c r="AY676" s="2">
        <f>IF(OR($AS676="",$E$6=""),"",TRIM(INDEX($A:$AP,ROW(),$E$6)&amp;""))</f>
        <v/>
      </c>
      <c r="AZ676" s="2">
        <f>IF(OR($AS676="",$D$6=""),"",TRIM(INDEX($A:$AP,ROW(),$D$6)&amp;""))</f>
        <v/>
      </c>
      <c r="BA676" s="2">
        <f>IF($AS676="","",IF(AND($AS676&gt;=설정!$B$10,$AS676&lt;=설정!$B$11),"포함","기간 밖"))</f>
        <v/>
      </c>
      <c r="BB676" s="2">
        <f>IF($AS676="","",IF(OR($AT676&lt;0,AND($I$6&lt;&gt;"",ISNUMBER(FIND("수정",INDEX($A:$AP,ROW(),IF($I$6="",1,$I$6))&amp;"")))),"수정","일반"))</f>
        <v/>
      </c>
      <c r="BC676" s="2">
        <f>IF($AS676="","",MID(IF($BA676="기간 밖"," / 기간 밖(신고기간 아님)","")&amp;IF(AND($AW676&lt;&gt;"",COUNTIF($AW$8:$AW$1007,$AW676)&gt;1)," / 승인번호 중복(두 번 붙여넣기?)","")&amp;IF(ABS($AU676-ROUND($AT676*0.1,0))&gt;설정!$B$8,IF($AU676=0," / 세액 0원(영세율·면세 여부 확인)"," / 세액이 공급가액 10%와 다름"),"")&amp;IF($BB676="수정"," / 수정세금계산서(합계에서 자동 가감)",""),4,200))</f>
        <v/>
      </c>
      <c r="BD676" s="2">
        <f>IF($BA676&lt;&gt;"포함","",IF(COUNTIFS($AX$8:$AX676,$AX676,$BA$8:$BA676,"포함")=1,MAX($BD$7:BD675)+1,""))</f>
        <v/>
      </c>
      <c r="BE676" s="2">
        <f>IF($BC676="","",MAX($BE$7:BE675)+1)</f>
        <v/>
      </c>
    </row>
    <row r="677">
      <c r="AR677" s="2">
        <f>IF(OR($A$5="",$B$6="",ROW()&lt;$A$5),"",IF(INDEX($A:$AP,ROW(),$B$6)="","",INDEX($A:$AP,ROW(),$B$6)))</f>
        <v/>
      </c>
      <c r="AS677" s="22">
        <f>IF($AR677="","",IF(ISNUMBER($AR677),IF($AR677&gt;=10000000,IFERROR(DATE(INT($AR677/10000),MOD(INT($AR677/100),100),MOD($AR677,100)),""),INT($AR677)),IFERROR(DATE(--LEFT(LEFT(SUBSTITUTE(SUBSTITUTE(SUBSTITUTE(SUBSTITUTE(TRIM($AR677),"-",""),".",""),"/","")," ",""),8),4),--MID(LEFT(SUBSTITUTE(SUBSTITUTE(SUBSTITUTE(SUBSTITUTE(TRIM($AR677),"-",""),".",""),"/","")," ",""),8),5,2),--MID(LEFT(SUBSTITUTE(SUBSTITUTE(SUBSTITUTE(SUBSTITUTE(TRIM($AR677),"-",""),".",""),"/","")," ",""),8),7,2)),"")))</f>
        <v/>
      </c>
      <c r="AT677" s="23">
        <f>IF($AS677="","",IF($F$6="",0,IF(ISNUMBER(INDEX($A:$AP,ROW(),$F$6)),INDEX($A:$AP,ROW(),$F$6),IFERROR(--SUBSTITUTE(SUBSTITUTE(TRIM(INDEX($A:$AP,ROW(),$F$6)),",",""),"원",""),0))))</f>
        <v/>
      </c>
      <c r="AU677" s="23">
        <f>IF($AS677="","",IF($G$6="",0,IF(ISNUMBER(INDEX($A:$AP,ROW(),$G$6)),INDEX($A:$AP,ROW(),$G$6),IFERROR(--SUBSTITUTE(SUBSTITUTE(TRIM(INDEX($A:$AP,ROW(),$G$6)),",",""),"원",""),0))))</f>
        <v/>
      </c>
      <c r="AV677" s="23">
        <f>IF($AS677="","",IF($H$6="",$AT677+$AU677,IF($H$6="",0,IF(ISNUMBER(INDEX($A:$AP,ROW(),$H$6)),INDEX($A:$AP,ROW(),$H$6),IFERROR(--SUBSTITUTE(SUBSTITUTE(TRIM(INDEX($A:$AP,ROW(),$H$6)),",",""),"원",""),0)))))</f>
        <v/>
      </c>
      <c r="AW677" s="2">
        <f>IF(OR($AS677="",$C$6=""),"",TRIM(INDEX($A:$AP,ROW(),$C$6)&amp;""))</f>
        <v/>
      </c>
      <c r="AX677" s="2">
        <f>IF($AS677="","",IF($AZ677&lt;&gt;"",SUBSTITUTE(SUBSTITUTE($AZ677,"-","")," ",""),$AY677))</f>
        <v/>
      </c>
      <c r="AY677" s="2">
        <f>IF(OR($AS677="",$E$6=""),"",TRIM(INDEX($A:$AP,ROW(),$E$6)&amp;""))</f>
        <v/>
      </c>
      <c r="AZ677" s="2">
        <f>IF(OR($AS677="",$D$6=""),"",TRIM(INDEX($A:$AP,ROW(),$D$6)&amp;""))</f>
        <v/>
      </c>
      <c r="BA677" s="2">
        <f>IF($AS677="","",IF(AND($AS677&gt;=설정!$B$10,$AS677&lt;=설정!$B$11),"포함","기간 밖"))</f>
        <v/>
      </c>
      <c r="BB677" s="2">
        <f>IF($AS677="","",IF(OR($AT677&lt;0,AND($I$6&lt;&gt;"",ISNUMBER(FIND("수정",INDEX($A:$AP,ROW(),IF($I$6="",1,$I$6))&amp;"")))),"수정","일반"))</f>
        <v/>
      </c>
      <c r="BC677" s="2">
        <f>IF($AS677="","",MID(IF($BA677="기간 밖"," / 기간 밖(신고기간 아님)","")&amp;IF(AND($AW677&lt;&gt;"",COUNTIF($AW$8:$AW$1007,$AW677)&gt;1)," / 승인번호 중복(두 번 붙여넣기?)","")&amp;IF(ABS($AU677-ROUND($AT677*0.1,0))&gt;설정!$B$8,IF($AU677=0," / 세액 0원(영세율·면세 여부 확인)"," / 세액이 공급가액 10%와 다름"),"")&amp;IF($BB677="수정"," / 수정세금계산서(합계에서 자동 가감)",""),4,200))</f>
        <v/>
      </c>
      <c r="BD677" s="2">
        <f>IF($BA677&lt;&gt;"포함","",IF(COUNTIFS($AX$8:$AX677,$AX677,$BA$8:$BA677,"포함")=1,MAX($BD$7:BD676)+1,""))</f>
        <v/>
      </c>
      <c r="BE677" s="2">
        <f>IF($BC677="","",MAX($BE$7:BE676)+1)</f>
        <v/>
      </c>
    </row>
    <row r="678">
      <c r="AR678" s="2">
        <f>IF(OR($A$5="",$B$6="",ROW()&lt;$A$5),"",IF(INDEX($A:$AP,ROW(),$B$6)="","",INDEX($A:$AP,ROW(),$B$6)))</f>
        <v/>
      </c>
      <c r="AS678" s="22">
        <f>IF($AR678="","",IF(ISNUMBER($AR678),IF($AR678&gt;=10000000,IFERROR(DATE(INT($AR678/10000),MOD(INT($AR678/100),100),MOD($AR678,100)),""),INT($AR678)),IFERROR(DATE(--LEFT(LEFT(SUBSTITUTE(SUBSTITUTE(SUBSTITUTE(SUBSTITUTE(TRIM($AR678),"-",""),".",""),"/","")," ",""),8),4),--MID(LEFT(SUBSTITUTE(SUBSTITUTE(SUBSTITUTE(SUBSTITUTE(TRIM($AR678),"-",""),".",""),"/","")," ",""),8),5,2),--MID(LEFT(SUBSTITUTE(SUBSTITUTE(SUBSTITUTE(SUBSTITUTE(TRIM($AR678),"-",""),".",""),"/","")," ",""),8),7,2)),"")))</f>
        <v/>
      </c>
      <c r="AT678" s="23">
        <f>IF($AS678="","",IF($F$6="",0,IF(ISNUMBER(INDEX($A:$AP,ROW(),$F$6)),INDEX($A:$AP,ROW(),$F$6),IFERROR(--SUBSTITUTE(SUBSTITUTE(TRIM(INDEX($A:$AP,ROW(),$F$6)),",",""),"원",""),0))))</f>
        <v/>
      </c>
      <c r="AU678" s="23">
        <f>IF($AS678="","",IF($G$6="",0,IF(ISNUMBER(INDEX($A:$AP,ROW(),$G$6)),INDEX($A:$AP,ROW(),$G$6),IFERROR(--SUBSTITUTE(SUBSTITUTE(TRIM(INDEX($A:$AP,ROW(),$G$6)),",",""),"원",""),0))))</f>
        <v/>
      </c>
      <c r="AV678" s="23">
        <f>IF($AS678="","",IF($H$6="",$AT678+$AU678,IF($H$6="",0,IF(ISNUMBER(INDEX($A:$AP,ROW(),$H$6)),INDEX($A:$AP,ROW(),$H$6),IFERROR(--SUBSTITUTE(SUBSTITUTE(TRIM(INDEX($A:$AP,ROW(),$H$6)),",",""),"원",""),0)))))</f>
        <v/>
      </c>
      <c r="AW678" s="2">
        <f>IF(OR($AS678="",$C$6=""),"",TRIM(INDEX($A:$AP,ROW(),$C$6)&amp;""))</f>
        <v/>
      </c>
      <c r="AX678" s="2">
        <f>IF($AS678="","",IF($AZ678&lt;&gt;"",SUBSTITUTE(SUBSTITUTE($AZ678,"-","")," ",""),$AY678))</f>
        <v/>
      </c>
      <c r="AY678" s="2">
        <f>IF(OR($AS678="",$E$6=""),"",TRIM(INDEX($A:$AP,ROW(),$E$6)&amp;""))</f>
        <v/>
      </c>
      <c r="AZ678" s="2">
        <f>IF(OR($AS678="",$D$6=""),"",TRIM(INDEX($A:$AP,ROW(),$D$6)&amp;""))</f>
        <v/>
      </c>
      <c r="BA678" s="2">
        <f>IF($AS678="","",IF(AND($AS678&gt;=설정!$B$10,$AS678&lt;=설정!$B$11),"포함","기간 밖"))</f>
        <v/>
      </c>
      <c r="BB678" s="2">
        <f>IF($AS678="","",IF(OR($AT678&lt;0,AND($I$6&lt;&gt;"",ISNUMBER(FIND("수정",INDEX($A:$AP,ROW(),IF($I$6="",1,$I$6))&amp;"")))),"수정","일반"))</f>
        <v/>
      </c>
      <c r="BC678" s="2">
        <f>IF($AS678="","",MID(IF($BA678="기간 밖"," / 기간 밖(신고기간 아님)","")&amp;IF(AND($AW678&lt;&gt;"",COUNTIF($AW$8:$AW$1007,$AW678)&gt;1)," / 승인번호 중복(두 번 붙여넣기?)","")&amp;IF(ABS($AU678-ROUND($AT678*0.1,0))&gt;설정!$B$8,IF($AU678=0," / 세액 0원(영세율·면세 여부 확인)"," / 세액이 공급가액 10%와 다름"),"")&amp;IF($BB678="수정"," / 수정세금계산서(합계에서 자동 가감)",""),4,200))</f>
        <v/>
      </c>
      <c r="BD678" s="2">
        <f>IF($BA678&lt;&gt;"포함","",IF(COUNTIFS($AX$8:$AX678,$AX678,$BA$8:$BA678,"포함")=1,MAX($BD$7:BD677)+1,""))</f>
        <v/>
      </c>
      <c r="BE678" s="2">
        <f>IF($BC678="","",MAX($BE$7:BE677)+1)</f>
        <v/>
      </c>
    </row>
    <row r="679">
      <c r="AR679" s="2">
        <f>IF(OR($A$5="",$B$6="",ROW()&lt;$A$5),"",IF(INDEX($A:$AP,ROW(),$B$6)="","",INDEX($A:$AP,ROW(),$B$6)))</f>
        <v/>
      </c>
      <c r="AS679" s="22">
        <f>IF($AR679="","",IF(ISNUMBER($AR679),IF($AR679&gt;=10000000,IFERROR(DATE(INT($AR679/10000),MOD(INT($AR679/100),100),MOD($AR679,100)),""),INT($AR679)),IFERROR(DATE(--LEFT(LEFT(SUBSTITUTE(SUBSTITUTE(SUBSTITUTE(SUBSTITUTE(TRIM($AR679),"-",""),".",""),"/","")," ",""),8),4),--MID(LEFT(SUBSTITUTE(SUBSTITUTE(SUBSTITUTE(SUBSTITUTE(TRIM($AR679),"-",""),".",""),"/","")," ",""),8),5,2),--MID(LEFT(SUBSTITUTE(SUBSTITUTE(SUBSTITUTE(SUBSTITUTE(TRIM($AR679),"-",""),".",""),"/","")," ",""),8),7,2)),"")))</f>
        <v/>
      </c>
      <c r="AT679" s="23">
        <f>IF($AS679="","",IF($F$6="",0,IF(ISNUMBER(INDEX($A:$AP,ROW(),$F$6)),INDEX($A:$AP,ROW(),$F$6),IFERROR(--SUBSTITUTE(SUBSTITUTE(TRIM(INDEX($A:$AP,ROW(),$F$6)),",",""),"원",""),0))))</f>
        <v/>
      </c>
      <c r="AU679" s="23">
        <f>IF($AS679="","",IF($G$6="",0,IF(ISNUMBER(INDEX($A:$AP,ROW(),$G$6)),INDEX($A:$AP,ROW(),$G$6),IFERROR(--SUBSTITUTE(SUBSTITUTE(TRIM(INDEX($A:$AP,ROW(),$G$6)),",",""),"원",""),0))))</f>
        <v/>
      </c>
      <c r="AV679" s="23">
        <f>IF($AS679="","",IF($H$6="",$AT679+$AU679,IF($H$6="",0,IF(ISNUMBER(INDEX($A:$AP,ROW(),$H$6)),INDEX($A:$AP,ROW(),$H$6),IFERROR(--SUBSTITUTE(SUBSTITUTE(TRIM(INDEX($A:$AP,ROW(),$H$6)),",",""),"원",""),0)))))</f>
        <v/>
      </c>
      <c r="AW679" s="2">
        <f>IF(OR($AS679="",$C$6=""),"",TRIM(INDEX($A:$AP,ROW(),$C$6)&amp;""))</f>
        <v/>
      </c>
      <c r="AX679" s="2">
        <f>IF($AS679="","",IF($AZ679&lt;&gt;"",SUBSTITUTE(SUBSTITUTE($AZ679,"-","")," ",""),$AY679))</f>
        <v/>
      </c>
      <c r="AY679" s="2">
        <f>IF(OR($AS679="",$E$6=""),"",TRIM(INDEX($A:$AP,ROW(),$E$6)&amp;""))</f>
        <v/>
      </c>
      <c r="AZ679" s="2">
        <f>IF(OR($AS679="",$D$6=""),"",TRIM(INDEX($A:$AP,ROW(),$D$6)&amp;""))</f>
        <v/>
      </c>
      <c r="BA679" s="2">
        <f>IF($AS679="","",IF(AND($AS679&gt;=설정!$B$10,$AS679&lt;=설정!$B$11),"포함","기간 밖"))</f>
        <v/>
      </c>
      <c r="BB679" s="2">
        <f>IF($AS679="","",IF(OR($AT679&lt;0,AND($I$6&lt;&gt;"",ISNUMBER(FIND("수정",INDEX($A:$AP,ROW(),IF($I$6="",1,$I$6))&amp;"")))),"수정","일반"))</f>
        <v/>
      </c>
      <c r="BC679" s="2">
        <f>IF($AS679="","",MID(IF($BA679="기간 밖"," / 기간 밖(신고기간 아님)","")&amp;IF(AND($AW679&lt;&gt;"",COUNTIF($AW$8:$AW$1007,$AW679)&gt;1)," / 승인번호 중복(두 번 붙여넣기?)","")&amp;IF(ABS($AU679-ROUND($AT679*0.1,0))&gt;설정!$B$8,IF($AU679=0," / 세액 0원(영세율·면세 여부 확인)"," / 세액이 공급가액 10%와 다름"),"")&amp;IF($BB679="수정"," / 수정세금계산서(합계에서 자동 가감)",""),4,200))</f>
        <v/>
      </c>
      <c r="BD679" s="2">
        <f>IF($BA679&lt;&gt;"포함","",IF(COUNTIFS($AX$8:$AX679,$AX679,$BA$8:$BA679,"포함")=1,MAX($BD$7:BD678)+1,""))</f>
        <v/>
      </c>
      <c r="BE679" s="2">
        <f>IF($BC679="","",MAX($BE$7:BE678)+1)</f>
        <v/>
      </c>
    </row>
    <row r="680">
      <c r="AR680" s="2">
        <f>IF(OR($A$5="",$B$6="",ROW()&lt;$A$5),"",IF(INDEX($A:$AP,ROW(),$B$6)="","",INDEX($A:$AP,ROW(),$B$6)))</f>
        <v/>
      </c>
      <c r="AS680" s="22">
        <f>IF($AR680="","",IF(ISNUMBER($AR680),IF($AR680&gt;=10000000,IFERROR(DATE(INT($AR680/10000),MOD(INT($AR680/100),100),MOD($AR680,100)),""),INT($AR680)),IFERROR(DATE(--LEFT(LEFT(SUBSTITUTE(SUBSTITUTE(SUBSTITUTE(SUBSTITUTE(TRIM($AR680),"-",""),".",""),"/","")," ",""),8),4),--MID(LEFT(SUBSTITUTE(SUBSTITUTE(SUBSTITUTE(SUBSTITUTE(TRIM($AR680),"-",""),".",""),"/","")," ",""),8),5,2),--MID(LEFT(SUBSTITUTE(SUBSTITUTE(SUBSTITUTE(SUBSTITUTE(TRIM($AR680),"-",""),".",""),"/","")," ",""),8),7,2)),"")))</f>
        <v/>
      </c>
      <c r="AT680" s="23">
        <f>IF($AS680="","",IF($F$6="",0,IF(ISNUMBER(INDEX($A:$AP,ROW(),$F$6)),INDEX($A:$AP,ROW(),$F$6),IFERROR(--SUBSTITUTE(SUBSTITUTE(TRIM(INDEX($A:$AP,ROW(),$F$6)),",",""),"원",""),0))))</f>
        <v/>
      </c>
      <c r="AU680" s="23">
        <f>IF($AS680="","",IF($G$6="",0,IF(ISNUMBER(INDEX($A:$AP,ROW(),$G$6)),INDEX($A:$AP,ROW(),$G$6),IFERROR(--SUBSTITUTE(SUBSTITUTE(TRIM(INDEX($A:$AP,ROW(),$G$6)),",",""),"원",""),0))))</f>
        <v/>
      </c>
      <c r="AV680" s="23">
        <f>IF($AS680="","",IF($H$6="",$AT680+$AU680,IF($H$6="",0,IF(ISNUMBER(INDEX($A:$AP,ROW(),$H$6)),INDEX($A:$AP,ROW(),$H$6),IFERROR(--SUBSTITUTE(SUBSTITUTE(TRIM(INDEX($A:$AP,ROW(),$H$6)),",",""),"원",""),0)))))</f>
        <v/>
      </c>
      <c r="AW680" s="2">
        <f>IF(OR($AS680="",$C$6=""),"",TRIM(INDEX($A:$AP,ROW(),$C$6)&amp;""))</f>
        <v/>
      </c>
      <c r="AX680" s="2">
        <f>IF($AS680="","",IF($AZ680&lt;&gt;"",SUBSTITUTE(SUBSTITUTE($AZ680,"-","")," ",""),$AY680))</f>
        <v/>
      </c>
      <c r="AY680" s="2">
        <f>IF(OR($AS680="",$E$6=""),"",TRIM(INDEX($A:$AP,ROW(),$E$6)&amp;""))</f>
        <v/>
      </c>
      <c r="AZ680" s="2">
        <f>IF(OR($AS680="",$D$6=""),"",TRIM(INDEX($A:$AP,ROW(),$D$6)&amp;""))</f>
        <v/>
      </c>
      <c r="BA680" s="2">
        <f>IF($AS680="","",IF(AND($AS680&gt;=설정!$B$10,$AS680&lt;=설정!$B$11),"포함","기간 밖"))</f>
        <v/>
      </c>
      <c r="BB680" s="2">
        <f>IF($AS680="","",IF(OR($AT680&lt;0,AND($I$6&lt;&gt;"",ISNUMBER(FIND("수정",INDEX($A:$AP,ROW(),IF($I$6="",1,$I$6))&amp;"")))),"수정","일반"))</f>
        <v/>
      </c>
      <c r="BC680" s="2">
        <f>IF($AS680="","",MID(IF($BA680="기간 밖"," / 기간 밖(신고기간 아님)","")&amp;IF(AND($AW680&lt;&gt;"",COUNTIF($AW$8:$AW$1007,$AW680)&gt;1)," / 승인번호 중복(두 번 붙여넣기?)","")&amp;IF(ABS($AU680-ROUND($AT680*0.1,0))&gt;설정!$B$8,IF($AU680=0," / 세액 0원(영세율·면세 여부 확인)"," / 세액이 공급가액 10%와 다름"),"")&amp;IF($BB680="수정"," / 수정세금계산서(합계에서 자동 가감)",""),4,200))</f>
        <v/>
      </c>
      <c r="BD680" s="2">
        <f>IF($BA680&lt;&gt;"포함","",IF(COUNTIFS($AX$8:$AX680,$AX680,$BA$8:$BA680,"포함")=1,MAX($BD$7:BD679)+1,""))</f>
        <v/>
      </c>
      <c r="BE680" s="2">
        <f>IF($BC680="","",MAX($BE$7:BE679)+1)</f>
        <v/>
      </c>
    </row>
    <row r="681">
      <c r="AR681" s="2">
        <f>IF(OR($A$5="",$B$6="",ROW()&lt;$A$5),"",IF(INDEX($A:$AP,ROW(),$B$6)="","",INDEX($A:$AP,ROW(),$B$6)))</f>
        <v/>
      </c>
      <c r="AS681" s="22">
        <f>IF($AR681="","",IF(ISNUMBER($AR681),IF($AR681&gt;=10000000,IFERROR(DATE(INT($AR681/10000),MOD(INT($AR681/100),100),MOD($AR681,100)),""),INT($AR681)),IFERROR(DATE(--LEFT(LEFT(SUBSTITUTE(SUBSTITUTE(SUBSTITUTE(SUBSTITUTE(TRIM($AR681),"-",""),".",""),"/","")," ",""),8),4),--MID(LEFT(SUBSTITUTE(SUBSTITUTE(SUBSTITUTE(SUBSTITUTE(TRIM($AR681),"-",""),".",""),"/","")," ",""),8),5,2),--MID(LEFT(SUBSTITUTE(SUBSTITUTE(SUBSTITUTE(SUBSTITUTE(TRIM($AR681),"-",""),".",""),"/","")," ",""),8),7,2)),"")))</f>
        <v/>
      </c>
      <c r="AT681" s="23">
        <f>IF($AS681="","",IF($F$6="",0,IF(ISNUMBER(INDEX($A:$AP,ROW(),$F$6)),INDEX($A:$AP,ROW(),$F$6),IFERROR(--SUBSTITUTE(SUBSTITUTE(TRIM(INDEX($A:$AP,ROW(),$F$6)),",",""),"원",""),0))))</f>
        <v/>
      </c>
      <c r="AU681" s="23">
        <f>IF($AS681="","",IF($G$6="",0,IF(ISNUMBER(INDEX($A:$AP,ROW(),$G$6)),INDEX($A:$AP,ROW(),$G$6),IFERROR(--SUBSTITUTE(SUBSTITUTE(TRIM(INDEX($A:$AP,ROW(),$G$6)),",",""),"원",""),0))))</f>
        <v/>
      </c>
      <c r="AV681" s="23">
        <f>IF($AS681="","",IF($H$6="",$AT681+$AU681,IF($H$6="",0,IF(ISNUMBER(INDEX($A:$AP,ROW(),$H$6)),INDEX($A:$AP,ROW(),$H$6),IFERROR(--SUBSTITUTE(SUBSTITUTE(TRIM(INDEX($A:$AP,ROW(),$H$6)),",",""),"원",""),0)))))</f>
        <v/>
      </c>
      <c r="AW681" s="2">
        <f>IF(OR($AS681="",$C$6=""),"",TRIM(INDEX($A:$AP,ROW(),$C$6)&amp;""))</f>
        <v/>
      </c>
      <c r="AX681" s="2">
        <f>IF($AS681="","",IF($AZ681&lt;&gt;"",SUBSTITUTE(SUBSTITUTE($AZ681,"-","")," ",""),$AY681))</f>
        <v/>
      </c>
      <c r="AY681" s="2">
        <f>IF(OR($AS681="",$E$6=""),"",TRIM(INDEX($A:$AP,ROW(),$E$6)&amp;""))</f>
        <v/>
      </c>
      <c r="AZ681" s="2">
        <f>IF(OR($AS681="",$D$6=""),"",TRIM(INDEX($A:$AP,ROW(),$D$6)&amp;""))</f>
        <v/>
      </c>
      <c r="BA681" s="2">
        <f>IF($AS681="","",IF(AND($AS681&gt;=설정!$B$10,$AS681&lt;=설정!$B$11),"포함","기간 밖"))</f>
        <v/>
      </c>
      <c r="BB681" s="2">
        <f>IF($AS681="","",IF(OR($AT681&lt;0,AND($I$6&lt;&gt;"",ISNUMBER(FIND("수정",INDEX($A:$AP,ROW(),IF($I$6="",1,$I$6))&amp;"")))),"수정","일반"))</f>
        <v/>
      </c>
      <c r="BC681" s="2">
        <f>IF($AS681="","",MID(IF($BA681="기간 밖"," / 기간 밖(신고기간 아님)","")&amp;IF(AND($AW681&lt;&gt;"",COUNTIF($AW$8:$AW$1007,$AW681)&gt;1)," / 승인번호 중복(두 번 붙여넣기?)","")&amp;IF(ABS($AU681-ROUND($AT681*0.1,0))&gt;설정!$B$8,IF($AU681=0," / 세액 0원(영세율·면세 여부 확인)"," / 세액이 공급가액 10%와 다름"),"")&amp;IF($BB681="수정"," / 수정세금계산서(합계에서 자동 가감)",""),4,200))</f>
        <v/>
      </c>
      <c r="BD681" s="2">
        <f>IF($BA681&lt;&gt;"포함","",IF(COUNTIFS($AX$8:$AX681,$AX681,$BA$8:$BA681,"포함")=1,MAX($BD$7:BD680)+1,""))</f>
        <v/>
      </c>
      <c r="BE681" s="2">
        <f>IF($BC681="","",MAX($BE$7:BE680)+1)</f>
        <v/>
      </c>
    </row>
    <row r="682">
      <c r="AR682" s="2">
        <f>IF(OR($A$5="",$B$6="",ROW()&lt;$A$5),"",IF(INDEX($A:$AP,ROW(),$B$6)="","",INDEX($A:$AP,ROW(),$B$6)))</f>
        <v/>
      </c>
      <c r="AS682" s="22">
        <f>IF($AR682="","",IF(ISNUMBER($AR682),IF($AR682&gt;=10000000,IFERROR(DATE(INT($AR682/10000),MOD(INT($AR682/100),100),MOD($AR682,100)),""),INT($AR682)),IFERROR(DATE(--LEFT(LEFT(SUBSTITUTE(SUBSTITUTE(SUBSTITUTE(SUBSTITUTE(TRIM($AR682),"-",""),".",""),"/","")," ",""),8),4),--MID(LEFT(SUBSTITUTE(SUBSTITUTE(SUBSTITUTE(SUBSTITUTE(TRIM($AR682),"-",""),".",""),"/","")," ",""),8),5,2),--MID(LEFT(SUBSTITUTE(SUBSTITUTE(SUBSTITUTE(SUBSTITUTE(TRIM($AR682),"-",""),".",""),"/","")," ",""),8),7,2)),"")))</f>
        <v/>
      </c>
      <c r="AT682" s="23">
        <f>IF($AS682="","",IF($F$6="",0,IF(ISNUMBER(INDEX($A:$AP,ROW(),$F$6)),INDEX($A:$AP,ROW(),$F$6),IFERROR(--SUBSTITUTE(SUBSTITUTE(TRIM(INDEX($A:$AP,ROW(),$F$6)),",",""),"원",""),0))))</f>
        <v/>
      </c>
      <c r="AU682" s="23">
        <f>IF($AS682="","",IF($G$6="",0,IF(ISNUMBER(INDEX($A:$AP,ROW(),$G$6)),INDEX($A:$AP,ROW(),$G$6),IFERROR(--SUBSTITUTE(SUBSTITUTE(TRIM(INDEX($A:$AP,ROW(),$G$6)),",",""),"원",""),0))))</f>
        <v/>
      </c>
      <c r="AV682" s="23">
        <f>IF($AS682="","",IF($H$6="",$AT682+$AU682,IF($H$6="",0,IF(ISNUMBER(INDEX($A:$AP,ROW(),$H$6)),INDEX($A:$AP,ROW(),$H$6),IFERROR(--SUBSTITUTE(SUBSTITUTE(TRIM(INDEX($A:$AP,ROW(),$H$6)),",",""),"원",""),0)))))</f>
        <v/>
      </c>
      <c r="AW682" s="2">
        <f>IF(OR($AS682="",$C$6=""),"",TRIM(INDEX($A:$AP,ROW(),$C$6)&amp;""))</f>
        <v/>
      </c>
      <c r="AX682" s="2">
        <f>IF($AS682="","",IF($AZ682&lt;&gt;"",SUBSTITUTE(SUBSTITUTE($AZ682,"-","")," ",""),$AY682))</f>
        <v/>
      </c>
      <c r="AY682" s="2">
        <f>IF(OR($AS682="",$E$6=""),"",TRIM(INDEX($A:$AP,ROW(),$E$6)&amp;""))</f>
        <v/>
      </c>
      <c r="AZ682" s="2">
        <f>IF(OR($AS682="",$D$6=""),"",TRIM(INDEX($A:$AP,ROW(),$D$6)&amp;""))</f>
        <v/>
      </c>
      <c r="BA682" s="2">
        <f>IF($AS682="","",IF(AND($AS682&gt;=설정!$B$10,$AS682&lt;=설정!$B$11),"포함","기간 밖"))</f>
        <v/>
      </c>
      <c r="BB682" s="2">
        <f>IF($AS682="","",IF(OR($AT682&lt;0,AND($I$6&lt;&gt;"",ISNUMBER(FIND("수정",INDEX($A:$AP,ROW(),IF($I$6="",1,$I$6))&amp;"")))),"수정","일반"))</f>
        <v/>
      </c>
      <c r="BC682" s="2">
        <f>IF($AS682="","",MID(IF($BA682="기간 밖"," / 기간 밖(신고기간 아님)","")&amp;IF(AND($AW682&lt;&gt;"",COUNTIF($AW$8:$AW$1007,$AW682)&gt;1)," / 승인번호 중복(두 번 붙여넣기?)","")&amp;IF(ABS($AU682-ROUND($AT682*0.1,0))&gt;설정!$B$8,IF($AU682=0," / 세액 0원(영세율·면세 여부 확인)"," / 세액이 공급가액 10%와 다름"),"")&amp;IF($BB682="수정"," / 수정세금계산서(합계에서 자동 가감)",""),4,200))</f>
        <v/>
      </c>
      <c r="BD682" s="2">
        <f>IF($BA682&lt;&gt;"포함","",IF(COUNTIFS($AX$8:$AX682,$AX682,$BA$8:$BA682,"포함")=1,MAX($BD$7:BD681)+1,""))</f>
        <v/>
      </c>
      <c r="BE682" s="2">
        <f>IF($BC682="","",MAX($BE$7:BE681)+1)</f>
        <v/>
      </c>
    </row>
    <row r="683">
      <c r="AR683" s="2">
        <f>IF(OR($A$5="",$B$6="",ROW()&lt;$A$5),"",IF(INDEX($A:$AP,ROW(),$B$6)="","",INDEX($A:$AP,ROW(),$B$6)))</f>
        <v/>
      </c>
      <c r="AS683" s="22">
        <f>IF($AR683="","",IF(ISNUMBER($AR683),IF($AR683&gt;=10000000,IFERROR(DATE(INT($AR683/10000),MOD(INT($AR683/100),100),MOD($AR683,100)),""),INT($AR683)),IFERROR(DATE(--LEFT(LEFT(SUBSTITUTE(SUBSTITUTE(SUBSTITUTE(SUBSTITUTE(TRIM($AR683),"-",""),".",""),"/","")," ",""),8),4),--MID(LEFT(SUBSTITUTE(SUBSTITUTE(SUBSTITUTE(SUBSTITUTE(TRIM($AR683),"-",""),".",""),"/","")," ",""),8),5,2),--MID(LEFT(SUBSTITUTE(SUBSTITUTE(SUBSTITUTE(SUBSTITUTE(TRIM($AR683),"-",""),".",""),"/","")," ",""),8),7,2)),"")))</f>
        <v/>
      </c>
      <c r="AT683" s="23">
        <f>IF($AS683="","",IF($F$6="",0,IF(ISNUMBER(INDEX($A:$AP,ROW(),$F$6)),INDEX($A:$AP,ROW(),$F$6),IFERROR(--SUBSTITUTE(SUBSTITUTE(TRIM(INDEX($A:$AP,ROW(),$F$6)),",",""),"원",""),0))))</f>
        <v/>
      </c>
      <c r="AU683" s="23">
        <f>IF($AS683="","",IF($G$6="",0,IF(ISNUMBER(INDEX($A:$AP,ROW(),$G$6)),INDEX($A:$AP,ROW(),$G$6),IFERROR(--SUBSTITUTE(SUBSTITUTE(TRIM(INDEX($A:$AP,ROW(),$G$6)),",",""),"원",""),0))))</f>
        <v/>
      </c>
      <c r="AV683" s="23">
        <f>IF($AS683="","",IF($H$6="",$AT683+$AU683,IF($H$6="",0,IF(ISNUMBER(INDEX($A:$AP,ROW(),$H$6)),INDEX($A:$AP,ROW(),$H$6),IFERROR(--SUBSTITUTE(SUBSTITUTE(TRIM(INDEX($A:$AP,ROW(),$H$6)),",",""),"원",""),0)))))</f>
        <v/>
      </c>
      <c r="AW683" s="2">
        <f>IF(OR($AS683="",$C$6=""),"",TRIM(INDEX($A:$AP,ROW(),$C$6)&amp;""))</f>
        <v/>
      </c>
      <c r="AX683" s="2">
        <f>IF($AS683="","",IF($AZ683&lt;&gt;"",SUBSTITUTE(SUBSTITUTE($AZ683,"-","")," ",""),$AY683))</f>
        <v/>
      </c>
      <c r="AY683" s="2">
        <f>IF(OR($AS683="",$E$6=""),"",TRIM(INDEX($A:$AP,ROW(),$E$6)&amp;""))</f>
        <v/>
      </c>
      <c r="AZ683" s="2">
        <f>IF(OR($AS683="",$D$6=""),"",TRIM(INDEX($A:$AP,ROW(),$D$6)&amp;""))</f>
        <v/>
      </c>
      <c r="BA683" s="2">
        <f>IF($AS683="","",IF(AND($AS683&gt;=설정!$B$10,$AS683&lt;=설정!$B$11),"포함","기간 밖"))</f>
        <v/>
      </c>
      <c r="BB683" s="2">
        <f>IF($AS683="","",IF(OR($AT683&lt;0,AND($I$6&lt;&gt;"",ISNUMBER(FIND("수정",INDEX($A:$AP,ROW(),IF($I$6="",1,$I$6))&amp;"")))),"수정","일반"))</f>
        <v/>
      </c>
      <c r="BC683" s="2">
        <f>IF($AS683="","",MID(IF($BA683="기간 밖"," / 기간 밖(신고기간 아님)","")&amp;IF(AND($AW683&lt;&gt;"",COUNTIF($AW$8:$AW$1007,$AW683)&gt;1)," / 승인번호 중복(두 번 붙여넣기?)","")&amp;IF(ABS($AU683-ROUND($AT683*0.1,0))&gt;설정!$B$8,IF($AU683=0," / 세액 0원(영세율·면세 여부 확인)"," / 세액이 공급가액 10%와 다름"),"")&amp;IF($BB683="수정"," / 수정세금계산서(합계에서 자동 가감)",""),4,200))</f>
        <v/>
      </c>
      <c r="BD683" s="2">
        <f>IF($BA683&lt;&gt;"포함","",IF(COUNTIFS($AX$8:$AX683,$AX683,$BA$8:$BA683,"포함")=1,MAX($BD$7:BD682)+1,""))</f>
        <v/>
      </c>
      <c r="BE683" s="2">
        <f>IF($BC683="","",MAX($BE$7:BE682)+1)</f>
        <v/>
      </c>
    </row>
    <row r="684">
      <c r="AR684" s="2">
        <f>IF(OR($A$5="",$B$6="",ROW()&lt;$A$5),"",IF(INDEX($A:$AP,ROW(),$B$6)="","",INDEX($A:$AP,ROW(),$B$6)))</f>
        <v/>
      </c>
      <c r="AS684" s="22">
        <f>IF($AR684="","",IF(ISNUMBER($AR684),IF($AR684&gt;=10000000,IFERROR(DATE(INT($AR684/10000),MOD(INT($AR684/100),100),MOD($AR684,100)),""),INT($AR684)),IFERROR(DATE(--LEFT(LEFT(SUBSTITUTE(SUBSTITUTE(SUBSTITUTE(SUBSTITUTE(TRIM($AR684),"-",""),".",""),"/","")," ",""),8),4),--MID(LEFT(SUBSTITUTE(SUBSTITUTE(SUBSTITUTE(SUBSTITUTE(TRIM($AR684),"-",""),".",""),"/","")," ",""),8),5,2),--MID(LEFT(SUBSTITUTE(SUBSTITUTE(SUBSTITUTE(SUBSTITUTE(TRIM($AR684),"-",""),".",""),"/","")," ",""),8),7,2)),"")))</f>
        <v/>
      </c>
      <c r="AT684" s="23">
        <f>IF($AS684="","",IF($F$6="",0,IF(ISNUMBER(INDEX($A:$AP,ROW(),$F$6)),INDEX($A:$AP,ROW(),$F$6),IFERROR(--SUBSTITUTE(SUBSTITUTE(TRIM(INDEX($A:$AP,ROW(),$F$6)),",",""),"원",""),0))))</f>
        <v/>
      </c>
      <c r="AU684" s="23">
        <f>IF($AS684="","",IF($G$6="",0,IF(ISNUMBER(INDEX($A:$AP,ROW(),$G$6)),INDEX($A:$AP,ROW(),$G$6),IFERROR(--SUBSTITUTE(SUBSTITUTE(TRIM(INDEX($A:$AP,ROW(),$G$6)),",",""),"원",""),0))))</f>
        <v/>
      </c>
      <c r="AV684" s="23">
        <f>IF($AS684="","",IF($H$6="",$AT684+$AU684,IF($H$6="",0,IF(ISNUMBER(INDEX($A:$AP,ROW(),$H$6)),INDEX($A:$AP,ROW(),$H$6),IFERROR(--SUBSTITUTE(SUBSTITUTE(TRIM(INDEX($A:$AP,ROW(),$H$6)),",",""),"원",""),0)))))</f>
        <v/>
      </c>
      <c r="AW684" s="2">
        <f>IF(OR($AS684="",$C$6=""),"",TRIM(INDEX($A:$AP,ROW(),$C$6)&amp;""))</f>
        <v/>
      </c>
      <c r="AX684" s="2">
        <f>IF($AS684="","",IF($AZ684&lt;&gt;"",SUBSTITUTE(SUBSTITUTE($AZ684,"-","")," ",""),$AY684))</f>
        <v/>
      </c>
      <c r="AY684" s="2">
        <f>IF(OR($AS684="",$E$6=""),"",TRIM(INDEX($A:$AP,ROW(),$E$6)&amp;""))</f>
        <v/>
      </c>
      <c r="AZ684" s="2">
        <f>IF(OR($AS684="",$D$6=""),"",TRIM(INDEX($A:$AP,ROW(),$D$6)&amp;""))</f>
        <v/>
      </c>
      <c r="BA684" s="2">
        <f>IF($AS684="","",IF(AND($AS684&gt;=설정!$B$10,$AS684&lt;=설정!$B$11),"포함","기간 밖"))</f>
        <v/>
      </c>
      <c r="BB684" s="2">
        <f>IF($AS684="","",IF(OR($AT684&lt;0,AND($I$6&lt;&gt;"",ISNUMBER(FIND("수정",INDEX($A:$AP,ROW(),IF($I$6="",1,$I$6))&amp;"")))),"수정","일반"))</f>
        <v/>
      </c>
      <c r="BC684" s="2">
        <f>IF($AS684="","",MID(IF($BA684="기간 밖"," / 기간 밖(신고기간 아님)","")&amp;IF(AND($AW684&lt;&gt;"",COUNTIF($AW$8:$AW$1007,$AW684)&gt;1)," / 승인번호 중복(두 번 붙여넣기?)","")&amp;IF(ABS($AU684-ROUND($AT684*0.1,0))&gt;설정!$B$8,IF($AU684=0," / 세액 0원(영세율·면세 여부 확인)"," / 세액이 공급가액 10%와 다름"),"")&amp;IF($BB684="수정"," / 수정세금계산서(합계에서 자동 가감)",""),4,200))</f>
        <v/>
      </c>
      <c r="BD684" s="2">
        <f>IF($BA684&lt;&gt;"포함","",IF(COUNTIFS($AX$8:$AX684,$AX684,$BA$8:$BA684,"포함")=1,MAX($BD$7:BD683)+1,""))</f>
        <v/>
      </c>
      <c r="BE684" s="2">
        <f>IF($BC684="","",MAX($BE$7:BE683)+1)</f>
        <v/>
      </c>
    </row>
    <row r="685">
      <c r="AR685" s="2">
        <f>IF(OR($A$5="",$B$6="",ROW()&lt;$A$5),"",IF(INDEX($A:$AP,ROW(),$B$6)="","",INDEX($A:$AP,ROW(),$B$6)))</f>
        <v/>
      </c>
      <c r="AS685" s="22">
        <f>IF($AR685="","",IF(ISNUMBER($AR685),IF($AR685&gt;=10000000,IFERROR(DATE(INT($AR685/10000),MOD(INT($AR685/100),100),MOD($AR685,100)),""),INT($AR685)),IFERROR(DATE(--LEFT(LEFT(SUBSTITUTE(SUBSTITUTE(SUBSTITUTE(SUBSTITUTE(TRIM($AR685),"-",""),".",""),"/","")," ",""),8),4),--MID(LEFT(SUBSTITUTE(SUBSTITUTE(SUBSTITUTE(SUBSTITUTE(TRIM($AR685),"-",""),".",""),"/","")," ",""),8),5,2),--MID(LEFT(SUBSTITUTE(SUBSTITUTE(SUBSTITUTE(SUBSTITUTE(TRIM($AR685),"-",""),".",""),"/","")," ",""),8),7,2)),"")))</f>
        <v/>
      </c>
      <c r="AT685" s="23">
        <f>IF($AS685="","",IF($F$6="",0,IF(ISNUMBER(INDEX($A:$AP,ROW(),$F$6)),INDEX($A:$AP,ROW(),$F$6),IFERROR(--SUBSTITUTE(SUBSTITUTE(TRIM(INDEX($A:$AP,ROW(),$F$6)),",",""),"원",""),0))))</f>
        <v/>
      </c>
      <c r="AU685" s="23">
        <f>IF($AS685="","",IF($G$6="",0,IF(ISNUMBER(INDEX($A:$AP,ROW(),$G$6)),INDEX($A:$AP,ROW(),$G$6),IFERROR(--SUBSTITUTE(SUBSTITUTE(TRIM(INDEX($A:$AP,ROW(),$G$6)),",",""),"원",""),0))))</f>
        <v/>
      </c>
      <c r="AV685" s="23">
        <f>IF($AS685="","",IF($H$6="",$AT685+$AU685,IF($H$6="",0,IF(ISNUMBER(INDEX($A:$AP,ROW(),$H$6)),INDEX($A:$AP,ROW(),$H$6),IFERROR(--SUBSTITUTE(SUBSTITUTE(TRIM(INDEX($A:$AP,ROW(),$H$6)),",",""),"원",""),0)))))</f>
        <v/>
      </c>
      <c r="AW685" s="2">
        <f>IF(OR($AS685="",$C$6=""),"",TRIM(INDEX($A:$AP,ROW(),$C$6)&amp;""))</f>
        <v/>
      </c>
      <c r="AX685" s="2">
        <f>IF($AS685="","",IF($AZ685&lt;&gt;"",SUBSTITUTE(SUBSTITUTE($AZ685,"-","")," ",""),$AY685))</f>
        <v/>
      </c>
      <c r="AY685" s="2">
        <f>IF(OR($AS685="",$E$6=""),"",TRIM(INDEX($A:$AP,ROW(),$E$6)&amp;""))</f>
        <v/>
      </c>
      <c r="AZ685" s="2">
        <f>IF(OR($AS685="",$D$6=""),"",TRIM(INDEX($A:$AP,ROW(),$D$6)&amp;""))</f>
        <v/>
      </c>
      <c r="BA685" s="2">
        <f>IF($AS685="","",IF(AND($AS685&gt;=설정!$B$10,$AS685&lt;=설정!$B$11),"포함","기간 밖"))</f>
        <v/>
      </c>
      <c r="BB685" s="2">
        <f>IF($AS685="","",IF(OR($AT685&lt;0,AND($I$6&lt;&gt;"",ISNUMBER(FIND("수정",INDEX($A:$AP,ROW(),IF($I$6="",1,$I$6))&amp;"")))),"수정","일반"))</f>
        <v/>
      </c>
      <c r="BC685" s="2">
        <f>IF($AS685="","",MID(IF($BA685="기간 밖"," / 기간 밖(신고기간 아님)","")&amp;IF(AND($AW685&lt;&gt;"",COUNTIF($AW$8:$AW$1007,$AW685)&gt;1)," / 승인번호 중복(두 번 붙여넣기?)","")&amp;IF(ABS($AU685-ROUND($AT685*0.1,0))&gt;설정!$B$8,IF($AU685=0," / 세액 0원(영세율·면세 여부 확인)"," / 세액이 공급가액 10%와 다름"),"")&amp;IF($BB685="수정"," / 수정세금계산서(합계에서 자동 가감)",""),4,200))</f>
        <v/>
      </c>
      <c r="BD685" s="2">
        <f>IF($BA685&lt;&gt;"포함","",IF(COUNTIFS($AX$8:$AX685,$AX685,$BA$8:$BA685,"포함")=1,MAX($BD$7:BD684)+1,""))</f>
        <v/>
      </c>
      <c r="BE685" s="2">
        <f>IF($BC685="","",MAX($BE$7:BE684)+1)</f>
        <v/>
      </c>
    </row>
    <row r="686">
      <c r="AR686" s="2">
        <f>IF(OR($A$5="",$B$6="",ROW()&lt;$A$5),"",IF(INDEX($A:$AP,ROW(),$B$6)="","",INDEX($A:$AP,ROW(),$B$6)))</f>
        <v/>
      </c>
      <c r="AS686" s="22">
        <f>IF($AR686="","",IF(ISNUMBER($AR686),IF($AR686&gt;=10000000,IFERROR(DATE(INT($AR686/10000),MOD(INT($AR686/100),100),MOD($AR686,100)),""),INT($AR686)),IFERROR(DATE(--LEFT(LEFT(SUBSTITUTE(SUBSTITUTE(SUBSTITUTE(SUBSTITUTE(TRIM($AR686),"-",""),".",""),"/","")," ",""),8),4),--MID(LEFT(SUBSTITUTE(SUBSTITUTE(SUBSTITUTE(SUBSTITUTE(TRIM($AR686),"-",""),".",""),"/","")," ",""),8),5,2),--MID(LEFT(SUBSTITUTE(SUBSTITUTE(SUBSTITUTE(SUBSTITUTE(TRIM($AR686),"-",""),".",""),"/","")," ",""),8),7,2)),"")))</f>
        <v/>
      </c>
      <c r="AT686" s="23">
        <f>IF($AS686="","",IF($F$6="",0,IF(ISNUMBER(INDEX($A:$AP,ROW(),$F$6)),INDEX($A:$AP,ROW(),$F$6),IFERROR(--SUBSTITUTE(SUBSTITUTE(TRIM(INDEX($A:$AP,ROW(),$F$6)),",",""),"원",""),0))))</f>
        <v/>
      </c>
      <c r="AU686" s="23">
        <f>IF($AS686="","",IF($G$6="",0,IF(ISNUMBER(INDEX($A:$AP,ROW(),$G$6)),INDEX($A:$AP,ROW(),$G$6),IFERROR(--SUBSTITUTE(SUBSTITUTE(TRIM(INDEX($A:$AP,ROW(),$G$6)),",",""),"원",""),0))))</f>
        <v/>
      </c>
      <c r="AV686" s="23">
        <f>IF($AS686="","",IF($H$6="",$AT686+$AU686,IF($H$6="",0,IF(ISNUMBER(INDEX($A:$AP,ROW(),$H$6)),INDEX($A:$AP,ROW(),$H$6),IFERROR(--SUBSTITUTE(SUBSTITUTE(TRIM(INDEX($A:$AP,ROW(),$H$6)),",",""),"원",""),0)))))</f>
        <v/>
      </c>
      <c r="AW686" s="2">
        <f>IF(OR($AS686="",$C$6=""),"",TRIM(INDEX($A:$AP,ROW(),$C$6)&amp;""))</f>
        <v/>
      </c>
      <c r="AX686" s="2">
        <f>IF($AS686="","",IF($AZ686&lt;&gt;"",SUBSTITUTE(SUBSTITUTE($AZ686,"-","")," ",""),$AY686))</f>
        <v/>
      </c>
      <c r="AY686" s="2">
        <f>IF(OR($AS686="",$E$6=""),"",TRIM(INDEX($A:$AP,ROW(),$E$6)&amp;""))</f>
        <v/>
      </c>
      <c r="AZ686" s="2">
        <f>IF(OR($AS686="",$D$6=""),"",TRIM(INDEX($A:$AP,ROW(),$D$6)&amp;""))</f>
        <v/>
      </c>
      <c r="BA686" s="2">
        <f>IF($AS686="","",IF(AND($AS686&gt;=설정!$B$10,$AS686&lt;=설정!$B$11),"포함","기간 밖"))</f>
        <v/>
      </c>
      <c r="BB686" s="2">
        <f>IF($AS686="","",IF(OR($AT686&lt;0,AND($I$6&lt;&gt;"",ISNUMBER(FIND("수정",INDEX($A:$AP,ROW(),IF($I$6="",1,$I$6))&amp;"")))),"수정","일반"))</f>
        <v/>
      </c>
      <c r="BC686" s="2">
        <f>IF($AS686="","",MID(IF($BA686="기간 밖"," / 기간 밖(신고기간 아님)","")&amp;IF(AND($AW686&lt;&gt;"",COUNTIF($AW$8:$AW$1007,$AW686)&gt;1)," / 승인번호 중복(두 번 붙여넣기?)","")&amp;IF(ABS($AU686-ROUND($AT686*0.1,0))&gt;설정!$B$8,IF($AU686=0," / 세액 0원(영세율·면세 여부 확인)"," / 세액이 공급가액 10%와 다름"),"")&amp;IF($BB686="수정"," / 수정세금계산서(합계에서 자동 가감)",""),4,200))</f>
        <v/>
      </c>
      <c r="BD686" s="2">
        <f>IF($BA686&lt;&gt;"포함","",IF(COUNTIFS($AX$8:$AX686,$AX686,$BA$8:$BA686,"포함")=1,MAX($BD$7:BD685)+1,""))</f>
        <v/>
      </c>
      <c r="BE686" s="2">
        <f>IF($BC686="","",MAX($BE$7:BE685)+1)</f>
        <v/>
      </c>
    </row>
    <row r="687">
      <c r="AR687" s="2">
        <f>IF(OR($A$5="",$B$6="",ROW()&lt;$A$5),"",IF(INDEX($A:$AP,ROW(),$B$6)="","",INDEX($A:$AP,ROW(),$B$6)))</f>
        <v/>
      </c>
      <c r="AS687" s="22">
        <f>IF($AR687="","",IF(ISNUMBER($AR687),IF($AR687&gt;=10000000,IFERROR(DATE(INT($AR687/10000),MOD(INT($AR687/100),100),MOD($AR687,100)),""),INT($AR687)),IFERROR(DATE(--LEFT(LEFT(SUBSTITUTE(SUBSTITUTE(SUBSTITUTE(SUBSTITUTE(TRIM($AR687),"-",""),".",""),"/","")," ",""),8),4),--MID(LEFT(SUBSTITUTE(SUBSTITUTE(SUBSTITUTE(SUBSTITUTE(TRIM($AR687),"-",""),".",""),"/","")," ",""),8),5,2),--MID(LEFT(SUBSTITUTE(SUBSTITUTE(SUBSTITUTE(SUBSTITUTE(TRIM($AR687),"-",""),".",""),"/","")," ",""),8),7,2)),"")))</f>
        <v/>
      </c>
      <c r="AT687" s="23">
        <f>IF($AS687="","",IF($F$6="",0,IF(ISNUMBER(INDEX($A:$AP,ROW(),$F$6)),INDEX($A:$AP,ROW(),$F$6),IFERROR(--SUBSTITUTE(SUBSTITUTE(TRIM(INDEX($A:$AP,ROW(),$F$6)),",",""),"원",""),0))))</f>
        <v/>
      </c>
      <c r="AU687" s="23">
        <f>IF($AS687="","",IF($G$6="",0,IF(ISNUMBER(INDEX($A:$AP,ROW(),$G$6)),INDEX($A:$AP,ROW(),$G$6),IFERROR(--SUBSTITUTE(SUBSTITUTE(TRIM(INDEX($A:$AP,ROW(),$G$6)),",",""),"원",""),0))))</f>
        <v/>
      </c>
      <c r="AV687" s="23">
        <f>IF($AS687="","",IF($H$6="",$AT687+$AU687,IF($H$6="",0,IF(ISNUMBER(INDEX($A:$AP,ROW(),$H$6)),INDEX($A:$AP,ROW(),$H$6),IFERROR(--SUBSTITUTE(SUBSTITUTE(TRIM(INDEX($A:$AP,ROW(),$H$6)),",",""),"원",""),0)))))</f>
        <v/>
      </c>
      <c r="AW687" s="2">
        <f>IF(OR($AS687="",$C$6=""),"",TRIM(INDEX($A:$AP,ROW(),$C$6)&amp;""))</f>
        <v/>
      </c>
      <c r="AX687" s="2">
        <f>IF($AS687="","",IF($AZ687&lt;&gt;"",SUBSTITUTE(SUBSTITUTE($AZ687,"-","")," ",""),$AY687))</f>
        <v/>
      </c>
      <c r="AY687" s="2">
        <f>IF(OR($AS687="",$E$6=""),"",TRIM(INDEX($A:$AP,ROW(),$E$6)&amp;""))</f>
        <v/>
      </c>
      <c r="AZ687" s="2">
        <f>IF(OR($AS687="",$D$6=""),"",TRIM(INDEX($A:$AP,ROW(),$D$6)&amp;""))</f>
        <v/>
      </c>
      <c r="BA687" s="2">
        <f>IF($AS687="","",IF(AND($AS687&gt;=설정!$B$10,$AS687&lt;=설정!$B$11),"포함","기간 밖"))</f>
        <v/>
      </c>
      <c r="BB687" s="2">
        <f>IF($AS687="","",IF(OR($AT687&lt;0,AND($I$6&lt;&gt;"",ISNUMBER(FIND("수정",INDEX($A:$AP,ROW(),IF($I$6="",1,$I$6))&amp;"")))),"수정","일반"))</f>
        <v/>
      </c>
      <c r="BC687" s="2">
        <f>IF($AS687="","",MID(IF($BA687="기간 밖"," / 기간 밖(신고기간 아님)","")&amp;IF(AND($AW687&lt;&gt;"",COUNTIF($AW$8:$AW$1007,$AW687)&gt;1)," / 승인번호 중복(두 번 붙여넣기?)","")&amp;IF(ABS($AU687-ROUND($AT687*0.1,0))&gt;설정!$B$8,IF($AU687=0," / 세액 0원(영세율·면세 여부 확인)"," / 세액이 공급가액 10%와 다름"),"")&amp;IF($BB687="수정"," / 수정세금계산서(합계에서 자동 가감)",""),4,200))</f>
        <v/>
      </c>
      <c r="BD687" s="2">
        <f>IF($BA687&lt;&gt;"포함","",IF(COUNTIFS($AX$8:$AX687,$AX687,$BA$8:$BA687,"포함")=1,MAX($BD$7:BD686)+1,""))</f>
        <v/>
      </c>
      <c r="BE687" s="2">
        <f>IF($BC687="","",MAX($BE$7:BE686)+1)</f>
        <v/>
      </c>
    </row>
    <row r="688">
      <c r="AR688" s="2">
        <f>IF(OR($A$5="",$B$6="",ROW()&lt;$A$5),"",IF(INDEX($A:$AP,ROW(),$B$6)="","",INDEX($A:$AP,ROW(),$B$6)))</f>
        <v/>
      </c>
      <c r="AS688" s="22">
        <f>IF($AR688="","",IF(ISNUMBER($AR688),IF($AR688&gt;=10000000,IFERROR(DATE(INT($AR688/10000),MOD(INT($AR688/100),100),MOD($AR688,100)),""),INT($AR688)),IFERROR(DATE(--LEFT(LEFT(SUBSTITUTE(SUBSTITUTE(SUBSTITUTE(SUBSTITUTE(TRIM($AR688),"-",""),".",""),"/","")," ",""),8),4),--MID(LEFT(SUBSTITUTE(SUBSTITUTE(SUBSTITUTE(SUBSTITUTE(TRIM($AR688),"-",""),".",""),"/","")," ",""),8),5,2),--MID(LEFT(SUBSTITUTE(SUBSTITUTE(SUBSTITUTE(SUBSTITUTE(TRIM($AR688),"-",""),".",""),"/","")," ",""),8),7,2)),"")))</f>
        <v/>
      </c>
      <c r="AT688" s="23">
        <f>IF($AS688="","",IF($F$6="",0,IF(ISNUMBER(INDEX($A:$AP,ROW(),$F$6)),INDEX($A:$AP,ROW(),$F$6),IFERROR(--SUBSTITUTE(SUBSTITUTE(TRIM(INDEX($A:$AP,ROW(),$F$6)),",",""),"원",""),0))))</f>
        <v/>
      </c>
      <c r="AU688" s="23">
        <f>IF($AS688="","",IF($G$6="",0,IF(ISNUMBER(INDEX($A:$AP,ROW(),$G$6)),INDEX($A:$AP,ROW(),$G$6),IFERROR(--SUBSTITUTE(SUBSTITUTE(TRIM(INDEX($A:$AP,ROW(),$G$6)),",",""),"원",""),0))))</f>
        <v/>
      </c>
      <c r="AV688" s="23">
        <f>IF($AS688="","",IF($H$6="",$AT688+$AU688,IF($H$6="",0,IF(ISNUMBER(INDEX($A:$AP,ROW(),$H$6)),INDEX($A:$AP,ROW(),$H$6),IFERROR(--SUBSTITUTE(SUBSTITUTE(TRIM(INDEX($A:$AP,ROW(),$H$6)),",",""),"원",""),0)))))</f>
        <v/>
      </c>
      <c r="AW688" s="2">
        <f>IF(OR($AS688="",$C$6=""),"",TRIM(INDEX($A:$AP,ROW(),$C$6)&amp;""))</f>
        <v/>
      </c>
      <c r="AX688" s="2">
        <f>IF($AS688="","",IF($AZ688&lt;&gt;"",SUBSTITUTE(SUBSTITUTE($AZ688,"-","")," ",""),$AY688))</f>
        <v/>
      </c>
      <c r="AY688" s="2">
        <f>IF(OR($AS688="",$E$6=""),"",TRIM(INDEX($A:$AP,ROW(),$E$6)&amp;""))</f>
        <v/>
      </c>
      <c r="AZ688" s="2">
        <f>IF(OR($AS688="",$D$6=""),"",TRIM(INDEX($A:$AP,ROW(),$D$6)&amp;""))</f>
        <v/>
      </c>
      <c r="BA688" s="2">
        <f>IF($AS688="","",IF(AND($AS688&gt;=설정!$B$10,$AS688&lt;=설정!$B$11),"포함","기간 밖"))</f>
        <v/>
      </c>
      <c r="BB688" s="2">
        <f>IF($AS688="","",IF(OR($AT688&lt;0,AND($I$6&lt;&gt;"",ISNUMBER(FIND("수정",INDEX($A:$AP,ROW(),IF($I$6="",1,$I$6))&amp;"")))),"수정","일반"))</f>
        <v/>
      </c>
      <c r="BC688" s="2">
        <f>IF($AS688="","",MID(IF($BA688="기간 밖"," / 기간 밖(신고기간 아님)","")&amp;IF(AND($AW688&lt;&gt;"",COUNTIF($AW$8:$AW$1007,$AW688)&gt;1)," / 승인번호 중복(두 번 붙여넣기?)","")&amp;IF(ABS($AU688-ROUND($AT688*0.1,0))&gt;설정!$B$8,IF($AU688=0," / 세액 0원(영세율·면세 여부 확인)"," / 세액이 공급가액 10%와 다름"),"")&amp;IF($BB688="수정"," / 수정세금계산서(합계에서 자동 가감)",""),4,200))</f>
        <v/>
      </c>
      <c r="BD688" s="2">
        <f>IF($BA688&lt;&gt;"포함","",IF(COUNTIFS($AX$8:$AX688,$AX688,$BA$8:$BA688,"포함")=1,MAX($BD$7:BD687)+1,""))</f>
        <v/>
      </c>
      <c r="BE688" s="2">
        <f>IF($BC688="","",MAX($BE$7:BE687)+1)</f>
        <v/>
      </c>
    </row>
    <row r="689">
      <c r="AR689" s="2">
        <f>IF(OR($A$5="",$B$6="",ROW()&lt;$A$5),"",IF(INDEX($A:$AP,ROW(),$B$6)="","",INDEX($A:$AP,ROW(),$B$6)))</f>
        <v/>
      </c>
      <c r="AS689" s="22">
        <f>IF($AR689="","",IF(ISNUMBER($AR689),IF($AR689&gt;=10000000,IFERROR(DATE(INT($AR689/10000),MOD(INT($AR689/100),100),MOD($AR689,100)),""),INT($AR689)),IFERROR(DATE(--LEFT(LEFT(SUBSTITUTE(SUBSTITUTE(SUBSTITUTE(SUBSTITUTE(TRIM($AR689),"-",""),".",""),"/","")," ",""),8),4),--MID(LEFT(SUBSTITUTE(SUBSTITUTE(SUBSTITUTE(SUBSTITUTE(TRIM($AR689),"-",""),".",""),"/","")," ",""),8),5,2),--MID(LEFT(SUBSTITUTE(SUBSTITUTE(SUBSTITUTE(SUBSTITUTE(TRIM($AR689),"-",""),".",""),"/","")," ",""),8),7,2)),"")))</f>
        <v/>
      </c>
      <c r="AT689" s="23">
        <f>IF($AS689="","",IF($F$6="",0,IF(ISNUMBER(INDEX($A:$AP,ROW(),$F$6)),INDEX($A:$AP,ROW(),$F$6),IFERROR(--SUBSTITUTE(SUBSTITUTE(TRIM(INDEX($A:$AP,ROW(),$F$6)),",",""),"원",""),0))))</f>
        <v/>
      </c>
      <c r="AU689" s="23">
        <f>IF($AS689="","",IF($G$6="",0,IF(ISNUMBER(INDEX($A:$AP,ROW(),$G$6)),INDEX($A:$AP,ROW(),$G$6),IFERROR(--SUBSTITUTE(SUBSTITUTE(TRIM(INDEX($A:$AP,ROW(),$G$6)),",",""),"원",""),0))))</f>
        <v/>
      </c>
      <c r="AV689" s="23">
        <f>IF($AS689="","",IF($H$6="",$AT689+$AU689,IF($H$6="",0,IF(ISNUMBER(INDEX($A:$AP,ROW(),$H$6)),INDEX($A:$AP,ROW(),$H$6),IFERROR(--SUBSTITUTE(SUBSTITUTE(TRIM(INDEX($A:$AP,ROW(),$H$6)),",",""),"원",""),0)))))</f>
        <v/>
      </c>
      <c r="AW689" s="2">
        <f>IF(OR($AS689="",$C$6=""),"",TRIM(INDEX($A:$AP,ROW(),$C$6)&amp;""))</f>
        <v/>
      </c>
      <c r="AX689" s="2">
        <f>IF($AS689="","",IF($AZ689&lt;&gt;"",SUBSTITUTE(SUBSTITUTE($AZ689,"-","")," ",""),$AY689))</f>
        <v/>
      </c>
      <c r="AY689" s="2">
        <f>IF(OR($AS689="",$E$6=""),"",TRIM(INDEX($A:$AP,ROW(),$E$6)&amp;""))</f>
        <v/>
      </c>
      <c r="AZ689" s="2">
        <f>IF(OR($AS689="",$D$6=""),"",TRIM(INDEX($A:$AP,ROW(),$D$6)&amp;""))</f>
        <v/>
      </c>
      <c r="BA689" s="2">
        <f>IF($AS689="","",IF(AND($AS689&gt;=설정!$B$10,$AS689&lt;=설정!$B$11),"포함","기간 밖"))</f>
        <v/>
      </c>
      <c r="BB689" s="2">
        <f>IF($AS689="","",IF(OR($AT689&lt;0,AND($I$6&lt;&gt;"",ISNUMBER(FIND("수정",INDEX($A:$AP,ROW(),IF($I$6="",1,$I$6))&amp;"")))),"수정","일반"))</f>
        <v/>
      </c>
      <c r="BC689" s="2">
        <f>IF($AS689="","",MID(IF($BA689="기간 밖"," / 기간 밖(신고기간 아님)","")&amp;IF(AND($AW689&lt;&gt;"",COUNTIF($AW$8:$AW$1007,$AW689)&gt;1)," / 승인번호 중복(두 번 붙여넣기?)","")&amp;IF(ABS($AU689-ROUND($AT689*0.1,0))&gt;설정!$B$8,IF($AU689=0," / 세액 0원(영세율·면세 여부 확인)"," / 세액이 공급가액 10%와 다름"),"")&amp;IF($BB689="수정"," / 수정세금계산서(합계에서 자동 가감)",""),4,200))</f>
        <v/>
      </c>
      <c r="BD689" s="2">
        <f>IF($BA689&lt;&gt;"포함","",IF(COUNTIFS($AX$8:$AX689,$AX689,$BA$8:$BA689,"포함")=1,MAX($BD$7:BD688)+1,""))</f>
        <v/>
      </c>
      <c r="BE689" s="2">
        <f>IF($BC689="","",MAX($BE$7:BE688)+1)</f>
        <v/>
      </c>
    </row>
    <row r="690">
      <c r="AR690" s="2">
        <f>IF(OR($A$5="",$B$6="",ROW()&lt;$A$5),"",IF(INDEX($A:$AP,ROW(),$B$6)="","",INDEX($A:$AP,ROW(),$B$6)))</f>
        <v/>
      </c>
      <c r="AS690" s="22">
        <f>IF($AR690="","",IF(ISNUMBER($AR690),IF($AR690&gt;=10000000,IFERROR(DATE(INT($AR690/10000),MOD(INT($AR690/100),100),MOD($AR690,100)),""),INT($AR690)),IFERROR(DATE(--LEFT(LEFT(SUBSTITUTE(SUBSTITUTE(SUBSTITUTE(SUBSTITUTE(TRIM($AR690),"-",""),".",""),"/","")," ",""),8),4),--MID(LEFT(SUBSTITUTE(SUBSTITUTE(SUBSTITUTE(SUBSTITUTE(TRIM($AR690),"-",""),".",""),"/","")," ",""),8),5,2),--MID(LEFT(SUBSTITUTE(SUBSTITUTE(SUBSTITUTE(SUBSTITUTE(TRIM($AR690),"-",""),".",""),"/","")," ",""),8),7,2)),"")))</f>
        <v/>
      </c>
      <c r="AT690" s="23">
        <f>IF($AS690="","",IF($F$6="",0,IF(ISNUMBER(INDEX($A:$AP,ROW(),$F$6)),INDEX($A:$AP,ROW(),$F$6),IFERROR(--SUBSTITUTE(SUBSTITUTE(TRIM(INDEX($A:$AP,ROW(),$F$6)),",",""),"원",""),0))))</f>
        <v/>
      </c>
      <c r="AU690" s="23">
        <f>IF($AS690="","",IF($G$6="",0,IF(ISNUMBER(INDEX($A:$AP,ROW(),$G$6)),INDEX($A:$AP,ROW(),$G$6),IFERROR(--SUBSTITUTE(SUBSTITUTE(TRIM(INDEX($A:$AP,ROW(),$G$6)),",",""),"원",""),0))))</f>
        <v/>
      </c>
      <c r="AV690" s="23">
        <f>IF($AS690="","",IF($H$6="",$AT690+$AU690,IF($H$6="",0,IF(ISNUMBER(INDEX($A:$AP,ROW(),$H$6)),INDEX($A:$AP,ROW(),$H$6),IFERROR(--SUBSTITUTE(SUBSTITUTE(TRIM(INDEX($A:$AP,ROW(),$H$6)),",",""),"원",""),0)))))</f>
        <v/>
      </c>
      <c r="AW690" s="2">
        <f>IF(OR($AS690="",$C$6=""),"",TRIM(INDEX($A:$AP,ROW(),$C$6)&amp;""))</f>
        <v/>
      </c>
      <c r="AX690" s="2">
        <f>IF($AS690="","",IF($AZ690&lt;&gt;"",SUBSTITUTE(SUBSTITUTE($AZ690,"-","")," ",""),$AY690))</f>
        <v/>
      </c>
      <c r="AY690" s="2">
        <f>IF(OR($AS690="",$E$6=""),"",TRIM(INDEX($A:$AP,ROW(),$E$6)&amp;""))</f>
        <v/>
      </c>
      <c r="AZ690" s="2">
        <f>IF(OR($AS690="",$D$6=""),"",TRIM(INDEX($A:$AP,ROW(),$D$6)&amp;""))</f>
        <v/>
      </c>
      <c r="BA690" s="2">
        <f>IF($AS690="","",IF(AND($AS690&gt;=설정!$B$10,$AS690&lt;=설정!$B$11),"포함","기간 밖"))</f>
        <v/>
      </c>
      <c r="BB690" s="2">
        <f>IF($AS690="","",IF(OR($AT690&lt;0,AND($I$6&lt;&gt;"",ISNUMBER(FIND("수정",INDEX($A:$AP,ROW(),IF($I$6="",1,$I$6))&amp;"")))),"수정","일반"))</f>
        <v/>
      </c>
      <c r="BC690" s="2">
        <f>IF($AS690="","",MID(IF($BA690="기간 밖"," / 기간 밖(신고기간 아님)","")&amp;IF(AND($AW690&lt;&gt;"",COUNTIF($AW$8:$AW$1007,$AW690)&gt;1)," / 승인번호 중복(두 번 붙여넣기?)","")&amp;IF(ABS($AU690-ROUND($AT690*0.1,0))&gt;설정!$B$8,IF($AU690=0," / 세액 0원(영세율·면세 여부 확인)"," / 세액이 공급가액 10%와 다름"),"")&amp;IF($BB690="수정"," / 수정세금계산서(합계에서 자동 가감)",""),4,200))</f>
        <v/>
      </c>
      <c r="BD690" s="2">
        <f>IF($BA690&lt;&gt;"포함","",IF(COUNTIFS($AX$8:$AX690,$AX690,$BA$8:$BA690,"포함")=1,MAX($BD$7:BD689)+1,""))</f>
        <v/>
      </c>
      <c r="BE690" s="2">
        <f>IF($BC690="","",MAX($BE$7:BE689)+1)</f>
        <v/>
      </c>
    </row>
    <row r="691">
      <c r="AR691" s="2">
        <f>IF(OR($A$5="",$B$6="",ROW()&lt;$A$5),"",IF(INDEX($A:$AP,ROW(),$B$6)="","",INDEX($A:$AP,ROW(),$B$6)))</f>
        <v/>
      </c>
      <c r="AS691" s="22">
        <f>IF($AR691="","",IF(ISNUMBER($AR691),IF($AR691&gt;=10000000,IFERROR(DATE(INT($AR691/10000),MOD(INT($AR691/100),100),MOD($AR691,100)),""),INT($AR691)),IFERROR(DATE(--LEFT(LEFT(SUBSTITUTE(SUBSTITUTE(SUBSTITUTE(SUBSTITUTE(TRIM($AR691),"-",""),".",""),"/","")," ",""),8),4),--MID(LEFT(SUBSTITUTE(SUBSTITUTE(SUBSTITUTE(SUBSTITUTE(TRIM($AR691),"-",""),".",""),"/","")," ",""),8),5,2),--MID(LEFT(SUBSTITUTE(SUBSTITUTE(SUBSTITUTE(SUBSTITUTE(TRIM($AR691),"-",""),".",""),"/","")," ",""),8),7,2)),"")))</f>
        <v/>
      </c>
      <c r="AT691" s="23">
        <f>IF($AS691="","",IF($F$6="",0,IF(ISNUMBER(INDEX($A:$AP,ROW(),$F$6)),INDEX($A:$AP,ROW(),$F$6),IFERROR(--SUBSTITUTE(SUBSTITUTE(TRIM(INDEX($A:$AP,ROW(),$F$6)),",",""),"원",""),0))))</f>
        <v/>
      </c>
      <c r="AU691" s="23">
        <f>IF($AS691="","",IF($G$6="",0,IF(ISNUMBER(INDEX($A:$AP,ROW(),$G$6)),INDEX($A:$AP,ROW(),$G$6),IFERROR(--SUBSTITUTE(SUBSTITUTE(TRIM(INDEX($A:$AP,ROW(),$G$6)),",",""),"원",""),0))))</f>
        <v/>
      </c>
      <c r="AV691" s="23">
        <f>IF($AS691="","",IF($H$6="",$AT691+$AU691,IF($H$6="",0,IF(ISNUMBER(INDEX($A:$AP,ROW(),$H$6)),INDEX($A:$AP,ROW(),$H$6),IFERROR(--SUBSTITUTE(SUBSTITUTE(TRIM(INDEX($A:$AP,ROW(),$H$6)),",",""),"원",""),0)))))</f>
        <v/>
      </c>
      <c r="AW691" s="2">
        <f>IF(OR($AS691="",$C$6=""),"",TRIM(INDEX($A:$AP,ROW(),$C$6)&amp;""))</f>
        <v/>
      </c>
      <c r="AX691" s="2">
        <f>IF($AS691="","",IF($AZ691&lt;&gt;"",SUBSTITUTE(SUBSTITUTE($AZ691,"-","")," ",""),$AY691))</f>
        <v/>
      </c>
      <c r="AY691" s="2">
        <f>IF(OR($AS691="",$E$6=""),"",TRIM(INDEX($A:$AP,ROW(),$E$6)&amp;""))</f>
        <v/>
      </c>
      <c r="AZ691" s="2">
        <f>IF(OR($AS691="",$D$6=""),"",TRIM(INDEX($A:$AP,ROW(),$D$6)&amp;""))</f>
        <v/>
      </c>
      <c r="BA691" s="2">
        <f>IF($AS691="","",IF(AND($AS691&gt;=설정!$B$10,$AS691&lt;=설정!$B$11),"포함","기간 밖"))</f>
        <v/>
      </c>
      <c r="BB691" s="2">
        <f>IF($AS691="","",IF(OR($AT691&lt;0,AND($I$6&lt;&gt;"",ISNUMBER(FIND("수정",INDEX($A:$AP,ROW(),IF($I$6="",1,$I$6))&amp;"")))),"수정","일반"))</f>
        <v/>
      </c>
      <c r="BC691" s="2">
        <f>IF($AS691="","",MID(IF($BA691="기간 밖"," / 기간 밖(신고기간 아님)","")&amp;IF(AND($AW691&lt;&gt;"",COUNTIF($AW$8:$AW$1007,$AW691)&gt;1)," / 승인번호 중복(두 번 붙여넣기?)","")&amp;IF(ABS($AU691-ROUND($AT691*0.1,0))&gt;설정!$B$8,IF($AU691=0," / 세액 0원(영세율·면세 여부 확인)"," / 세액이 공급가액 10%와 다름"),"")&amp;IF($BB691="수정"," / 수정세금계산서(합계에서 자동 가감)",""),4,200))</f>
        <v/>
      </c>
      <c r="BD691" s="2">
        <f>IF($BA691&lt;&gt;"포함","",IF(COUNTIFS($AX$8:$AX691,$AX691,$BA$8:$BA691,"포함")=1,MAX($BD$7:BD690)+1,""))</f>
        <v/>
      </c>
      <c r="BE691" s="2">
        <f>IF($BC691="","",MAX($BE$7:BE690)+1)</f>
        <v/>
      </c>
    </row>
    <row r="692">
      <c r="AR692" s="2">
        <f>IF(OR($A$5="",$B$6="",ROW()&lt;$A$5),"",IF(INDEX($A:$AP,ROW(),$B$6)="","",INDEX($A:$AP,ROW(),$B$6)))</f>
        <v/>
      </c>
      <c r="AS692" s="22">
        <f>IF($AR692="","",IF(ISNUMBER($AR692),IF($AR692&gt;=10000000,IFERROR(DATE(INT($AR692/10000),MOD(INT($AR692/100),100),MOD($AR692,100)),""),INT($AR692)),IFERROR(DATE(--LEFT(LEFT(SUBSTITUTE(SUBSTITUTE(SUBSTITUTE(SUBSTITUTE(TRIM($AR692),"-",""),".",""),"/","")," ",""),8),4),--MID(LEFT(SUBSTITUTE(SUBSTITUTE(SUBSTITUTE(SUBSTITUTE(TRIM($AR692),"-",""),".",""),"/","")," ",""),8),5,2),--MID(LEFT(SUBSTITUTE(SUBSTITUTE(SUBSTITUTE(SUBSTITUTE(TRIM($AR692),"-",""),".",""),"/","")," ",""),8),7,2)),"")))</f>
        <v/>
      </c>
      <c r="AT692" s="23">
        <f>IF($AS692="","",IF($F$6="",0,IF(ISNUMBER(INDEX($A:$AP,ROW(),$F$6)),INDEX($A:$AP,ROW(),$F$6),IFERROR(--SUBSTITUTE(SUBSTITUTE(TRIM(INDEX($A:$AP,ROW(),$F$6)),",",""),"원",""),0))))</f>
        <v/>
      </c>
      <c r="AU692" s="23">
        <f>IF($AS692="","",IF($G$6="",0,IF(ISNUMBER(INDEX($A:$AP,ROW(),$G$6)),INDEX($A:$AP,ROW(),$G$6),IFERROR(--SUBSTITUTE(SUBSTITUTE(TRIM(INDEX($A:$AP,ROW(),$G$6)),",",""),"원",""),0))))</f>
        <v/>
      </c>
      <c r="AV692" s="23">
        <f>IF($AS692="","",IF($H$6="",$AT692+$AU692,IF($H$6="",0,IF(ISNUMBER(INDEX($A:$AP,ROW(),$H$6)),INDEX($A:$AP,ROW(),$H$6),IFERROR(--SUBSTITUTE(SUBSTITUTE(TRIM(INDEX($A:$AP,ROW(),$H$6)),",",""),"원",""),0)))))</f>
        <v/>
      </c>
      <c r="AW692" s="2">
        <f>IF(OR($AS692="",$C$6=""),"",TRIM(INDEX($A:$AP,ROW(),$C$6)&amp;""))</f>
        <v/>
      </c>
      <c r="AX692" s="2">
        <f>IF($AS692="","",IF($AZ692&lt;&gt;"",SUBSTITUTE(SUBSTITUTE($AZ692,"-","")," ",""),$AY692))</f>
        <v/>
      </c>
      <c r="AY692" s="2">
        <f>IF(OR($AS692="",$E$6=""),"",TRIM(INDEX($A:$AP,ROW(),$E$6)&amp;""))</f>
        <v/>
      </c>
      <c r="AZ692" s="2">
        <f>IF(OR($AS692="",$D$6=""),"",TRIM(INDEX($A:$AP,ROW(),$D$6)&amp;""))</f>
        <v/>
      </c>
      <c r="BA692" s="2">
        <f>IF($AS692="","",IF(AND($AS692&gt;=설정!$B$10,$AS692&lt;=설정!$B$11),"포함","기간 밖"))</f>
        <v/>
      </c>
      <c r="BB692" s="2">
        <f>IF($AS692="","",IF(OR($AT692&lt;0,AND($I$6&lt;&gt;"",ISNUMBER(FIND("수정",INDEX($A:$AP,ROW(),IF($I$6="",1,$I$6))&amp;"")))),"수정","일반"))</f>
        <v/>
      </c>
      <c r="BC692" s="2">
        <f>IF($AS692="","",MID(IF($BA692="기간 밖"," / 기간 밖(신고기간 아님)","")&amp;IF(AND($AW692&lt;&gt;"",COUNTIF($AW$8:$AW$1007,$AW692)&gt;1)," / 승인번호 중복(두 번 붙여넣기?)","")&amp;IF(ABS($AU692-ROUND($AT692*0.1,0))&gt;설정!$B$8,IF($AU692=0," / 세액 0원(영세율·면세 여부 확인)"," / 세액이 공급가액 10%와 다름"),"")&amp;IF($BB692="수정"," / 수정세금계산서(합계에서 자동 가감)",""),4,200))</f>
        <v/>
      </c>
      <c r="BD692" s="2">
        <f>IF($BA692&lt;&gt;"포함","",IF(COUNTIFS($AX$8:$AX692,$AX692,$BA$8:$BA692,"포함")=1,MAX($BD$7:BD691)+1,""))</f>
        <v/>
      </c>
      <c r="BE692" s="2">
        <f>IF($BC692="","",MAX($BE$7:BE691)+1)</f>
        <v/>
      </c>
    </row>
    <row r="693">
      <c r="AR693" s="2">
        <f>IF(OR($A$5="",$B$6="",ROW()&lt;$A$5),"",IF(INDEX($A:$AP,ROW(),$B$6)="","",INDEX($A:$AP,ROW(),$B$6)))</f>
        <v/>
      </c>
      <c r="AS693" s="22">
        <f>IF($AR693="","",IF(ISNUMBER($AR693),IF($AR693&gt;=10000000,IFERROR(DATE(INT($AR693/10000),MOD(INT($AR693/100),100),MOD($AR693,100)),""),INT($AR693)),IFERROR(DATE(--LEFT(LEFT(SUBSTITUTE(SUBSTITUTE(SUBSTITUTE(SUBSTITUTE(TRIM($AR693),"-",""),".",""),"/","")," ",""),8),4),--MID(LEFT(SUBSTITUTE(SUBSTITUTE(SUBSTITUTE(SUBSTITUTE(TRIM($AR693),"-",""),".",""),"/","")," ",""),8),5,2),--MID(LEFT(SUBSTITUTE(SUBSTITUTE(SUBSTITUTE(SUBSTITUTE(TRIM($AR693),"-",""),".",""),"/","")," ",""),8),7,2)),"")))</f>
        <v/>
      </c>
      <c r="AT693" s="23">
        <f>IF($AS693="","",IF($F$6="",0,IF(ISNUMBER(INDEX($A:$AP,ROW(),$F$6)),INDEX($A:$AP,ROW(),$F$6),IFERROR(--SUBSTITUTE(SUBSTITUTE(TRIM(INDEX($A:$AP,ROW(),$F$6)),",",""),"원",""),0))))</f>
        <v/>
      </c>
      <c r="AU693" s="23">
        <f>IF($AS693="","",IF($G$6="",0,IF(ISNUMBER(INDEX($A:$AP,ROW(),$G$6)),INDEX($A:$AP,ROW(),$G$6),IFERROR(--SUBSTITUTE(SUBSTITUTE(TRIM(INDEX($A:$AP,ROW(),$G$6)),",",""),"원",""),0))))</f>
        <v/>
      </c>
      <c r="AV693" s="23">
        <f>IF($AS693="","",IF($H$6="",$AT693+$AU693,IF($H$6="",0,IF(ISNUMBER(INDEX($A:$AP,ROW(),$H$6)),INDEX($A:$AP,ROW(),$H$6),IFERROR(--SUBSTITUTE(SUBSTITUTE(TRIM(INDEX($A:$AP,ROW(),$H$6)),",",""),"원",""),0)))))</f>
        <v/>
      </c>
      <c r="AW693" s="2">
        <f>IF(OR($AS693="",$C$6=""),"",TRIM(INDEX($A:$AP,ROW(),$C$6)&amp;""))</f>
        <v/>
      </c>
      <c r="AX693" s="2">
        <f>IF($AS693="","",IF($AZ693&lt;&gt;"",SUBSTITUTE(SUBSTITUTE($AZ693,"-","")," ",""),$AY693))</f>
        <v/>
      </c>
      <c r="AY693" s="2">
        <f>IF(OR($AS693="",$E$6=""),"",TRIM(INDEX($A:$AP,ROW(),$E$6)&amp;""))</f>
        <v/>
      </c>
      <c r="AZ693" s="2">
        <f>IF(OR($AS693="",$D$6=""),"",TRIM(INDEX($A:$AP,ROW(),$D$6)&amp;""))</f>
        <v/>
      </c>
      <c r="BA693" s="2">
        <f>IF($AS693="","",IF(AND($AS693&gt;=설정!$B$10,$AS693&lt;=설정!$B$11),"포함","기간 밖"))</f>
        <v/>
      </c>
      <c r="BB693" s="2">
        <f>IF($AS693="","",IF(OR($AT693&lt;0,AND($I$6&lt;&gt;"",ISNUMBER(FIND("수정",INDEX($A:$AP,ROW(),IF($I$6="",1,$I$6))&amp;"")))),"수정","일반"))</f>
        <v/>
      </c>
      <c r="BC693" s="2">
        <f>IF($AS693="","",MID(IF($BA693="기간 밖"," / 기간 밖(신고기간 아님)","")&amp;IF(AND($AW693&lt;&gt;"",COUNTIF($AW$8:$AW$1007,$AW693)&gt;1)," / 승인번호 중복(두 번 붙여넣기?)","")&amp;IF(ABS($AU693-ROUND($AT693*0.1,0))&gt;설정!$B$8,IF($AU693=0," / 세액 0원(영세율·면세 여부 확인)"," / 세액이 공급가액 10%와 다름"),"")&amp;IF($BB693="수정"," / 수정세금계산서(합계에서 자동 가감)",""),4,200))</f>
        <v/>
      </c>
      <c r="BD693" s="2">
        <f>IF($BA693&lt;&gt;"포함","",IF(COUNTIFS($AX$8:$AX693,$AX693,$BA$8:$BA693,"포함")=1,MAX($BD$7:BD692)+1,""))</f>
        <v/>
      </c>
      <c r="BE693" s="2">
        <f>IF($BC693="","",MAX($BE$7:BE692)+1)</f>
        <v/>
      </c>
    </row>
    <row r="694">
      <c r="AR694" s="2">
        <f>IF(OR($A$5="",$B$6="",ROW()&lt;$A$5),"",IF(INDEX($A:$AP,ROW(),$B$6)="","",INDEX($A:$AP,ROW(),$B$6)))</f>
        <v/>
      </c>
      <c r="AS694" s="22">
        <f>IF($AR694="","",IF(ISNUMBER($AR694),IF($AR694&gt;=10000000,IFERROR(DATE(INT($AR694/10000),MOD(INT($AR694/100),100),MOD($AR694,100)),""),INT($AR694)),IFERROR(DATE(--LEFT(LEFT(SUBSTITUTE(SUBSTITUTE(SUBSTITUTE(SUBSTITUTE(TRIM($AR694),"-",""),".",""),"/","")," ",""),8),4),--MID(LEFT(SUBSTITUTE(SUBSTITUTE(SUBSTITUTE(SUBSTITUTE(TRIM($AR694),"-",""),".",""),"/","")," ",""),8),5,2),--MID(LEFT(SUBSTITUTE(SUBSTITUTE(SUBSTITUTE(SUBSTITUTE(TRIM($AR694),"-",""),".",""),"/","")," ",""),8),7,2)),"")))</f>
        <v/>
      </c>
      <c r="AT694" s="23">
        <f>IF($AS694="","",IF($F$6="",0,IF(ISNUMBER(INDEX($A:$AP,ROW(),$F$6)),INDEX($A:$AP,ROW(),$F$6),IFERROR(--SUBSTITUTE(SUBSTITUTE(TRIM(INDEX($A:$AP,ROW(),$F$6)),",",""),"원",""),0))))</f>
        <v/>
      </c>
      <c r="AU694" s="23">
        <f>IF($AS694="","",IF($G$6="",0,IF(ISNUMBER(INDEX($A:$AP,ROW(),$G$6)),INDEX($A:$AP,ROW(),$G$6),IFERROR(--SUBSTITUTE(SUBSTITUTE(TRIM(INDEX($A:$AP,ROW(),$G$6)),",",""),"원",""),0))))</f>
        <v/>
      </c>
      <c r="AV694" s="23">
        <f>IF($AS694="","",IF($H$6="",$AT694+$AU694,IF($H$6="",0,IF(ISNUMBER(INDEX($A:$AP,ROW(),$H$6)),INDEX($A:$AP,ROW(),$H$6),IFERROR(--SUBSTITUTE(SUBSTITUTE(TRIM(INDEX($A:$AP,ROW(),$H$6)),",",""),"원",""),0)))))</f>
        <v/>
      </c>
      <c r="AW694" s="2">
        <f>IF(OR($AS694="",$C$6=""),"",TRIM(INDEX($A:$AP,ROW(),$C$6)&amp;""))</f>
        <v/>
      </c>
      <c r="AX694" s="2">
        <f>IF($AS694="","",IF($AZ694&lt;&gt;"",SUBSTITUTE(SUBSTITUTE($AZ694,"-","")," ",""),$AY694))</f>
        <v/>
      </c>
      <c r="AY694" s="2">
        <f>IF(OR($AS694="",$E$6=""),"",TRIM(INDEX($A:$AP,ROW(),$E$6)&amp;""))</f>
        <v/>
      </c>
      <c r="AZ694" s="2">
        <f>IF(OR($AS694="",$D$6=""),"",TRIM(INDEX($A:$AP,ROW(),$D$6)&amp;""))</f>
        <v/>
      </c>
      <c r="BA694" s="2">
        <f>IF($AS694="","",IF(AND($AS694&gt;=설정!$B$10,$AS694&lt;=설정!$B$11),"포함","기간 밖"))</f>
        <v/>
      </c>
      <c r="BB694" s="2">
        <f>IF($AS694="","",IF(OR($AT694&lt;0,AND($I$6&lt;&gt;"",ISNUMBER(FIND("수정",INDEX($A:$AP,ROW(),IF($I$6="",1,$I$6))&amp;"")))),"수정","일반"))</f>
        <v/>
      </c>
      <c r="BC694" s="2">
        <f>IF($AS694="","",MID(IF($BA694="기간 밖"," / 기간 밖(신고기간 아님)","")&amp;IF(AND($AW694&lt;&gt;"",COUNTIF($AW$8:$AW$1007,$AW694)&gt;1)," / 승인번호 중복(두 번 붙여넣기?)","")&amp;IF(ABS($AU694-ROUND($AT694*0.1,0))&gt;설정!$B$8,IF($AU694=0," / 세액 0원(영세율·면세 여부 확인)"," / 세액이 공급가액 10%와 다름"),"")&amp;IF($BB694="수정"," / 수정세금계산서(합계에서 자동 가감)",""),4,200))</f>
        <v/>
      </c>
      <c r="BD694" s="2">
        <f>IF($BA694&lt;&gt;"포함","",IF(COUNTIFS($AX$8:$AX694,$AX694,$BA$8:$BA694,"포함")=1,MAX($BD$7:BD693)+1,""))</f>
        <v/>
      </c>
      <c r="BE694" s="2">
        <f>IF($BC694="","",MAX($BE$7:BE693)+1)</f>
        <v/>
      </c>
    </row>
    <row r="695">
      <c r="AR695" s="2">
        <f>IF(OR($A$5="",$B$6="",ROW()&lt;$A$5),"",IF(INDEX($A:$AP,ROW(),$B$6)="","",INDEX($A:$AP,ROW(),$B$6)))</f>
        <v/>
      </c>
      <c r="AS695" s="22">
        <f>IF($AR695="","",IF(ISNUMBER($AR695),IF($AR695&gt;=10000000,IFERROR(DATE(INT($AR695/10000),MOD(INT($AR695/100),100),MOD($AR695,100)),""),INT($AR695)),IFERROR(DATE(--LEFT(LEFT(SUBSTITUTE(SUBSTITUTE(SUBSTITUTE(SUBSTITUTE(TRIM($AR695),"-",""),".",""),"/","")," ",""),8),4),--MID(LEFT(SUBSTITUTE(SUBSTITUTE(SUBSTITUTE(SUBSTITUTE(TRIM($AR695),"-",""),".",""),"/","")," ",""),8),5,2),--MID(LEFT(SUBSTITUTE(SUBSTITUTE(SUBSTITUTE(SUBSTITUTE(TRIM($AR695),"-",""),".",""),"/","")," ",""),8),7,2)),"")))</f>
        <v/>
      </c>
      <c r="AT695" s="23">
        <f>IF($AS695="","",IF($F$6="",0,IF(ISNUMBER(INDEX($A:$AP,ROW(),$F$6)),INDEX($A:$AP,ROW(),$F$6),IFERROR(--SUBSTITUTE(SUBSTITUTE(TRIM(INDEX($A:$AP,ROW(),$F$6)),",",""),"원",""),0))))</f>
        <v/>
      </c>
      <c r="AU695" s="23">
        <f>IF($AS695="","",IF($G$6="",0,IF(ISNUMBER(INDEX($A:$AP,ROW(),$G$6)),INDEX($A:$AP,ROW(),$G$6),IFERROR(--SUBSTITUTE(SUBSTITUTE(TRIM(INDEX($A:$AP,ROW(),$G$6)),",",""),"원",""),0))))</f>
        <v/>
      </c>
      <c r="AV695" s="23">
        <f>IF($AS695="","",IF($H$6="",$AT695+$AU695,IF($H$6="",0,IF(ISNUMBER(INDEX($A:$AP,ROW(),$H$6)),INDEX($A:$AP,ROW(),$H$6),IFERROR(--SUBSTITUTE(SUBSTITUTE(TRIM(INDEX($A:$AP,ROW(),$H$6)),",",""),"원",""),0)))))</f>
        <v/>
      </c>
      <c r="AW695" s="2">
        <f>IF(OR($AS695="",$C$6=""),"",TRIM(INDEX($A:$AP,ROW(),$C$6)&amp;""))</f>
        <v/>
      </c>
      <c r="AX695" s="2">
        <f>IF($AS695="","",IF($AZ695&lt;&gt;"",SUBSTITUTE(SUBSTITUTE($AZ695,"-","")," ",""),$AY695))</f>
        <v/>
      </c>
      <c r="AY695" s="2">
        <f>IF(OR($AS695="",$E$6=""),"",TRIM(INDEX($A:$AP,ROW(),$E$6)&amp;""))</f>
        <v/>
      </c>
      <c r="AZ695" s="2">
        <f>IF(OR($AS695="",$D$6=""),"",TRIM(INDEX($A:$AP,ROW(),$D$6)&amp;""))</f>
        <v/>
      </c>
      <c r="BA695" s="2">
        <f>IF($AS695="","",IF(AND($AS695&gt;=설정!$B$10,$AS695&lt;=설정!$B$11),"포함","기간 밖"))</f>
        <v/>
      </c>
      <c r="BB695" s="2">
        <f>IF($AS695="","",IF(OR($AT695&lt;0,AND($I$6&lt;&gt;"",ISNUMBER(FIND("수정",INDEX($A:$AP,ROW(),IF($I$6="",1,$I$6))&amp;"")))),"수정","일반"))</f>
        <v/>
      </c>
      <c r="BC695" s="2">
        <f>IF($AS695="","",MID(IF($BA695="기간 밖"," / 기간 밖(신고기간 아님)","")&amp;IF(AND($AW695&lt;&gt;"",COUNTIF($AW$8:$AW$1007,$AW695)&gt;1)," / 승인번호 중복(두 번 붙여넣기?)","")&amp;IF(ABS($AU695-ROUND($AT695*0.1,0))&gt;설정!$B$8,IF($AU695=0," / 세액 0원(영세율·면세 여부 확인)"," / 세액이 공급가액 10%와 다름"),"")&amp;IF($BB695="수정"," / 수정세금계산서(합계에서 자동 가감)",""),4,200))</f>
        <v/>
      </c>
      <c r="BD695" s="2">
        <f>IF($BA695&lt;&gt;"포함","",IF(COUNTIFS($AX$8:$AX695,$AX695,$BA$8:$BA695,"포함")=1,MAX($BD$7:BD694)+1,""))</f>
        <v/>
      </c>
      <c r="BE695" s="2">
        <f>IF($BC695="","",MAX($BE$7:BE694)+1)</f>
        <v/>
      </c>
    </row>
    <row r="696">
      <c r="AR696" s="2">
        <f>IF(OR($A$5="",$B$6="",ROW()&lt;$A$5),"",IF(INDEX($A:$AP,ROW(),$B$6)="","",INDEX($A:$AP,ROW(),$B$6)))</f>
        <v/>
      </c>
      <c r="AS696" s="22">
        <f>IF($AR696="","",IF(ISNUMBER($AR696),IF($AR696&gt;=10000000,IFERROR(DATE(INT($AR696/10000),MOD(INT($AR696/100),100),MOD($AR696,100)),""),INT($AR696)),IFERROR(DATE(--LEFT(LEFT(SUBSTITUTE(SUBSTITUTE(SUBSTITUTE(SUBSTITUTE(TRIM($AR696),"-",""),".",""),"/","")," ",""),8),4),--MID(LEFT(SUBSTITUTE(SUBSTITUTE(SUBSTITUTE(SUBSTITUTE(TRIM($AR696),"-",""),".",""),"/","")," ",""),8),5,2),--MID(LEFT(SUBSTITUTE(SUBSTITUTE(SUBSTITUTE(SUBSTITUTE(TRIM($AR696),"-",""),".",""),"/","")," ",""),8),7,2)),"")))</f>
        <v/>
      </c>
      <c r="AT696" s="23">
        <f>IF($AS696="","",IF($F$6="",0,IF(ISNUMBER(INDEX($A:$AP,ROW(),$F$6)),INDEX($A:$AP,ROW(),$F$6),IFERROR(--SUBSTITUTE(SUBSTITUTE(TRIM(INDEX($A:$AP,ROW(),$F$6)),",",""),"원",""),0))))</f>
        <v/>
      </c>
      <c r="AU696" s="23">
        <f>IF($AS696="","",IF($G$6="",0,IF(ISNUMBER(INDEX($A:$AP,ROW(),$G$6)),INDEX($A:$AP,ROW(),$G$6),IFERROR(--SUBSTITUTE(SUBSTITUTE(TRIM(INDEX($A:$AP,ROW(),$G$6)),",",""),"원",""),0))))</f>
        <v/>
      </c>
      <c r="AV696" s="23">
        <f>IF($AS696="","",IF($H$6="",$AT696+$AU696,IF($H$6="",0,IF(ISNUMBER(INDEX($A:$AP,ROW(),$H$6)),INDEX($A:$AP,ROW(),$H$6),IFERROR(--SUBSTITUTE(SUBSTITUTE(TRIM(INDEX($A:$AP,ROW(),$H$6)),",",""),"원",""),0)))))</f>
        <v/>
      </c>
      <c r="AW696" s="2">
        <f>IF(OR($AS696="",$C$6=""),"",TRIM(INDEX($A:$AP,ROW(),$C$6)&amp;""))</f>
        <v/>
      </c>
      <c r="AX696" s="2">
        <f>IF($AS696="","",IF($AZ696&lt;&gt;"",SUBSTITUTE(SUBSTITUTE($AZ696,"-","")," ",""),$AY696))</f>
        <v/>
      </c>
      <c r="AY696" s="2">
        <f>IF(OR($AS696="",$E$6=""),"",TRIM(INDEX($A:$AP,ROW(),$E$6)&amp;""))</f>
        <v/>
      </c>
      <c r="AZ696" s="2">
        <f>IF(OR($AS696="",$D$6=""),"",TRIM(INDEX($A:$AP,ROW(),$D$6)&amp;""))</f>
        <v/>
      </c>
      <c r="BA696" s="2">
        <f>IF($AS696="","",IF(AND($AS696&gt;=설정!$B$10,$AS696&lt;=설정!$B$11),"포함","기간 밖"))</f>
        <v/>
      </c>
      <c r="BB696" s="2">
        <f>IF($AS696="","",IF(OR($AT696&lt;0,AND($I$6&lt;&gt;"",ISNUMBER(FIND("수정",INDEX($A:$AP,ROW(),IF($I$6="",1,$I$6))&amp;"")))),"수정","일반"))</f>
        <v/>
      </c>
      <c r="BC696" s="2">
        <f>IF($AS696="","",MID(IF($BA696="기간 밖"," / 기간 밖(신고기간 아님)","")&amp;IF(AND($AW696&lt;&gt;"",COUNTIF($AW$8:$AW$1007,$AW696)&gt;1)," / 승인번호 중복(두 번 붙여넣기?)","")&amp;IF(ABS($AU696-ROUND($AT696*0.1,0))&gt;설정!$B$8,IF($AU696=0," / 세액 0원(영세율·면세 여부 확인)"," / 세액이 공급가액 10%와 다름"),"")&amp;IF($BB696="수정"," / 수정세금계산서(합계에서 자동 가감)",""),4,200))</f>
        <v/>
      </c>
      <c r="BD696" s="2">
        <f>IF($BA696&lt;&gt;"포함","",IF(COUNTIFS($AX$8:$AX696,$AX696,$BA$8:$BA696,"포함")=1,MAX($BD$7:BD695)+1,""))</f>
        <v/>
      </c>
      <c r="BE696" s="2">
        <f>IF($BC696="","",MAX($BE$7:BE695)+1)</f>
        <v/>
      </c>
    </row>
    <row r="697">
      <c r="AR697" s="2">
        <f>IF(OR($A$5="",$B$6="",ROW()&lt;$A$5),"",IF(INDEX($A:$AP,ROW(),$B$6)="","",INDEX($A:$AP,ROW(),$B$6)))</f>
        <v/>
      </c>
      <c r="AS697" s="22">
        <f>IF($AR697="","",IF(ISNUMBER($AR697),IF($AR697&gt;=10000000,IFERROR(DATE(INT($AR697/10000),MOD(INT($AR697/100),100),MOD($AR697,100)),""),INT($AR697)),IFERROR(DATE(--LEFT(LEFT(SUBSTITUTE(SUBSTITUTE(SUBSTITUTE(SUBSTITUTE(TRIM($AR697),"-",""),".",""),"/","")," ",""),8),4),--MID(LEFT(SUBSTITUTE(SUBSTITUTE(SUBSTITUTE(SUBSTITUTE(TRIM($AR697),"-",""),".",""),"/","")," ",""),8),5,2),--MID(LEFT(SUBSTITUTE(SUBSTITUTE(SUBSTITUTE(SUBSTITUTE(TRIM($AR697),"-",""),".",""),"/","")," ",""),8),7,2)),"")))</f>
        <v/>
      </c>
      <c r="AT697" s="23">
        <f>IF($AS697="","",IF($F$6="",0,IF(ISNUMBER(INDEX($A:$AP,ROW(),$F$6)),INDEX($A:$AP,ROW(),$F$6),IFERROR(--SUBSTITUTE(SUBSTITUTE(TRIM(INDEX($A:$AP,ROW(),$F$6)),",",""),"원",""),0))))</f>
        <v/>
      </c>
      <c r="AU697" s="23">
        <f>IF($AS697="","",IF($G$6="",0,IF(ISNUMBER(INDEX($A:$AP,ROW(),$G$6)),INDEX($A:$AP,ROW(),$G$6),IFERROR(--SUBSTITUTE(SUBSTITUTE(TRIM(INDEX($A:$AP,ROW(),$G$6)),",",""),"원",""),0))))</f>
        <v/>
      </c>
      <c r="AV697" s="23">
        <f>IF($AS697="","",IF($H$6="",$AT697+$AU697,IF($H$6="",0,IF(ISNUMBER(INDEX($A:$AP,ROW(),$H$6)),INDEX($A:$AP,ROW(),$H$6),IFERROR(--SUBSTITUTE(SUBSTITUTE(TRIM(INDEX($A:$AP,ROW(),$H$6)),",",""),"원",""),0)))))</f>
        <v/>
      </c>
      <c r="AW697" s="2">
        <f>IF(OR($AS697="",$C$6=""),"",TRIM(INDEX($A:$AP,ROW(),$C$6)&amp;""))</f>
        <v/>
      </c>
      <c r="AX697" s="2">
        <f>IF($AS697="","",IF($AZ697&lt;&gt;"",SUBSTITUTE(SUBSTITUTE($AZ697,"-","")," ",""),$AY697))</f>
        <v/>
      </c>
      <c r="AY697" s="2">
        <f>IF(OR($AS697="",$E$6=""),"",TRIM(INDEX($A:$AP,ROW(),$E$6)&amp;""))</f>
        <v/>
      </c>
      <c r="AZ697" s="2">
        <f>IF(OR($AS697="",$D$6=""),"",TRIM(INDEX($A:$AP,ROW(),$D$6)&amp;""))</f>
        <v/>
      </c>
      <c r="BA697" s="2">
        <f>IF($AS697="","",IF(AND($AS697&gt;=설정!$B$10,$AS697&lt;=설정!$B$11),"포함","기간 밖"))</f>
        <v/>
      </c>
      <c r="BB697" s="2">
        <f>IF($AS697="","",IF(OR($AT697&lt;0,AND($I$6&lt;&gt;"",ISNUMBER(FIND("수정",INDEX($A:$AP,ROW(),IF($I$6="",1,$I$6))&amp;"")))),"수정","일반"))</f>
        <v/>
      </c>
      <c r="BC697" s="2">
        <f>IF($AS697="","",MID(IF($BA697="기간 밖"," / 기간 밖(신고기간 아님)","")&amp;IF(AND($AW697&lt;&gt;"",COUNTIF($AW$8:$AW$1007,$AW697)&gt;1)," / 승인번호 중복(두 번 붙여넣기?)","")&amp;IF(ABS($AU697-ROUND($AT697*0.1,0))&gt;설정!$B$8,IF($AU697=0," / 세액 0원(영세율·면세 여부 확인)"," / 세액이 공급가액 10%와 다름"),"")&amp;IF($BB697="수정"," / 수정세금계산서(합계에서 자동 가감)",""),4,200))</f>
        <v/>
      </c>
      <c r="BD697" s="2">
        <f>IF($BA697&lt;&gt;"포함","",IF(COUNTIFS($AX$8:$AX697,$AX697,$BA$8:$BA697,"포함")=1,MAX($BD$7:BD696)+1,""))</f>
        <v/>
      </c>
      <c r="BE697" s="2">
        <f>IF($BC697="","",MAX($BE$7:BE696)+1)</f>
        <v/>
      </c>
    </row>
    <row r="698">
      <c r="AR698" s="2">
        <f>IF(OR($A$5="",$B$6="",ROW()&lt;$A$5),"",IF(INDEX($A:$AP,ROW(),$B$6)="","",INDEX($A:$AP,ROW(),$B$6)))</f>
        <v/>
      </c>
      <c r="AS698" s="22">
        <f>IF($AR698="","",IF(ISNUMBER($AR698),IF($AR698&gt;=10000000,IFERROR(DATE(INT($AR698/10000),MOD(INT($AR698/100),100),MOD($AR698,100)),""),INT($AR698)),IFERROR(DATE(--LEFT(LEFT(SUBSTITUTE(SUBSTITUTE(SUBSTITUTE(SUBSTITUTE(TRIM($AR698),"-",""),".",""),"/","")," ",""),8),4),--MID(LEFT(SUBSTITUTE(SUBSTITUTE(SUBSTITUTE(SUBSTITUTE(TRIM($AR698),"-",""),".",""),"/","")," ",""),8),5,2),--MID(LEFT(SUBSTITUTE(SUBSTITUTE(SUBSTITUTE(SUBSTITUTE(TRIM($AR698),"-",""),".",""),"/","")," ",""),8),7,2)),"")))</f>
        <v/>
      </c>
      <c r="AT698" s="23">
        <f>IF($AS698="","",IF($F$6="",0,IF(ISNUMBER(INDEX($A:$AP,ROW(),$F$6)),INDEX($A:$AP,ROW(),$F$6),IFERROR(--SUBSTITUTE(SUBSTITUTE(TRIM(INDEX($A:$AP,ROW(),$F$6)),",",""),"원",""),0))))</f>
        <v/>
      </c>
      <c r="AU698" s="23">
        <f>IF($AS698="","",IF($G$6="",0,IF(ISNUMBER(INDEX($A:$AP,ROW(),$G$6)),INDEX($A:$AP,ROW(),$G$6),IFERROR(--SUBSTITUTE(SUBSTITUTE(TRIM(INDEX($A:$AP,ROW(),$G$6)),",",""),"원",""),0))))</f>
        <v/>
      </c>
      <c r="AV698" s="23">
        <f>IF($AS698="","",IF($H$6="",$AT698+$AU698,IF($H$6="",0,IF(ISNUMBER(INDEX($A:$AP,ROW(),$H$6)),INDEX($A:$AP,ROW(),$H$6),IFERROR(--SUBSTITUTE(SUBSTITUTE(TRIM(INDEX($A:$AP,ROW(),$H$6)),",",""),"원",""),0)))))</f>
        <v/>
      </c>
      <c r="AW698" s="2">
        <f>IF(OR($AS698="",$C$6=""),"",TRIM(INDEX($A:$AP,ROW(),$C$6)&amp;""))</f>
        <v/>
      </c>
      <c r="AX698" s="2">
        <f>IF($AS698="","",IF($AZ698&lt;&gt;"",SUBSTITUTE(SUBSTITUTE($AZ698,"-","")," ",""),$AY698))</f>
        <v/>
      </c>
      <c r="AY698" s="2">
        <f>IF(OR($AS698="",$E$6=""),"",TRIM(INDEX($A:$AP,ROW(),$E$6)&amp;""))</f>
        <v/>
      </c>
      <c r="AZ698" s="2">
        <f>IF(OR($AS698="",$D$6=""),"",TRIM(INDEX($A:$AP,ROW(),$D$6)&amp;""))</f>
        <v/>
      </c>
      <c r="BA698" s="2">
        <f>IF($AS698="","",IF(AND($AS698&gt;=설정!$B$10,$AS698&lt;=설정!$B$11),"포함","기간 밖"))</f>
        <v/>
      </c>
      <c r="BB698" s="2">
        <f>IF($AS698="","",IF(OR($AT698&lt;0,AND($I$6&lt;&gt;"",ISNUMBER(FIND("수정",INDEX($A:$AP,ROW(),IF($I$6="",1,$I$6))&amp;"")))),"수정","일반"))</f>
        <v/>
      </c>
      <c r="BC698" s="2">
        <f>IF($AS698="","",MID(IF($BA698="기간 밖"," / 기간 밖(신고기간 아님)","")&amp;IF(AND($AW698&lt;&gt;"",COUNTIF($AW$8:$AW$1007,$AW698)&gt;1)," / 승인번호 중복(두 번 붙여넣기?)","")&amp;IF(ABS($AU698-ROUND($AT698*0.1,0))&gt;설정!$B$8,IF($AU698=0," / 세액 0원(영세율·면세 여부 확인)"," / 세액이 공급가액 10%와 다름"),"")&amp;IF($BB698="수정"," / 수정세금계산서(합계에서 자동 가감)",""),4,200))</f>
        <v/>
      </c>
      <c r="BD698" s="2">
        <f>IF($BA698&lt;&gt;"포함","",IF(COUNTIFS($AX$8:$AX698,$AX698,$BA$8:$BA698,"포함")=1,MAX($BD$7:BD697)+1,""))</f>
        <v/>
      </c>
      <c r="BE698" s="2">
        <f>IF($BC698="","",MAX($BE$7:BE697)+1)</f>
        <v/>
      </c>
    </row>
    <row r="699">
      <c r="AR699" s="2">
        <f>IF(OR($A$5="",$B$6="",ROW()&lt;$A$5),"",IF(INDEX($A:$AP,ROW(),$B$6)="","",INDEX($A:$AP,ROW(),$B$6)))</f>
        <v/>
      </c>
      <c r="AS699" s="22">
        <f>IF($AR699="","",IF(ISNUMBER($AR699),IF($AR699&gt;=10000000,IFERROR(DATE(INT($AR699/10000),MOD(INT($AR699/100),100),MOD($AR699,100)),""),INT($AR699)),IFERROR(DATE(--LEFT(LEFT(SUBSTITUTE(SUBSTITUTE(SUBSTITUTE(SUBSTITUTE(TRIM($AR699),"-",""),".",""),"/","")," ",""),8),4),--MID(LEFT(SUBSTITUTE(SUBSTITUTE(SUBSTITUTE(SUBSTITUTE(TRIM($AR699),"-",""),".",""),"/","")," ",""),8),5,2),--MID(LEFT(SUBSTITUTE(SUBSTITUTE(SUBSTITUTE(SUBSTITUTE(TRIM($AR699),"-",""),".",""),"/","")," ",""),8),7,2)),"")))</f>
        <v/>
      </c>
      <c r="AT699" s="23">
        <f>IF($AS699="","",IF($F$6="",0,IF(ISNUMBER(INDEX($A:$AP,ROW(),$F$6)),INDEX($A:$AP,ROW(),$F$6),IFERROR(--SUBSTITUTE(SUBSTITUTE(TRIM(INDEX($A:$AP,ROW(),$F$6)),",",""),"원",""),0))))</f>
        <v/>
      </c>
      <c r="AU699" s="23">
        <f>IF($AS699="","",IF($G$6="",0,IF(ISNUMBER(INDEX($A:$AP,ROW(),$G$6)),INDEX($A:$AP,ROW(),$G$6),IFERROR(--SUBSTITUTE(SUBSTITUTE(TRIM(INDEX($A:$AP,ROW(),$G$6)),",",""),"원",""),0))))</f>
        <v/>
      </c>
      <c r="AV699" s="23">
        <f>IF($AS699="","",IF($H$6="",$AT699+$AU699,IF($H$6="",0,IF(ISNUMBER(INDEX($A:$AP,ROW(),$H$6)),INDEX($A:$AP,ROW(),$H$6),IFERROR(--SUBSTITUTE(SUBSTITUTE(TRIM(INDEX($A:$AP,ROW(),$H$6)),",",""),"원",""),0)))))</f>
        <v/>
      </c>
      <c r="AW699" s="2">
        <f>IF(OR($AS699="",$C$6=""),"",TRIM(INDEX($A:$AP,ROW(),$C$6)&amp;""))</f>
        <v/>
      </c>
      <c r="AX699" s="2">
        <f>IF($AS699="","",IF($AZ699&lt;&gt;"",SUBSTITUTE(SUBSTITUTE($AZ699,"-","")," ",""),$AY699))</f>
        <v/>
      </c>
      <c r="AY699" s="2">
        <f>IF(OR($AS699="",$E$6=""),"",TRIM(INDEX($A:$AP,ROW(),$E$6)&amp;""))</f>
        <v/>
      </c>
      <c r="AZ699" s="2">
        <f>IF(OR($AS699="",$D$6=""),"",TRIM(INDEX($A:$AP,ROW(),$D$6)&amp;""))</f>
        <v/>
      </c>
      <c r="BA699" s="2">
        <f>IF($AS699="","",IF(AND($AS699&gt;=설정!$B$10,$AS699&lt;=설정!$B$11),"포함","기간 밖"))</f>
        <v/>
      </c>
      <c r="BB699" s="2">
        <f>IF($AS699="","",IF(OR($AT699&lt;0,AND($I$6&lt;&gt;"",ISNUMBER(FIND("수정",INDEX($A:$AP,ROW(),IF($I$6="",1,$I$6))&amp;"")))),"수정","일반"))</f>
        <v/>
      </c>
      <c r="BC699" s="2">
        <f>IF($AS699="","",MID(IF($BA699="기간 밖"," / 기간 밖(신고기간 아님)","")&amp;IF(AND($AW699&lt;&gt;"",COUNTIF($AW$8:$AW$1007,$AW699)&gt;1)," / 승인번호 중복(두 번 붙여넣기?)","")&amp;IF(ABS($AU699-ROUND($AT699*0.1,0))&gt;설정!$B$8,IF($AU699=0," / 세액 0원(영세율·면세 여부 확인)"," / 세액이 공급가액 10%와 다름"),"")&amp;IF($BB699="수정"," / 수정세금계산서(합계에서 자동 가감)",""),4,200))</f>
        <v/>
      </c>
      <c r="BD699" s="2">
        <f>IF($BA699&lt;&gt;"포함","",IF(COUNTIFS($AX$8:$AX699,$AX699,$BA$8:$BA699,"포함")=1,MAX($BD$7:BD698)+1,""))</f>
        <v/>
      </c>
      <c r="BE699" s="2">
        <f>IF($BC699="","",MAX($BE$7:BE698)+1)</f>
        <v/>
      </c>
    </row>
    <row r="700">
      <c r="AR700" s="2">
        <f>IF(OR($A$5="",$B$6="",ROW()&lt;$A$5),"",IF(INDEX($A:$AP,ROW(),$B$6)="","",INDEX($A:$AP,ROW(),$B$6)))</f>
        <v/>
      </c>
      <c r="AS700" s="22">
        <f>IF($AR700="","",IF(ISNUMBER($AR700),IF($AR700&gt;=10000000,IFERROR(DATE(INT($AR700/10000),MOD(INT($AR700/100),100),MOD($AR700,100)),""),INT($AR700)),IFERROR(DATE(--LEFT(LEFT(SUBSTITUTE(SUBSTITUTE(SUBSTITUTE(SUBSTITUTE(TRIM($AR700),"-",""),".",""),"/","")," ",""),8),4),--MID(LEFT(SUBSTITUTE(SUBSTITUTE(SUBSTITUTE(SUBSTITUTE(TRIM($AR700),"-",""),".",""),"/","")," ",""),8),5,2),--MID(LEFT(SUBSTITUTE(SUBSTITUTE(SUBSTITUTE(SUBSTITUTE(TRIM($AR700),"-",""),".",""),"/","")," ",""),8),7,2)),"")))</f>
        <v/>
      </c>
      <c r="AT700" s="23">
        <f>IF($AS700="","",IF($F$6="",0,IF(ISNUMBER(INDEX($A:$AP,ROW(),$F$6)),INDEX($A:$AP,ROW(),$F$6),IFERROR(--SUBSTITUTE(SUBSTITUTE(TRIM(INDEX($A:$AP,ROW(),$F$6)),",",""),"원",""),0))))</f>
        <v/>
      </c>
      <c r="AU700" s="23">
        <f>IF($AS700="","",IF($G$6="",0,IF(ISNUMBER(INDEX($A:$AP,ROW(),$G$6)),INDEX($A:$AP,ROW(),$G$6),IFERROR(--SUBSTITUTE(SUBSTITUTE(TRIM(INDEX($A:$AP,ROW(),$G$6)),",",""),"원",""),0))))</f>
        <v/>
      </c>
      <c r="AV700" s="23">
        <f>IF($AS700="","",IF($H$6="",$AT700+$AU700,IF($H$6="",0,IF(ISNUMBER(INDEX($A:$AP,ROW(),$H$6)),INDEX($A:$AP,ROW(),$H$6),IFERROR(--SUBSTITUTE(SUBSTITUTE(TRIM(INDEX($A:$AP,ROW(),$H$6)),",",""),"원",""),0)))))</f>
        <v/>
      </c>
      <c r="AW700" s="2">
        <f>IF(OR($AS700="",$C$6=""),"",TRIM(INDEX($A:$AP,ROW(),$C$6)&amp;""))</f>
        <v/>
      </c>
      <c r="AX700" s="2">
        <f>IF($AS700="","",IF($AZ700&lt;&gt;"",SUBSTITUTE(SUBSTITUTE($AZ700,"-","")," ",""),$AY700))</f>
        <v/>
      </c>
      <c r="AY700" s="2">
        <f>IF(OR($AS700="",$E$6=""),"",TRIM(INDEX($A:$AP,ROW(),$E$6)&amp;""))</f>
        <v/>
      </c>
      <c r="AZ700" s="2">
        <f>IF(OR($AS700="",$D$6=""),"",TRIM(INDEX($A:$AP,ROW(),$D$6)&amp;""))</f>
        <v/>
      </c>
      <c r="BA700" s="2">
        <f>IF($AS700="","",IF(AND($AS700&gt;=설정!$B$10,$AS700&lt;=설정!$B$11),"포함","기간 밖"))</f>
        <v/>
      </c>
      <c r="BB700" s="2">
        <f>IF($AS700="","",IF(OR($AT700&lt;0,AND($I$6&lt;&gt;"",ISNUMBER(FIND("수정",INDEX($A:$AP,ROW(),IF($I$6="",1,$I$6))&amp;"")))),"수정","일반"))</f>
        <v/>
      </c>
      <c r="BC700" s="2">
        <f>IF($AS700="","",MID(IF($BA700="기간 밖"," / 기간 밖(신고기간 아님)","")&amp;IF(AND($AW700&lt;&gt;"",COUNTIF($AW$8:$AW$1007,$AW700)&gt;1)," / 승인번호 중복(두 번 붙여넣기?)","")&amp;IF(ABS($AU700-ROUND($AT700*0.1,0))&gt;설정!$B$8,IF($AU700=0," / 세액 0원(영세율·면세 여부 확인)"," / 세액이 공급가액 10%와 다름"),"")&amp;IF($BB700="수정"," / 수정세금계산서(합계에서 자동 가감)",""),4,200))</f>
        <v/>
      </c>
      <c r="BD700" s="2">
        <f>IF($BA700&lt;&gt;"포함","",IF(COUNTIFS($AX$8:$AX700,$AX700,$BA$8:$BA700,"포함")=1,MAX($BD$7:BD699)+1,""))</f>
        <v/>
      </c>
      <c r="BE700" s="2">
        <f>IF($BC700="","",MAX($BE$7:BE699)+1)</f>
        <v/>
      </c>
    </row>
    <row r="701">
      <c r="AR701" s="2">
        <f>IF(OR($A$5="",$B$6="",ROW()&lt;$A$5),"",IF(INDEX($A:$AP,ROW(),$B$6)="","",INDEX($A:$AP,ROW(),$B$6)))</f>
        <v/>
      </c>
      <c r="AS701" s="22">
        <f>IF($AR701="","",IF(ISNUMBER($AR701),IF($AR701&gt;=10000000,IFERROR(DATE(INT($AR701/10000),MOD(INT($AR701/100),100),MOD($AR701,100)),""),INT($AR701)),IFERROR(DATE(--LEFT(LEFT(SUBSTITUTE(SUBSTITUTE(SUBSTITUTE(SUBSTITUTE(TRIM($AR701),"-",""),".",""),"/","")," ",""),8),4),--MID(LEFT(SUBSTITUTE(SUBSTITUTE(SUBSTITUTE(SUBSTITUTE(TRIM($AR701),"-",""),".",""),"/","")," ",""),8),5,2),--MID(LEFT(SUBSTITUTE(SUBSTITUTE(SUBSTITUTE(SUBSTITUTE(TRIM($AR701),"-",""),".",""),"/","")," ",""),8),7,2)),"")))</f>
        <v/>
      </c>
      <c r="AT701" s="23">
        <f>IF($AS701="","",IF($F$6="",0,IF(ISNUMBER(INDEX($A:$AP,ROW(),$F$6)),INDEX($A:$AP,ROW(),$F$6),IFERROR(--SUBSTITUTE(SUBSTITUTE(TRIM(INDEX($A:$AP,ROW(),$F$6)),",",""),"원",""),0))))</f>
        <v/>
      </c>
      <c r="AU701" s="23">
        <f>IF($AS701="","",IF($G$6="",0,IF(ISNUMBER(INDEX($A:$AP,ROW(),$G$6)),INDEX($A:$AP,ROW(),$G$6),IFERROR(--SUBSTITUTE(SUBSTITUTE(TRIM(INDEX($A:$AP,ROW(),$G$6)),",",""),"원",""),0))))</f>
        <v/>
      </c>
      <c r="AV701" s="23">
        <f>IF($AS701="","",IF($H$6="",$AT701+$AU701,IF($H$6="",0,IF(ISNUMBER(INDEX($A:$AP,ROW(),$H$6)),INDEX($A:$AP,ROW(),$H$6),IFERROR(--SUBSTITUTE(SUBSTITUTE(TRIM(INDEX($A:$AP,ROW(),$H$6)),",",""),"원",""),0)))))</f>
        <v/>
      </c>
      <c r="AW701" s="2">
        <f>IF(OR($AS701="",$C$6=""),"",TRIM(INDEX($A:$AP,ROW(),$C$6)&amp;""))</f>
        <v/>
      </c>
      <c r="AX701" s="2">
        <f>IF($AS701="","",IF($AZ701&lt;&gt;"",SUBSTITUTE(SUBSTITUTE($AZ701,"-","")," ",""),$AY701))</f>
        <v/>
      </c>
      <c r="AY701" s="2">
        <f>IF(OR($AS701="",$E$6=""),"",TRIM(INDEX($A:$AP,ROW(),$E$6)&amp;""))</f>
        <v/>
      </c>
      <c r="AZ701" s="2">
        <f>IF(OR($AS701="",$D$6=""),"",TRIM(INDEX($A:$AP,ROW(),$D$6)&amp;""))</f>
        <v/>
      </c>
      <c r="BA701" s="2">
        <f>IF($AS701="","",IF(AND($AS701&gt;=설정!$B$10,$AS701&lt;=설정!$B$11),"포함","기간 밖"))</f>
        <v/>
      </c>
      <c r="BB701" s="2">
        <f>IF($AS701="","",IF(OR($AT701&lt;0,AND($I$6&lt;&gt;"",ISNUMBER(FIND("수정",INDEX($A:$AP,ROW(),IF($I$6="",1,$I$6))&amp;"")))),"수정","일반"))</f>
        <v/>
      </c>
      <c r="BC701" s="2">
        <f>IF($AS701="","",MID(IF($BA701="기간 밖"," / 기간 밖(신고기간 아님)","")&amp;IF(AND($AW701&lt;&gt;"",COUNTIF($AW$8:$AW$1007,$AW701)&gt;1)," / 승인번호 중복(두 번 붙여넣기?)","")&amp;IF(ABS($AU701-ROUND($AT701*0.1,0))&gt;설정!$B$8,IF($AU701=0," / 세액 0원(영세율·면세 여부 확인)"," / 세액이 공급가액 10%와 다름"),"")&amp;IF($BB701="수정"," / 수정세금계산서(합계에서 자동 가감)",""),4,200))</f>
        <v/>
      </c>
      <c r="BD701" s="2">
        <f>IF($BA701&lt;&gt;"포함","",IF(COUNTIFS($AX$8:$AX701,$AX701,$BA$8:$BA701,"포함")=1,MAX($BD$7:BD700)+1,""))</f>
        <v/>
      </c>
      <c r="BE701" s="2">
        <f>IF($BC701="","",MAX($BE$7:BE700)+1)</f>
        <v/>
      </c>
    </row>
    <row r="702">
      <c r="AR702" s="2">
        <f>IF(OR($A$5="",$B$6="",ROW()&lt;$A$5),"",IF(INDEX($A:$AP,ROW(),$B$6)="","",INDEX($A:$AP,ROW(),$B$6)))</f>
        <v/>
      </c>
      <c r="AS702" s="22">
        <f>IF($AR702="","",IF(ISNUMBER($AR702),IF($AR702&gt;=10000000,IFERROR(DATE(INT($AR702/10000),MOD(INT($AR702/100),100),MOD($AR702,100)),""),INT($AR702)),IFERROR(DATE(--LEFT(LEFT(SUBSTITUTE(SUBSTITUTE(SUBSTITUTE(SUBSTITUTE(TRIM($AR702),"-",""),".",""),"/","")," ",""),8),4),--MID(LEFT(SUBSTITUTE(SUBSTITUTE(SUBSTITUTE(SUBSTITUTE(TRIM($AR702),"-",""),".",""),"/","")," ",""),8),5,2),--MID(LEFT(SUBSTITUTE(SUBSTITUTE(SUBSTITUTE(SUBSTITUTE(TRIM($AR702),"-",""),".",""),"/","")," ",""),8),7,2)),"")))</f>
        <v/>
      </c>
      <c r="AT702" s="23">
        <f>IF($AS702="","",IF($F$6="",0,IF(ISNUMBER(INDEX($A:$AP,ROW(),$F$6)),INDEX($A:$AP,ROW(),$F$6),IFERROR(--SUBSTITUTE(SUBSTITUTE(TRIM(INDEX($A:$AP,ROW(),$F$6)),",",""),"원",""),0))))</f>
        <v/>
      </c>
      <c r="AU702" s="23">
        <f>IF($AS702="","",IF($G$6="",0,IF(ISNUMBER(INDEX($A:$AP,ROW(),$G$6)),INDEX($A:$AP,ROW(),$G$6),IFERROR(--SUBSTITUTE(SUBSTITUTE(TRIM(INDEX($A:$AP,ROW(),$G$6)),",",""),"원",""),0))))</f>
        <v/>
      </c>
      <c r="AV702" s="23">
        <f>IF($AS702="","",IF($H$6="",$AT702+$AU702,IF($H$6="",0,IF(ISNUMBER(INDEX($A:$AP,ROW(),$H$6)),INDEX($A:$AP,ROW(),$H$6),IFERROR(--SUBSTITUTE(SUBSTITUTE(TRIM(INDEX($A:$AP,ROW(),$H$6)),",",""),"원",""),0)))))</f>
        <v/>
      </c>
      <c r="AW702" s="2">
        <f>IF(OR($AS702="",$C$6=""),"",TRIM(INDEX($A:$AP,ROW(),$C$6)&amp;""))</f>
        <v/>
      </c>
      <c r="AX702" s="2">
        <f>IF($AS702="","",IF($AZ702&lt;&gt;"",SUBSTITUTE(SUBSTITUTE($AZ702,"-","")," ",""),$AY702))</f>
        <v/>
      </c>
      <c r="AY702" s="2">
        <f>IF(OR($AS702="",$E$6=""),"",TRIM(INDEX($A:$AP,ROW(),$E$6)&amp;""))</f>
        <v/>
      </c>
      <c r="AZ702" s="2">
        <f>IF(OR($AS702="",$D$6=""),"",TRIM(INDEX($A:$AP,ROW(),$D$6)&amp;""))</f>
        <v/>
      </c>
      <c r="BA702" s="2">
        <f>IF($AS702="","",IF(AND($AS702&gt;=설정!$B$10,$AS702&lt;=설정!$B$11),"포함","기간 밖"))</f>
        <v/>
      </c>
      <c r="BB702" s="2">
        <f>IF($AS702="","",IF(OR($AT702&lt;0,AND($I$6&lt;&gt;"",ISNUMBER(FIND("수정",INDEX($A:$AP,ROW(),IF($I$6="",1,$I$6))&amp;"")))),"수정","일반"))</f>
        <v/>
      </c>
      <c r="BC702" s="2">
        <f>IF($AS702="","",MID(IF($BA702="기간 밖"," / 기간 밖(신고기간 아님)","")&amp;IF(AND($AW702&lt;&gt;"",COUNTIF($AW$8:$AW$1007,$AW702)&gt;1)," / 승인번호 중복(두 번 붙여넣기?)","")&amp;IF(ABS($AU702-ROUND($AT702*0.1,0))&gt;설정!$B$8,IF($AU702=0," / 세액 0원(영세율·면세 여부 확인)"," / 세액이 공급가액 10%와 다름"),"")&amp;IF($BB702="수정"," / 수정세금계산서(합계에서 자동 가감)",""),4,200))</f>
        <v/>
      </c>
      <c r="BD702" s="2">
        <f>IF($BA702&lt;&gt;"포함","",IF(COUNTIFS($AX$8:$AX702,$AX702,$BA$8:$BA702,"포함")=1,MAX($BD$7:BD701)+1,""))</f>
        <v/>
      </c>
      <c r="BE702" s="2">
        <f>IF($BC702="","",MAX($BE$7:BE701)+1)</f>
        <v/>
      </c>
    </row>
    <row r="703">
      <c r="AR703" s="2">
        <f>IF(OR($A$5="",$B$6="",ROW()&lt;$A$5),"",IF(INDEX($A:$AP,ROW(),$B$6)="","",INDEX($A:$AP,ROW(),$B$6)))</f>
        <v/>
      </c>
      <c r="AS703" s="22">
        <f>IF($AR703="","",IF(ISNUMBER($AR703),IF($AR703&gt;=10000000,IFERROR(DATE(INT($AR703/10000),MOD(INT($AR703/100),100),MOD($AR703,100)),""),INT($AR703)),IFERROR(DATE(--LEFT(LEFT(SUBSTITUTE(SUBSTITUTE(SUBSTITUTE(SUBSTITUTE(TRIM($AR703),"-",""),".",""),"/","")," ",""),8),4),--MID(LEFT(SUBSTITUTE(SUBSTITUTE(SUBSTITUTE(SUBSTITUTE(TRIM($AR703),"-",""),".",""),"/","")," ",""),8),5,2),--MID(LEFT(SUBSTITUTE(SUBSTITUTE(SUBSTITUTE(SUBSTITUTE(TRIM($AR703),"-",""),".",""),"/","")," ",""),8),7,2)),"")))</f>
        <v/>
      </c>
      <c r="AT703" s="23">
        <f>IF($AS703="","",IF($F$6="",0,IF(ISNUMBER(INDEX($A:$AP,ROW(),$F$6)),INDEX($A:$AP,ROW(),$F$6),IFERROR(--SUBSTITUTE(SUBSTITUTE(TRIM(INDEX($A:$AP,ROW(),$F$6)),",",""),"원",""),0))))</f>
        <v/>
      </c>
      <c r="AU703" s="23">
        <f>IF($AS703="","",IF($G$6="",0,IF(ISNUMBER(INDEX($A:$AP,ROW(),$G$6)),INDEX($A:$AP,ROW(),$G$6),IFERROR(--SUBSTITUTE(SUBSTITUTE(TRIM(INDEX($A:$AP,ROW(),$G$6)),",",""),"원",""),0))))</f>
        <v/>
      </c>
      <c r="AV703" s="23">
        <f>IF($AS703="","",IF($H$6="",$AT703+$AU703,IF($H$6="",0,IF(ISNUMBER(INDEX($A:$AP,ROW(),$H$6)),INDEX($A:$AP,ROW(),$H$6),IFERROR(--SUBSTITUTE(SUBSTITUTE(TRIM(INDEX($A:$AP,ROW(),$H$6)),",",""),"원",""),0)))))</f>
        <v/>
      </c>
      <c r="AW703" s="2">
        <f>IF(OR($AS703="",$C$6=""),"",TRIM(INDEX($A:$AP,ROW(),$C$6)&amp;""))</f>
        <v/>
      </c>
      <c r="AX703" s="2">
        <f>IF($AS703="","",IF($AZ703&lt;&gt;"",SUBSTITUTE(SUBSTITUTE($AZ703,"-","")," ",""),$AY703))</f>
        <v/>
      </c>
      <c r="AY703" s="2">
        <f>IF(OR($AS703="",$E$6=""),"",TRIM(INDEX($A:$AP,ROW(),$E$6)&amp;""))</f>
        <v/>
      </c>
      <c r="AZ703" s="2">
        <f>IF(OR($AS703="",$D$6=""),"",TRIM(INDEX($A:$AP,ROW(),$D$6)&amp;""))</f>
        <v/>
      </c>
      <c r="BA703" s="2">
        <f>IF($AS703="","",IF(AND($AS703&gt;=설정!$B$10,$AS703&lt;=설정!$B$11),"포함","기간 밖"))</f>
        <v/>
      </c>
      <c r="BB703" s="2">
        <f>IF($AS703="","",IF(OR($AT703&lt;0,AND($I$6&lt;&gt;"",ISNUMBER(FIND("수정",INDEX($A:$AP,ROW(),IF($I$6="",1,$I$6))&amp;"")))),"수정","일반"))</f>
        <v/>
      </c>
      <c r="BC703" s="2">
        <f>IF($AS703="","",MID(IF($BA703="기간 밖"," / 기간 밖(신고기간 아님)","")&amp;IF(AND($AW703&lt;&gt;"",COUNTIF($AW$8:$AW$1007,$AW703)&gt;1)," / 승인번호 중복(두 번 붙여넣기?)","")&amp;IF(ABS($AU703-ROUND($AT703*0.1,0))&gt;설정!$B$8,IF($AU703=0," / 세액 0원(영세율·면세 여부 확인)"," / 세액이 공급가액 10%와 다름"),"")&amp;IF($BB703="수정"," / 수정세금계산서(합계에서 자동 가감)",""),4,200))</f>
        <v/>
      </c>
      <c r="BD703" s="2">
        <f>IF($BA703&lt;&gt;"포함","",IF(COUNTIFS($AX$8:$AX703,$AX703,$BA$8:$BA703,"포함")=1,MAX($BD$7:BD702)+1,""))</f>
        <v/>
      </c>
      <c r="BE703" s="2">
        <f>IF($BC703="","",MAX($BE$7:BE702)+1)</f>
        <v/>
      </c>
    </row>
    <row r="704">
      <c r="AR704" s="2">
        <f>IF(OR($A$5="",$B$6="",ROW()&lt;$A$5),"",IF(INDEX($A:$AP,ROW(),$B$6)="","",INDEX($A:$AP,ROW(),$B$6)))</f>
        <v/>
      </c>
      <c r="AS704" s="22">
        <f>IF($AR704="","",IF(ISNUMBER($AR704),IF($AR704&gt;=10000000,IFERROR(DATE(INT($AR704/10000),MOD(INT($AR704/100),100),MOD($AR704,100)),""),INT($AR704)),IFERROR(DATE(--LEFT(LEFT(SUBSTITUTE(SUBSTITUTE(SUBSTITUTE(SUBSTITUTE(TRIM($AR704),"-",""),".",""),"/","")," ",""),8),4),--MID(LEFT(SUBSTITUTE(SUBSTITUTE(SUBSTITUTE(SUBSTITUTE(TRIM($AR704),"-",""),".",""),"/","")," ",""),8),5,2),--MID(LEFT(SUBSTITUTE(SUBSTITUTE(SUBSTITUTE(SUBSTITUTE(TRIM($AR704),"-",""),".",""),"/","")," ",""),8),7,2)),"")))</f>
        <v/>
      </c>
      <c r="AT704" s="23">
        <f>IF($AS704="","",IF($F$6="",0,IF(ISNUMBER(INDEX($A:$AP,ROW(),$F$6)),INDEX($A:$AP,ROW(),$F$6),IFERROR(--SUBSTITUTE(SUBSTITUTE(TRIM(INDEX($A:$AP,ROW(),$F$6)),",",""),"원",""),0))))</f>
        <v/>
      </c>
      <c r="AU704" s="23">
        <f>IF($AS704="","",IF($G$6="",0,IF(ISNUMBER(INDEX($A:$AP,ROW(),$G$6)),INDEX($A:$AP,ROW(),$G$6),IFERROR(--SUBSTITUTE(SUBSTITUTE(TRIM(INDEX($A:$AP,ROW(),$G$6)),",",""),"원",""),0))))</f>
        <v/>
      </c>
      <c r="AV704" s="23">
        <f>IF($AS704="","",IF($H$6="",$AT704+$AU704,IF($H$6="",0,IF(ISNUMBER(INDEX($A:$AP,ROW(),$H$6)),INDEX($A:$AP,ROW(),$H$6),IFERROR(--SUBSTITUTE(SUBSTITUTE(TRIM(INDEX($A:$AP,ROW(),$H$6)),",",""),"원",""),0)))))</f>
        <v/>
      </c>
      <c r="AW704" s="2">
        <f>IF(OR($AS704="",$C$6=""),"",TRIM(INDEX($A:$AP,ROW(),$C$6)&amp;""))</f>
        <v/>
      </c>
      <c r="AX704" s="2">
        <f>IF($AS704="","",IF($AZ704&lt;&gt;"",SUBSTITUTE(SUBSTITUTE($AZ704,"-","")," ",""),$AY704))</f>
        <v/>
      </c>
      <c r="AY704" s="2">
        <f>IF(OR($AS704="",$E$6=""),"",TRIM(INDEX($A:$AP,ROW(),$E$6)&amp;""))</f>
        <v/>
      </c>
      <c r="AZ704" s="2">
        <f>IF(OR($AS704="",$D$6=""),"",TRIM(INDEX($A:$AP,ROW(),$D$6)&amp;""))</f>
        <v/>
      </c>
      <c r="BA704" s="2">
        <f>IF($AS704="","",IF(AND($AS704&gt;=설정!$B$10,$AS704&lt;=설정!$B$11),"포함","기간 밖"))</f>
        <v/>
      </c>
      <c r="BB704" s="2">
        <f>IF($AS704="","",IF(OR($AT704&lt;0,AND($I$6&lt;&gt;"",ISNUMBER(FIND("수정",INDEX($A:$AP,ROW(),IF($I$6="",1,$I$6))&amp;"")))),"수정","일반"))</f>
        <v/>
      </c>
      <c r="BC704" s="2">
        <f>IF($AS704="","",MID(IF($BA704="기간 밖"," / 기간 밖(신고기간 아님)","")&amp;IF(AND($AW704&lt;&gt;"",COUNTIF($AW$8:$AW$1007,$AW704)&gt;1)," / 승인번호 중복(두 번 붙여넣기?)","")&amp;IF(ABS($AU704-ROUND($AT704*0.1,0))&gt;설정!$B$8,IF($AU704=0," / 세액 0원(영세율·면세 여부 확인)"," / 세액이 공급가액 10%와 다름"),"")&amp;IF($BB704="수정"," / 수정세금계산서(합계에서 자동 가감)",""),4,200))</f>
        <v/>
      </c>
      <c r="BD704" s="2">
        <f>IF($BA704&lt;&gt;"포함","",IF(COUNTIFS($AX$8:$AX704,$AX704,$BA$8:$BA704,"포함")=1,MAX($BD$7:BD703)+1,""))</f>
        <v/>
      </c>
      <c r="BE704" s="2">
        <f>IF($BC704="","",MAX($BE$7:BE703)+1)</f>
        <v/>
      </c>
    </row>
    <row r="705">
      <c r="AR705" s="2">
        <f>IF(OR($A$5="",$B$6="",ROW()&lt;$A$5),"",IF(INDEX($A:$AP,ROW(),$B$6)="","",INDEX($A:$AP,ROW(),$B$6)))</f>
        <v/>
      </c>
      <c r="AS705" s="22">
        <f>IF($AR705="","",IF(ISNUMBER($AR705),IF($AR705&gt;=10000000,IFERROR(DATE(INT($AR705/10000),MOD(INT($AR705/100),100),MOD($AR705,100)),""),INT($AR705)),IFERROR(DATE(--LEFT(LEFT(SUBSTITUTE(SUBSTITUTE(SUBSTITUTE(SUBSTITUTE(TRIM($AR705),"-",""),".",""),"/","")," ",""),8),4),--MID(LEFT(SUBSTITUTE(SUBSTITUTE(SUBSTITUTE(SUBSTITUTE(TRIM($AR705),"-",""),".",""),"/","")," ",""),8),5,2),--MID(LEFT(SUBSTITUTE(SUBSTITUTE(SUBSTITUTE(SUBSTITUTE(TRIM($AR705),"-",""),".",""),"/","")," ",""),8),7,2)),"")))</f>
        <v/>
      </c>
      <c r="AT705" s="23">
        <f>IF($AS705="","",IF($F$6="",0,IF(ISNUMBER(INDEX($A:$AP,ROW(),$F$6)),INDEX($A:$AP,ROW(),$F$6),IFERROR(--SUBSTITUTE(SUBSTITUTE(TRIM(INDEX($A:$AP,ROW(),$F$6)),",",""),"원",""),0))))</f>
        <v/>
      </c>
      <c r="AU705" s="23">
        <f>IF($AS705="","",IF($G$6="",0,IF(ISNUMBER(INDEX($A:$AP,ROW(),$G$6)),INDEX($A:$AP,ROW(),$G$6),IFERROR(--SUBSTITUTE(SUBSTITUTE(TRIM(INDEX($A:$AP,ROW(),$G$6)),",",""),"원",""),0))))</f>
        <v/>
      </c>
      <c r="AV705" s="23">
        <f>IF($AS705="","",IF($H$6="",$AT705+$AU705,IF($H$6="",0,IF(ISNUMBER(INDEX($A:$AP,ROW(),$H$6)),INDEX($A:$AP,ROW(),$H$6),IFERROR(--SUBSTITUTE(SUBSTITUTE(TRIM(INDEX($A:$AP,ROW(),$H$6)),",",""),"원",""),0)))))</f>
        <v/>
      </c>
      <c r="AW705" s="2">
        <f>IF(OR($AS705="",$C$6=""),"",TRIM(INDEX($A:$AP,ROW(),$C$6)&amp;""))</f>
        <v/>
      </c>
      <c r="AX705" s="2">
        <f>IF($AS705="","",IF($AZ705&lt;&gt;"",SUBSTITUTE(SUBSTITUTE($AZ705,"-","")," ",""),$AY705))</f>
        <v/>
      </c>
      <c r="AY705" s="2">
        <f>IF(OR($AS705="",$E$6=""),"",TRIM(INDEX($A:$AP,ROW(),$E$6)&amp;""))</f>
        <v/>
      </c>
      <c r="AZ705" s="2">
        <f>IF(OR($AS705="",$D$6=""),"",TRIM(INDEX($A:$AP,ROW(),$D$6)&amp;""))</f>
        <v/>
      </c>
      <c r="BA705" s="2">
        <f>IF($AS705="","",IF(AND($AS705&gt;=설정!$B$10,$AS705&lt;=설정!$B$11),"포함","기간 밖"))</f>
        <v/>
      </c>
      <c r="BB705" s="2">
        <f>IF($AS705="","",IF(OR($AT705&lt;0,AND($I$6&lt;&gt;"",ISNUMBER(FIND("수정",INDEX($A:$AP,ROW(),IF($I$6="",1,$I$6))&amp;"")))),"수정","일반"))</f>
        <v/>
      </c>
      <c r="BC705" s="2">
        <f>IF($AS705="","",MID(IF($BA705="기간 밖"," / 기간 밖(신고기간 아님)","")&amp;IF(AND($AW705&lt;&gt;"",COUNTIF($AW$8:$AW$1007,$AW705)&gt;1)," / 승인번호 중복(두 번 붙여넣기?)","")&amp;IF(ABS($AU705-ROUND($AT705*0.1,0))&gt;설정!$B$8,IF($AU705=0," / 세액 0원(영세율·면세 여부 확인)"," / 세액이 공급가액 10%와 다름"),"")&amp;IF($BB705="수정"," / 수정세금계산서(합계에서 자동 가감)",""),4,200))</f>
        <v/>
      </c>
      <c r="BD705" s="2">
        <f>IF($BA705&lt;&gt;"포함","",IF(COUNTIFS($AX$8:$AX705,$AX705,$BA$8:$BA705,"포함")=1,MAX($BD$7:BD704)+1,""))</f>
        <v/>
      </c>
      <c r="BE705" s="2">
        <f>IF($BC705="","",MAX($BE$7:BE704)+1)</f>
        <v/>
      </c>
    </row>
    <row r="706">
      <c r="AR706" s="2">
        <f>IF(OR($A$5="",$B$6="",ROW()&lt;$A$5),"",IF(INDEX($A:$AP,ROW(),$B$6)="","",INDEX($A:$AP,ROW(),$B$6)))</f>
        <v/>
      </c>
      <c r="AS706" s="22">
        <f>IF($AR706="","",IF(ISNUMBER($AR706),IF($AR706&gt;=10000000,IFERROR(DATE(INT($AR706/10000),MOD(INT($AR706/100),100),MOD($AR706,100)),""),INT($AR706)),IFERROR(DATE(--LEFT(LEFT(SUBSTITUTE(SUBSTITUTE(SUBSTITUTE(SUBSTITUTE(TRIM($AR706),"-",""),".",""),"/","")," ",""),8),4),--MID(LEFT(SUBSTITUTE(SUBSTITUTE(SUBSTITUTE(SUBSTITUTE(TRIM($AR706),"-",""),".",""),"/","")," ",""),8),5,2),--MID(LEFT(SUBSTITUTE(SUBSTITUTE(SUBSTITUTE(SUBSTITUTE(TRIM($AR706),"-",""),".",""),"/","")," ",""),8),7,2)),"")))</f>
        <v/>
      </c>
      <c r="AT706" s="23">
        <f>IF($AS706="","",IF($F$6="",0,IF(ISNUMBER(INDEX($A:$AP,ROW(),$F$6)),INDEX($A:$AP,ROW(),$F$6),IFERROR(--SUBSTITUTE(SUBSTITUTE(TRIM(INDEX($A:$AP,ROW(),$F$6)),",",""),"원",""),0))))</f>
        <v/>
      </c>
      <c r="AU706" s="23">
        <f>IF($AS706="","",IF($G$6="",0,IF(ISNUMBER(INDEX($A:$AP,ROW(),$G$6)),INDEX($A:$AP,ROW(),$G$6),IFERROR(--SUBSTITUTE(SUBSTITUTE(TRIM(INDEX($A:$AP,ROW(),$G$6)),",",""),"원",""),0))))</f>
        <v/>
      </c>
      <c r="AV706" s="23">
        <f>IF($AS706="","",IF($H$6="",$AT706+$AU706,IF($H$6="",0,IF(ISNUMBER(INDEX($A:$AP,ROW(),$H$6)),INDEX($A:$AP,ROW(),$H$6),IFERROR(--SUBSTITUTE(SUBSTITUTE(TRIM(INDEX($A:$AP,ROW(),$H$6)),",",""),"원",""),0)))))</f>
        <v/>
      </c>
      <c r="AW706" s="2">
        <f>IF(OR($AS706="",$C$6=""),"",TRIM(INDEX($A:$AP,ROW(),$C$6)&amp;""))</f>
        <v/>
      </c>
      <c r="AX706" s="2">
        <f>IF($AS706="","",IF($AZ706&lt;&gt;"",SUBSTITUTE(SUBSTITUTE($AZ706,"-","")," ",""),$AY706))</f>
        <v/>
      </c>
      <c r="AY706" s="2">
        <f>IF(OR($AS706="",$E$6=""),"",TRIM(INDEX($A:$AP,ROW(),$E$6)&amp;""))</f>
        <v/>
      </c>
      <c r="AZ706" s="2">
        <f>IF(OR($AS706="",$D$6=""),"",TRIM(INDEX($A:$AP,ROW(),$D$6)&amp;""))</f>
        <v/>
      </c>
      <c r="BA706" s="2">
        <f>IF($AS706="","",IF(AND($AS706&gt;=설정!$B$10,$AS706&lt;=설정!$B$11),"포함","기간 밖"))</f>
        <v/>
      </c>
      <c r="BB706" s="2">
        <f>IF($AS706="","",IF(OR($AT706&lt;0,AND($I$6&lt;&gt;"",ISNUMBER(FIND("수정",INDEX($A:$AP,ROW(),IF($I$6="",1,$I$6))&amp;"")))),"수정","일반"))</f>
        <v/>
      </c>
      <c r="BC706" s="2">
        <f>IF($AS706="","",MID(IF($BA706="기간 밖"," / 기간 밖(신고기간 아님)","")&amp;IF(AND($AW706&lt;&gt;"",COUNTIF($AW$8:$AW$1007,$AW706)&gt;1)," / 승인번호 중복(두 번 붙여넣기?)","")&amp;IF(ABS($AU706-ROUND($AT706*0.1,0))&gt;설정!$B$8,IF($AU706=0," / 세액 0원(영세율·면세 여부 확인)"," / 세액이 공급가액 10%와 다름"),"")&amp;IF($BB706="수정"," / 수정세금계산서(합계에서 자동 가감)",""),4,200))</f>
        <v/>
      </c>
      <c r="BD706" s="2">
        <f>IF($BA706&lt;&gt;"포함","",IF(COUNTIFS($AX$8:$AX706,$AX706,$BA$8:$BA706,"포함")=1,MAX($BD$7:BD705)+1,""))</f>
        <v/>
      </c>
      <c r="BE706" s="2">
        <f>IF($BC706="","",MAX($BE$7:BE705)+1)</f>
        <v/>
      </c>
    </row>
    <row r="707">
      <c r="AR707" s="2">
        <f>IF(OR($A$5="",$B$6="",ROW()&lt;$A$5),"",IF(INDEX($A:$AP,ROW(),$B$6)="","",INDEX($A:$AP,ROW(),$B$6)))</f>
        <v/>
      </c>
      <c r="AS707" s="22">
        <f>IF($AR707="","",IF(ISNUMBER($AR707),IF($AR707&gt;=10000000,IFERROR(DATE(INT($AR707/10000),MOD(INT($AR707/100),100),MOD($AR707,100)),""),INT($AR707)),IFERROR(DATE(--LEFT(LEFT(SUBSTITUTE(SUBSTITUTE(SUBSTITUTE(SUBSTITUTE(TRIM($AR707),"-",""),".",""),"/","")," ",""),8),4),--MID(LEFT(SUBSTITUTE(SUBSTITUTE(SUBSTITUTE(SUBSTITUTE(TRIM($AR707),"-",""),".",""),"/","")," ",""),8),5,2),--MID(LEFT(SUBSTITUTE(SUBSTITUTE(SUBSTITUTE(SUBSTITUTE(TRIM($AR707),"-",""),".",""),"/","")," ",""),8),7,2)),"")))</f>
        <v/>
      </c>
      <c r="AT707" s="23">
        <f>IF($AS707="","",IF($F$6="",0,IF(ISNUMBER(INDEX($A:$AP,ROW(),$F$6)),INDEX($A:$AP,ROW(),$F$6),IFERROR(--SUBSTITUTE(SUBSTITUTE(TRIM(INDEX($A:$AP,ROW(),$F$6)),",",""),"원",""),0))))</f>
        <v/>
      </c>
      <c r="AU707" s="23">
        <f>IF($AS707="","",IF($G$6="",0,IF(ISNUMBER(INDEX($A:$AP,ROW(),$G$6)),INDEX($A:$AP,ROW(),$G$6),IFERROR(--SUBSTITUTE(SUBSTITUTE(TRIM(INDEX($A:$AP,ROW(),$G$6)),",",""),"원",""),0))))</f>
        <v/>
      </c>
      <c r="AV707" s="23">
        <f>IF($AS707="","",IF($H$6="",$AT707+$AU707,IF($H$6="",0,IF(ISNUMBER(INDEX($A:$AP,ROW(),$H$6)),INDEX($A:$AP,ROW(),$H$6),IFERROR(--SUBSTITUTE(SUBSTITUTE(TRIM(INDEX($A:$AP,ROW(),$H$6)),",",""),"원",""),0)))))</f>
        <v/>
      </c>
      <c r="AW707" s="2">
        <f>IF(OR($AS707="",$C$6=""),"",TRIM(INDEX($A:$AP,ROW(),$C$6)&amp;""))</f>
        <v/>
      </c>
      <c r="AX707" s="2">
        <f>IF($AS707="","",IF($AZ707&lt;&gt;"",SUBSTITUTE(SUBSTITUTE($AZ707,"-","")," ",""),$AY707))</f>
        <v/>
      </c>
      <c r="AY707" s="2">
        <f>IF(OR($AS707="",$E$6=""),"",TRIM(INDEX($A:$AP,ROW(),$E$6)&amp;""))</f>
        <v/>
      </c>
      <c r="AZ707" s="2">
        <f>IF(OR($AS707="",$D$6=""),"",TRIM(INDEX($A:$AP,ROW(),$D$6)&amp;""))</f>
        <v/>
      </c>
      <c r="BA707" s="2">
        <f>IF($AS707="","",IF(AND($AS707&gt;=설정!$B$10,$AS707&lt;=설정!$B$11),"포함","기간 밖"))</f>
        <v/>
      </c>
      <c r="BB707" s="2">
        <f>IF($AS707="","",IF(OR($AT707&lt;0,AND($I$6&lt;&gt;"",ISNUMBER(FIND("수정",INDEX($A:$AP,ROW(),IF($I$6="",1,$I$6))&amp;"")))),"수정","일반"))</f>
        <v/>
      </c>
      <c r="BC707" s="2">
        <f>IF($AS707="","",MID(IF($BA707="기간 밖"," / 기간 밖(신고기간 아님)","")&amp;IF(AND($AW707&lt;&gt;"",COUNTIF($AW$8:$AW$1007,$AW707)&gt;1)," / 승인번호 중복(두 번 붙여넣기?)","")&amp;IF(ABS($AU707-ROUND($AT707*0.1,0))&gt;설정!$B$8,IF($AU707=0," / 세액 0원(영세율·면세 여부 확인)"," / 세액이 공급가액 10%와 다름"),"")&amp;IF($BB707="수정"," / 수정세금계산서(합계에서 자동 가감)",""),4,200))</f>
        <v/>
      </c>
      <c r="BD707" s="2">
        <f>IF($BA707&lt;&gt;"포함","",IF(COUNTIFS($AX$8:$AX707,$AX707,$BA$8:$BA707,"포함")=1,MAX($BD$7:BD706)+1,""))</f>
        <v/>
      </c>
      <c r="BE707" s="2">
        <f>IF($BC707="","",MAX($BE$7:BE706)+1)</f>
        <v/>
      </c>
    </row>
    <row r="708">
      <c r="AR708" s="2">
        <f>IF(OR($A$5="",$B$6="",ROW()&lt;$A$5),"",IF(INDEX($A:$AP,ROW(),$B$6)="","",INDEX($A:$AP,ROW(),$B$6)))</f>
        <v/>
      </c>
      <c r="AS708" s="22">
        <f>IF($AR708="","",IF(ISNUMBER($AR708),IF($AR708&gt;=10000000,IFERROR(DATE(INT($AR708/10000),MOD(INT($AR708/100),100),MOD($AR708,100)),""),INT($AR708)),IFERROR(DATE(--LEFT(LEFT(SUBSTITUTE(SUBSTITUTE(SUBSTITUTE(SUBSTITUTE(TRIM($AR708),"-",""),".",""),"/","")," ",""),8),4),--MID(LEFT(SUBSTITUTE(SUBSTITUTE(SUBSTITUTE(SUBSTITUTE(TRIM($AR708),"-",""),".",""),"/","")," ",""),8),5,2),--MID(LEFT(SUBSTITUTE(SUBSTITUTE(SUBSTITUTE(SUBSTITUTE(TRIM($AR708),"-",""),".",""),"/","")," ",""),8),7,2)),"")))</f>
        <v/>
      </c>
      <c r="AT708" s="23">
        <f>IF($AS708="","",IF($F$6="",0,IF(ISNUMBER(INDEX($A:$AP,ROW(),$F$6)),INDEX($A:$AP,ROW(),$F$6),IFERROR(--SUBSTITUTE(SUBSTITUTE(TRIM(INDEX($A:$AP,ROW(),$F$6)),",",""),"원",""),0))))</f>
        <v/>
      </c>
      <c r="AU708" s="23">
        <f>IF($AS708="","",IF($G$6="",0,IF(ISNUMBER(INDEX($A:$AP,ROW(),$G$6)),INDEX($A:$AP,ROW(),$G$6),IFERROR(--SUBSTITUTE(SUBSTITUTE(TRIM(INDEX($A:$AP,ROW(),$G$6)),",",""),"원",""),0))))</f>
        <v/>
      </c>
      <c r="AV708" s="23">
        <f>IF($AS708="","",IF($H$6="",$AT708+$AU708,IF($H$6="",0,IF(ISNUMBER(INDEX($A:$AP,ROW(),$H$6)),INDEX($A:$AP,ROW(),$H$6),IFERROR(--SUBSTITUTE(SUBSTITUTE(TRIM(INDEX($A:$AP,ROW(),$H$6)),",",""),"원",""),0)))))</f>
        <v/>
      </c>
      <c r="AW708" s="2">
        <f>IF(OR($AS708="",$C$6=""),"",TRIM(INDEX($A:$AP,ROW(),$C$6)&amp;""))</f>
        <v/>
      </c>
      <c r="AX708" s="2">
        <f>IF($AS708="","",IF($AZ708&lt;&gt;"",SUBSTITUTE(SUBSTITUTE($AZ708,"-","")," ",""),$AY708))</f>
        <v/>
      </c>
      <c r="AY708" s="2">
        <f>IF(OR($AS708="",$E$6=""),"",TRIM(INDEX($A:$AP,ROW(),$E$6)&amp;""))</f>
        <v/>
      </c>
      <c r="AZ708" s="2">
        <f>IF(OR($AS708="",$D$6=""),"",TRIM(INDEX($A:$AP,ROW(),$D$6)&amp;""))</f>
        <v/>
      </c>
      <c r="BA708" s="2">
        <f>IF($AS708="","",IF(AND($AS708&gt;=설정!$B$10,$AS708&lt;=설정!$B$11),"포함","기간 밖"))</f>
        <v/>
      </c>
      <c r="BB708" s="2">
        <f>IF($AS708="","",IF(OR($AT708&lt;0,AND($I$6&lt;&gt;"",ISNUMBER(FIND("수정",INDEX($A:$AP,ROW(),IF($I$6="",1,$I$6))&amp;"")))),"수정","일반"))</f>
        <v/>
      </c>
      <c r="BC708" s="2">
        <f>IF($AS708="","",MID(IF($BA708="기간 밖"," / 기간 밖(신고기간 아님)","")&amp;IF(AND($AW708&lt;&gt;"",COUNTIF($AW$8:$AW$1007,$AW708)&gt;1)," / 승인번호 중복(두 번 붙여넣기?)","")&amp;IF(ABS($AU708-ROUND($AT708*0.1,0))&gt;설정!$B$8,IF($AU708=0," / 세액 0원(영세율·면세 여부 확인)"," / 세액이 공급가액 10%와 다름"),"")&amp;IF($BB708="수정"," / 수정세금계산서(합계에서 자동 가감)",""),4,200))</f>
        <v/>
      </c>
      <c r="BD708" s="2">
        <f>IF($BA708&lt;&gt;"포함","",IF(COUNTIFS($AX$8:$AX708,$AX708,$BA$8:$BA708,"포함")=1,MAX($BD$7:BD707)+1,""))</f>
        <v/>
      </c>
      <c r="BE708" s="2">
        <f>IF($BC708="","",MAX($BE$7:BE707)+1)</f>
        <v/>
      </c>
    </row>
    <row r="709">
      <c r="AR709" s="2">
        <f>IF(OR($A$5="",$B$6="",ROW()&lt;$A$5),"",IF(INDEX($A:$AP,ROW(),$B$6)="","",INDEX($A:$AP,ROW(),$B$6)))</f>
        <v/>
      </c>
      <c r="AS709" s="22">
        <f>IF($AR709="","",IF(ISNUMBER($AR709),IF($AR709&gt;=10000000,IFERROR(DATE(INT($AR709/10000),MOD(INT($AR709/100),100),MOD($AR709,100)),""),INT($AR709)),IFERROR(DATE(--LEFT(LEFT(SUBSTITUTE(SUBSTITUTE(SUBSTITUTE(SUBSTITUTE(TRIM($AR709),"-",""),".",""),"/","")," ",""),8),4),--MID(LEFT(SUBSTITUTE(SUBSTITUTE(SUBSTITUTE(SUBSTITUTE(TRIM($AR709),"-",""),".",""),"/","")," ",""),8),5,2),--MID(LEFT(SUBSTITUTE(SUBSTITUTE(SUBSTITUTE(SUBSTITUTE(TRIM($AR709),"-",""),".",""),"/","")," ",""),8),7,2)),"")))</f>
        <v/>
      </c>
      <c r="AT709" s="23">
        <f>IF($AS709="","",IF($F$6="",0,IF(ISNUMBER(INDEX($A:$AP,ROW(),$F$6)),INDEX($A:$AP,ROW(),$F$6),IFERROR(--SUBSTITUTE(SUBSTITUTE(TRIM(INDEX($A:$AP,ROW(),$F$6)),",",""),"원",""),0))))</f>
        <v/>
      </c>
      <c r="AU709" s="23">
        <f>IF($AS709="","",IF($G$6="",0,IF(ISNUMBER(INDEX($A:$AP,ROW(),$G$6)),INDEX($A:$AP,ROW(),$G$6),IFERROR(--SUBSTITUTE(SUBSTITUTE(TRIM(INDEX($A:$AP,ROW(),$G$6)),",",""),"원",""),0))))</f>
        <v/>
      </c>
      <c r="AV709" s="23">
        <f>IF($AS709="","",IF($H$6="",$AT709+$AU709,IF($H$6="",0,IF(ISNUMBER(INDEX($A:$AP,ROW(),$H$6)),INDEX($A:$AP,ROW(),$H$6),IFERROR(--SUBSTITUTE(SUBSTITUTE(TRIM(INDEX($A:$AP,ROW(),$H$6)),",",""),"원",""),0)))))</f>
        <v/>
      </c>
      <c r="AW709" s="2">
        <f>IF(OR($AS709="",$C$6=""),"",TRIM(INDEX($A:$AP,ROW(),$C$6)&amp;""))</f>
        <v/>
      </c>
      <c r="AX709" s="2">
        <f>IF($AS709="","",IF($AZ709&lt;&gt;"",SUBSTITUTE(SUBSTITUTE($AZ709,"-","")," ",""),$AY709))</f>
        <v/>
      </c>
      <c r="AY709" s="2">
        <f>IF(OR($AS709="",$E$6=""),"",TRIM(INDEX($A:$AP,ROW(),$E$6)&amp;""))</f>
        <v/>
      </c>
      <c r="AZ709" s="2">
        <f>IF(OR($AS709="",$D$6=""),"",TRIM(INDEX($A:$AP,ROW(),$D$6)&amp;""))</f>
        <v/>
      </c>
      <c r="BA709" s="2">
        <f>IF($AS709="","",IF(AND($AS709&gt;=설정!$B$10,$AS709&lt;=설정!$B$11),"포함","기간 밖"))</f>
        <v/>
      </c>
      <c r="BB709" s="2">
        <f>IF($AS709="","",IF(OR($AT709&lt;0,AND($I$6&lt;&gt;"",ISNUMBER(FIND("수정",INDEX($A:$AP,ROW(),IF($I$6="",1,$I$6))&amp;"")))),"수정","일반"))</f>
        <v/>
      </c>
      <c r="BC709" s="2">
        <f>IF($AS709="","",MID(IF($BA709="기간 밖"," / 기간 밖(신고기간 아님)","")&amp;IF(AND($AW709&lt;&gt;"",COUNTIF($AW$8:$AW$1007,$AW709)&gt;1)," / 승인번호 중복(두 번 붙여넣기?)","")&amp;IF(ABS($AU709-ROUND($AT709*0.1,0))&gt;설정!$B$8,IF($AU709=0," / 세액 0원(영세율·면세 여부 확인)"," / 세액이 공급가액 10%와 다름"),"")&amp;IF($BB709="수정"," / 수정세금계산서(합계에서 자동 가감)",""),4,200))</f>
        <v/>
      </c>
      <c r="BD709" s="2">
        <f>IF($BA709&lt;&gt;"포함","",IF(COUNTIFS($AX$8:$AX709,$AX709,$BA$8:$BA709,"포함")=1,MAX($BD$7:BD708)+1,""))</f>
        <v/>
      </c>
      <c r="BE709" s="2">
        <f>IF($BC709="","",MAX($BE$7:BE708)+1)</f>
        <v/>
      </c>
    </row>
    <row r="710">
      <c r="AR710" s="2">
        <f>IF(OR($A$5="",$B$6="",ROW()&lt;$A$5),"",IF(INDEX($A:$AP,ROW(),$B$6)="","",INDEX($A:$AP,ROW(),$B$6)))</f>
        <v/>
      </c>
      <c r="AS710" s="22">
        <f>IF($AR710="","",IF(ISNUMBER($AR710),IF($AR710&gt;=10000000,IFERROR(DATE(INT($AR710/10000),MOD(INT($AR710/100),100),MOD($AR710,100)),""),INT($AR710)),IFERROR(DATE(--LEFT(LEFT(SUBSTITUTE(SUBSTITUTE(SUBSTITUTE(SUBSTITUTE(TRIM($AR710),"-",""),".",""),"/","")," ",""),8),4),--MID(LEFT(SUBSTITUTE(SUBSTITUTE(SUBSTITUTE(SUBSTITUTE(TRIM($AR710),"-",""),".",""),"/","")," ",""),8),5,2),--MID(LEFT(SUBSTITUTE(SUBSTITUTE(SUBSTITUTE(SUBSTITUTE(TRIM($AR710),"-",""),".",""),"/","")," ",""),8),7,2)),"")))</f>
        <v/>
      </c>
      <c r="AT710" s="23">
        <f>IF($AS710="","",IF($F$6="",0,IF(ISNUMBER(INDEX($A:$AP,ROW(),$F$6)),INDEX($A:$AP,ROW(),$F$6),IFERROR(--SUBSTITUTE(SUBSTITUTE(TRIM(INDEX($A:$AP,ROW(),$F$6)),",",""),"원",""),0))))</f>
        <v/>
      </c>
      <c r="AU710" s="23">
        <f>IF($AS710="","",IF($G$6="",0,IF(ISNUMBER(INDEX($A:$AP,ROW(),$G$6)),INDEX($A:$AP,ROW(),$G$6),IFERROR(--SUBSTITUTE(SUBSTITUTE(TRIM(INDEX($A:$AP,ROW(),$G$6)),",",""),"원",""),0))))</f>
        <v/>
      </c>
      <c r="AV710" s="23">
        <f>IF($AS710="","",IF($H$6="",$AT710+$AU710,IF($H$6="",0,IF(ISNUMBER(INDEX($A:$AP,ROW(),$H$6)),INDEX($A:$AP,ROW(),$H$6),IFERROR(--SUBSTITUTE(SUBSTITUTE(TRIM(INDEX($A:$AP,ROW(),$H$6)),",",""),"원",""),0)))))</f>
        <v/>
      </c>
      <c r="AW710" s="2">
        <f>IF(OR($AS710="",$C$6=""),"",TRIM(INDEX($A:$AP,ROW(),$C$6)&amp;""))</f>
        <v/>
      </c>
      <c r="AX710" s="2">
        <f>IF($AS710="","",IF($AZ710&lt;&gt;"",SUBSTITUTE(SUBSTITUTE($AZ710,"-","")," ",""),$AY710))</f>
        <v/>
      </c>
      <c r="AY710" s="2">
        <f>IF(OR($AS710="",$E$6=""),"",TRIM(INDEX($A:$AP,ROW(),$E$6)&amp;""))</f>
        <v/>
      </c>
      <c r="AZ710" s="2">
        <f>IF(OR($AS710="",$D$6=""),"",TRIM(INDEX($A:$AP,ROW(),$D$6)&amp;""))</f>
        <v/>
      </c>
      <c r="BA710" s="2">
        <f>IF($AS710="","",IF(AND($AS710&gt;=설정!$B$10,$AS710&lt;=설정!$B$11),"포함","기간 밖"))</f>
        <v/>
      </c>
      <c r="BB710" s="2">
        <f>IF($AS710="","",IF(OR($AT710&lt;0,AND($I$6&lt;&gt;"",ISNUMBER(FIND("수정",INDEX($A:$AP,ROW(),IF($I$6="",1,$I$6))&amp;"")))),"수정","일반"))</f>
        <v/>
      </c>
      <c r="BC710" s="2">
        <f>IF($AS710="","",MID(IF($BA710="기간 밖"," / 기간 밖(신고기간 아님)","")&amp;IF(AND($AW710&lt;&gt;"",COUNTIF($AW$8:$AW$1007,$AW710)&gt;1)," / 승인번호 중복(두 번 붙여넣기?)","")&amp;IF(ABS($AU710-ROUND($AT710*0.1,0))&gt;설정!$B$8,IF($AU710=0," / 세액 0원(영세율·면세 여부 확인)"," / 세액이 공급가액 10%와 다름"),"")&amp;IF($BB710="수정"," / 수정세금계산서(합계에서 자동 가감)",""),4,200))</f>
        <v/>
      </c>
      <c r="BD710" s="2">
        <f>IF($BA710&lt;&gt;"포함","",IF(COUNTIFS($AX$8:$AX710,$AX710,$BA$8:$BA710,"포함")=1,MAX($BD$7:BD709)+1,""))</f>
        <v/>
      </c>
      <c r="BE710" s="2">
        <f>IF($BC710="","",MAX($BE$7:BE709)+1)</f>
        <v/>
      </c>
    </row>
    <row r="711">
      <c r="AR711" s="2">
        <f>IF(OR($A$5="",$B$6="",ROW()&lt;$A$5),"",IF(INDEX($A:$AP,ROW(),$B$6)="","",INDEX($A:$AP,ROW(),$B$6)))</f>
        <v/>
      </c>
      <c r="AS711" s="22">
        <f>IF($AR711="","",IF(ISNUMBER($AR711),IF($AR711&gt;=10000000,IFERROR(DATE(INT($AR711/10000),MOD(INT($AR711/100),100),MOD($AR711,100)),""),INT($AR711)),IFERROR(DATE(--LEFT(LEFT(SUBSTITUTE(SUBSTITUTE(SUBSTITUTE(SUBSTITUTE(TRIM($AR711),"-",""),".",""),"/","")," ",""),8),4),--MID(LEFT(SUBSTITUTE(SUBSTITUTE(SUBSTITUTE(SUBSTITUTE(TRIM($AR711),"-",""),".",""),"/","")," ",""),8),5,2),--MID(LEFT(SUBSTITUTE(SUBSTITUTE(SUBSTITUTE(SUBSTITUTE(TRIM($AR711),"-",""),".",""),"/","")," ",""),8),7,2)),"")))</f>
        <v/>
      </c>
      <c r="AT711" s="23">
        <f>IF($AS711="","",IF($F$6="",0,IF(ISNUMBER(INDEX($A:$AP,ROW(),$F$6)),INDEX($A:$AP,ROW(),$F$6),IFERROR(--SUBSTITUTE(SUBSTITUTE(TRIM(INDEX($A:$AP,ROW(),$F$6)),",",""),"원",""),0))))</f>
        <v/>
      </c>
      <c r="AU711" s="23">
        <f>IF($AS711="","",IF($G$6="",0,IF(ISNUMBER(INDEX($A:$AP,ROW(),$G$6)),INDEX($A:$AP,ROW(),$G$6),IFERROR(--SUBSTITUTE(SUBSTITUTE(TRIM(INDEX($A:$AP,ROW(),$G$6)),",",""),"원",""),0))))</f>
        <v/>
      </c>
      <c r="AV711" s="23">
        <f>IF($AS711="","",IF($H$6="",$AT711+$AU711,IF($H$6="",0,IF(ISNUMBER(INDEX($A:$AP,ROW(),$H$6)),INDEX($A:$AP,ROW(),$H$6),IFERROR(--SUBSTITUTE(SUBSTITUTE(TRIM(INDEX($A:$AP,ROW(),$H$6)),",",""),"원",""),0)))))</f>
        <v/>
      </c>
      <c r="AW711" s="2">
        <f>IF(OR($AS711="",$C$6=""),"",TRIM(INDEX($A:$AP,ROW(),$C$6)&amp;""))</f>
        <v/>
      </c>
      <c r="AX711" s="2">
        <f>IF($AS711="","",IF($AZ711&lt;&gt;"",SUBSTITUTE(SUBSTITUTE($AZ711,"-","")," ",""),$AY711))</f>
        <v/>
      </c>
      <c r="AY711" s="2">
        <f>IF(OR($AS711="",$E$6=""),"",TRIM(INDEX($A:$AP,ROW(),$E$6)&amp;""))</f>
        <v/>
      </c>
      <c r="AZ711" s="2">
        <f>IF(OR($AS711="",$D$6=""),"",TRIM(INDEX($A:$AP,ROW(),$D$6)&amp;""))</f>
        <v/>
      </c>
      <c r="BA711" s="2">
        <f>IF($AS711="","",IF(AND($AS711&gt;=설정!$B$10,$AS711&lt;=설정!$B$11),"포함","기간 밖"))</f>
        <v/>
      </c>
      <c r="BB711" s="2">
        <f>IF($AS711="","",IF(OR($AT711&lt;0,AND($I$6&lt;&gt;"",ISNUMBER(FIND("수정",INDEX($A:$AP,ROW(),IF($I$6="",1,$I$6))&amp;"")))),"수정","일반"))</f>
        <v/>
      </c>
      <c r="BC711" s="2">
        <f>IF($AS711="","",MID(IF($BA711="기간 밖"," / 기간 밖(신고기간 아님)","")&amp;IF(AND($AW711&lt;&gt;"",COUNTIF($AW$8:$AW$1007,$AW711)&gt;1)," / 승인번호 중복(두 번 붙여넣기?)","")&amp;IF(ABS($AU711-ROUND($AT711*0.1,0))&gt;설정!$B$8,IF($AU711=0," / 세액 0원(영세율·면세 여부 확인)"," / 세액이 공급가액 10%와 다름"),"")&amp;IF($BB711="수정"," / 수정세금계산서(합계에서 자동 가감)",""),4,200))</f>
        <v/>
      </c>
      <c r="BD711" s="2">
        <f>IF($BA711&lt;&gt;"포함","",IF(COUNTIFS($AX$8:$AX711,$AX711,$BA$8:$BA711,"포함")=1,MAX($BD$7:BD710)+1,""))</f>
        <v/>
      </c>
      <c r="BE711" s="2">
        <f>IF($BC711="","",MAX($BE$7:BE710)+1)</f>
        <v/>
      </c>
    </row>
    <row r="712">
      <c r="AR712" s="2">
        <f>IF(OR($A$5="",$B$6="",ROW()&lt;$A$5),"",IF(INDEX($A:$AP,ROW(),$B$6)="","",INDEX($A:$AP,ROW(),$B$6)))</f>
        <v/>
      </c>
      <c r="AS712" s="22">
        <f>IF($AR712="","",IF(ISNUMBER($AR712),IF($AR712&gt;=10000000,IFERROR(DATE(INT($AR712/10000),MOD(INT($AR712/100),100),MOD($AR712,100)),""),INT($AR712)),IFERROR(DATE(--LEFT(LEFT(SUBSTITUTE(SUBSTITUTE(SUBSTITUTE(SUBSTITUTE(TRIM($AR712),"-",""),".",""),"/","")," ",""),8),4),--MID(LEFT(SUBSTITUTE(SUBSTITUTE(SUBSTITUTE(SUBSTITUTE(TRIM($AR712),"-",""),".",""),"/","")," ",""),8),5,2),--MID(LEFT(SUBSTITUTE(SUBSTITUTE(SUBSTITUTE(SUBSTITUTE(TRIM($AR712),"-",""),".",""),"/","")," ",""),8),7,2)),"")))</f>
        <v/>
      </c>
      <c r="AT712" s="23">
        <f>IF($AS712="","",IF($F$6="",0,IF(ISNUMBER(INDEX($A:$AP,ROW(),$F$6)),INDEX($A:$AP,ROW(),$F$6),IFERROR(--SUBSTITUTE(SUBSTITUTE(TRIM(INDEX($A:$AP,ROW(),$F$6)),",",""),"원",""),0))))</f>
        <v/>
      </c>
      <c r="AU712" s="23">
        <f>IF($AS712="","",IF($G$6="",0,IF(ISNUMBER(INDEX($A:$AP,ROW(),$G$6)),INDEX($A:$AP,ROW(),$G$6),IFERROR(--SUBSTITUTE(SUBSTITUTE(TRIM(INDEX($A:$AP,ROW(),$G$6)),",",""),"원",""),0))))</f>
        <v/>
      </c>
      <c r="AV712" s="23">
        <f>IF($AS712="","",IF($H$6="",$AT712+$AU712,IF($H$6="",0,IF(ISNUMBER(INDEX($A:$AP,ROW(),$H$6)),INDEX($A:$AP,ROW(),$H$6),IFERROR(--SUBSTITUTE(SUBSTITUTE(TRIM(INDEX($A:$AP,ROW(),$H$6)),",",""),"원",""),0)))))</f>
        <v/>
      </c>
      <c r="AW712" s="2">
        <f>IF(OR($AS712="",$C$6=""),"",TRIM(INDEX($A:$AP,ROW(),$C$6)&amp;""))</f>
        <v/>
      </c>
      <c r="AX712" s="2">
        <f>IF($AS712="","",IF($AZ712&lt;&gt;"",SUBSTITUTE(SUBSTITUTE($AZ712,"-","")," ",""),$AY712))</f>
        <v/>
      </c>
      <c r="AY712" s="2">
        <f>IF(OR($AS712="",$E$6=""),"",TRIM(INDEX($A:$AP,ROW(),$E$6)&amp;""))</f>
        <v/>
      </c>
      <c r="AZ712" s="2">
        <f>IF(OR($AS712="",$D$6=""),"",TRIM(INDEX($A:$AP,ROW(),$D$6)&amp;""))</f>
        <v/>
      </c>
      <c r="BA712" s="2">
        <f>IF($AS712="","",IF(AND($AS712&gt;=설정!$B$10,$AS712&lt;=설정!$B$11),"포함","기간 밖"))</f>
        <v/>
      </c>
      <c r="BB712" s="2">
        <f>IF($AS712="","",IF(OR($AT712&lt;0,AND($I$6&lt;&gt;"",ISNUMBER(FIND("수정",INDEX($A:$AP,ROW(),IF($I$6="",1,$I$6))&amp;"")))),"수정","일반"))</f>
        <v/>
      </c>
      <c r="BC712" s="2">
        <f>IF($AS712="","",MID(IF($BA712="기간 밖"," / 기간 밖(신고기간 아님)","")&amp;IF(AND($AW712&lt;&gt;"",COUNTIF($AW$8:$AW$1007,$AW712)&gt;1)," / 승인번호 중복(두 번 붙여넣기?)","")&amp;IF(ABS($AU712-ROUND($AT712*0.1,0))&gt;설정!$B$8,IF($AU712=0," / 세액 0원(영세율·면세 여부 확인)"," / 세액이 공급가액 10%와 다름"),"")&amp;IF($BB712="수정"," / 수정세금계산서(합계에서 자동 가감)",""),4,200))</f>
        <v/>
      </c>
      <c r="BD712" s="2">
        <f>IF($BA712&lt;&gt;"포함","",IF(COUNTIFS($AX$8:$AX712,$AX712,$BA$8:$BA712,"포함")=1,MAX($BD$7:BD711)+1,""))</f>
        <v/>
      </c>
      <c r="BE712" s="2">
        <f>IF($BC712="","",MAX($BE$7:BE711)+1)</f>
        <v/>
      </c>
    </row>
    <row r="713">
      <c r="AR713" s="2">
        <f>IF(OR($A$5="",$B$6="",ROW()&lt;$A$5),"",IF(INDEX($A:$AP,ROW(),$B$6)="","",INDEX($A:$AP,ROW(),$B$6)))</f>
        <v/>
      </c>
      <c r="AS713" s="22">
        <f>IF($AR713="","",IF(ISNUMBER($AR713),IF($AR713&gt;=10000000,IFERROR(DATE(INT($AR713/10000),MOD(INT($AR713/100),100),MOD($AR713,100)),""),INT($AR713)),IFERROR(DATE(--LEFT(LEFT(SUBSTITUTE(SUBSTITUTE(SUBSTITUTE(SUBSTITUTE(TRIM($AR713),"-",""),".",""),"/","")," ",""),8),4),--MID(LEFT(SUBSTITUTE(SUBSTITUTE(SUBSTITUTE(SUBSTITUTE(TRIM($AR713),"-",""),".",""),"/","")," ",""),8),5,2),--MID(LEFT(SUBSTITUTE(SUBSTITUTE(SUBSTITUTE(SUBSTITUTE(TRIM($AR713),"-",""),".",""),"/","")," ",""),8),7,2)),"")))</f>
        <v/>
      </c>
      <c r="AT713" s="23">
        <f>IF($AS713="","",IF($F$6="",0,IF(ISNUMBER(INDEX($A:$AP,ROW(),$F$6)),INDEX($A:$AP,ROW(),$F$6),IFERROR(--SUBSTITUTE(SUBSTITUTE(TRIM(INDEX($A:$AP,ROW(),$F$6)),",",""),"원",""),0))))</f>
        <v/>
      </c>
      <c r="AU713" s="23">
        <f>IF($AS713="","",IF($G$6="",0,IF(ISNUMBER(INDEX($A:$AP,ROW(),$G$6)),INDEX($A:$AP,ROW(),$G$6),IFERROR(--SUBSTITUTE(SUBSTITUTE(TRIM(INDEX($A:$AP,ROW(),$G$6)),",",""),"원",""),0))))</f>
        <v/>
      </c>
      <c r="AV713" s="23">
        <f>IF($AS713="","",IF($H$6="",$AT713+$AU713,IF($H$6="",0,IF(ISNUMBER(INDEX($A:$AP,ROW(),$H$6)),INDEX($A:$AP,ROW(),$H$6),IFERROR(--SUBSTITUTE(SUBSTITUTE(TRIM(INDEX($A:$AP,ROW(),$H$6)),",",""),"원",""),0)))))</f>
        <v/>
      </c>
      <c r="AW713" s="2">
        <f>IF(OR($AS713="",$C$6=""),"",TRIM(INDEX($A:$AP,ROW(),$C$6)&amp;""))</f>
        <v/>
      </c>
      <c r="AX713" s="2">
        <f>IF($AS713="","",IF($AZ713&lt;&gt;"",SUBSTITUTE(SUBSTITUTE($AZ713,"-","")," ",""),$AY713))</f>
        <v/>
      </c>
      <c r="AY713" s="2">
        <f>IF(OR($AS713="",$E$6=""),"",TRIM(INDEX($A:$AP,ROW(),$E$6)&amp;""))</f>
        <v/>
      </c>
      <c r="AZ713" s="2">
        <f>IF(OR($AS713="",$D$6=""),"",TRIM(INDEX($A:$AP,ROW(),$D$6)&amp;""))</f>
        <v/>
      </c>
      <c r="BA713" s="2">
        <f>IF($AS713="","",IF(AND($AS713&gt;=설정!$B$10,$AS713&lt;=설정!$B$11),"포함","기간 밖"))</f>
        <v/>
      </c>
      <c r="BB713" s="2">
        <f>IF($AS713="","",IF(OR($AT713&lt;0,AND($I$6&lt;&gt;"",ISNUMBER(FIND("수정",INDEX($A:$AP,ROW(),IF($I$6="",1,$I$6))&amp;"")))),"수정","일반"))</f>
        <v/>
      </c>
      <c r="BC713" s="2">
        <f>IF($AS713="","",MID(IF($BA713="기간 밖"," / 기간 밖(신고기간 아님)","")&amp;IF(AND($AW713&lt;&gt;"",COUNTIF($AW$8:$AW$1007,$AW713)&gt;1)," / 승인번호 중복(두 번 붙여넣기?)","")&amp;IF(ABS($AU713-ROUND($AT713*0.1,0))&gt;설정!$B$8,IF($AU713=0," / 세액 0원(영세율·면세 여부 확인)"," / 세액이 공급가액 10%와 다름"),"")&amp;IF($BB713="수정"," / 수정세금계산서(합계에서 자동 가감)",""),4,200))</f>
        <v/>
      </c>
      <c r="BD713" s="2">
        <f>IF($BA713&lt;&gt;"포함","",IF(COUNTIFS($AX$8:$AX713,$AX713,$BA$8:$BA713,"포함")=1,MAX($BD$7:BD712)+1,""))</f>
        <v/>
      </c>
      <c r="BE713" s="2">
        <f>IF($BC713="","",MAX($BE$7:BE712)+1)</f>
        <v/>
      </c>
    </row>
    <row r="714">
      <c r="AR714" s="2">
        <f>IF(OR($A$5="",$B$6="",ROW()&lt;$A$5),"",IF(INDEX($A:$AP,ROW(),$B$6)="","",INDEX($A:$AP,ROW(),$B$6)))</f>
        <v/>
      </c>
      <c r="AS714" s="22">
        <f>IF($AR714="","",IF(ISNUMBER($AR714),IF($AR714&gt;=10000000,IFERROR(DATE(INT($AR714/10000),MOD(INT($AR714/100),100),MOD($AR714,100)),""),INT($AR714)),IFERROR(DATE(--LEFT(LEFT(SUBSTITUTE(SUBSTITUTE(SUBSTITUTE(SUBSTITUTE(TRIM($AR714),"-",""),".",""),"/","")," ",""),8),4),--MID(LEFT(SUBSTITUTE(SUBSTITUTE(SUBSTITUTE(SUBSTITUTE(TRIM($AR714),"-",""),".",""),"/","")," ",""),8),5,2),--MID(LEFT(SUBSTITUTE(SUBSTITUTE(SUBSTITUTE(SUBSTITUTE(TRIM($AR714),"-",""),".",""),"/","")," ",""),8),7,2)),"")))</f>
        <v/>
      </c>
      <c r="AT714" s="23">
        <f>IF($AS714="","",IF($F$6="",0,IF(ISNUMBER(INDEX($A:$AP,ROW(),$F$6)),INDEX($A:$AP,ROW(),$F$6),IFERROR(--SUBSTITUTE(SUBSTITUTE(TRIM(INDEX($A:$AP,ROW(),$F$6)),",",""),"원",""),0))))</f>
        <v/>
      </c>
      <c r="AU714" s="23">
        <f>IF($AS714="","",IF($G$6="",0,IF(ISNUMBER(INDEX($A:$AP,ROW(),$G$6)),INDEX($A:$AP,ROW(),$G$6),IFERROR(--SUBSTITUTE(SUBSTITUTE(TRIM(INDEX($A:$AP,ROW(),$G$6)),",",""),"원",""),0))))</f>
        <v/>
      </c>
      <c r="AV714" s="23">
        <f>IF($AS714="","",IF($H$6="",$AT714+$AU714,IF($H$6="",0,IF(ISNUMBER(INDEX($A:$AP,ROW(),$H$6)),INDEX($A:$AP,ROW(),$H$6),IFERROR(--SUBSTITUTE(SUBSTITUTE(TRIM(INDEX($A:$AP,ROW(),$H$6)),",",""),"원",""),0)))))</f>
        <v/>
      </c>
      <c r="AW714" s="2">
        <f>IF(OR($AS714="",$C$6=""),"",TRIM(INDEX($A:$AP,ROW(),$C$6)&amp;""))</f>
        <v/>
      </c>
      <c r="AX714" s="2">
        <f>IF($AS714="","",IF($AZ714&lt;&gt;"",SUBSTITUTE(SUBSTITUTE($AZ714,"-","")," ",""),$AY714))</f>
        <v/>
      </c>
      <c r="AY714" s="2">
        <f>IF(OR($AS714="",$E$6=""),"",TRIM(INDEX($A:$AP,ROW(),$E$6)&amp;""))</f>
        <v/>
      </c>
      <c r="AZ714" s="2">
        <f>IF(OR($AS714="",$D$6=""),"",TRIM(INDEX($A:$AP,ROW(),$D$6)&amp;""))</f>
        <v/>
      </c>
      <c r="BA714" s="2">
        <f>IF($AS714="","",IF(AND($AS714&gt;=설정!$B$10,$AS714&lt;=설정!$B$11),"포함","기간 밖"))</f>
        <v/>
      </c>
      <c r="BB714" s="2">
        <f>IF($AS714="","",IF(OR($AT714&lt;0,AND($I$6&lt;&gt;"",ISNUMBER(FIND("수정",INDEX($A:$AP,ROW(),IF($I$6="",1,$I$6))&amp;"")))),"수정","일반"))</f>
        <v/>
      </c>
      <c r="BC714" s="2">
        <f>IF($AS714="","",MID(IF($BA714="기간 밖"," / 기간 밖(신고기간 아님)","")&amp;IF(AND($AW714&lt;&gt;"",COUNTIF($AW$8:$AW$1007,$AW714)&gt;1)," / 승인번호 중복(두 번 붙여넣기?)","")&amp;IF(ABS($AU714-ROUND($AT714*0.1,0))&gt;설정!$B$8,IF($AU714=0," / 세액 0원(영세율·면세 여부 확인)"," / 세액이 공급가액 10%와 다름"),"")&amp;IF($BB714="수정"," / 수정세금계산서(합계에서 자동 가감)",""),4,200))</f>
        <v/>
      </c>
      <c r="BD714" s="2">
        <f>IF($BA714&lt;&gt;"포함","",IF(COUNTIFS($AX$8:$AX714,$AX714,$BA$8:$BA714,"포함")=1,MAX($BD$7:BD713)+1,""))</f>
        <v/>
      </c>
      <c r="BE714" s="2">
        <f>IF($BC714="","",MAX($BE$7:BE713)+1)</f>
        <v/>
      </c>
    </row>
    <row r="715">
      <c r="AR715" s="2">
        <f>IF(OR($A$5="",$B$6="",ROW()&lt;$A$5),"",IF(INDEX($A:$AP,ROW(),$B$6)="","",INDEX($A:$AP,ROW(),$B$6)))</f>
        <v/>
      </c>
      <c r="AS715" s="22">
        <f>IF($AR715="","",IF(ISNUMBER($AR715),IF($AR715&gt;=10000000,IFERROR(DATE(INT($AR715/10000),MOD(INT($AR715/100),100),MOD($AR715,100)),""),INT($AR715)),IFERROR(DATE(--LEFT(LEFT(SUBSTITUTE(SUBSTITUTE(SUBSTITUTE(SUBSTITUTE(TRIM($AR715),"-",""),".",""),"/","")," ",""),8),4),--MID(LEFT(SUBSTITUTE(SUBSTITUTE(SUBSTITUTE(SUBSTITUTE(TRIM($AR715),"-",""),".",""),"/","")," ",""),8),5,2),--MID(LEFT(SUBSTITUTE(SUBSTITUTE(SUBSTITUTE(SUBSTITUTE(TRIM($AR715),"-",""),".",""),"/","")," ",""),8),7,2)),"")))</f>
        <v/>
      </c>
      <c r="AT715" s="23">
        <f>IF($AS715="","",IF($F$6="",0,IF(ISNUMBER(INDEX($A:$AP,ROW(),$F$6)),INDEX($A:$AP,ROW(),$F$6),IFERROR(--SUBSTITUTE(SUBSTITUTE(TRIM(INDEX($A:$AP,ROW(),$F$6)),",",""),"원",""),0))))</f>
        <v/>
      </c>
      <c r="AU715" s="23">
        <f>IF($AS715="","",IF($G$6="",0,IF(ISNUMBER(INDEX($A:$AP,ROW(),$G$6)),INDEX($A:$AP,ROW(),$G$6),IFERROR(--SUBSTITUTE(SUBSTITUTE(TRIM(INDEX($A:$AP,ROW(),$G$6)),",",""),"원",""),0))))</f>
        <v/>
      </c>
      <c r="AV715" s="23">
        <f>IF($AS715="","",IF($H$6="",$AT715+$AU715,IF($H$6="",0,IF(ISNUMBER(INDEX($A:$AP,ROW(),$H$6)),INDEX($A:$AP,ROW(),$H$6),IFERROR(--SUBSTITUTE(SUBSTITUTE(TRIM(INDEX($A:$AP,ROW(),$H$6)),",",""),"원",""),0)))))</f>
        <v/>
      </c>
      <c r="AW715" s="2">
        <f>IF(OR($AS715="",$C$6=""),"",TRIM(INDEX($A:$AP,ROW(),$C$6)&amp;""))</f>
        <v/>
      </c>
      <c r="AX715" s="2">
        <f>IF($AS715="","",IF($AZ715&lt;&gt;"",SUBSTITUTE(SUBSTITUTE($AZ715,"-","")," ",""),$AY715))</f>
        <v/>
      </c>
      <c r="AY715" s="2">
        <f>IF(OR($AS715="",$E$6=""),"",TRIM(INDEX($A:$AP,ROW(),$E$6)&amp;""))</f>
        <v/>
      </c>
      <c r="AZ715" s="2">
        <f>IF(OR($AS715="",$D$6=""),"",TRIM(INDEX($A:$AP,ROW(),$D$6)&amp;""))</f>
        <v/>
      </c>
      <c r="BA715" s="2">
        <f>IF($AS715="","",IF(AND($AS715&gt;=설정!$B$10,$AS715&lt;=설정!$B$11),"포함","기간 밖"))</f>
        <v/>
      </c>
      <c r="BB715" s="2">
        <f>IF($AS715="","",IF(OR($AT715&lt;0,AND($I$6&lt;&gt;"",ISNUMBER(FIND("수정",INDEX($A:$AP,ROW(),IF($I$6="",1,$I$6))&amp;"")))),"수정","일반"))</f>
        <v/>
      </c>
      <c r="BC715" s="2">
        <f>IF($AS715="","",MID(IF($BA715="기간 밖"," / 기간 밖(신고기간 아님)","")&amp;IF(AND($AW715&lt;&gt;"",COUNTIF($AW$8:$AW$1007,$AW715)&gt;1)," / 승인번호 중복(두 번 붙여넣기?)","")&amp;IF(ABS($AU715-ROUND($AT715*0.1,0))&gt;설정!$B$8,IF($AU715=0," / 세액 0원(영세율·면세 여부 확인)"," / 세액이 공급가액 10%와 다름"),"")&amp;IF($BB715="수정"," / 수정세금계산서(합계에서 자동 가감)",""),4,200))</f>
        <v/>
      </c>
      <c r="BD715" s="2">
        <f>IF($BA715&lt;&gt;"포함","",IF(COUNTIFS($AX$8:$AX715,$AX715,$BA$8:$BA715,"포함")=1,MAX($BD$7:BD714)+1,""))</f>
        <v/>
      </c>
      <c r="BE715" s="2">
        <f>IF($BC715="","",MAX($BE$7:BE714)+1)</f>
        <v/>
      </c>
    </row>
    <row r="716">
      <c r="AR716" s="2">
        <f>IF(OR($A$5="",$B$6="",ROW()&lt;$A$5),"",IF(INDEX($A:$AP,ROW(),$B$6)="","",INDEX($A:$AP,ROW(),$B$6)))</f>
        <v/>
      </c>
      <c r="AS716" s="22">
        <f>IF($AR716="","",IF(ISNUMBER($AR716),IF($AR716&gt;=10000000,IFERROR(DATE(INT($AR716/10000),MOD(INT($AR716/100),100),MOD($AR716,100)),""),INT($AR716)),IFERROR(DATE(--LEFT(LEFT(SUBSTITUTE(SUBSTITUTE(SUBSTITUTE(SUBSTITUTE(TRIM($AR716),"-",""),".",""),"/","")," ",""),8),4),--MID(LEFT(SUBSTITUTE(SUBSTITUTE(SUBSTITUTE(SUBSTITUTE(TRIM($AR716),"-",""),".",""),"/","")," ",""),8),5,2),--MID(LEFT(SUBSTITUTE(SUBSTITUTE(SUBSTITUTE(SUBSTITUTE(TRIM($AR716),"-",""),".",""),"/","")," ",""),8),7,2)),"")))</f>
        <v/>
      </c>
      <c r="AT716" s="23">
        <f>IF($AS716="","",IF($F$6="",0,IF(ISNUMBER(INDEX($A:$AP,ROW(),$F$6)),INDEX($A:$AP,ROW(),$F$6),IFERROR(--SUBSTITUTE(SUBSTITUTE(TRIM(INDEX($A:$AP,ROW(),$F$6)),",",""),"원",""),0))))</f>
        <v/>
      </c>
      <c r="AU716" s="23">
        <f>IF($AS716="","",IF($G$6="",0,IF(ISNUMBER(INDEX($A:$AP,ROW(),$G$6)),INDEX($A:$AP,ROW(),$G$6),IFERROR(--SUBSTITUTE(SUBSTITUTE(TRIM(INDEX($A:$AP,ROW(),$G$6)),",",""),"원",""),0))))</f>
        <v/>
      </c>
      <c r="AV716" s="23">
        <f>IF($AS716="","",IF($H$6="",$AT716+$AU716,IF($H$6="",0,IF(ISNUMBER(INDEX($A:$AP,ROW(),$H$6)),INDEX($A:$AP,ROW(),$H$6),IFERROR(--SUBSTITUTE(SUBSTITUTE(TRIM(INDEX($A:$AP,ROW(),$H$6)),",",""),"원",""),0)))))</f>
        <v/>
      </c>
      <c r="AW716" s="2">
        <f>IF(OR($AS716="",$C$6=""),"",TRIM(INDEX($A:$AP,ROW(),$C$6)&amp;""))</f>
        <v/>
      </c>
      <c r="AX716" s="2">
        <f>IF($AS716="","",IF($AZ716&lt;&gt;"",SUBSTITUTE(SUBSTITUTE($AZ716,"-","")," ",""),$AY716))</f>
        <v/>
      </c>
      <c r="AY716" s="2">
        <f>IF(OR($AS716="",$E$6=""),"",TRIM(INDEX($A:$AP,ROW(),$E$6)&amp;""))</f>
        <v/>
      </c>
      <c r="AZ716" s="2">
        <f>IF(OR($AS716="",$D$6=""),"",TRIM(INDEX($A:$AP,ROW(),$D$6)&amp;""))</f>
        <v/>
      </c>
      <c r="BA716" s="2">
        <f>IF($AS716="","",IF(AND($AS716&gt;=설정!$B$10,$AS716&lt;=설정!$B$11),"포함","기간 밖"))</f>
        <v/>
      </c>
      <c r="BB716" s="2">
        <f>IF($AS716="","",IF(OR($AT716&lt;0,AND($I$6&lt;&gt;"",ISNUMBER(FIND("수정",INDEX($A:$AP,ROW(),IF($I$6="",1,$I$6))&amp;"")))),"수정","일반"))</f>
        <v/>
      </c>
      <c r="BC716" s="2">
        <f>IF($AS716="","",MID(IF($BA716="기간 밖"," / 기간 밖(신고기간 아님)","")&amp;IF(AND($AW716&lt;&gt;"",COUNTIF($AW$8:$AW$1007,$AW716)&gt;1)," / 승인번호 중복(두 번 붙여넣기?)","")&amp;IF(ABS($AU716-ROUND($AT716*0.1,0))&gt;설정!$B$8,IF($AU716=0," / 세액 0원(영세율·면세 여부 확인)"," / 세액이 공급가액 10%와 다름"),"")&amp;IF($BB716="수정"," / 수정세금계산서(합계에서 자동 가감)",""),4,200))</f>
        <v/>
      </c>
      <c r="BD716" s="2">
        <f>IF($BA716&lt;&gt;"포함","",IF(COUNTIFS($AX$8:$AX716,$AX716,$BA$8:$BA716,"포함")=1,MAX($BD$7:BD715)+1,""))</f>
        <v/>
      </c>
      <c r="BE716" s="2">
        <f>IF($BC716="","",MAX($BE$7:BE715)+1)</f>
        <v/>
      </c>
    </row>
    <row r="717">
      <c r="AR717" s="2">
        <f>IF(OR($A$5="",$B$6="",ROW()&lt;$A$5),"",IF(INDEX($A:$AP,ROW(),$B$6)="","",INDEX($A:$AP,ROW(),$B$6)))</f>
        <v/>
      </c>
      <c r="AS717" s="22">
        <f>IF($AR717="","",IF(ISNUMBER($AR717),IF($AR717&gt;=10000000,IFERROR(DATE(INT($AR717/10000),MOD(INT($AR717/100),100),MOD($AR717,100)),""),INT($AR717)),IFERROR(DATE(--LEFT(LEFT(SUBSTITUTE(SUBSTITUTE(SUBSTITUTE(SUBSTITUTE(TRIM($AR717),"-",""),".",""),"/","")," ",""),8),4),--MID(LEFT(SUBSTITUTE(SUBSTITUTE(SUBSTITUTE(SUBSTITUTE(TRIM($AR717),"-",""),".",""),"/","")," ",""),8),5,2),--MID(LEFT(SUBSTITUTE(SUBSTITUTE(SUBSTITUTE(SUBSTITUTE(TRIM($AR717),"-",""),".",""),"/","")," ",""),8),7,2)),"")))</f>
        <v/>
      </c>
      <c r="AT717" s="23">
        <f>IF($AS717="","",IF($F$6="",0,IF(ISNUMBER(INDEX($A:$AP,ROW(),$F$6)),INDEX($A:$AP,ROW(),$F$6),IFERROR(--SUBSTITUTE(SUBSTITUTE(TRIM(INDEX($A:$AP,ROW(),$F$6)),",",""),"원",""),0))))</f>
        <v/>
      </c>
      <c r="AU717" s="23">
        <f>IF($AS717="","",IF($G$6="",0,IF(ISNUMBER(INDEX($A:$AP,ROW(),$G$6)),INDEX($A:$AP,ROW(),$G$6),IFERROR(--SUBSTITUTE(SUBSTITUTE(TRIM(INDEX($A:$AP,ROW(),$G$6)),",",""),"원",""),0))))</f>
        <v/>
      </c>
      <c r="AV717" s="23">
        <f>IF($AS717="","",IF($H$6="",$AT717+$AU717,IF($H$6="",0,IF(ISNUMBER(INDEX($A:$AP,ROW(),$H$6)),INDEX($A:$AP,ROW(),$H$6),IFERROR(--SUBSTITUTE(SUBSTITUTE(TRIM(INDEX($A:$AP,ROW(),$H$6)),",",""),"원",""),0)))))</f>
        <v/>
      </c>
      <c r="AW717" s="2">
        <f>IF(OR($AS717="",$C$6=""),"",TRIM(INDEX($A:$AP,ROW(),$C$6)&amp;""))</f>
        <v/>
      </c>
      <c r="AX717" s="2">
        <f>IF($AS717="","",IF($AZ717&lt;&gt;"",SUBSTITUTE(SUBSTITUTE($AZ717,"-","")," ",""),$AY717))</f>
        <v/>
      </c>
      <c r="AY717" s="2">
        <f>IF(OR($AS717="",$E$6=""),"",TRIM(INDEX($A:$AP,ROW(),$E$6)&amp;""))</f>
        <v/>
      </c>
      <c r="AZ717" s="2">
        <f>IF(OR($AS717="",$D$6=""),"",TRIM(INDEX($A:$AP,ROW(),$D$6)&amp;""))</f>
        <v/>
      </c>
      <c r="BA717" s="2">
        <f>IF($AS717="","",IF(AND($AS717&gt;=설정!$B$10,$AS717&lt;=설정!$B$11),"포함","기간 밖"))</f>
        <v/>
      </c>
      <c r="BB717" s="2">
        <f>IF($AS717="","",IF(OR($AT717&lt;0,AND($I$6&lt;&gt;"",ISNUMBER(FIND("수정",INDEX($A:$AP,ROW(),IF($I$6="",1,$I$6))&amp;"")))),"수정","일반"))</f>
        <v/>
      </c>
      <c r="BC717" s="2">
        <f>IF($AS717="","",MID(IF($BA717="기간 밖"," / 기간 밖(신고기간 아님)","")&amp;IF(AND($AW717&lt;&gt;"",COUNTIF($AW$8:$AW$1007,$AW717)&gt;1)," / 승인번호 중복(두 번 붙여넣기?)","")&amp;IF(ABS($AU717-ROUND($AT717*0.1,0))&gt;설정!$B$8,IF($AU717=0," / 세액 0원(영세율·면세 여부 확인)"," / 세액이 공급가액 10%와 다름"),"")&amp;IF($BB717="수정"," / 수정세금계산서(합계에서 자동 가감)",""),4,200))</f>
        <v/>
      </c>
      <c r="BD717" s="2">
        <f>IF($BA717&lt;&gt;"포함","",IF(COUNTIFS($AX$8:$AX717,$AX717,$BA$8:$BA717,"포함")=1,MAX($BD$7:BD716)+1,""))</f>
        <v/>
      </c>
      <c r="BE717" s="2">
        <f>IF($BC717="","",MAX($BE$7:BE716)+1)</f>
        <v/>
      </c>
    </row>
    <row r="718">
      <c r="AR718" s="2">
        <f>IF(OR($A$5="",$B$6="",ROW()&lt;$A$5),"",IF(INDEX($A:$AP,ROW(),$B$6)="","",INDEX($A:$AP,ROW(),$B$6)))</f>
        <v/>
      </c>
      <c r="AS718" s="22">
        <f>IF($AR718="","",IF(ISNUMBER($AR718),IF($AR718&gt;=10000000,IFERROR(DATE(INT($AR718/10000),MOD(INT($AR718/100),100),MOD($AR718,100)),""),INT($AR718)),IFERROR(DATE(--LEFT(LEFT(SUBSTITUTE(SUBSTITUTE(SUBSTITUTE(SUBSTITUTE(TRIM($AR718),"-",""),".",""),"/","")," ",""),8),4),--MID(LEFT(SUBSTITUTE(SUBSTITUTE(SUBSTITUTE(SUBSTITUTE(TRIM($AR718),"-",""),".",""),"/","")," ",""),8),5,2),--MID(LEFT(SUBSTITUTE(SUBSTITUTE(SUBSTITUTE(SUBSTITUTE(TRIM($AR718),"-",""),".",""),"/","")," ",""),8),7,2)),"")))</f>
        <v/>
      </c>
      <c r="AT718" s="23">
        <f>IF($AS718="","",IF($F$6="",0,IF(ISNUMBER(INDEX($A:$AP,ROW(),$F$6)),INDEX($A:$AP,ROW(),$F$6),IFERROR(--SUBSTITUTE(SUBSTITUTE(TRIM(INDEX($A:$AP,ROW(),$F$6)),",",""),"원",""),0))))</f>
        <v/>
      </c>
      <c r="AU718" s="23">
        <f>IF($AS718="","",IF($G$6="",0,IF(ISNUMBER(INDEX($A:$AP,ROW(),$G$6)),INDEX($A:$AP,ROW(),$G$6),IFERROR(--SUBSTITUTE(SUBSTITUTE(TRIM(INDEX($A:$AP,ROW(),$G$6)),",",""),"원",""),0))))</f>
        <v/>
      </c>
      <c r="AV718" s="23">
        <f>IF($AS718="","",IF($H$6="",$AT718+$AU718,IF($H$6="",0,IF(ISNUMBER(INDEX($A:$AP,ROW(),$H$6)),INDEX($A:$AP,ROW(),$H$6),IFERROR(--SUBSTITUTE(SUBSTITUTE(TRIM(INDEX($A:$AP,ROW(),$H$6)),",",""),"원",""),0)))))</f>
        <v/>
      </c>
      <c r="AW718" s="2">
        <f>IF(OR($AS718="",$C$6=""),"",TRIM(INDEX($A:$AP,ROW(),$C$6)&amp;""))</f>
        <v/>
      </c>
      <c r="AX718" s="2">
        <f>IF($AS718="","",IF($AZ718&lt;&gt;"",SUBSTITUTE(SUBSTITUTE($AZ718,"-","")," ",""),$AY718))</f>
        <v/>
      </c>
      <c r="AY718" s="2">
        <f>IF(OR($AS718="",$E$6=""),"",TRIM(INDEX($A:$AP,ROW(),$E$6)&amp;""))</f>
        <v/>
      </c>
      <c r="AZ718" s="2">
        <f>IF(OR($AS718="",$D$6=""),"",TRIM(INDEX($A:$AP,ROW(),$D$6)&amp;""))</f>
        <v/>
      </c>
      <c r="BA718" s="2">
        <f>IF($AS718="","",IF(AND($AS718&gt;=설정!$B$10,$AS718&lt;=설정!$B$11),"포함","기간 밖"))</f>
        <v/>
      </c>
      <c r="BB718" s="2">
        <f>IF($AS718="","",IF(OR($AT718&lt;0,AND($I$6&lt;&gt;"",ISNUMBER(FIND("수정",INDEX($A:$AP,ROW(),IF($I$6="",1,$I$6))&amp;"")))),"수정","일반"))</f>
        <v/>
      </c>
      <c r="BC718" s="2">
        <f>IF($AS718="","",MID(IF($BA718="기간 밖"," / 기간 밖(신고기간 아님)","")&amp;IF(AND($AW718&lt;&gt;"",COUNTIF($AW$8:$AW$1007,$AW718)&gt;1)," / 승인번호 중복(두 번 붙여넣기?)","")&amp;IF(ABS($AU718-ROUND($AT718*0.1,0))&gt;설정!$B$8,IF($AU718=0," / 세액 0원(영세율·면세 여부 확인)"," / 세액이 공급가액 10%와 다름"),"")&amp;IF($BB718="수정"," / 수정세금계산서(합계에서 자동 가감)",""),4,200))</f>
        <v/>
      </c>
      <c r="BD718" s="2">
        <f>IF($BA718&lt;&gt;"포함","",IF(COUNTIFS($AX$8:$AX718,$AX718,$BA$8:$BA718,"포함")=1,MAX($BD$7:BD717)+1,""))</f>
        <v/>
      </c>
      <c r="BE718" s="2">
        <f>IF($BC718="","",MAX($BE$7:BE717)+1)</f>
        <v/>
      </c>
    </row>
    <row r="719">
      <c r="AR719" s="2">
        <f>IF(OR($A$5="",$B$6="",ROW()&lt;$A$5),"",IF(INDEX($A:$AP,ROW(),$B$6)="","",INDEX($A:$AP,ROW(),$B$6)))</f>
        <v/>
      </c>
      <c r="AS719" s="22">
        <f>IF($AR719="","",IF(ISNUMBER($AR719),IF($AR719&gt;=10000000,IFERROR(DATE(INT($AR719/10000),MOD(INT($AR719/100),100),MOD($AR719,100)),""),INT($AR719)),IFERROR(DATE(--LEFT(LEFT(SUBSTITUTE(SUBSTITUTE(SUBSTITUTE(SUBSTITUTE(TRIM($AR719),"-",""),".",""),"/","")," ",""),8),4),--MID(LEFT(SUBSTITUTE(SUBSTITUTE(SUBSTITUTE(SUBSTITUTE(TRIM($AR719),"-",""),".",""),"/","")," ",""),8),5,2),--MID(LEFT(SUBSTITUTE(SUBSTITUTE(SUBSTITUTE(SUBSTITUTE(TRIM($AR719),"-",""),".",""),"/","")," ",""),8),7,2)),"")))</f>
        <v/>
      </c>
      <c r="AT719" s="23">
        <f>IF($AS719="","",IF($F$6="",0,IF(ISNUMBER(INDEX($A:$AP,ROW(),$F$6)),INDEX($A:$AP,ROW(),$F$6),IFERROR(--SUBSTITUTE(SUBSTITUTE(TRIM(INDEX($A:$AP,ROW(),$F$6)),",",""),"원",""),0))))</f>
        <v/>
      </c>
      <c r="AU719" s="23">
        <f>IF($AS719="","",IF($G$6="",0,IF(ISNUMBER(INDEX($A:$AP,ROW(),$G$6)),INDEX($A:$AP,ROW(),$G$6),IFERROR(--SUBSTITUTE(SUBSTITUTE(TRIM(INDEX($A:$AP,ROW(),$G$6)),",",""),"원",""),0))))</f>
        <v/>
      </c>
      <c r="AV719" s="23">
        <f>IF($AS719="","",IF($H$6="",$AT719+$AU719,IF($H$6="",0,IF(ISNUMBER(INDEX($A:$AP,ROW(),$H$6)),INDEX($A:$AP,ROW(),$H$6),IFERROR(--SUBSTITUTE(SUBSTITUTE(TRIM(INDEX($A:$AP,ROW(),$H$6)),",",""),"원",""),0)))))</f>
        <v/>
      </c>
      <c r="AW719" s="2">
        <f>IF(OR($AS719="",$C$6=""),"",TRIM(INDEX($A:$AP,ROW(),$C$6)&amp;""))</f>
        <v/>
      </c>
      <c r="AX719" s="2">
        <f>IF($AS719="","",IF($AZ719&lt;&gt;"",SUBSTITUTE(SUBSTITUTE($AZ719,"-","")," ",""),$AY719))</f>
        <v/>
      </c>
      <c r="AY719" s="2">
        <f>IF(OR($AS719="",$E$6=""),"",TRIM(INDEX($A:$AP,ROW(),$E$6)&amp;""))</f>
        <v/>
      </c>
      <c r="AZ719" s="2">
        <f>IF(OR($AS719="",$D$6=""),"",TRIM(INDEX($A:$AP,ROW(),$D$6)&amp;""))</f>
        <v/>
      </c>
      <c r="BA719" s="2">
        <f>IF($AS719="","",IF(AND($AS719&gt;=설정!$B$10,$AS719&lt;=설정!$B$11),"포함","기간 밖"))</f>
        <v/>
      </c>
      <c r="BB719" s="2">
        <f>IF($AS719="","",IF(OR($AT719&lt;0,AND($I$6&lt;&gt;"",ISNUMBER(FIND("수정",INDEX($A:$AP,ROW(),IF($I$6="",1,$I$6))&amp;"")))),"수정","일반"))</f>
        <v/>
      </c>
      <c r="BC719" s="2">
        <f>IF($AS719="","",MID(IF($BA719="기간 밖"," / 기간 밖(신고기간 아님)","")&amp;IF(AND($AW719&lt;&gt;"",COUNTIF($AW$8:$AW$1007,$AW719)&gt;1)," / 승인번호 중복(두 번 붙여넣기?)","")&amp;IF(ABS($AU719-ROUND($AT719*0.1,0))&gt;설정!$B$8,IF($AU719=0," / 세액 0원(영세율·면세 여부 확인)"," / 세액이 공급가액 10%와 다름"),"")&amp;IF($BB719="수정"," / 수정세금계산서(합계에서 자동 가감)",""),4,200))</f>
        <v/>
      </c>
      <c r="BD719" s="2">
        <f>IF($BA719&lt;&gt;"포함","",IF(COUNTIFS($AX$8:$AX719,$AX719,$BA$8:$BA719,"포함")=1,MAX($BD$7:BD718)+1,""))</f>
        <v/>
      </c>
      <c r="BE719" s="2">
        <f>IF($BC719="","",MAX($BE$7:BE718)+1)</f>
        <v/>
      </c>
    </row>
    <row r="720">
      <c r="AR720" s="2">
        <f>IF(OR($A$5="",$B$6="",ROW()&lt;$A$5),"",IF(INDEX($A:$AP,ROW(),$B$6)="","",INDEX($A:$AP,ROW(),$B$6)))</f>
        <v/>
      </c>
      <c r="AS720" s="22">
        <f>IF($AR720="","",IF(ISNUMBER($AR720),IF($AR720&gt;=10000000,IFERROR(DATE(INT($AR720/10000),MOD(INT($AR720/100),100),MOD($AR720,100)),""),INT($AR720)),IFERROR(DATE(--LEFT(LEFT(SUBSTITUTE(SUBSTITUTE(SUBSTITUTE(SUBSTITUTE(TRIM($AR720),"-",""),".",""),"/","")," ",""),8),4),--MID(LEFT(SUBSTITUTE(SUBSTITUTE(SUBSTITUTE(SUBSTITUTE(TRIM($AR720),"-",""),".",""),"/","")," ",""),8),5,2),--MID(LEFT(SUBSTITUTE(SUBSTITUTE(SUBSTITUTE(SUBSTITUTE(TRIM($AR720),"-",""),".",""),"/","")," ",""),8),7,2)),"")))</f>
        <v/>
      </c>
      <c r="AT720" s="23">
        <f>IF($AS720="","",IF($F$6="",0,IF(ISNUMBER(INDEX($A:$AP,ROW(),$F$6)),INDEX($A:$AP,ROW(),$F$6),IFERROR(--SUBSTITUTE(SUBSTITUTE(TRIM(INDEX($A:$AP,ROW(),$F$6)),",",""),"원",""),0))))</f>
        <v/>
      </c>
      <c r="AU720" s="23">
        <f>IF($AS720="","",IF($G$6="",0,IF(ISNUMBER(INDEX($A:$AP,ROW(),$G$6)),INDEX($A:$AP,ROW(),$G$6),IFERROR(--SUBSTITUTE(SUBSTITUTE(TRIM(INDEX($A:$AP,ROW(),$G$6)),",",""),"원",""),0))))</f>
        <v/>
      </c>
      <c r="AV720" s="23">
        <f>IF($AS720="","",IF($H$6="",$AT720+$AU720,IF($H$6="",0,IF(ISNUMBER(INDEX($A:$AP,ROW(),$H$6)),INDEX($A:$AP,ROW(),$H$6),IFERROR(--SUBSTITUTE(SUBSTITUTE(TRIM(INDEX($A:$AP,ROW(),$H$6)),",",""),"원",""),0)))))</f>
        <v/>
      </c>
      <c r="AW720" s="2">
        <f>IF(OR($AS720="",$C$6=""),"",TRIM(INDEX($A:$AP,ROW(),$C$6)&amp;""))</f>
        <v/>
      </c>
      <c r="AX720" s="2">
        <f>IF($AS720="","",IF($AZ720&lt;&gt;"",SUBSTITUTE(SUBSTITUTE($AZ720,"-","")," ",""),$AY720))</f>
        <v/>
      </c>
      <c r="AY720" s="2">
        <f>IF(OR($AS720="",$E$6=""),"",TRIM(INDEX($A:$AP,ROW(),$E$6)&amp;""))</f>
        <v/>
      </c>
      <c r="AZ720" s="2">
        <f>IF(OR($AS720="",$D$6=""),"",TRIM(INDEX($A:$AP,ROW(),$D$6)&amp;""))</f>
        <v/>
      </c>
      <c r="BA720" s="2">
        <f>IF($AS720="","",IF(AND($AS720&gt;=설정!$B$10,$AS720&lt;=설정!$B$11),"포함","기간 밖"))</f>
        <v/>
      </c>
      <c r="BB720" s="2">
        <f>IF($AS720="","",IF(OR($AT720&lt;0,AND($I$6&lt;&gt;"",ISNUMBER(FIND("수정",INDEX($A:$AP,ROW(),IF($I$6="",1,$I$6))&amp;"")))),"수정","일반"))</f>
        <v/>
      </c>
      <c r="BC720" s="2">
        <f>IF($AS720="","",MID(IF($BA720="기간 밖"," / 기간 밖(신고기간 아님)","")&amp;IF(AND($AW720&lt;&gt;"",COUNTIF($AW$8:$AW$1007,$AW720)&gt;1)," / 승인번호 중복(두 번 붙여넣기?)","")&amp;IF(ABS($AU720-ROUND($AT720*0.1,0))&gt;설정!$B$8,IF($AU720=0," / 세액 0원(영세율·면세 여부 확인)"," / 세액이 공급가액 10%와 다름"),"")&amp;IF($BB720="수정"," / 수정세금계산서(합계에서 자동 가감)",""),4,200))</f>
        <v/>
      </c>
      <c r="BD720" s="2">
        <f>IF($BA720&lt;&gt;"포함","",IF(COUNTIFS($AX$8:$AX720,$AX720,$BA$8:$BA720,"포함")=1,MAX($BD$7:BD719)+1,""))</f>
        <v/>
      </c>
      <c r="BE720" s="2">
        <f>IF($BC720="","",MAX($BE$7:BE719)+1)</f>
        <v/>
      </c>
    </row>
    <row r="721">
      <c r="AR721" s="2">
        <f>IF(OR($A$5="",$B$6="",ROW()&lt;$A$5),"",IF(INDEX($A:$AP,ROW(),$B$6)="","",INDEX($A:$AP,ROW(),$B$6)))</f>
        <v/>
      </c>
      <c r="AS721" s="22">
        <f>IF($AR721="","",IF(ISNUMBER($AR721),IF($AR721&gt;=10000000,IFERROR(DATE(INT($AR721/10000),MOD(INT($AR721/100),100),MOD($AR721,100)),""),INT($AR721)),IFERROR(DATE(--LEFT(LEFT(SUBSTITUTE(SUBSTITUTE(SUBSTITUTE(SUBSTITUTE(TRIM($AR721),"-",""),".",""),"/","")," ",""),8),4),--MID(LEFT(SUBSTITUTE(SUBSTITUTE(SUBSTITUTE(SUBSTITUTE(TRIM($AR721),"-",""),".",""),"/","")," ",""),8),5,2),--MID(LEFT(SUBSTITUTE(SUBSTITUTE(SUBSTITUTE(SUBSTITUTE(TRIM($AR721),"-",""),".",""),"/","")," ",""),8),7,2)),"")))</f>
        <v/>
      </c>
      <c r="AT721" s="23">
        <f>IF($AS721="","",IF($F$6="",0,IF(ISNUMBER(INDEX($A:$AP,ROW(),$F$6)),INDEX($A:$AP,ROW(),$F$6),IFERROR(--SUBSTITUTE(SUBSTITUTE(TRIM(INDEX($A:$AP,ROW(),$F$6)),",",""),"원",""),0))))</f>
        <v/>
      </c>
      <c r="AU721" s="23">
        <f>IF($AS721="","",IF($G$6="",0,IF(ISNUMBER(INDEX($A:$AP,ROW(),$G$6)),INDEX($A:$AP,ROW(),$G$6),IFERROR(--SUBSTITUTE(SUBSTITUTE(TRIM(INDEX($A:$AP,ROW(),$G$6)),",",""),"원",""),0))))</f>
        <v/>
      </c>
      <c r="AV721" s="23">
        <f>IF($AS721="","",IF($H$6="",$AT721+$AU721,IF($H$6="",0,IF(ISNUMBER(INDEX($A:$AP,ROW(),$H$6)),INDEX($A:$AP,ROW(),$H$6),IFERROR(--SUBSTITUTE(SUBSTITUTE(TRIM(INDEX($A:$AP,ROW(),$H$6)),",",""),"원",""),0)))))</f>
        <v/>
      </c>
      <c r="AW721" s="2">
        <f>IF(OR($AS721="",$C$6=""),"",TRIM(INDEX($A:$AP,ROW(),$C$6)&amp;""))</f>
        <v/>
      </c>
      <c r="AX721" s="2">
        <f>IF($AS721="","",IF($AZ721&lt;&gt;"",SUBSTITUTE(SUBSTITUTE($AZ721,"-","")," ",""),$AY721))</f>
        <v/>
      </c>
      <c r="AY721" s="2">
        <f>IF(OR($AS721="",$E$6=""),"",TRIM(INDEX($A:$AP,ROW(),$E$6)&amp;""))</f>
        <v/>
      </c>
      <c r="AZ721" s="2">
        <f>IF(OR($AS721="",$D$6=""),"",TRIM(INDEX($A:$AP,ROW(),$D$6)&amp;""))</f>
        <v/>
      </c>
      <c r="BA721" s="2">
        <f>IF($AS721="","",IF(AND($AS721&gt;=설정!$B$10,$AS721&lt;=설정!$B$11),"포함","기간 밖"))</f>
        <v/>
      </c>
      <c r="BB721" s="2">
        <f>IF($AS721="","",IF(OR($AT721&lt;0,AND($I$6&lt;&gt;"",ISNUMBER(FIND("수정",INDEX($A:$AP,ROW(),IF($I$6="",1,$I$6))&amp;"")))),"수정","일반"))</f>
        <v/>
      </c>
      <c r="BC721" s="2">
        <f>IF($AS721="","",MID(IF($BA721="기간 밖"," / 기간 밖(신고기간 아님)","")&amp;IF(AND($AW721&lt;&gt;"",COUNTIF($AW$8:$AW$1007,$AW721)&gt;1)," / 승인번호 중복(두 번 붙여넣기?)","")&amp;IF(ABS($AU721-ROUND($AT721*0.1,0))&gt;설정!$B$8,IF($AU721=0," / 세액 0원(영세율·면세 여부 확인)"," / 세액이 공급가액 10%와 다름"),"")&amp;IF($BB721="수정"," / 수정세금계산서(합계에서 자동 가감)",""),4,200))</f>
        <v/>
      </c>
      <c r="BD721" s="2">
        <f>IF($BA721&lt;&gt;"포함","",IF(COUNTIFS($AX$8:$AX721,$AX721,$BA$8:$BA721,"포함")=1,MAX($BD$7:BD720)+1,""))</f>
        <v/>
      </c>
      <c r="BE721" s="2">
        <f>IF($BC721="","",MAX($BE$7:BE720)+1)</f>
        <v/>
      </c>
    </row>
    <row r="722">
      <c r="AR722" s="2">
        <f>IF(OR($A$5="",$B$6="",ROW()&lt;$A$5),"",IF(INDEX($A:$AP,ROW(),$B$6)="","",INDEX($A:$AP,ROW(),$B$6)))</f>
        <v/>
      </c>
      <c r="AS722" s="22">
        <f>IF($AR722="","",IF(ISNUMBER($AR722),IF($AR722&gt;=10000000,IFERROR(DATE(INT($AR722/10000),MOD(INT($AR722/100),100),MOD($AR722,100)),""),INT($AR722)),IFERROR(DATE(--LEFT(LEFT(SUBSTITUTE(SUBSTITUTE(SUBSTITUTE(SUBSTITUTE(TRIM($AR722),"-",""),".",""),"/","")," ",""),8),4),--MID(LEFT(SUBSTITUTE(SUBSTITUTE(SUBSTITUTE(SUBSTITUTE(TRIM($AR722),"-",""),".",""),"/","")," ",""),8),5,2),--MID(LEFT(SUBSTITUTE(SUBSTITUTE(SUBSTITUTE(SUBSTITUTE(TRIM($AR722),"-",""),".",""),"/","")," ",""),8),7,2)),"")))</f>
        <v/>
      </c>
      <c r="AT722" s="23">
        <f>IF($AS722="","",IF($F$6="",0,IF(ISNUMBER(INDEX($A:$AP,ROW(),$F$6)),INDEX($A:$AP,ROW(),$F$6),IFERROR(--SUBSTITUTE(SUBSTITUTE(TRIM(INDEX($A:$AP,ROW(),$F$6)),",",""),"원",""),0))))</f>
        <v/>
      </c>
      <c r="AU722" s="23">
        <f>IF($AS722="","",IF($G$6="",0,IF(ISNUMBER(INDEX($A:$AP,ROW(),$G$6)),INDEX($A:$AP,ROW(),$G$6),IFERROR(--SUBSTITUTE(SUBSTITUTE(TRIM(INDEX($A:$AP,ROW(),$G$6)),",",""),"원",""),0))))</f>
        <v/>
      </c>
      <c r="AV722" s="23">
        <f>IF($AS722="","",IF($H$6="",$AT722+$AU722,IF($H$6="",0,IF(ISNUMBER(INDEX($A:$AP,ROW(),$H$6)),INDEX($A:$AP,ROW(),$H$6),IFERROR(--SUBSTITUTE(SUBSTITUTE(TRIM(INDEX($A:$AP,ROW(),$H$6)),",",""),"원",""),0)))))</f>
        <v/>
      </c>
      <c r="AW722" s="2">
        <f>IF(OR($AS722="",$C$6=""),"",TRIM(INDEX($A:$AP,ROW(),$C$6)&amp;""))</f>
        <v/>
      </c>
      <c r="AX722" s="2">
        <f>IF($AS722="","",IF($AZ722&lt;&gt;"",SUBSTITUTE(SUBSTITUTE($AZ722,"-","")," ",""),$AY722))</f>
        <v/>
      </c>
      <c r="AY722" s="2">
        <f>IF(OR($AS722="",$E$6=""),"",TRIM(INDEX($A:$AP,ROW(),$E$6)&amp;""))</f>
        <v/>
      </c>
      <c r="AZ722" s="2">
        <f>IF(OR($AS722="",$D$6=""),"",TRIM(INDEX($A:$AP,ROW(),$D$6)&amp;""))</f>
        <v/>
      </c>
      <c r="BA722" s="2">
        <f>IF($AS722="","",IF(AND($AS722&gt;=설정!$B$10,$AS722&lt;=설정!$B$11),"포함","기간 밖"))</f>
        <v/>
      </c>
      <c r="BB722" s="2">
        <f>IF($AS722="","",IF(OR($AT722&lt;0,AND($I$6&lt;&gt;"",ISNUMBER(FIND("수정",INDEX($A:$AP,ROW(),IF($I$6="",1,$I$6))&amp;"")))),"수정","일반"))</f>
        <v/>
      </c>
      <c r="BC722" s="2">
        <f>IF($AS722="","",MID(IF($BA722="기간 밖"," / 기간 밖(신고기간 아님)","")&amp;IF(AND($AW722&lt;&gt;"",COUNTIF($AW$8:$AW$1007,$AW722)&gt;1)," / 승인번호 중복(두 번 붙여넣기?)","")&amp;IF(ABS($AU722-ROUND($AT722*0.1,0))&gt;설정!$B$8,IF($AU722=0," / 세액 0원(영세율·면세 여부 확인)"," / 세액이 공급가액 10%와 다름"),"")&amp;IF($BB722="수정"," / 수정세금계산서(합계에서 자동 가감)",""),4,200))</f>
        <v/>
      </c>
      <c r="BD722" s="2">
        <f>IF($BA722&lt;&gt;"포함","",IF(COUNTIFS($AX$8:$AX722,$AX722,$BA$8:$BA722,"포함")=1,MAX($BD$7:BD721)+1,""))</f>
        <v/>
      </c>
      <c r="BE722" s="2">
        <f>IF($BC722="","",MAX($BE$7:BE721)+1)</f>
        <v/>
      </c>
    </row>
    <row r="723">
      <c r="AR723" s="2">
        <f>IF(OR($A$5="",$B$6="",ROW()&lt;$A$5),"",IF(INDEX($A:$AP,ROW(),$B$6)="","",INDEX($A:$AP,ROW(),$B$6)))</f>
        <v/>
      </c>
      <c r="AS723" s="22">
        <f>IF($AR723="","",IF(ISNUMBER($AR723),IF($AR723&gt;=10000000,IFERROR(DATE(INT($AR723/10000),MOD(INT($AR723/100),100),MOD($AR723,100)),""),INT($AR723)),IFERROR(DATE(--LEFT(LEFT(SUBSTITUTE(SUBSTITUTE(SUBSTITUTE(SUBSTITUTE(TRIM($AR723),"-",""),".",""),"/","")," ",""),8),4),--MID(LEFT(SUBSTITUTE(SUBSTITUTE(SUBSTITUTE(SUBSTITUTE(TRIM($AR723),"-",""),".",""),"/","")," ",""),8),5,2),--MID(LEFT(SUBSTITUTE(SUBSTITUTE(SUBSTITUTE(SUBSTITUTE(TRIM($AR723),"-",""),".",""),"/","")," ",""),8),7,2)),"")))</f>
        <v/>
      </c>
      <c r="AT723" s="23">
        <f>IF($AS723="","",IF($F$6="",0,IF(ISNUMBER(INDEX($A:$AP,ROW(),$F$6)),INDEX($A:$AP,ROW(),$F$6),IFERROR(--SUBSTITUTE(SUBSTITUTE(TRIM(INDEX($A:$AP,ROW(),$F$6)),",",""),"원",""),0))))</f>
        <v/>
      </c>
      <c r="AU723" s="23">
        <f>IF($AS723="","",IF($G$6="",0,IF(ISNUMBER(INDEX($A:$AP,ROW(),$G$6)),INDEX($A:$AP,ROW(),$G$6),IFERROR(--SUBSTITUTE(SUBSTITUTE(TRIM(INDEX($A:$AP,ROW(),$G$6)),",",""),"원",""),0))))</f>
        <v/>
      </c>
      <c r="AV723" s="23">
        <f>IF($AS723="","",IF($H$6="",$AT723+$AU723,IF($H$6="",0,IF(ISNUMBER(INDEX($A:$AP,ROW(),$H$6)),INDEX($A:$AP,ROW(),$H$6),IFERROR(--SUBSTITUTE(SUBSTITUTE(TRIM(INDEX($A:$AP,ROW(),$H$6)),",",""),"원",""),0)))))</f>
        <v/>
      </c>
      <c r="AW723" s="2">
        <f>IF(OR($AS723="",$C$6=""),"",TRIM(INDEX($A:$AP,ROW(),$C$6)&amp;""))</f>
        <v/>
      </c>
      <c r="AX723" s="2">
        <f>IF($AS723="","",IF($AZ723&lt;&gt;"",SUBSTITUTE(SUBSTITUTE($AZ723,"-","")," ",""),$AY723))</f>
        <v/>
      </c>
      <c r="AY723" s="2">
        <f>IF(OR($AS723="",$E$6=""),"",TRIM(INDEX($A:$AP,ROW(),$E$6)&amp;""))</f>
        <v/>
      </c>
      <c r="AZ723" s="2">
        <f>IF(OR($AS723="",$D$6=""),"",TRIM(INDEX($A:$AP,ROW(),$D$6)&amp;""))</f>
        <v/>
      </c>
      <c r="BA723" s="2">
        <f>IF($AS723="","",IF(AND($AS723&gt;=설정!$B$10,$AS723&lt;=설정!$B$11),"포함","기간 밖"))</f>
        <v/>
      </c>
      <c r="BB723" s="2">
        <f>IF($AS723="","",IF(OR($AT723&lt;0,AND($I$6&lt;&gt;"",ISNUMBER(FIND("수정",INDEX($A:$AP,ROW(),IF($I$6="",1,$I$6))&amp;"")))),"수정","일반"))</f>
        <v/>
      </c>
      <c r="BC723" s="2">
        <f>IF($AS723="","",MID(IF($BA723="기간 밖"," / 기간 밖(신고기간 아님)","")&amp;IF(AND($AW723&lt;&gt;"",COUNTIF($AW$8:$AW$1007,$AW723)&gt;1)," / 승인번호 중복(두 번 붙여넣기?)","")&amp;IF(ABS($AU723-ROUND($AT723*0.1,0))&gt;설정!$B$8,IF($AU723=0," / 세액 0원(영세율·면세 여부 확인)"," / 세액이 공급가액 10%와 다름"),"")&amp;IF($BB723="수정"," / 수정세금계산서(합계에서 자동 가감)",""),4,200))</f>
        <v/>
      </c>
      <c r="BD723" s="2">
        <f>IF($BA723&lt;&gt;"포함","",IF(COUNTIFS($AX$8:$AX723,$AX723,$BA$8:$BA723,"포함")=1,MAX($BD$7:BD722)+1,""))</f>
        <v/>
      </c>
      <c r="BE723" s="2">
        <f>IF($BC723="","",MAX($BE$7:BE722)+1)</f>
        <v/>
      </c>
    </row>
    <row r="724">
      <c r="AR724" s="2">
        <f>IF(OR($A$5="",$B$6="",ROW()&lt;$A$5),"",IF(INDEX($A:$AP,ROW(),$B$6)="","",INDEX($A:$AP,ROW(),$B$6)))</f>
        <v/>
      </c>
      <c r="AS724" s="22">
        <f>IF($AR724="","",IF(ISNUMBER($AR724),IF($AR724&gt;=10000000,IFERROR(DATE(INT($AR724/10000),MOD(INT($AR724/100),100),MOD($AR724,100)),""),INT($AR724)),IFERROR(DATE(--LEFT(LEFT(SUBSTITUTE(SUBSTITUTE(SUBSTITUTE(SUBSTITUTE(TRIM($AR724),"-",""),".",""),"/","")," ",""),8),4),--MID(LEFT(SUBSTITUTE(SUBSTITUTE(SUBSTITUTE(SUBSTITUTE(TRIM($AR724),"-",""),".",""),"/","")," ",""),8),5,2),--MID(LEFT(SUBSTITUTE(SUBSTITUTE(SUBSTITUTE(SUBSTITUTE(TRIM($AR724),"-",""),".",""),"/","")," ",""),8),7,2)),"")))</f>
        <v/>
      </c>
      <c r="AT724" s="23">
        <f>IF($AS724="","",IF($F$6="",0,IF(ISNUMBER(INDEX($A:$AP,ROW(),$F$6)),INDEX($A:$AP,ROW(),$F$6),IFERROR(--SUBSTITUTE(SUBSTITUTE(TRIM(INDEX($A:$AP,ROW(),$F$6)),",",""),"원",""),0))))</f>
        <v/>
      </c>
      <c r="AU724" s="23">
        <f>IF($AS724="","",IF($G$6="",0,IF(ISNUMBER(INDEX($A:$AP,ROW(),$G$6)),INDEX($A:$AP,ROW(),$G$6),IFERROR(--SUBSTITUTE(SUBSTITUTE(TRIM(INDEX($A:$AP,ROW(),$G$6)),",",""),"원",""),0))))</f>
        <v/>
      </c>
      <c r="AV724" s="23">
        <f>IF($AS724="","",IF($H$6="",$AT724+$AU724,IF($H$6="",0,IF(ISNUMBER(INDEX($A:$AP,ROW(),$H$6)),INDEX($A:$AP,ROW(),$H$6),IFERROR(--SUBSTITUTE(SUBSTITUTE(TRIM(INDEX($A:$AP,ROW(),$H$6)),",",""),"원",""),0)))))</f>
        <v/>
      </c>
      <c r="AW724" s="2">
        <f>IF(OR($AS724="",$C$6=""),"",TRIM(INDEX($A:$AP,ROW(),$C$6)&amp;""))</f>
        <v/>
      </c>
      <c r="AX724" s="2">
        <f>IF($AS724="","",IF($AZ724&lt;&gt;"",SUBSTITUTE(SUBSTITUTE($AZ724,"-","")," ",""),$AY724))</f>
        <v/>
      </c>
      <c r="AY724" s="2">
        <f>IF(OR($AS724="",$E$6=""),"",TRIM(INDEX($A:$AP,ROW(),$E$6)&amp;""))</f>
        <v/>
      </c>
      <c r="AZ724" s="2">
        <f>IF(OR($AS724="",$D$6=""),"",TRIM(INDEX($A:$AP,ROW(),$D$6)&amp;""))</f>
        <v/>
      </c>
      <c r="BA724" s="2">
        <f>IF($AS724="","",IF(AND($AS724&gt;=설정!$B$10,$AS724&lt;=설정!$B$11),"포함","기간 밖"))</f>
        <v/>
      </c>
      <c r="BB724" s="2">
        <f>IF($AS724="","",IF(OR($AT724&lt;0,AND($I$6&lt;&gt;"",ISNUMBER(FIND("수정",INDEX($A:$AP,ROW(),IF($I$6="",1,$I$6))&amp;"")))),"수정","일반"))</f>
        <v/>
      </c>
      <c r="BC724" s="2">
        <f>IF($AS724="","",MID(IF($BA724="기간 밖"," / 기간 밖(신고기간 아님)","")&amp;IF(AND($AW724&lt;&gt;"",COUNTIF($AW$8:$AW$1007,$AW724)&gt;1)," / 승인번호 중복(두 번 붙여넣기?)","")&amp;IF(ABS($AU724-ROUND($AT724*0.1,0))&gt;설정!$B$8,IF($AU724=0," / 세액 0원(영세율·면세 여부 확인)"," / 세액이 공급가액 10%와 다름"),"")&amp;IF($BB724="수정"," / 수정세금계산서(합계에서 자동 가감)",""),4,200))</f>
        <v/>
      </c>
      <c r="BD724" s="2">
        <f>IF($BA724&lt;&gt;"포함","",IF(COUNTIFS($AX$8:$AX724,$AX724,$BA$8:$BA724,"포함")=1,MAX($BD$7:BD723)+1,""))</f>
        <v/>
      </c>
      <c r="BE724" s="2">
        <f>IF($BC724="","",MAX($BE$7:BE723)+1)</f>
        <v/>
      </c>
    </row>
    <row r="725">
      <c r="AR725" s="2">
        <f>IF(OR($A$5="",$B$6="",ROW()&lt;$A$5),"",IF(INDEX($A:$AP,ROW(),$B$6)="","",INDEX($A:$AP,ROW(),$B$6)))</f>
        <v/>
      </c>
      <c r="AS725" s="22">
        <f>IF($AR725="","",IF(ISNUMBER($AR725),IF($AR725&gt;=10000000,IFERROR(DATE(INT($AR725/10000),MOD(INT($AR725/100),100),MOD($AR725,100)),""),INT($AR725)),IFERROR(DATE(--LEFT(LEFT(SUBSTITUTE(SUBSTITUTE(SUBSTITUTE(SUBSTITUTE(TRIM($AR725),"-",""),".",""),"/","")," ",""),8),4),--MID(LEFT(SUBSTITUTE(SUBSTITUTE(SUBSTITUTE(SUBSTITUTE(TRIM($AR725),"-",""),".",""),"/","")," ",""),8),5,2),--MID(LEFT(SUBSTITUTE(SUBSTITUTE(SUBSTITUTE(SUBSTITUTE(TRIM($AR725),"-",""),".",""),"/","")," ",""),8),7,2)),"")))</f>
        <v/>
      </c>
      <c r="AT725" s="23">
        <f>IF($AS725="","",IF($F$6="",0,IF(ISNUMBER(INDEX($A:$AP,ROW(),$F$6)),INDEX($A:$AP,ROW(),$F$6),IFERROR(--SUBSTITUTE(SUBSTITUTE(TRIM(INDEX($A:$AP,ROW(),$F$6)),",",""),"원",""),0))))</f>
        <v/>
      </c>
      <c r="AU725" s="23">
        <f>IF($AS725="","",IF($G$6="",0,IF(ISNUMBER(INDEX($A:$AP,ROW(),$G$6)),INDEX($A:$AP,ROW(),$G$6),IFERROR(--SUBSTITUTE(SUBSTITUTE(TRIM(INDEX($A:$AP,ROW(),$G$6)),",",""),"원",""),0))))</f>
        <v/>
      </c>
      <c r="AV725" s="23">
        <f>IF($AS725="","",IF($H$6="",$AT725+$AU725,IF($H$6="",0,IF(ISNUMBER(INDEX($A:$AP,ROW(),$H$6)),INDEX($A:$AP,ROW(),$H$6),IFERROR(--SUBSTITUTE(SUBSTITUTE(TRIM(INDEX($A:$AP,ROW(),$H$6)),",",""),"원",""),0)))))</f>
        <v/>
      </c>
      <c r="AW725" s="2">
        <f>IF(OR($AS725="",$C$6=""),"",TRIM(INDEX($A:$AP,ROW(),$C$6)&amp;""))</f>
        <v/>
      </c>
      <c r="AX725" s="2">
        <f>IF($AS725="","",IF($AZ725&lt;&gt;"",SUBSTITUTE(SUBSTITUTE($AZ725,"-","")," ",""),$AY725))</f>
        <v/>
      </c>
      <c r="AY725" s="2">
        <f>IF(OR($AS725="",$E$6=""),"",TRIM(INDEX($A:$AP,ROW(),$E$6)&amp;""))</f>
        <v/>
      </c>
      <c r="AZ725" s="2">
        <f>IF(OR($AS725="",$D$6=""),"",TRIM(INDEX($A:$AP,ROW(),$D$6)&amp;""))</f>
        <v/>
      </c>
      <c r="BA725" s="2">
        <f>IF($AS725="","",IF(AND($AS725&gt;=설정!$B$10,$AS725&lt;=설정!$B$11),"포함","기간 밖"))</f>
        <v/>
      </c>
      <c r="BB725" s="2">
        <f>IF($AS725="","",IF(OR($AT725&lt;0,AND($I$6&lt;&gt;"",ISNUMBER(FIND("수정",INDEX($A:$AP,ROW(),IF($I$6="",1,$I$6))&amp;"")))),"수정","일반"))</f>
        <v/>
      </c>
      <c r="BC725" s="2">
        <f>IF($AS725="","",MID(IF($BA725="기간 밖"," / 기간 밖(신고기간 아님)","")&amp;IF(AND($AW725&lt;&gt;"",COUNTIF($AW$8:$AW$1007,$AW725)&gt;1)," / 승인번호 중복(두 번 붙여넣기?)","")&amp;IF(ABS($AU725-ROUND($AT725*0.1,0))&gt;설정!$B$8,IF($AU725=0," / 세액 0원(영세율·면세 여부 확인)"," / 세액이 공급가액 10%와 다름"),"")&amp;IF($BB725="수정"," / 수정세금계산서(합계에서 자동 가감)",""),4,200))</f>
        <v/>
      </c>
      <c r="BD725" s="2">
        <f>IF($BA725&lt;&gt;"포함","",IF(COUNTIFS($AX$8:$AX725,$AX725,$BA$8:$BA725,"포함")=1,MAX($BD$7:BD724)+1,""))</f>
        <v/>
      </c>
      <c r="BE725" s="2">
        <f>IF($BC725="","",MAX($BE$7:BE724)+1)</f>
        <v/>
      </c>
    </row>
    <row r="726">
      <c r="AR726" s="2">
        <f>IF(OR($A$5="",$B$6="",ROW()&lt;$A$5),"",IF(INDEX($A:$AP,ROW(),$B$6)="","",INDEX($A:$AP,ROW(),$B$6)))</f>
        <v/>
      </c>
      <c r="AS726" s="22">
        <f>IF($AR726="","",IF(ISNUMBER($AR726),IF($AR726&gt;=10000000,IFERROR(DATE(INT($AR726/10000),MOD(INT($AR726/100),100),MOD($AR726,100)),""),INT($AR726)),IFERROR(DATE(--LEFT(LEFT(SUBSTITUTE(SUBSTITUTE(SUBSTITUTE(SUBSTITUTE(TRIM($AR726),"-",""),".",""),"/","")," ",""),8),4),--MID(LEFT(SUBSTITUTE(SUBSTITUTE(SUBSTITUTE(SUBSTITUTE(TRIM($AR726),"-",""),".",""),"/","")," ",""),8),5,2),--MID(LEFT(SUBSTITUTE(SUBSTITUTE(SUBSTITUTE(SUBSTITUTE(TRIM($AR726),"-",""),".",""),"/","")," ",""),8),7,2)),"")))</f>
        <v/>
      </c>
      <c r="AT726" s="23">
        <f>IF($AS726="","",IF($F$6="",0,IF(ISNUMBER(INDEX($A:$AP,ROW(),$F$6)),INDEX($A:$AP,ROW(),$F$6),IFERROR(--SUBSTITUTE(SUBSTITUTE(TRIM(INDEX($A:$AP,ROW(),$F$6)),",",""),"원",""),0))))</f>
        <v/>
      </c>
      <c r="AU726" s="23">
        <f>IF($AS726="","",IF($G$6="",0,IF(ISNUMBER(INDEX($A:$AP,ROW(),$G$6)),INDEX($A:$AP,ROW(),$G$6),IFERROR(--SUBSTITUTE(SUBSTITUTE(TRIM(INDEX($A:$AP,ROW(),$G$6)),",",""),"원",""),0))))</f>
        <v/>
      </c>
      <c r="AV726" s="23">
        <f>IF($AS726="","",IF($H$6="",$AT726+$AU726,IF($H$6="",0,IF(ISNUMBER(INDEX($A:$AP,ROW(),$H$6)),INDEX($A:$AP,ROW(),$H$6),IFERROR(--SUBSTITUTE(SUBSTITUTE(TRIM(INDEX($A:$AP,ROW(),$H$6)),",",""),"원",""),0)))))</f>
        <v/>
      </c>
      <c r="AW726" s="2">
        <f>IF(OR($AS726="",$C$6=""),"",TRIM(INDEX($A:$AP,ROW(),$C$6)&amp;""))</f>
        <v/>
      </c>
      <c r="AX726" s="2">
        <f>IF($AS726="","",IF($AZ726&lt;&gt;"",SUBSTITUTE(SUBSTITUTE($AZ726,"-","")," ",""),$AY726))</f>
        <v/>
      </c>
      <c r="AY726" s="2">
        <f>IF(OR($AS726="",$E$6=""),"",TRIM(INDEX($A:$AP,ROW(),$E$6)&amp;""))</f>
        <v/>
      </c>
      <c r="AZ726" s="2">
        <f>IF(OR($AS726="",$D$6=""),"",TRIM(INDEX($A:$AP,ROW(),$D$6)&amp;""))</f>
        <v/>
      </c>
      <c r="BA726" s="2">
        <f>IF($AS726="","",IF(AND($AS726&gt;=설정!$B$10,$AS726&lt;=설정!$B$11),"포함","기간 밖"))</f>
        <v/>
      </c>
      <c r="BB726" s="2">
        <f>IF($AS726="","",IF(OR($AT726&lt;0,AND($I$6&lt;&gt;"",ISNUMBER(FIND("수정",INDEX($A:$AP,ROW(),IF($I$6="",1,$I$6))&amp;"")))),"수정","일반"))</f>
        <v/>
      </c>
      <c r="BC726" s="2">
        <f>IF($AS726="","",MID(IF($BA726="기간 밖"," / 기간 밖(신고기간 아님)","")&amp;IF(AND($AW726&lt;&gt;"",COUNTIF($AW$8:$AW$1007,$AW726)&gt;1)," / 승인번호 중복(두 번 붙여넣기?)","")&amp;IF(ABS($AU726-ROUND($AT726*0.1,0))&gt;설정!$B$8,IF($AU726=0," / 세액 0원(영세율·면세 여부 확인)"," / 세액이 공급가액 10%와 다름"),"")&amp;IF($BB726="수정"," / 수정세금계산서(합계에서 자동 가감)",""),4,200))</f>
        <v/>
      </c>
      <c r="BD726" s="2">
        <f>IF($BA726&lt;&gt;"포함","",IF(COUNTIFS($AX$8:$AX726,$AX726,$BA$8:$BA726,"포함")=1,MAX($BD$7:BD725)+1,""))</f>
        <v/>
      </c>
      <c r="BE726" s="2">
        <f>IF($BC726="","",MAX($BE$7:BE725)+1)</f>
        <v/>
      </c>
    </row>
    <row r="727">
      <c r="AR727" s="2">
        <f>IF(OR($A$5="",$B$6="",ROW()&lt;$A$5),"",IF(INDEX($A:$AP,ROW(),$B$6)="","",INDEX($A:$AP,ROW(),$B$6)))</f>
        <v/>
      </c>
      <c r="AS727" s="22">
        <f>IF($AR727="","",IF(ISNUMBER($AR727),IF($AR727&gt;=10000000,IFERROR(DATE(INT($AR727/10000),MOD(INT($AR727/100),100),MOD($AR727,100)),""),INT($AR727)),IFERROR(DATE(--LEFT(LEFT(SUBSTITUTE(SUBSTITUTE(SUBSTITUTE(SUBSTITUTE(TRIM($AR727),"-",""),".",""),"/","")," ",""),8),4),--MID(LEFT(SUBSTITUTE(SUBSTITUTE(SUBSTITUTE(SUBSTITUTE(TRIM($AR727),"-",""),".",""),"/","")," ",""),8),5,2),--MID(LEFT(SUBSTITUTE(SUBSTITUTE(SUBSTITUTE(SUBSTITUTE(TRIM($AR727),"-",""),".",""),"/","")," ",""),8),7,2)),"")))</f>
        <v/>
      </c>
      <c r="AT727" s="23">
        <f>IF($AS727="","",IF($F$6="",0,IF(ISNUMBER(INDEX($A:$AP,ROW(),$F$6)),INDEX($A:$AP,ROW(),$F$6),IFERROR(--SUBSTITUTE(SUBSTITUTE(TRIM(INDEX($A:$AP,ROW(),$F$6)),",",""),"원",""),0))))</f>
        <v/>
      </c>
      <c r="AU727" s="23">
        <f>IF($AS727="","",IF($G$6="",0,IF(ISNUMBER(INDEX($A:$AP,ROW(),$G$6)),INDEX($A:$AP,ROW(),$G$6),IFERROR(--SUBSTITUTE(SUBSTITUTE(TRIM(INDEX($A:$AP,ROW(),$G$6)),",",""),"원",""),0))))</f>
        <v/>
      </c>
      <c r="AV727" s="23">
        <f>IF($AS727="","",IF($H$6="",$AT727+$AU727,IF($H$6="",0,IF(ISNUMBER(INDEX($A:$AP,ROW(),$H$6)),INDEX($A:$AP,ROW(),$H$6),IFERROR(--SUBSTITUTE(SUBSTITUTE(TRIM(INDEX($A:$AP,ROW(),$H$6)),",",""),"원",""),0)))))</f>
        <v/>
      </c>
      <c r="AW727" s="2">
        <f>IF(OR($AS727="",$C$6=""),"",TRIM(INDEX($A:$AP,ROW(),$C$6)&amp;""))</f>
        <v/>
      </c>
      <c r="AX727" s="2">
        <f>IF($AS727="","",IF($AZ727&lt;&gt;"",SUBSTITUTE(SUBSTITUTE($AZ727,"-","")," ",""),$AY727))</f>
        <v/>
      </c>
      <c r="AY727" s="2">
        <f>IF(OR($AS727="",$E$6=""),"",TRIM(INDEX($A:$AP,ROW(),$E$6)&amp;""))</f>
        <v/>
      </c>
      <c r="AZ727" s="2">
        <f>IF(OR($AS727="",$D$6=""),"",TRIM(INDEX($A:$AP,ROW(),$D$6)&amp;""))</f>
        <v/>
      </c>
      <c r="BA727" s="2">
        <f>IF($AS727="","",IF(AND($AS727&gt;=설정!$B$10,$AS727&lt;=설정!$B$11),"포함","기간 밖"))</f>
        <v/>
      </c>
      <c r="BB727" s="2">
        <f>IF($AS727="","",IF(OR($AT727&lt;0,AND($I$6&lt;&gt;"",ISNUMBER(FIND("수정",INDEX($A:$AP,ROW(),IF($I$6="",1,$I$6))&amp;"")))),"수정","일반"))</f>
        <v/>
      </c>
      <c r="BC727" s="2">
        <f>IF($AS727="","",MID(IF($BA727="기간 밖"," / 기간 밖(신고기간 아님)","")&amp;IF(AND($AW727&lt;&gt;"",COUNTIF($AW$8:$AW$1007,$AW727)&gt;1)," / 승인번호 중복(두 번 붙여넣기?)","")&amp;IF(ABS($AU727-ROUND($AT727*0.1,0))&gt;설정!$B$8,IF($AU727=0," / 세액 0원(영세율·면세 여부 확인)"," / 세액이 공급가액 10%와 다름"),"")&amp;IF($BB727="수정"," / 수정세금계산서(합계에서 자동 가감)",""),4,200))</f>
        <v/>
      </c>
      <c r="BD727" s="2">
        <f>IF($BA727&lt;&gt;"포함","",IF(COUNTIFS($AX$8:$AX727,$AX727,$BA$8:$BA727,"포함")=1,MAX($BD$7:BD726)+1,""))</f>
        <v/>
      </c>
      <c r="BE727" s="2">
        <f>IF($BC727="","",MAX($BE$7:BE726)+1)</f>
        <v/>
      </c>
    </row>
    <row r="728">
      <c r="AR728" s="2">
        <f>IF(OR($A$5="",$B$6="",ROW()&lt;$A$5),"",IF(INDEX($A:$AP,ROW(),$B$6)="","",INDEX($A:$AP,ROW(),$B$6)))</f>
        <v/>
      </c>
      <c r="AS728" s="22">
        <f>IF($AR728="","",IF(ISNUMBER($AR728),IF($AR728&gt;=10000000,IFERROR(DATE(INT($AR728/10000),MOD(INT($AR728/100),100),MOD($AR728,100)),""),INT($AR728)),IFERROR(DATE(--LEFT(LEFT(SUBSTITUTE(SUBSTITUTE(SUBSTITUTE(SUBSTITUTE(TRIM($AR728),"-",""),".",""),"/","")," ",""),8),4),--MID(LEFT(SUBSTITUTE(SUBSTITUTE(SUBSTITUTE(SUBSTITUTE(TRIM($AR728),"-",""),".",""),"/","")," ",""),8),5,2),--MID(LEFT(SUBSTITUTE(SUBSTITUTE(SUBSTITUTE(SUBSTITUTE(TRIM($AR728),"-",""),".",""),"/","")," ",""),8),7,2)),"")))</f>
        <v/>
      </c>
      <c r="AT728" s="23">
        <f>IF($AS728="","",IF($F$6="",0,IF(ISNUMBER(INDEX($A:$AP,ROW(),$F$6)),INDEX($A:$AP,ROW(),$F$6),IFERROR(--SUBSTITUTE(SUBSTITUTE(TRIM(INDEX($A:$AP,ROW(),$F$6)),",",""),"원",""),0))))</f>
        <v/>
      </c>
      <c r="AU728" s="23">
        <f>IF($AS728="","",IF($G$6="",0,IF(ISNUMBER(INDEX($A:$AP,ROW(),$G$6)),INDEX($A:$AP,ROW(),$G$6),IFERROR(--SUBSTITUTE(SUBSTITUTE(TRIM(INDEX($A:$AP,ROW(),$G$6)),",",""),"원",""),0))))</f>
        <v/>
      </c>
      <c r="AV728" s="23">
        <f>IF($AS728="","",IF($H$6="",$AT728+$AU728,IF($H$6="",0,IF(ISNUMBER(INDEX($A:$AP,ROW(),$H$6)),INDEX($A:$AP,ROW(),$H$6),IFERROR(--SUBSTITUTE(SUBSTITUTE(TRIM(INDEX($A:$AP,ROW(),$H$6)),",",""),"원",""),0)))))</f>
        <v/>
      </c>
      <c r="AW728" s="2">
        <f>IF(OR($AS728="",$C$6=""),"",TRIM(INDEX($A:$AP,ROW(),$C$6)&amp;""))</f>
        <v/>
      </c>
      <c r="AX728" s="2">
        <f>IF($AS728="","",IF($AZ728&lt;&gt;"",SUBSTITUTE(SUBSTITUTE($AZ728,"-","")," ",""),$AY728))</f>
        <v/>
      </c>
      <c r="AY728" s="2">
        <f>IF(OR($AS728="",$E$6=""),"",TRIM(INDEX($A:$AP,ROW(),$E$6)&amp;""))</f>
        <v/>
      </c>
      <c r="AZ728" s="2">
        <f>IF(OR($AS728="",$D$6=""),"",TRIM(INDEX($A:$AP,ROW(),$D$6)&amp;""))</f>
        <v/>
      </c>
      <c r="BA728" s="2">
        <f>IF($AS728="","",IF(AND($AS728&gt;=설정!$B$10,$AS728&lt;=설정!$B$11),"포함","기간 밖"))</f>
        <v/>
      </c>
      <c r="BB728" s="2">
        <f>IF($AS728="","",IF(OR($AT728&lt;0,AND($I$6&lt;&gt;"",ISNUMBER(FIND("수정",INDEX($A:$AP,ROW(),IF($I$6="",1,$I$6))&amp;"")))),"수정","일반"))</f>
        <v/>
      </c>
      <c r="BC728" s="2">
        <f>IF($AS728="","",MID(IF($BA728="기간 밖"," / 기간 밖(신고기간 아님)","")&amp;IF(AND($AW728&lt;&gt;"",COUNTIF($AW$8:$AW$1007,$AW728)&gt;1)," / 승인번호 중복(두 번 붙여넣기?)","")&amp;IF(ABS($AU728-ROUND($AT728*0.1,0))&gt;설정!$B$8,IF($AU728=0," / 세액 0원(영세율·면세 여부 확인)"," / 세액이 공급가액 10%와 다름"),"")&amp;IF($BB728="수정"," / 수정세금계산서(합계에서 자동 가감)",""),4,200))</f>
        <v/>
      </c>
      <c r="BD728" s="2">
        <f>IF($BA728&lt;&gt;"포함","",IF(COUNTIFS($AX$8:$AX728,$AX728,$BA$8:$BA728,"포함")=1,MAX($BD$7:BD727)+1,""))</f>
        <v/>
      </c>
      <c r="BE728" s="2">
        <f>IF($BC728="","",MAX($BE$7:BE727)+1)</f>
        <v/>
      </c>
    </row>
    <row r="729">
      <c r="AR729" s="2">
        <f>IF(OR($A$5="",$B$6="",ROW()&lt;$A$5),"",IF(INDEX($A:$AP,ROW(),$B$6)="","",INDEX($A:$AP,ROW(),$B$6)))</f>
        <v/>
      </c>
      <c r="AS729" s="22">
        <f>IF($AR729="","",IF(ISNUMBER($AR729),IF($AR729&gt;=10000000,IFERROR(DATE(INT($AR729/10000),MOD(INT($AR729/100),100),MOD($AR729,100)),""),INT($AR729)),IFERROR(DATE(--LEFT(LEFT(SUBSTITUTE(SUBSTITUTE(SUBSTITUTE(SUBSTITUTE(TRIM($AR729),"-",""),".",""),"/","")," ",""),8),4),--MID(LEFT(SUBSTITUTE(SUBSTITUTE(SUBSTITUTE(SUBSTITUTE(TRIM($AR729),"-",""),".",""),"/","")," ",""),8),5,2),--MID(LEFT(SUBSTITUTE(SUBSTITUTE(SUBSTITUTE(SUBSTITUTE(TRIM($AR729),"-",""),".",""),"/","")," ",""),8),7,2)),"")))</f>
        <v/>
      </c>
      <c r="AT729" s="23">
        <f>IF($AS729="","",IF($F$6="",0,IF(ISNUMBER(INDEX($A:$AP,ROW(),$F$6)),INDEX($A:$AP,ROW(),$F$6),IFERROR(--SUBSTITUTE(SUBSTITUTE(TRIM(INDEX($A:$AP,ROW(),$F$6)),",",""),"원",""),0))))</f>
        <v/>
      </c>
      <c r="AU729" s="23">
        <f>IF($AS729="","",IF($G$6="",0,IF(ISNUMBER(INDEX($A:$AP,ROW(),$G$6)),INDEX($A:$AP,ROW(),$G$6),IFERROR(--SUBSTITUTE(SUBSTITUTE(TRIM(INDEX($A:$AP,ROW(),$G$6)),",",""),"원",""),0))))</f>
        <v/>
      </c>
      <c r="AV729" s="23">
        <f>IF($AS729="","",IF($H$6="",$AT729+$AU729,IF($H$6="",0,IF(ISNUMBER(INDEX($A:$AP,ROW(),$H$6)),INDEX($A:$AP,ROW(),$H$6),IFERROR(--SUBSTITUTE(SUBSTITUTE(TRIM(INDEX($A:$AP,ROW(),$H$6)),",",""),"원",""),0)))))</f>
        <v/>
      </c>
      <c r="AW729" s="2">
        <f>IF(OR($AS729="",$C$6=""),"",TRIM(INDEX($A:$AP,ROW(),$C$6)&amp;""))</f>
        <v/>
      </c>
      <c r="AX729" s="2">
        <f>IF($AS729="","",IF($AZ729&lt;&gt;"",SUBSTITUTE(SUBSTITUTE($AZ729,"-","")," ",""),$AY729))</f>
        <v/>
      </c>
      <c r="AY729" s="2">
        <f>IF(OR($AS729="",$E$6=""),"",TRIM(INDEX($A:$AP,ROW(),$E$6)&amp;""))</f>
        <v/>
      </c>
      <c r="AZ729" s="2">
        <f>IF(OR($AS729="",$D$6=""),"",TRIM(INDEX($A:$AP,ROW(),$D$6)&amp;""))</f>
        <v/>
      </c>
      <c r="BA729" s="2">
        <f>IF($AS729="","",IF(AND($AS729&gt;=설정!$B$10,$AS729&lt;=설정!$B$11),"포함","기간 밖"))</f>
        <v/>
      </c>
      <c r="BB729" s="2">
        <f>IF($AS729="","",IF(OR($AT729&lt;0,AND($I$6&lt;&gt;"",ISNUMBER(FIND("수정",INDEX($A:$AP,ROW(),IF($I$6="",1,$I$6))&amp;"")))),"수정","일반"))</f>
        <v/>
      </c>
      <c r="BC729" s="2">
        <f>IF($AS729="","",MID(IF($BA729="기간 밖"," / 기간 밖(신고기간 아님)","")&amp;IF(AND($AW729&lt;&gt;"",COUNTIF($AW$8:$AW$1007,$AW729)&gt;1)," / 승인번호 중복(두 번 붙여넣기?)","")&amp;IF(ABS($AU729-ROUND($AT729*0.1,0))&gt;설정!$B$8,IF($AU729=0," / 세액 0원(영세율·면세 여부 확인)"," / 세액이 공급가액 10%와 다름"),"")&amp;IF($BB729="수정"," / 수정세금계산서(합계에서 자동 가감)",""),4,200))</f>
        <v/>
      </c>
      <c r="BD729" s="2">
        <f>IF($BA729&lt;&gt;"포함","",IF(COUNTIFS($AX$8:$AX729,$AX729,$BA$8:$BA729,"포함")=1,MAX($BD$7:BD728)+1,""))</f>
        <v/>
      </c>
      <c r="BE729" s="2">
        <f>IF($BC729="","",MAX($BE$7:BE728)+1)</f>
        <v/>
      </c>
    </row>
    <row r="730">
      <c r="AR730" s="2">
        <f>IF(OR($A$5="",$B$6="",ROW()&lt;$A$5),"",IF(INDEX($A:$AP,ROW(),$B$6)="","",INDEX($A:$AP,ROW(),$B$6)))</f>
        <v/>
      </c>
      <c r="AS730" s="22">
        <f>IF($AR730="","",IF(ISNUMBER($AR730),IF($AR730&gt;=10000000,IFERROR(DATE(INT($AR730/10000),MOD(INT($AR730/100),100),MOD($AR730,100)),""),INT($AR730)),IFERROR(DATE(--LEFT(LEFT(SUBSTITUTE(SUBSTITUTE(SUBSTITUTE(SUBSTITUTE(TRIM($AR730),"-",""),".",""),"/","")," ",""),8),4),--MID(LEFT(SUBSTITUTE(SUBSTITUTE(SUBSTITUTE(SUBSTITUTE(TRIM($AR730),"-",""),".",""),"/","")," ",""),8),5,2),--MID(LEFT(SUBSTITUTE(SUBSTITUTE(SUBSTITUTE(SUBSTITUTE(TRIM($AR730),"-",""),".",""),"/","")," ",""),8),7,2)),"")))</f>
        <v/>
      </c>
      <c r="AT730" s="23">
        <f>IF($AS730="","",IF($F$6="",0,IF(ISNUMBER(INDEX($A:$AP,ROW(),$F$6)),INDEX($A:$AP,ROW(),$F$6),IFERROR(--SUBSTITUTE(SUBSTITUTE(TRIM(INDEX($A:$AP,ROW(),$F$6)),",",""),"원",""),0))))</f>
        <v/>
      </c>
      <c r="AU730" s="23">
        <f>IF($AS730="","",IF($G$6="",0,IF(ISNUMBER(INDEX($A:$AP,ROW(),$G$6)),INDEX($A:$AP,ROW(),$G$6),IFERROR(--SUBSTITUTE(SUBSTITUTE(TRIM(INDEX($A:$AP,ROW(),$G$6)),",",""),"원",""),0))))</f>
        <v/>
      </c>
      <c r="AV730" s="23">
        <f>IF($AS730="","",IF($H$6="",$AT730+$AU730,IF($H$6="",0,IF(ISNUMBER(INDEX($A:$AP,ROW(),$H$6)),INDEX($A:$AP,ROW(),$H$6),IFERROR(--SUBSTITUTE(SUBSTITUTE(TRIM(INDEX($A:$AP,ROW(),$H$6)),",",""),"원",""),0)))))</f>
        <v/>
      </c>
      <c r="AW730" s="2">
        <f>IF(OR($AS730="",$C$6=""),"",TRIM(INDEX($A:$AP,ROW(),$C$6)&amp;""))</f>
        <v/>
      </c>
      <c r="AX730" s="2">
        <f>IF($AS730="","",IF($AZ730&lt;&gt;"",SUBSTITUTE(SUBSTITUTE($AZ730,"-","")," ",""),$AY730))</f>
        <v/>
      </c>
      <c r="AY730" s="2">
        <f>IF(OR($AS730="",$E$6=""),"",TRIM(INDEX($A:$AP,ROW(),$E$6)&amp;""))</f>
        <v/>
      </c>
      <c r="AZ730" s="2">
        <f>IF(OR($AS730="",$D$6=""),"",TRIM(INDEX($A:$AP,ROW(),$D$6)&amp;""))</f>
        <v/>
      </c>
      <c r="BA730" s="2">
        <f>IF($AS730="","",IF(AND($AS730&gt;=설정!$B$10,$AS730&lt;=설정!$B$11),"포함","기간 밖"))</f>
        <v/>
      </c>
      <c r="BB730" s="2">
        <f>IF($AS730="","",IF(OR($AT730&lt;0,AND($I$6&lt;&gt;"",ISNUMBER(FIND("수정",INDEX($A:$AP,ROW(),IF($I$6="",1,$I$6))&amp;"")))),"수정","일반"))</f>
        <v/>
      </c>
      <c r="BC730" s="2">
        <f>IF($AS730="","",MID(IF($BA730="기간 밖"," / 기간 밖(신고기간 아님)","")&amp;IF(AND($AW730&lt;&gt;"",COUNTIF($AW$8:$AW$1007,$AW730)&gt;1)," / 승인번호 중복(두 번 붙여넣기?)","")&amp;IF(ABS($AU730-ROUND($AT730*0.1,0))&gt;설정!$B$8,IF($AU730=0," / 세액 0원(영세율·면세 여부 확인)"," / 세액이 공급가액 10%와 다름"),"")&amp;IF($BB730="수정"," / 수정세금계산서(합계에서 자동 가감)",""),4,200))</f>
        <v/>
      </c>
      <c r="BD730" s="2">
        <f>IF($BA730&lt;&gt;"포함","",IF(COUNTIFS($AX$8:$AX730,$AX730,$BA$8:$BA730,"포함")=1,MAX($BD$7:BD729)+1,""))</f>
        <v/>
      </c>
      <c r="BE730" s="2">
        <f>IF($BC730="","",MAX($BE$7:BE729)+1)</f>
        <v/>
      </c>
    </row>
    <row r="731">
      <c r="AR731" s="2">
        <f>IF(OR($A$5="",$B$6="",ROW()&lt;$A$5),"",IF(INDEX($A:$AP,ROW(),$B$6)="","",INDEX($A:$AP,ROW(),$B$6)))</f>
        <v/>
      </c>
      <c r="AS731" s="22">
        <f>IF($AR731="","",IF(ISNUMBER($AR731),IF($AR731&gt;=10000000,IFERROR(DATE(INT($AR731/10000),MOD(INT($AR731/100),100),MOD($AR731,100)),""),INT($AR731)),IFERROR(DATE(--LEFT(LEFT(SUBSTITUTE(SUBSTITUTE(SUBSTITUTE(SUBSTITUTE(TRIM($AR731),"-",""),".",""),"/","")," ",""),8),4),--MID(LEFT(SUBSTITUTE(SUBSTITUTE(SUBSTITUTE(SUBSTITUTE(TRIM($AR731),"-",""),".",""),"/","")," ",""),8),5,2),--MID(LEFT(SUBSTITUTE(SUBSTITUTE(SUBSTITUTE(SUBSTITUTE(TRIM($AR731),"-",""),".",""),"/","")," ",""),8),7,2)),"")))</f>
        <v/>
      </c>
      <c r="AT731" s="23">
        <f>IF($AS731="","",IF($F$6="",0,IF(ISNUMBER(INDEX($A:$AP,ROW(),$F$6)),INDEX($A:$AP,ROW(),$F$6),IFERROR(--SUBSTITUTE(SUBSTITUTE(TRIM(INDEX($A:$AP,ROW(),$F$6)),",",""),"원",""),0))))</f>
        <v/>
      </c>
      <c r="AU731" s="23">
        <f>IF($AS731="","",IF($G$6="",0,IF(ISNUMBER(INDEX($A:$AP,ROW(),$G$6)),INDEX($A:$AP,ROW(),$G$6),IFERROR(--SUBSTITUTE(SUBSTITUTE(TRIM(INDEX($A:$AP,ROW(),$G$6)),",",""),"원",""),0))))</f>
        <v/>
      </c>
      <c r="AV731" s="23">
        <f>IF($AS731="","",IF($H$6="",$AT731+$AU731,IF($H$6="",0,IF(ISNUMBER(INDEX($A:$AP,ROW(),$H$6)),INDEX($A:$AP,ROW(),$H$6),IFERROR(--SUBSTITUTE(SUBSTITUTE(TRIM(INDEX($A:$AP,ROW(),$H$6)),",",""),"원",""),0)))))</f>
        <v/>
      </c>
      <c r="AW731" s="2">
        <f>IF(OR($AS731="",$C$6=""),"",TRIM(INDEX($A:$AP,ROW(),$C$6)&amp;""))</f>
        <v/>
      </c>
      <c r="AX731" s="2">
        <f>IF($AS731="","",IF($AZ731&lt;&gt;"",SUBSTITUTE(SUBSTITUTE($AZ731,"-","")," ",""),$AY731))</f>
        <v/>
      </c>
      <c r="AY731" s="2">
        <f>IF(OR($AS731="",$E$6=""),"",TRIM(INDEX($A:$AP,ROW(),$E$6)&amp;""))</f>
        <v/>
      </c>
      <c r="AZ731" s="2">
        <f>IF(OR($AS731="",$D$6=""),"",TRIM(INDEX($A:$AP,ROW(),$D$6)&amp;""))</f>
        <v/>
      </c>
      <c r="BA731" s="2">
        <f>IF($AS731="","",IF(AND($AS731&gt;=설정!$B$10,$AS731&lt;=설정!$B$11),"포함","기간 밖"))</f>
        <v/>
      </c>
      <c r="BB731" s="2">
        <f>IF($AS731="","",IF(OR($AT731&lt;0,AND($I$6&lt;&gt;"",ISNUMBER(FIND("수정",INDEX($A:$AP,ROW(),IF($I$6="",1,$I$6))&amp;"")))),"수정","일반"))</f>
        <v/>
      </c>
      <c r="BC731" s="2">
        <f>IF($AS731="","",MID(IF($BA731="기간 밖"," / 기간 밖(신고기간 아님)","")&amp;IF(AND($AW731&lt;&gt;"",COUNTIF($AW$8:$AW$1007,$AW731)&gt;1)," / 승인번호 중복(두 번 붙여넣기?)","")&amp;IF(ABS($AU731-ROUND($AT731*0.1,0))&gt;설정!$B$8,IF($AU731=0," / 세액 0원(영세율·면세 여부 확인)"," / 세액이 공급가액 10%와 다름"),"")&amp;IF($BB731="수정"," / 수정세금계산서(합계에서 자동 가감)",""),4,200))</f>
        <v/>
      </c>
      <c r="BD731" s="2">
        <f>IF($BA731&lt;&gt;"포함","",IF(COUNTIFS($AX$8:$AX731,$AX731,$BA$8:$BA731,"포함")=1,MAX($BD$7:BD730)+1,""))</f>
        <v/>
      </c>
      <c r="BE731" s="2">
        <f>IF($BC731="","",MAX($BE$7:BE730)+1)</f>
        <v/>
      </c>
    </row>
    <row r="732">
      <c r="AR732" s="2">
        <f>IF(OR($A$5="",$B$6="",ROW()&lt;$A$5),"",IF(INDEX($A:$AP,ROW(),$B$6)="","",INDEX($A:$AP,ROW(),$B$6)))</f>
        <v/>
      </c>
      <c r="AS732" s="22">
        <f>IF($AR732="","",IF(ISNUMBER($AR732),IF($AR732&gt;=10000000,IFERROR(DATE(INT($AR732/10000),MOD(INT($AR732/100),100),MOD($AR732,100)),""),INT($AR732)),IFERROR(DATE(--LEFT(LEFT(SUBSTITUTE(SUBSTITUTE(SUBSTITUTE(SUBSTITUTE(TRIM($AR732),"-",""),".",""),"/","")," ",""),8),4),--MID(LEFT(SUBSTITUTE(SUBSTITUTE(SUBSTITUTE(SUBSTITUTE(TRIM($AR732),"-",""),".",""),"/","")," ",""),8),5,2),--MID(LEFT(SUBSTITUTE(SUBSTITUTE(SUBSTITUTE(SUBSTITUTE(TRIM($AR732),"-",""),".",""),"/","")," ",""),8),7,2)),"")))</f>
        <v/>
      </c>
      <c r="AT732" s="23">
        <f>IF($AS732="","",IF($F$6="",0,IF(ISNUMBER(INDEX($A:$AP,ROW(),$F$6)),INDEX($A:$AP,ROW(),$F$6),IFERROR(--SUBSTITUTE(SUBSTITUTE(TRIM(INDEX($A:$AP,ROW(),$F$6)),",",""),"원",""),0))))</f>
        <v/>
      </c>
      <c r="AU732" s="23">
        <f>IF($AS732="","",IF($G$6="",0,IF(ISNUMBER(INDEX($A:$AP,ROW(),$G$6)),INDEX($A:$AP,ROW(),$G$6),IFERROR(--SUBSTITUTE(SUBSTITUTE(TRIM(INDEX($A:$AP,ROW(),$G$6)),",",""),"원",""),0))))</f>
        <v/>
      </c>
      <c r="AV732" s="23">
        <f>IF($AS732="","",IF($H$6="",$AT732+$AU732,IF($H$6="",0,IF(ISNUMBER(INDEX($A:$AP,ROW(),$H$6)),INDEX($A:$AP,ROW(),$H$6),IFERROR(--SUBSTITUTE(SUBSTITUTE(TRIM(INDEX($A:$AP,ROW(),$H$6)),",",""),"원",""),0)))))</f>
        <v/>
      </c>
      <c r="AW732" s="2">
        <f>IF(OR($AS732="",$C$6=""),"",TRIM(INDEX($A:$AP,ROW(),$C$6)&amp;""))</f>
        <v/>
      </c>
      <c r="AX732" s="2">
        <f>IF($AS732="","",IF($AZ732&lt;&gt;"",SUBSTITUTE(SUBSTITUTE($AZ732,"-","")," ",""),$AY732))</f>
        <v/>
      </c>
      <c r="AY732" s="2">
        <f>IF(OR($AS732="",$E$6=""),"",TRIM(INDEX($A:$AP,ROW(),$E$6)&amp;""))</f>
        <v/>
      </c>
      <c r="AZ732" s="2">
        <f>IF(OR($AS732="",$D$6=""),"",TRIM(INDEX($A:$AP,ROW(),$D$6)&amp;""))</f>
        <v/>
      </c>
      <c r="BA732" s="2">
        <f>IF($AS732="","",IF(AND($AS732&gt;=설정!$B$10,$AS732&lt;=설정!$B$11),"포함","기간 밖"))</f>
        <v/>
      </c>
      <c r="BB732" s="2">
        <f>IF($AS732="","",IF(OR($AT732&lt;0,AND($I$6&lt;&gt;"",ISNUMBER(FIND("수정",INDEX($A:$AP,ROW(),IF($I$6="",1,$I$6))&amp;"")))),"수정","일반"))</f>
        <v/>
      </c>
      <c r="BC732" s="2">
        <f>IF($AS732="","",MID(IF($BA732="기간 밖"," / 기간 밖(신고기간 아님)","")&amp;IF(AND($AW732&lt;&gt;"",COUNTIF($AW$8:$AW$1007,$AW732)&gt;1)," / 승인번호 중복(두 번 붙여넣기?)","")&amp;IF(ABS($AU732-ROUND($AT732*0.1,0))&gt;설정!$B$8,IF($AU732=0," / 세액 0원(영세율·면세 여부 확인)"," / 세액이 공급가액 10%와 다름"),"")&amp;IF($BB732="수정"," / 수정세금계산서(합계에서 자동 가감)",""),4,200))</f>
        <v/>
      </c>
      <c r="BD732" s="2">
        <f>IF($BA732&lt;&gt;"포함","",IF(COUNTIFS($AX$8:$AX732,$AX732,$BA$8:$BA732,"포함")=1,MAX($BD$7:BD731)+1,""))</f>
        <v/>
      </c>
      <c r="BE732" s="2">
        <f>IF($BC732="","",MAX($BE$7:BE731)+1)</f>
        <v/>
      </c>
    </row>
    <row r="733">
      <c r="AR733" s="2">
        <f>IF(OR($A$5="",$B$6="",ROW()&lt;$A$5),"",IF(INDEX($A:$AP,ROW(),$B$6)="","",INDEX($A:$AP,ROW(),$B$6)))</f>
        <v/>
      </c>
      <c r="AS733" s="22">
        <f>IF($AR733="","",IF(ISNUMBER($AR733),IF($AR733&gt;=10000000,IFERROR(DATE(INT($AR733/10000),MOD(INT($AR733/100),100),MOD($AR733,100)),""),INT($AR733)),IFERROR(DATE(--LEFT(LEFT(SUBSTITUTE(SUBSTITUTE(SUBSTITUTE(SUBSTITUTE(TRIM($AR733),"-",""),".",""),"/","")," ",""),8),4),--MID(LEFT(SUBSTITUTE(SUBSTITUTE(SUBSTITUTE(SUBSTITUTE(TRIM($AR733),"-",""),".",""),"/","")," ",""),8),5,2),--MID(LEFT(SUBSTITUTE(SUBSTITUTE(SUBSTITUTE(SUBSTITUTE(TRIM($AR733),"-",""),".",""),"/","")," ",""),8),7,2)),"")))</f>
        <v/>
      </c>
      <c r="AT733" s="23">
        <f>IF($AS733="","",IF($F$6="",0,IF(ISNUMBER(INDEX($A:$AP,ROW(),$F$6)),INDEX($A:$AP,ROW(),$F$6),IFERROR(--SUBSTITUTE(SUBSTITUTE(TRIM(INDEX($A:$AP,ROW(),$F$6)),",",""),"원",""),0))))</f>
        <v/>
      </c>
      <c r="AU733" s="23">
        <f>IF($AS733="","",IF($G$6="",0,IF(ISNUMBER(INDEX($A:$AP,ROW(),$G$6)),INDEX($A:$AP,ROW(),$G$6),IFERROR(--SUBSTITUTE(SUBSTITUTE(TRIM(INDEX($A:$AP,ROW(),$G$6)),",",""),"원",""),0))))</f>
        <v/>
      </c>
      <c r="AV733" s="23">
        <f>IF($AS733="","",IF($H$6="",$AT733+$AU733,IF($H$6="",0,IF(ISNUMBER(INDEX($A:$AP,ROW(),$H$6)),INDEX($A:$AP,ROW(),$H$6),IFERROR(--SUBSTITUTE(SUBSTITUTE(TRIM(INDEX($A:$AP,ROW(),$H$6)),",",""),"원",""),0)))))</f>
        <v/>
      </c>
      <c r="AW733" s="2">
        <f>IF(OR($AS733="",$C$6=""),"",TRIM(INDEX($A:$AP,ROW(),$C$6)&amp;""))</f>
        <v/>
      </c>
      <c r="AX733" s="2">
        <f>IF($AS733="","",IF($AZ733&lt;&gt;"",SUBSTITUTE(SUBSTITUTE($AZ733,"-","")," ",""),$AY733))</f>
        <v/>
      </c>
      <c r="AY733" s="2">
        <f>IF(OR($AS733="",$E$6=""),"",TRIM(INDEX($A:$AP,ROW(),$E$6)&amp;""))</f>
        <v/>
      </c>
      <c r="AZ733" s="2">
        <f>IF(OR($AS733="",$D$6=""),"",TRIM(INDEX($A:$AP,ROW(),$D$6)&amp;""))</f>
        <v/>
      </c>
      <c r="BA733" s="2">
        <f>IF($AS733="","",IF(AND($AS733&gt;=설정!$B$10,$AS733&lt;=설정!$B$11),"포함","기간 밖"))</f>
        <v/>
      </c>
      <c r="BB733" s="2">
        <f>IF($AS733="","",IF(OR($AT733&lt;0,AND($I$6&lt;&gt;"",ISNUMBER(FIND("수정",INDEX($A:$AP,ROW(),IF($I$6="",1,$I$6))&amp;"")))),"수정","일반"))</f>
        <v/>
      </c>
      <c r="BC733" s="2">
        <f>IF($AS733="","",MID(IF($BA733="기간 밖"," / 기간 밖(신고기간 아님)","")&amp;IF(AND($AW733&lt;&gt;"",COUNTIF($AW$8:$AW$1007,$AW733)&gt;1)," / 승인번호 중복(두 번 붙여넣기?)","")&amp;IF(ABS($AU733-ROUND($AT733*0.1,0))&gt;설정!$B$8,IF($AU733=0," / 세액 0원(영세율·면세 여부 확인)"," / 세액이 공급가액 10%와 다름"),"")&amp;IF($BB733="수정"," / 수정세금계산서(합계에서 자동 가감)",""),4,200))</f>
        <v/>
      </c>
      <c r="BD733" s="2">
        <f>IF($BA733&lt;&gt;"포함","",IF(COUNTIFS($AX$8:$AX733,$AX733,$BA$8:$BA733,"포함")=1,MAX($BD$7:BD732)+1,""))</f>
        <v/>
      </c>
      <c r="BE733" s="2">
        <f>IF($BC733="","",MAX($BE$7:BE732)+1)</f>
        <v/>
      </c>
    </row>
    <row r="734">
      <c r="AR734" s="2">
        <f>IF(OR($A$5="",$B$6="",ROW()&lt;$A$5),"",IF(INDEX($A:$AP,ROW(),$B$6)="","",INDEX($A:$AP,ROW(),$B$6)))</f>
        <v/>
      </c>
      <c r="AS734" s="22">
        <f>IF($AR734="","",IF(ISNUMBER($AR734),IF($AR734&gt;=10000000,IFERROR(DATE(INT($AR734/10000),MOD(INT($AR734/100),100),MOD($AR734,100)),""),INT($AR734)),IFERROR(DATE(--LEFT(LEFT(SUBSTITUTE(SUBSTITUTE(SUBSTITUTE(SUBSTITUTE(TRIM($AR734),"-",""),".",""),"/","")," ",""),8),4),--MID(LEFT(SUBSTITUTE(SUBSTITUTE(SUBSTITUTE(SUBSTITUTE(TRIM($AR734),"-",""),".",""),"/","")," ",""),8),5,2),--MID(LEFT(SUBSTITUTE(SUBSTITUTE(SUBSTITUTE(SUBSTITUTE(TRIM($AR734),"-",""),".",""),"/","")," ",""),8),7,2)),"")))</f>
        <v/>
      </c>
      <c r="AT734" s="23">
        <f>IF($AS734="","",IF($F$6="",0,IF(ISNUMBER(INDEX($A:$AP,ROW(),$F$6)),INDEX($A:$AP,ROW(),$F$6),IFERROR(--SUBSTITUTE(SUBSTITUTE(TRIM(INDEX($A:$AP,ROW(),$F$6)),",",""),"원",""),0))))</f>
        <v/>
      </c>
      <c r="AU734" s="23">
        <f>IF($AS734="","",IF($G$6="",0,IF(ISNUMBER(INDEX($A:$AP,ROW(),$G$6)),INDEX($A:$AP,ROW(),$G$6),IFERROR(--SUBSTITUTE(SUBSTITUTE(TRIM(INDEX($A:$AP,ROW(),$G$6)),",",""),"원",""),0))))</f>
        <v/>
      </c>
      <c r="AV734" s="23">
        <f>IF($AS734="","",IF($H$6="",$AT734+$AU734,IF($H$6="",0,IF(ISNUMBER(INDEX($A:$AP,ROW(),$H$6)),INDEX($A:$AP,ROW(),$H$6),IFERROR(--SUBSTITUTE(SUBSTITUTE(TRIM(INDEX($A:$AP,ROW(),$H$6)),",",""),"원",""),0)))))</f>
        <v/>
      </c>
      <c r="AW734" s="2">
        <f>IF(OR($AS734="",$C$6=""),"",TRIM(INDEX($A:$AP,ROW(),$C$6)&amp;""))</f>
        <v/>
      </c>
      <c r="AX734" s="2">
        <f>IF($AS734="","",IF($AZ734&lt;&gt;"",SUBSTITUTE(SUBSTITUTE($AZ734,"-","")," ",""),$AY734))</f>
        <v/>
      </c>
      <c r="AY734" s="2">
        <f>IF(OR($AS734="",$E$6=""),"",TRIM(INDEX($A:$AP,ROW(),$E$6)&amp;""))</f>
        <v/>
      </c>
      <c r="AZ734" s="2">
        <f>IF(OR($AS734="",$D$6=""),"",TRIM(INDEX($A:$AP,ROW(),$D$6)&amp;""))</f>
        <v/>
      </c>
      <c r="BA734" s="2">
        <f>IF($AS734="","",IF(AND($AS734&gt;=설정!$B$10,$AS734&lt;=설정!$B$11),"포함","기간 밖"))</f>
        <v/>
      </c>
      <c r="BB734" s="2">
        <f>IF($AS734="","",IF(OR($AT734&lt;0,AND($I$6&lt;&gt;"",ISNUMBER(FIND("수정",INDEX($A:$AP,ROW(),IF($I$6="",1,$I$6))&amp;"")))),"수정","일반"))</f>
        <v/>
      </c>
      <c r="BC734" s="2">
        <f>IF($AS734="","",MID(IF($BA734="기간 밖"," / 기간 밖(신고기간 아님)","")&amp;IF(AND($AW734&lt;&gt;"",COUNTIF($AW$8:$AW$1007,$AW734)&gt;1)," / 승인번호 중복(두 번 붙여넣기?)","")&amp;IF(ABS($AU734-ROUND($AT734*0.1,0))&gt;설정!$B$8,IF($AU734=0," / 세액 0원(영세율·면세 여부 확인)"," / 세액이 공급가액 10%와 다름"),"")&amp;IF($BB734="수정"," / 수정세금계산서(합계에서 자동 가감)",""),4,200))</f>
        <v/>
      </c>
      <c r="BD734" s="2">
        <f>IF($BA734&lt;&gt;"포함","",IF(COUNTIFS($AX$8:$AX734,$AX734,$BA$8:$BA734,"포함")=1,MAX($BD$7:BD733)+1,""))</f>
        <v/>
      </c>
      <c r="BE734" s="2">
        <f>IF($BC734="","",MAX($BE$7:BE733)+1)</f>
        <v/>
      </c>
    </row>
    <row r="735">
      <c r="AR735" s="2">
        <f>IF(OR($A$5="",$B$6="",ROW()&lt;$A$5),"",IF(INDEX($A:$AP,ROW(),$B$6)="","",INDEX($A:$AP,ROW(),$B$6)))</f>
        <v/>
      </c>
      <c r="AS735" s="22">
        <f>IF($AR735="","",IF(ISNUMBER($AR735),IF($AR735&gt;=10000000,IFERROR(DATE(INT($AR735/10000),MOD(INT($AR735/100),100),MOD($AR735,100)),""),INT($AR735)),IFERROR(DATE(--LEFT(LEFT(SUBSTITUTE(SUBSTITUTE(SUBSTITUTE(SUBSTITUTE(TRIM($AR735),"-",""),".",""),"/","")," ",""),8),4),--MID(LEFT(SUBSTITUTE(SUBSTITUTE(SUBSTITUTE(SUBSTITUTE(TRIM($AR735),"-",""),".",""),"/","")," ",""),8),5,2),--MID(LEFT(SUBSTITUTE(SUBSTITUTE(SUBSTITUTE(SUBSTITUTE(TRIM($AR735),"-",""),".",""),"/","")," ",""),8),7,2)),"")))</f>
        <v/>
      </c>
      <c r="AT735" s="23">
        <f>IF($AS735="","",IF($F$6="",0,IF(ISNUMBER(INDEX($A:$AP,ROW(),$F$6)),INDEX($A:$AP,ROW(),$F$6),IFERROR(--SUBSTITUTE(SUBSTITUTE(TRIM(INDEX($A:$AP,ROW(),$F$6)),",",""),"원",""),0))))</f>
        <v/>
      </c>
      <c r="AU735" s="23">
        <f>IF($AS735="","",IF($G$6="",0,IF(ISNUMBER(INDEX($A:$AP,ROW(),$G$6)),INDEX($A:$AP,ROW(),$G$6),IFERROR(--SUBSTITUTE(SUBSTITUTE(TRIM(INDEX($A:$AP,ROW(),$G$6)),",",""),"원",""),0))))</f>
        <v/>
      </c>
      <c r="AV735" s="23">
        <f>IF($AS735="","",IF($H$6="",$AT735+$AU735,IF($H$6="",0,IF(ISNUMBER(INDEX($A:$AP,ROW(),$H$6)),INDEX($A:$AP,ROW(),$H$6),IFERROR(--SUBSTITUTE(SUBSTITUTE(TRIM(INDEX($A:$AP,ROW(),$H$6)),",",""),"원",""),0)))))</f>
        <v/>
      </c>
      <c r="AW735" s="2">
        <f>IF(OR($AS735="",$C$6=""),"",TRIM(INDEX($A:$AP,ROW(),$C$6)&amp;""))</f>
        <v/>
      </c>
      <c r="AX735" s="2">
        <f>IF($AS735="","",IF($AZ735&lt;&gt;"",SUBSTITUTE(SUBSTITUTE($AZ735,"-","")," ",""),$AY735))</f>
        <v/>
      </c>
      <c r="AY735" s="2">
        <f>IF(OR($AS735="",$E$6=""),"",TRIM(INDEX($A:$AP,ROW(),$E$6)&amp;""))</f>
        <v/>
      </c>
      <c r="AZ735" s="2">
        <f>IF(OR($AS735="",$D$6=""),"",TRIM(INDEX($A:$AP,ROW(),$D$6)&amp;""))</f>
        <v/>
      </c>
      <c r="BA735" s="2">
        <f>IF($AS735="","",IF(AND($AS735&gt;=설정!$B$10,$AS735&lt;=설정!$B$11),"포함","기간 밖"))</f>
        <v/>
      </c>
      <c r="BB735" s="2">
        <f>IF($AS735="","",IF(OR($AT735&lt;0,AND($I$6&lt;&gt;"",ISNUMBER(FIND("수정",INDEX($A:$AP,ROW(),IF($I$6="",1,$I$6))&amp;"")))),"수정","일반"))</f>
        <v/>
      </c>
      <c r="BC735" s="2">
        <f>IF($AS735="","",MID(IF($BA735="기간 밖"," / 기간 밖(신고기간 아님)","")&amp;IF(AND($AW735&lt;&gt;"",COUNTIF($AW$8:$AW$1007,$AW735)&gt;1)," / 승인번호 중복(두 번 붙여넣기?)","")&amp;IF(ABS($AU735-ROUND($AT735*0.1,0))&gt;설정!$B$8,IF($AU735=0," / 세액 0원(영세율·면세 여부 확인)"," / 세액이 공급가액 10%와 다름"),"")&amp;IF($BB735="수정"," / 수정세금계산서(합계에서 자동 가감)",""),4,200))</f>
        <v/>
      </c>
      <c r="BD735" s="2">
        <f>IF($BA735&lt;&gt;"포함","",IF(COUNTIFS($AX$8:$AX735,$AX735,$BA$8:$BA735,"포함")=1,MAX($BD$7:BD734)+1,""))</f>
        <v/>
      </c>
      <c r="BE735" s="2">
        <f>IF($BC735="","",MAX($BE$7:BE734)+1)</f>
        <v/>
      </c>
    </row>
    <row r="736">
      <c r="AR736" s="2">
        <f>IF(OR($A$5="",$B$6="",ROW()&lt;$A$5),"",IF(INDEX($A:$AP,ROW(),$B$6)="","",INDEX($A:$AP,ROW(),$B$6)))</f>
        <v/>
      </c>
      <c r="AS736" s="22">
        <f>IF($AR736="","",IF(ISNUMBER($AR736),IF($AR736&gt;=10000000,IFERROR(DATE(INT($AR736/10000),MOD(INT($AR736/100),100),MOD($AR736,100)),""),INT($AR736)),IFERROR(DATE(--LEFT(LEFT(SUBSTITUTE(SUBSTITUTE(SUBSTITUTE(SUBSTITUTE(TRIM($AR736),"-",""),".",""),"/","")," ",""),8),4),--MID(LEFT(SUBSTITUTE(SUBSTITUTE(SUBSTITUTE(SUBSTITUTE(TRIM($AR736),"-",""),".",""),"/","")," ",""),8),5,2),--MID(LEFT(SUBSTITUTE(SUBSTITUTE(SUBSTITUTE(SUBSTITUTE(TRIM($AR736),"-",""),".",""),"/","")," ",""),8),7,2)),"")))</f>
        <v/>
      </c>
      <c r="AT736" s="23">
        <f>IF($AS736="","",IF($F$6="",0,IF(ISNUMBER(INDEX($A:$AP,ROW(),$F$6)),INDEX($A:$AP,ROW(),$F$6),IFERROR(--SUBSTITUTE(SUBSTITUTE(TRIM(INDEX($A:$AP,ROW(),$F$6)),",",""),"원",""),0))))</f>
        <v/>
      </c>
      <c r="AU736" s="23">
        <f>IF($AS736="","",IF($G$6="",0,IF(ISNUMBER(INDEX($A:$AP,ROW(),$G$6)),INDEX($A:$AP,ROW(),$G$6),IFERROR(--SUBSTITUTE(SUBSTITUTE(TRIM(INDEX($A:$AP,ROW(),$G$6)),",",""),"원",""),0))))</f>
        <v/>
      </c>
      <c r="AV736" s="23">
        <f>IF($AS736="","",IF($H$6="",$AT736+$AU736,IF($H$6="",0,IF(ISNUMBER(INDEX($A:$AP,ROW(),$H$6)),INDEX($A:$AP,ROW(),$H$6),IFERROR(--SUBSTITUTE(SUBSTITUTE(TRIM(INDEX($A:$AP,ROW(),$H$6)),",",""),"원",""),0)))))</f>
        <v/>
      </c>
      <c r="AW736" s="2">
        <f>IF(OR($AS736="",$C$6=""),"",TRIM(INDEX($A:$AP,ROW(),$C$6)&amp;""))</f>
        <v/>
      </c>
      <c r="AX736" s="2">
        <f>IF($AS736="","",IF($AZ736&lt;&gt;"",SUBSTITUTE(SUBSTITUTE($AZ736,"-","")," ",""),$AY736))</f>
        <v/>
      </c>
      <c r="AY736" s="2">
        <f>IF(OR($AS736="",$E$6=""),"",TRIM(INDEX($A:$AP,ROW(),$E$6)&amp;""))</f>
        <v/>
      </c>
      <c r="AZ736" s="2">
        <f>IF(OR($AS736="",$D$6=""),"",TRIM(INDEX($A:$AP,ROW(),$D$6)&amp;""))</f>
        <v/>
      </c>
      <c r="BA736" s="2">
        <f>IF($AS736="","",IF(AND($AS736&gt;=설정!$B$10,$AS736&lt;=설정!$B$11),"포함","기간 밖"))</f>
        <v/>
      </c>
      <c r="BB736" s="2">
        <f>IF($AS736="","",IF(OR($AT736&lt;0,AND($I$6&lt;&gt;"",ISNUMBER(FIND("수정",INDEX($A:$AP,ROW(),IF($I$6="",1,$I$6))&amp;"")))),"수정","일반"))</f>
        <v/>
      </c>
      <c r="BC736" s="2">
        <f>IF($AS736="","",MID(IF($BA736="기간 밖"," / 기간 밖(신고기간 아님)","")&amp;IF(AND($AW736&lt;&gt;"",COUNTIF($AW$8:$AW$1007,$AW736)&gt;1)," / 승인번호 중복(두 번 붙여넣기?)","")&amp;IF(ABS($AU736-ROUND($AT736*0.1,0))&gt;설정!$B$8,IF($AU736=0," / 세액 0원(영세율·면세 여부 확인)"," / 세액이 공급가액 10%와 다름"),"")&amp;IF($BB736="수정"," / 수정세금계산서(합계에서 자동 가감)",""),4,200))</f>
        <v/>
      </c>
      <c r="BD736" s="2">
        <f>IF($BA736&lt;&gt;"포함","",IF(COUNTIFS($AX$8:$AX736,$AX736,$BA$8:$BA736,"포함")=1,MAX($BD$7:BD735)+1,""))</f>
        <v/>
      </c>
      <c r="BE736" s="2">
        <f>IF($BC736="","",MAX($BE$7:BE735)+1)</f>
        <v/>
      </c>
    </row>
    <row r="737">
      <c r="AR737" s="2">
        <f>IF(OR($A$5="",$B$6="",ROW()&lt;$A$5),"",IF(INDEX($A:$AP,ROW(),$B$6)="","",INDEX($A:$AP,ROW(),$B$6)))</f>
        <v/>
      </c>
      <c r="AS737" s="22">
        <f>IF($AR737="","",IF(ISNUMBER($AR737),IF($AR737&gt;=10000000,IFERROR(DATE(INT($AR737/10000),MOD(INT($AR737/100),100),MOD($AR737,100)),""),INT($AR737)),IFERROR(DATE(--LEFT(LEFT(SUBSTITUTE(SUBSTITUTE(SUBSTITUTE(SUBSTITUTE(TRIM($AR737),"-",""),".",""),"/","")," ",""),8),4),--MID(LEFT(SUBSTITUTE(SUBSTITUTE(SUBSTITUTE(SUBSTITUTE(TRIM($AR737),"-",""),".",""),"/","")," ",""),8),5,2),--MID(LEFT(SUBSTITUTE(SUBSTITUTE(SUBSTITUTE(SUBSTITUTE(TRIM($AR737),"-",""),".",""),"/","")," ",""),8),7,2)),"")))</f>
        <v/>
      </c>
      <c r="AT737" s="23">
        <f>IF($AS737="","",IF($F$6="",0,IF(ISNUMBER(INDEX($A:$AP,ROW(),$F$6)),INDEX($A:$AP,ROW(),$F$6),IFERROR(--SUBSTITUTE(SUBSTITUTE(TRIM(INDEX($A:$AP,ROW(),$F$6)),",",""),"원",""),0))))</f>
        <v/>
      </c>
      <c r="AU737" s="23">
        <f>IF($AS737="","",IF($G$6="",0,IF(ISNUMBER(INDEX($A:$AP,ROW(),$G$6)),INDEX($A:$AP,ROW(),$G$6),IFERROR(--SUBSTITUTE(SUBSTITUTE(TRIM(INDEX($A:$AP,ROW(),$G$6)),",",""),"원",""),0))))</f>
        <v/>
      </c>
      <c r="AV737" s="23">
        <f>IF($AS737="","",IF($H$6="",$AT737+$AU737,IF($H$6="",0,IF(ISNUMBER(INDEX($A:$AP,ROW(),$H$6)),INDEX($A:$AP,ROW(),$H$6),IFERROR(--SUBSTITUTE(SUBSTITUTE(TRIM(INDEX($A:$AP,ROW(),$H$6)),",",""),"원",""),0)))))</f>
        <v/>
      </c>
      <c r="AW737" s="2">
        <f>IF(OR($AS737="",$C$6=""),"",TRIM(INDEX($A:$AP,ROW(),$C$6)&amp;""))</f>
        <v/>
      </c>
      <c r="AX737" s="2">
        <f>IF($AS737="","",IF($AZ737&lt;&gt;"",SUBSTITUTE(SUBSTITUTE($AZ737,"-","")," ",""),$AY737))</f>
        <v/>
      </c>
      <c r="AY737" s="2">
        <f>IF(OR($AS737="",$E$6=""),"",TRIM(INDEX($A:$AP,ROW(),$E$6)&amp;""))</f>
        <v/>
      </c>
      <c r="AZ737" s="2">
        <f>IF(OR($AS737="",$D$6=""),"",TRIM(INDEX($A:$AP,ROW(),$D$6)&amp;""))</f>
        <v/>
      </c>
      <c r="BA737" s="2">
        <f>IF($AS737="","",IF(AND($AS737&gt;=설정!$B$10,$AS737&lt;=설정!$B$11),"포함","기간 밖"))</f>
        <v/>
      </c>
      <c r="BB737" s="2">
        <f>IF($AS737="","",IF(OR($AT737&lt;0,AND($I$6&lt;&gt;"",ISNUMBER(FIND("수정",INDEX($A:$AP,ROW(),IF($I$6="",1,$I$6))&amp;"")))),"수정","일반"))</f>
        <v/>
      </c>
      <c r="BC737" s="2">
        <f>IF($AS737="","",MID(IF($BA737="기간 밖"," / 기간 밖(신고기간 아님)","")&amp;IF(AND($AW737&lt;&gt;"",COUNTIF($AW$8:$AW$1007,$AW737)&gt;1)," / 승인번호 중복(두 번 붙여넣기?)","")&amp;IF(ABS($AU737-ROUND($AT737*0.1,0))&gt;설정!$B$8,IF($AU737=0," / 세액 0원(영세율·면세 여부 확인)"," / 세액이 공급가액 10%와 다름"),"")&amp;IF($BB737="수정"," / 수정세금계산서(합계에서 자동 가감)",""),4,200))</f>
        <v/>
      </c>
      <c r="BD737" s="2">
        <f>IF($BA737&lt;&gt;"포함","",IF(COUNTIFS($AX$8:$AX737,$AX737,$BA$8:$BA737,"포함")=1,MAX($BD$7:BD736)+1,""))</f>
        <v/>
      </c>
      <c r="BE737" s="2">
        <f>IF($BC737="","",MAX($BE$7:BE736)+1)</f>
        <v/>
      </c>
    </row>
    <row r="738">
      <c r="AR738" s="2">
        <f>IF(OR($A$5="",$B$6="",ROW()&lt;$A$5),"",IF(INDEX($A:$AP,ROW(),$B$6)="","",INDEX($A:$AP,ROW(),$B$6)))</f>
        <v/>
      </c>
      <c r="AS738" s="22">
        <f>IF($AR738="","",IF(ISNUMBER($AR738),IF($AR738&gt;=10000000,IFERROR(DATE(INT($AR738/10000),MOD(INT($AR738/100),100),MOD($AR738,100)),""),INT($AR738)),IFERROR(DATE(--LEFT(LEFT(SUBSTITUTE(SUBSTITUTE(SUBSTITUTE(SUBSTITUTE(TRIM($AR738),"-",""),".",""),"/","")," ",""),8),4),--MID(LEFT(SUBSTITUTE(SUBSTITUTE(SUBSTITUTE(SUBSTITUTE(TRIM($AR738),"-",""),".",""),"/","")," ",""),8),5,2),--MID(LEFT(SUBSTITUTE(SUBSTITUTE(SUBSTITUTE(SUBSTITUTE(TRIM($AR738),"-",""),".",""),"/","")," ",""),8),7,2)),"")))</f>
        <v/>
      </c>
      <c r="AT738" s="23">
        <f>IF($AS738="","",IF($F$6="",0,IF(ISNUMBER(INDEX($A:$AP,ROW(),$F$6)),INDEX($A:$AP,ROW(),$F$6),IFERROR(--SUBSTITUTE(SUBSTITUTE(TRIM(INDEX($A:$AP,ROW(),$F$6)),",",""),"원",""),0))))</f>
        <v/>
      </c>
      <c r="AU738" s="23">
        <f>IF($AS738="","",IF($G$6="",0,IF(ISNUMBER(INDEX($A:$AP,ROW(),$G$6)),INDEX($A:$AP,ROW(),$G$6),IFERROR(--SUBSTITUTE(SUBSTITUTE(TRIM(INDEX($A:$AP,ROW(),$G$6)),",",""),"원",""),0))))</f>
        <v/>
      </c>
      <c r="AV738" s="23">
        <f>IF($AS738="","",IF($H$6="",$AT738+$AU738,IF($H$6="",0,IF(ISNUMBER(INDEX($A:$AP,ROW(),$H$6)),INDEX($A:$AP,ROW(),$H$6),IFERROR(--SUBSTITUTE(SUBSTITUTE(TRIM(INDEX($A:$AP,ROW(),$H$6)),",",""),"원",""),0)))))</f>
        <v/>
      </c>
      <c r="AW738" s="2">
        <f>IF(OR($AS738="",$C$6=""),"",TRIM(INDEX($A:$AP,ROW(),$C$6)&amp;""))</f>
        <v/>
      </c>
      <c r="AX738" s="2">
        <f>IF($AS738="","",IF($AZ738&lt;&gt;"",SUBSTITUTE(SUBSTITUTE($AZ738,"-","")," ",""),$AY738))</f>
        <v/>
      </c>
      <c r="AY738" s="2">
        <f>IF(OR($AS738="",$E$6=""),"",TRIM(INDEX($A:$AP,ROW(),$E$6)&amp;""))</f>
        <v/>
      </c>
      <c r="AZ738" s="2">
        <f>IF(OR($AS738="",$D$6=""),"",TRIM(INDEX($A:$AP,ROW(),$D$6)&amp;""))</f>
        <v/>
      </c>
      <c r="BA738" s="2">
        <f>IF($AS738="","",IF(AND($AS738&gt;=설정!$B$10,$AS738&lt;=설정!$B$11),"포함","기간 밖"))</f>
        <v/>
      </c>
      <c r="BB738" s="2">
        <f>IF($AS738="","",IF(OR($AT738&lt;0,AND($I$6&lt;&gt;"",ISNUMBER(FIND("수정",INDEX($A:$AP,ROW(),IF($I$6="",1,$I$6))&amp;"")))),"수정","일반"))</f>
        <v/>
      </c>
      <c r="BC738" s="2">
        <f>IF($AS738="","",MID(IF($BA738="기간 밖"," / 기간 밖(신고기간 아님)","")&amp;IF(AND($AW738&lt;&gt;"",COUNTIF($AW$8:$AW$1007,$AW738)&gt;1)," / 승인번호 중복(두 번 붙여넣기?)","")&amp;IF(ABS($AU738-ROUND($AT738*0.1,0))&gt;설정!$B$8,IF($AU738=0," / 세액 0원(영세율·면세 여부 확인)"," / 세액이 공급가액 10%와 다름"),"")&amp;IF($BB738="수정"," / 수정세금계산서(합계에서 자동 가감)",""),4,200))</f>
        <v/>
      </c>
      <c r="BD738" s="2">
        <f>IF($BA738&lt;&gt;"포함","",IF(COUNTIFS($AX$8:$AX738,$AX738,$BA$8:$BA738,"포함")=1,MAX($BD$7:BD737)+1,""))</f>
        <v/>
      </c>
      <c r="BE738" s="2">
        <f>IF($BC738="","",MAX($BE$7:BE737)+1)</f>
        <v/>
      </c>
    </row>
    <row r="739">
      <c r="AR739" s="2">
        <f>IF(OR($A$5="",$B$6="",ROW()&lt;$A$5),"",IF(INDEX($A:$AP,ROW(),$B$6)="","",INDEX($A:$AP,ROW(),$B$6)))</f>
        <v/>
      </c>
      <c r="AS739" s="22">
        <f>IF($AR739="","",IF(ISNUMBER($AR739),IF($AR739&gt;=10000000,IFERROR(DATE(INT($AR739/10000),MOD(INT($AR739/100),100),MOD($AR739,100)),""),INT($AR739)),IFERROR(DATE(--LEFT(LEFT(SUBSTITUTE(SUBSTITUTE(SUBSTITUTE(SUBSTITUTE(TRIM($AR739),"-",""),".",""),"/","")," ",""),8),4),--MID(LEFT(SUBSTITUTE(SUBSTITUTE(SUBSTITUTE(SUBSTITUTE(TRIM($AR739),"-",""),".",""),"/","")," ",""),8),5,2),--MID(LEFT(SUBSTITUTE(SUBSTITUTE(SUBSTITUTE(SUBSTITUTE(TRIM($AR739),"-",""),".",""),"/","")," ",""),8),7,2)),"")))</f>
        <v/>
      </c>
      <c r="AT739" s="23">
        <f>IF($AS739="","",IF($F$6="",0,IF(ISNUMBER(INDEX($A:$AP,ROW(),$F$6)),INDEX($A:$AP,ROW(),$F$6),IFERROR(--SUBSTITUTE(SUBSTITUTE(TRIM(INDEX($A:$AP,ROW(),$F$6)),",",""),"원",""),0))))</f>
        <v/>
      </c>
      <c r="AU739" s="23">
        <f>IF($AS739="","",IF($G$6="",0,IF(ISNUMBER(INDEX($A:$AP,ROW(),$G$6)),INDEX($A:$AP,ROW(),$G$6),IFERROR(--SUBSTITUTE(SUBSTITUTE(TRIM(INDEX($A:$AP,ROW(),$G$6)),",",""),"원",""),0))))</f>
        <v/>
      </c>
      <c r="AV739" s="23">
        <f>IF($AS739="","",IF($H$6="",$AT739+$AU739,IF($H$6="",0,IF(ISNUMBER(INDEX($A:$AP,ROW(),$H$6)),INDEX($A:$AP,ROW(),$H$6),IFERROR(--SUBSTITUTE(SUBSTITUTE(TRIM(INDEX($A:$AP,ROW(),$H$6)),",",""),"원",""),0)))))</f>
        <v/>
      </c>
      <c r="AW739" s="2">
        <f>IF(OR($AS739="",$C$6=""),"",TRIM(INDEX($A:$AP,ROW(),$C$6)&amp;""))</f>
        <v/>
      </c>
      <c r="AX739" s="2">
        <f>IF($AS739="","",IF($AZ739&lt;&gt;"",SUBSTITUTE(SUBSTITUTE($AZ739,"-","")," ",""),$AY739))</f>
        <v/>
      </c>
      <c r="AY739" s="2">
        <f>IF(OR($AS739="",$E$6=""),"",TRIM(INDEX($A:$AP,ROW(),$E$6)&amp;""))</f>
        <v/>
      </c>
      <c r="AZ739" s="2">
        <f>IF(OR($AS739="",$D$6=""),"",TRIM(INDEX($A:$AP,ROW(),$D$6)&amp;""))</f>
        <v/>
      </c>
      <c r="BA739" s="2">
        <f>IF($AS739="","",IF(AND($AS739&gt;=설정!$B$10,$AS739&lt;=설정!$B$11),"포함","기간 밖"))</f>
        <v/>
      </c>
      <c r="BB739" s="2">
        <f>IF($AS739="","",IF(OR($AT739&lt;0,AND($I$6&lt;&gt;"",ISNUMBER(FIND("수정",INDEX($A:$AP,ROW(),IF($I$6="",1,$I$6))&amp;"")))),"수정","일반"))</f>
        <v/>
      </c>
      <c r="BC739" s="2">
        <f>IF($AS739="","",MID(IF($BA739="기간 밖"," / 기간 밖(신고기간 아님)","")&amp;IF(AND($AW739&lt;&gt;"",COUNTIF($AW$8:$AW$1007,$AW739)&gt;1)," / 승인번호 중복(두 번 붙여넣기?)","")&amp;IF(ABS($AU739-ROUND($AT739*0.1,0))&gt;설정!$B$8,IF($AU739=0," / 세액 0원(영세율·면세 여부 확인)"," / 세액이 공급가액 10%와 다름"),"")&amp;IF($BB739="수정"," / 수정세금계산서(합계에서 자동 가감)",""),4,200))</f>
        <v/>
      </c>
      <c r="BD739" s="2">
        <f>IF($BA739&lt;&gt;"포함","",IF(COUNTIFS($AX$8:$AX739,$AX739,$BA$8:$BA739,"포함")=1,MAX($BD$7:BD738)+1,""))</f>
        <v/>
      </c>
      <c r="BE739" s="2">
        <f>IF($BC739="","",MAX($BE$7:BE738)+1)</f>
        <v/>
      </c>
    </row>
    <row r="740">
      <c r="AR740" s="2">
        <f>IF(OR($A$5="",$B$6="",ROW()&lt;$A$5),"",IF(INDEX($A:$AP,ROW(),$B$6)="","",INDEX($A:$AP,ROW(),$B$6)))</f>
        <v/>
      </c>
      <c r="AS740" s="22">
        <f>IF($AR740="","",IF(ISNUMBER($AR740),IF($AR740&gt;=10000000,IFERROR(DATE(INT($AR740/10000),MOD(INT($AR740/100),100),MOD($AR740,100)),""),INT($AR740)),IFERROR(DATE(--LEFT(LEFT(SUBSTITUTE(SUBSTITUTE(SUBSTITUTE(SUBSTITUTE(TRIM($AR740),"-",""),".",""),"/","")," ",""),8),4),--MID(LEFT(SUBSTITUTE(SUBSTITUTE(SUBSTITUTE(SUBSTITUTE(TRIM($AR740),"-",""),".",""),"/","")," ",""),8),5,2),--MID(LEFT(SUBSTITUTE(SUBSTITUTE(SUBSTITUTE(SUBSTITUTE(TRIM($AR740),"-",""),".",""),"/","")," ",""),8),7,2)),"")))</f>
        <v/>
      </c>
      <c r="AT740" s="23">
        <f>IF($AS740="","",IF($F$6="",0,IF(ISNUMBER(INDEX($A:$AP,ROW(),$F$6)),INDEX($A:$AP,ROW(),$F$6),IFERROR(--SUBSTITUTE(SUBSTITUTE(TRIM(INDEX($A:$AP,ROW(),$F$6)),",",""),"원",""),0))))</f>
        <v/>
      </c>
      <c r="AU740" s="23">
        <f>IF($AS740="","",IF($G$6="",0,IF(ISNUMBER(INDEX($A:$AP,ROW(),$G$6)),INDEX($A:$AP,ROW(),$G$6),IFERROR(--SUBSTITUTE(SUBSTITUTE(TRIM(INDEX($A:$AP,ROW(),$G$6)),",",""),"원",""),0))))</f>
        <v/>
      </c>
      <c r="AV740" s="23">
        <f>IF($AS740="","",IF($H$6="",$AT740+$AU740,IF($H$6="",0,IF(ISNUMBER(INDEX($A:$AP,ROW(),$H$6)),INDEX($A:$AP,ROW(),$H$6),IFERROR(--SUBSTITUTE(SUBSTITUTE(TRIM(INDEX($A:$AP,ROW(),$H$6)),",",""),"원",""),0)))))</f>
        <v/>
      </c>
      <c r="AW740" s="2">
        <f>IF(OR($AS740="",$C$6=""),"",TRIM(INDEX($A:$AP,ROW(),$C$6)&amp;""))</f>
        <v/>
      </c>
      <c r="AX740" s="2">
        <f>IF($AS740="","",IF($AZ740&lt;&gt;"",SUBSTITUTE(SUBSTITUTE($AZ740,"-","")," ",""),$AY740))</f>
        <v/>
      </c>
      <c r="AY740" s="2">
        <f>IF(OR($AS740="",$E$6=""),"",TRIM(INDEX($A:$AP,ROW(),$E$6)&amp;""))</f>
        <v/>
      </c>
      <c r="AZ740" s="2">
        <f>IF(OR($AS740="",$D$6=""),"",TRIM(INDEX($A:$AP,ROW(),$D$6)&amp;""))</f>
        <v/>
      </c>
      <c r="BA740" s="2">
        <f>IF($AS740="","",IF(AND($AS740&gt;=설정!$B$10,$AS740&lt;=설정!$B$11),"포함","기간 밖"))</f>
        <v/>
      </c>
      <c r="BB740" s="2">
        <f>IF($AS740="","",IF(OR($AT740&lt;0,AND($I$6&lt;&gt;"",ISNUMBER(FIND("수정",INDEX($A:$AP,ROW(),IF($I$6="",1,$I$6))&amp;"")))),"수정","일반"))</f>
        <v/>
      </c>
      <c r="BC740" s="2">
        <f>IF($AS740="","",MID(IF($BA740="기간 밖"," / 기간 밖(신고기간 아님)","")&amp;IF(AND($AW740&lt;&gt;"",COUNTIF($AW$8:$AW$1007,$AW740)&gt;1)," / 승인번호 중복(두 번 붙여넣기?)","")&amp;IF(ABS($AU740-ROUND($AT740*0.1,0))&gt;설정!$B$8,IF($AU740=0," / 세액 0원(영세율·면세 여부 확인)"," / 세액이 공급가액 10%와 다름"),"")&amp;IF($BB740="수정"," / 수정세금계산서(합계에서 자동 가감)",""),4,200))</f>
        <v/>
      </c>
      <c r="BD740" s="2">
        <f>IF($BA740&lt;&gt;"포함","",IF(COUNTIFS($AX$8:$AX740,$AX740,$BA$8:$BA740,"포함")=1,MAX($BD$7:BD739)+1,""))</f>
        <v/>
      </c>
      <c r="BE740" s="2">
        <f>IF($BC740="","",MAX($BE$7:BE739)+1)</f>
        <v/>
      </c>
    </row>
    <row r="741">
      <c r="AR741" s="2">
        <f>IF(OR($A$5="",$B$6="",ROW()&lt;$A$5),"",IF(INDEX($A:$AP,ROW(),$B$6)="","",INDEX($A:$AP,ROW(),$B$6)))</f>
        <v/>
      </c>
      <c r="AS741" s="22">
        <f>IF($AR741="","",IF(ISNUMBER($AR741),IF($AR741&gt;=10000000,IFERROR(DATE(INT($AR741/10000),MOD(INT($AR741/100),100),MOD($AR741,100)),""),INT($AR741)),IFERROR(DATE(--LEFT(LEFT(SUBSTITUTE(SUBSTITUTE(SUBSTITUTE(SUBSTITUTE(TRIM($AR741),"-",""),".",""),"/","")," ",""),8),4),--MID(LEFT(SUBSTITUTE(SUBSTITUTE(SUBSTITUTE(SUBSTITUTE(TRIM($AR741),"-",""),".",""),"/","")," ",""),8),5,2),--MID(LEFT(SUBSTITUTE(SUBSTITUTE(SUBSTITUTE(SUBSTITUTE(TRIM($AR741),"-",""),".",""),"/","")," ",""),8),7,2)),"")))</f>
        <v/>
      </c>
      <c r="AT741" s="23">
        <f>IF($AS741="","",IF($F$6="",0,IF(ISNUMBER(INDEX($A:$AP,ROW(),$F$6)),INDEX($A:$AP,ROW(),$F$6),IFERROR(--SUBSTITUTE(SUBSTITUTE(TRIM(INDEX($A:$AP,ROW(),$F$6)),",",""),"원",""),0))))</f>
        <v/>
      </c>
      <c r="AU741" s="23">
        <f>IF($AS741="","",IF($G$6="",0,IF(ISNUMBER(INDEX($A:$AP,ROW(),$G$6)),INDEX($A:$AP,ROW(),$G$6),IFERROR(--SUBSTITUTE(SUBSTITUTE(TRIM(INDEX($A:$AP,ROW(),$G$6)),",",""),"원",""),0))))</f>
        <v/>
      </c>
      <c r="AV741" s="23">
        <f>IF($AS741="","",IF($H$6="",$AT741+$AU741,IF($H$6="",0,IF(ISNUMBER(INDEX($A:$AP,ROW(),$H$6)),INDEX($A:$AP,ROW(),$H$6),IFERROR(--SUBSTITUTE(SUBSTITUTE(TRIM(INDEX($A:$AP,ROW(),$H$6)),",",""),"원",""),0)))))</f>
        <v/>
      </c>
      <c r="AW741" s="2">
        <f>IF(OR($AS741="",$C$6=""),"",TRIM(INDEX($A:$AP,ROW(),$C$6)&amp;""))</f>
        <v/>
      </c>
      <c r="AX741" s="2">
        <f>IF($AS741="","",IF($AZ741&lt;&gt;"",SUBSTITUTE(SUBSTITUTE($AZ741,"-","")," ",""),$AY741))</f>
        <v/>
      </c>
      <c r="AY741" s="2">
        <f>IF(OR($AS741="",$E$6=""),"",TRIM(INDEX($A:$AP,ROW(),$E$6)&amp;""))</f>
        <v/>
      </c>
      <c r="AZ741" s="2">
        <f>IF(OR($AS741="",$D$6=""),"",TRIM(INDEX($A:$AP,ROW(),$D$6)&amp;""))</f>
        <v/>
      </c>
      <c r="BA741" s="2">
        <f>IF($AS741="","",IF(AND($AS741&gt;=설정!$B$10,$AS741&lt;=설정!$B$11),"포함","기간 밖"))</f>
        <v/>
      </c>
      <c r="BB741" s="2">
        <f>IF($AS741="","",IF(OR($AT741&lt;0,AND($I$6&lt;&gt;"",ISNUMBER(FIND("수정",INDEX($A:$AP,ROW(),IF($I$6="",1,$I$6))&amp;"")))),"수정","일반"))</f>
        <v/>
      </c>
      <c r="BC741" s="2">
        <f>IF($AS741="","",MID(IF($BA741="기간 밖"," / 기간 밖(신고기간 아님)","")&amp;IF(AND($AW741&lt;&gt;"",COUNTIF($AW$8:$AW$1007,$AW741)&gt;1)," / 승인번호 중복(두 번 붙여넣기?)","")&amp;IF(ABS($AU741-ROUND($AT741*0.1,0))&gt;설정!$B$8,IF($AU741=0," / 세액 0원(영세율·면세 여부 확인)"," / 세액이 공급가액 10%와 다름"),"")&amp;IF($BB741="수정"," / 수정세금계산서(합계에서 자동 가감)",""),4,200))</f>
        <v/>
      </c>
      <c r="BD741" s="2">
        <f>IF($BA741&lt;&gt;"포함","",IF(COUNTIFS($AX$8:$AX741,$AX741,$BA$8:$BA741,"포함")=1,MAX($BD$7:BD740)+1,""))</f>
        <v/>
      </c>
      <c r="BE741" s="2">
        <f>IF($BC741="","",MAX($BE$7:BE740)+1)</f>
        <v/>
      </c>
    </row>
    <row r="742">
      <c r="AR742" s="2">
        <f>IF(OR($A$5="",$B$6="",ROW()&lt;$A$5),"",IF(INDEX($A:$AP,ROW(),$B$6)="","",INDEX($A:$AP,ROW(),$B$6)))</f>
        <v/>
      </c>
      <c r="AS742" s="22">
        <f>IF($AR742="","",IF(ISNUMBER($AR742),IF($AR742&gt;=10000000,IFERROR(DATE(INT($AR742/10000),MOD(INT($AR742/100),100),MOD($AR742,100)),""),INT($AR742)),IFERROR(DATE(--LEFT(LEFT(SUBSTITUTE(SUBSTITUTE(SUBSTITUTE(SUBSTITUTE(TRIM($AR742),"-",""),".",""),"/","")," ",""),8),4),--MID(LEFT(SUBSTITUTE(SUBSTITUTE(SUBSTITUTE(SUBSTITUTE(TRIM($AR742),"-",""),".",""),"/","")," ",""),8),5,2),--MID(LEFT(SUBSTITUTE(SUBSTITUTE(SUBSTITUTE(SUBSTITUTE(TRIM($AR742),"-",""),".",""),"/","")," ",""),8),7,2)),"")))</f>
        <v/>
      </c>
      <c r="AT742" s="23">
        <f>IF($AS742="","",IF($F$6="",0,IF(ISNUMBER(INDEX($A:$AP,ROW(),$F$6)),INDEX($A:$AP,ROW(),$F$6),IFERROR(--SUBSTITUTE(SUBSTITUTE(TRIM(INDEX($A:$AP,ROW(),$F$6)),",",""),"원",""),0))))</f>
        <v/>
      </c>
      <c r="AU742" s="23">
        <f>IF($AS742="","",IF($G$6="",0,IF(ISNUMBER(INDEX($A:$AP,ROW(),$G$6)),INDEX($A:$AP,ROW(),$G$6),IFERROR(--SUBSTITUTE(SUBSTITUTE(TRIM(INDEX($A:$AP,ROW(),$G$6)),",",""),"원",""),0))))</f>
        <v/>
      </c>
      <c r="AV742" s="23">
        <f>IF($AS742="","",IF($H$6="",$AT742+$AU742,IF($H$6="",0,IF(ISNUMBER(INDEX($A:$AP,ROW(),$H$6)),INDEX($A:$AP,ROW(),$H$6),IFERROR(--SUBSTITUTE(SUBSTITUTE(TRIM(INDEX($A:$AP,ROW(),$H$6)),",",""),"원",""),0)))))</f>
        <v/>
      </c>
      <c r="AW742" s="2">
        <f>IF(OR($AS742="",$C$6=""),"",TRIM(INDEX($A:$AP,ROW(),$C$6)&amp;""))</f>
        <v/>
      </c>
      <c r="AX742" s="2">
        <f>IF($AS742="","",IF($AZ742&lt;&gt;"",SUBSTITUTE(SUBSTITUTE($AZ742,"-","")," ",""),$AY742))</f>
        <v/>
      </c>
      <c r="AY742" s="2">
        <f>IF(OR($AS742="",$E$6=""),"",TRIM(INDEX($A:$AP,ROW(),$E$6)&amp;""))</f>
        <v/>
      </c>
      <c r="AZ742" s="2">
        <f>IF(OR($AS742="",$D$6=""),"",TRIM(INDEX($A:$AP,ROW(),$D$6)&amp;""))</f>
        <v/>
      </c>
      <c r="BA742" s="2">
        <f>IF($AS742="","",IF(AND($AS742&gt;=설정!$B$10,$AS742&lt;=설정!$B$11),"포함","기간 밖"))</f>
        <v/>
      </c>
      <c r="BB742" s="2">
        <f>IF($AS742="","",IF(OR($AT742&lt;0,AND($I$6&lt;&gt;"",ISNUMBER(FIND("수정",INDEX($A:$AP,ROW(),IF($I$6="",1,$I$6))&amp;"")))),"수정","일반"))</f>
        <v/>
      </c>
      <c r="BC742" s="2">
        <f>IF($AS742="","",MID(IF($BA742="기간 밖"," / 기간 밖(신고기간 아님)","")&amp;IF(AND($AW742&lt;&gt;"",COUNTIF($AW$8:$AW$1007,$AW742)&gt;1)," / 승인번호 중복(두 번 붙여넣기?)","")&amp;IF(ABS($AU742-ROUND($AT742*0.1,0))&gt;설정!$B$8,IF($AU742=0," / 세액 0원(영세율·면세 여부 확인)"," / 세액이 공급가액 10%와 다름"),"")&amp;IF($BB742="수정"," / 수정세금계산서(합계에서 자동 가감)",""),4,200))</f>
        <v/>
      </c>
      <c r="BD742" s="2">
        <f>IF($BA742&lt;&gt;"포함","",IF(COUNTIFS($AX$8:$AX742,$AX742,$BA$8:$BA742,"포함")=1,MAX($BD$7:BD741)+1,""))</f>
        <v/>
      </c>
      <c r="BE742" s="2">
        <f>IF($BC742="","",MAX($BE$7:BE741)+1)</f>
        <v/>
      </c>
    </row>
    <row r="743">
      <c r="AR743" s="2">
        <f>IF(OR($A$5="",$B$6="",ROW()&lt;$A$5),"",IF(INDEX($A:$AP,ROW(),$B$6)="","",INDEX($A:$AP,ROW(),$B$6)))</f>
        <v/>
      </c>
      <c r="AS743" s="22">
        <f>IF($AR743="","",IF(ISNUMBER($AR743),IF($AR743&gt;=10000000,IFERROR(DATE(INT($AR743/10000),MOD(INT($AR743/100),100),MOD($AR743,100)),""),INT($AR743)),IFERROR(DATE(--LEFT(LEFT(SUBSTITUTE(SUBSTITUTE(SUBSTITUTE(SUBSTITUTE(TRIM($AR743),"-",""),".",""),"/","")," ",""),8),4),--MID(LEFT(SUBSTITUTE(SUBSTITUTE(SUBSTITUTE(SUBSTITUTE(TRIM($AR743),"-",""),".",""),"/","")," ",""),8),5,2),--MID(LEFT(SUBSTITUTE(SUBSTITUTE(SUBSTITUTE(SUBSTITUTE(TRIM($AR743),"-",""),".",""),"/","")," ",""),8),7,2)),"")))</f>
        <v/>
      </c>
      <c r="AT743" s="23">
        <f>IF($AS743="","",IF($F$6="",0,IF(ISNUMBER(INDEX($A:$AP,ROW(),$F$6)),INDEX($A:$AP,ROW(),$F$6),IFERROR(--SUBSTITUTE(SUBSTITUTE(TRIM(INDEX($A:$AP,ROW(),$F$6)),",",""),"원",""),0))))</f>
        <v/>
      </c>
      <c r="AU743" s="23">
        <f>IF($AS743="","",IF($G$6="",0,IF(ISNUMBER(INDEX($A:$AP,ROW(),$G$6)),INDEX($A:$AP,ROW(),$G$6),IFERROR(--SUBSTITUTE(SUBSTITUTE(TRIM(INDEX($A:$AP,ROW(),$G$6)),",",""),"원",""),0))))</f>
        <v/>
      </c>
      <c r="AV743" s="23">
        <f>IF($AS743="","",IF($H$6="",$AT743+$AU743,IF($H$6="",0,IF(ISNUMBER(INDEX($A:$AP,ROW(),$H$6)),INDEX($A:$AP,ROW(),$H$6),IFERROR(--SUBSTITUTE(SUBSTITUTE(TRIM(INDEX($A:$AP,ROW(),$H$6)),",",""),"원",""),0)))))</f>
        <v/>
      </c>
      <c r="AW743" s="2">
        <f>IF(OR($AS743="",$C$6=""),"",TRIM(INDEX($A:$AP,ROW(),$C$6)&amp;""))</f>
        <v/>
      </c>
      <c r="AX743" s="2">
        <f>IF($AS743="","",IF($AZ743&lt;&gt;"",SUBSTITUTE(SUBSTITUTE($AZ743,"-","")," ",""),$AY743))</f>
        <v/>
      </c>
      <c r="AY743" s="2">
        <f>IF(OR($AS743="",$E$6=""),"",TRIM(INDEX($A:$AP,ROW(),$E$6)&amp;""))</f>
        <v/>
      </c>
      <c r="AZ743" s="2">
        <f>IF(OR($AS743="",$D$6=""),"",TRIM(INDEX($A:$AP,ROW(),$D$6)&amp;""))</f>
        <v/>
      </c>
      <c r="BA743" s="2">
        <f>IF($AS743="","",IF(AND($AS743&gt;=설정!$B$10,$AS743&lt;=설정!$B$11),"포함","기간 밖"))</f>
        <v/>
      </c>
      <c r="BB743" s="2">
        <f>IF($AS743="","",IF(OR($AT743&lt;0,AND($I$6&lt;&gt;"",ISNUMBER(FIND("수정",INDEX($A:$AP,ROW(),IF($I$6="",1,$I$6))&amp;"")))),"수정","일반"))</f>
        <v/>
      </c>
      <c r="BC743" s="2">
        <f>IF($AS743="","",MID(IF($BA743="기간 밖"," / 기간 밖(신고기간 아님)","")&amp;IF(AND($AW743&lt;&gt;"",COUNTIF($AW$8:$AW$1007,$AW743)&gt;1)," / 승인번호 중복(두 번 붙여넣기?)","")&amp;IF(ABS($AU743-ROUND($AT743*0.1,0))&gt;설정!$B$8,IF($AU743=0," / 세액 0원(영세율·면세 여부 확인)"," / 세액이 공급가액 10%와 다름"),"")&amp;IF($BB743="수정"," / 수정세금계산서(합계에서 자동 가감)",""),4,200))</f>
        <v/>
      </c>
      <c r="BD743" s="2">
        <f>IF($BA743&lt;&gt;"포함","",IF(COUNTIFS($AX$8:$AX743,$AX743,$BA$8:$BA743,"포함")=1,MAX($BD$7:BD742)+1,""))</f>
        <v/>
      </c>
      <c r="BE743" s="2">
        <f>IF($BC743="","",MAX($BE$7:BE742)+1)</f>
        <v/>
      </c>
    </row>
    <row r="744">
      <c r="AR744" s="2">
        <f>IF(OR($A$5="",$B$6="",ROW()&lt;$A$5),"",IF(INDEX($A:$AP,ROW(),$B$6)="","",INDEX($A:$AP,ROW(),$B$6)))</f>
        <v/>
      </c>
      <c r="AS744" s="22">
        <f>IF($AR744="","",IF(ISNUMBER($AR744),IF($AR744&gt;=10000000,IFERROR(DATE(INT($AR744/10000),MOD(INT($AR744/100),100),MOD($AR744,100)),""),INT($AR744)),IFERROR(DATE(--LEFT(LEFT(SUBSTITUTE(SUBSTITUTE(SUBSTITUTE(SUBSTITUTE(TRIM($AR744),"-",""),".",""),"/","")," ",""),8),4),--MID(LEFT(SUBSTITUTE(SUBSTITUTE(SUBSTITUTE(SUBSTITUTE(TRIM($AR744),"-",""),".",""),"/","")," ",""),8),5,2),--MID(LEFT(SUBSTITUTE(SUBSTITUTE(SUBSTITUTE(SUBSTITUTE(TRIM($AR744),"-",""),".",""),"/","")," ",""),8),7,2)),"")))</f>
        <v/>
      </c>
      <c r="AT744" s="23">
        <f>IF($AS744="","",IF($F$6="",0,IF(ISNUMBER(INDEX($A:$AP,ROW(),$F$6)),INDEX($A:$AP,ROW(),$F$6),IFERROR(--SUBSTITUTE(SUBSTITUTE(TRIM(INDEX($A:$AP,ROW(),$F$6)),",",""),"원",""),0))))</f>
        <v/>
      </c>
      <c r="AU744" s="23">
        <f>IF($AS744="","",IF($G$6="",0,IF(ISNUMBER(INDEX($A:$AP,ROW(),$G$6)),INDEX($A:$AP,ROW(),$G$6),IFERROR(--SUBSTITUTE(SUBSTITUTE(TRIM(INDEX($A:$AP,ROW(),$G$6)),",",""),"원",""),0))))</f>
        <v/>
      </c>
      <c r="AV744" s="23">
        <f>IF($AS744="","",IF($H$6="",$AT744+$AU744,IF($H$6="",0,IF(ISNUMBER(INDEX($A:$AP,ROW(),$H$6)),INDEX($A:$AP,ROW(),$H$6),IFERROR(--SUBSTITUTE(SUBSTITUTE(TRIM(INDEX($A:$AP,ROW(),$H$6)),",",""),"원",""),0)))))</f>
        <v/>
      </c>
      <c r="AW744" s="2">
        <f>IF(OR($AS744="",$C$6=""),"",TRIM(INDEX($A:$AP,ROW(),$C$6)&amp;""))</f>
        <v/>
      </c>
      <c r="AX744" s="2">
        <f>IF($AS744="","",IF($AZ744&lt;&gt;"",SUBSTITUTE(SUBSTITUTE($AZ744,"-","")," ",""),$AY744))</f>
        <v/>
      </c>
      <c r="AY744" s="2">
        <f>IF(OR($AS744="",$E$6=""),"",TRIM(INDEX($A:$AP,ROW(),$E$6)&amp;""))</f>
        <v/>
      </c>
      <c r="AZ744" s="2">
        <f>IF(OR($AS744="",$D$6=""),"",TRIM(INDEX($A:$AP,ROW(),$D$6)&amp;""))</f>
        <v/>
      </c>
      <c r="BA744" s="2">
        <f>IF($AS744="","",IF(AND($AS744&gt;=설정!$B$10,$AS744&lt;=설정!$B$11),"포함","기간 밖"))</f>
        <v/>
      </c>
      <c r="BB744" s="2">
        <f>IF($AS744="","",IF(OR($AT744&lt;0,AND($I$6&lt;&gt;"",ISNUMBER(FIND("수정",INDEX($A:$AP,ROW(),IF($I$6="",1,$I$6))&amp;"")))),"수정","일반"))</f>
        <v/>
      </c>
      <c r="BC744" s="2">
        <f>IF($AS744="","",MID(IF($BA744="기간 밖"," / 기간 밖(신고기간 아님)","")&amp;IF(AND($AW744&lt;&gt;"",COUNTIF($AW$8:$AW$1007,$AW744)&gt;1)," / 승인번호 중복(두 번 붙여넣기?)","")&amp;IF(ABS($AU744-ROUND($AT744*0.1,0))&gt;설정!$B$8,IF($AU744=0," / 세액 0원(영세율·면세 여부 확인)"," / 세액이 공급가액 10%와 다름"),"")&amp;IF($BB744="수정"," / 수정세금계산서(합계에서 자동 가감)",""),4,200))</f>
        <v/>
      </c>
      <c r="BD744" s="2">
        <f>IF($BA744&lt;&gt;"포함","",IF(COUNTIFS($AX$8:$AX744,$AX744,$BA$8:$BA744,"포함")=1,MAX($BD$7:BD743)+1,""))</f>
        <v/>
      </c>
      <c r="BE744" s="2">
        <f>IF($BC744="","",MAX($BE$7:BE743)+1)</f>
        <v/>
      </c>
    </row>
    <row r="745">
      <c r="AR745" s="2">
        <f>IF(OR($A$5="",$B$6="",ROW()&lt;$A$5),"",IF(INDEX($A:$AP,ROW(),$B$6)="","",INDEX($A:$AP,ROW(),$B$6)))</f>
        <v/>
      </c>
      <c r="AS745" s="22">
        <f>IF($AR745="","",IF(ISNUMBER($AR745),IF($AR745&gt;=10000000,IFERROR(DATE(INT($AR745/10000),MOD(INT($AR745/100),100),MOD($AR745,100)),""),INT($AR745)),IFERROR(DATE(--LEFT(LEFT(SUBSTITUTE(SUBSTITUTE(SUBSTITUTE(SUBSTITUTE(TRIM($AR745),"-",""),".",""),"/","")," ",""),8),4),--MID(LEFT(SUBSTITUTE(SUBSTITUTE(SUBSTITUTE(SUBSTITUTE(TRIM($AR745),"-",""),".",""),"/","")," ",""),8),5,2),--MID(LEFT(SUBSTITUTE(SUBSTITUTE(SUBSTITUTE(SUBSTITUTE(TRIM($AR745),"-",""),".",""),"/","")," ",""),8),7,2)),"")))</f>
        <v/>
      </c>
      <c r="AT745" s="23">
        <f>IF($AS745="","",IF($F$6="",0,IF(ISNUMBER(INDEX($A:$AP,ROW(),$F$6)),INDEX($A:$AP,ROW(),$F$6),IFERROR(--SUBSTITUTE(SUBSTITUTE(TRIM(INDEX($A:$AP,ROW(),$F$6)),",",""),"원",""),0))))</f>
        <v/>
      </c>
      <c r="AU745" s="23">
        <f>IF($AS745="","",IF($G$6="",0,IF(ISNUMBER(INDEX($A:$AP,ROW(),$G$6)),INDEX($A:$AP,ROW(),$G$6),IFERROR(--SUBSTITUTE(SUBSTITUTE(TRIM(INDEX($A:$AP,ROW(),$G$6)),",",""),"원",""),0))))</f>
        <v/>
      </c>
      <c r="AV745" s="23">
        <f>IF($AS745="","",IF($H$6="",$AT745+$AU745,IF($H$6="",0,IF(ISNUMBER(INDEX($A:$AP,ROW(),$H$6)),INDEX($A:$AP,ROW(),$H$6),IFERROR(--SUBSTITUTE(SUBSTITUTE(TRIM(INDEX($A:$AP,ROW(),$H$6)),",",""),"원",""),0)))))</f>
        <v/>
      </c>
      <c r="AW745" s="2">
        <f>IF(OR($AS745="",$C$6=""),"",TRIM(INDEX($A:$AP,ROW(),$C$6)&amp;""))</f>
        <v/>
      </c>
      <c r="AX745" s="2">
        <f>IF($AS745="","",IF($AZ745&lt;&gt;"",SUBSTITUTE(SUBSTITUTE($AZ745,"-","")," ",""),$AY745))</f>
        <v/>
      </c>
      <c r="AY745" s="2">
        <f>IF(OR($AS745="",$E$6=""),"",TRIM(INDEX($A:$AP,ROW(),$E$6)&amp;""))</f>
        <v/>
      </c>
      <c r="AZ745" s="2">
        <f>IF(OR($AS745="",$D$6=""),"",TRIM(INDEX($A:$AP,ROW(),$D$6)&amp;""))</f>
        <v/>
      </c>
      <c r="BA745" s="2">
        <f>IF($AS745="","",IF(AND($AS745&gt;=설정!$B$10,$AS745&lt;=설정!$B$11),"포함","기간 밖"))</f>
        <v/>
      </c>
      <c r="BB745" s="2">
        <f>IF($AS745="","",IF(OR($AT745&lt;0,AND($I$6&lt;&gt;"",ISNUMBER(FIND("수정",INDEX($A:$AP,ROW(),IF($I$6="",1,$I$6))&amp;"")))),"수정","일반"))</f>
        <v/>
      </c>
      <c r="BC745" s="2">
        <f>IF($AS745="","",MID(IF($BA745="기간 밖"," / 기간 밖(신고기간 아님)","")&amp;IF(AND($AW745&lt;&gt;"",COUNTIF($AW$8:$AW$1007,$AW745)&gt;1)," / 승인번호 중복(두 번 붙여넣기?)","")&amp;IF(ABS($AU745-ROUND($AT745*0.1,0))&gt;설정!$B$8,IF($AU745=0," / 세액 0원(영세율·면세 여부 확인)"," / 세액이 공급가액 10%와 다름"),"")&amp;IF($BB745="수정"," / 수정세금계산서(합계에서 자동 가감)",""),4,200))</f>
        <v/>
      </c>
      <c r="BD745" s="2">
        <f>IF($BA745&lt;&gt;"포함","",IF(COUNTIFS($AX$8:$AX745,$AX745,$BA$8:$BA745,"포함")=1,MAX($BD$7:BD744)+1,""))</f>
        <v/>
      </c>
      <c r="BE745" s="2">
        <f>IF($BC745="","",MAX($BE$7:BE744)+1)</f>
        <v/>
      </c>
    </row>
    <row r="746">
      <c r="AR746" s="2">
        <f>IF(OR($A$5="",$B$6="",ROW()&lt;$A$5),"",IF(INDEX($A:$AP,ROW(),$B$6)="","",INDEX($A:$AP,ROW(),$B$6)))</f>
        <v/>
      </c>
      <c r="AS746" s="22">
        <f>IF($AR746="","",IF(ISNUMBER($AR746),IF($AR746&gt;=10000000,IFERROR(DATE(INT($AR746/10000),MOD(INT($AR746/100),100),MOD($AR746,100)),""),INT($AR746)),IFERROR(DATE(--LEFT(LEFT(SUBSTITUTE(SUBSTITUTE(SUBSTITUTE(SUBSTITUTE(TRIM($AR746),"-",""),".",""),"/","")," ",""),8),4),--MID(LEFT(SUBSTITUTE(SUBSTITUTE(SUBSTITUTE(SUBSTITUTE(TRIM($AR746),"-",""),".",""),"/","")," ",""),8),5,2),--MID(LEFT(SUBSTITUTE(SUBSTITUTE(SUBSTITUTE(SUBSTITUTE(TRIM($AR746),"-",""),".",""),"/","")," ",""),8),7,2)),"")))</f>
        <v/>
      </c>
      <c r="AT746" s="23">
        <f>IF($AS746="","",IF($F$6="",0,IF(ISNUMBER(INDEX($A:$AP,ROW(),$F$6)),INDEX($A:$AP,ROW(),$F$6),IFERROR(--SUBSTITUTE(SUBSTITUTE(TRIM(INDEX($A:$AP,ROW(),$F$6)),",",""),"원",""),0))))</f>
        <v/>
      </c>
      <c r="AU746" s="23">
        <f>IF($AS746="","",IF($G$6="",0,IF(ISNUMBER(INDEX($A:$AP,ROW(),$G$6)),INDEX($A:$AP,ROW(),$G$6),IFERROR(--SUBSTITUTE(SUBSTITUTE(TRIM(INDEX($A:$AP,ROW(),$G$6)),",",""),"원",""),0))))</f>
        <v/>
      </c>
      <c r="AV746" s="23">
        <f>IF($AS746="","",IF($H$6="",$AT746+$AU746,IF($H$6="",0,IF(ISNUMBER(INDEX($A:$AP,ROW(),$H$6)),INDEX($A:$AP,ROW(),$H$6),IFERROR(--SUBSTITUTE(SUBSTITUTE(TRIM(INDEX($A:$AP,ROW(),$H$6)),",",""),"원",""),0)))))</f>
        <v/>
      </c>
      <c r="AW746" s="2">
        <f>IF(OR($AS746="",$C$6=""),"",TRIM(INDEX($A:$AP,ROW(),$C$6)&amp;""))</f>
        <v/>
      </c>
      <c r="AX746" s="2">
        <f>IF($AS746="","",IF($AZ746&lt;&gt;"",SUBSTITUTE(SUBSTITUTE($AZ746,"-","")," ",""),$AY746))</f>
        <v/>
      </c>
      <c r="AY746" s="2">
        <f>IF(OR($AS746="",$E$6=""),"",TRIM(INDEX($A:$AP,ROW(),$E$6)&amp;""))</f>
        <v/>
      </c>
      <c r="AZ746" s="2">
        <f>IF(OR($AS746="",$D$6=""),"",TRIM(INDEX($A:$AP,ROW(),$D$6)&amp;""))</f>
        <v/>
      </c>
      <c r="BA746" s="2">
        <f>IF($AS746="","",IF(AND($AS746&gt;=설정!$B$10,$AS746&lt;=설정!$B$11),"포함","기간 밖"))</f>
        <v/>
      </c>
      <c r="BB746" s="2">
        <f>IF($AS746="","",IF(OR($AT746&lt;0,AND($I$6&lt;&gt;"",ISNUMBER(FIND("수정",INDEX($A:$AP,ROW(),IF($I$6="",1,$I$6))&amp;"")))),"수정","일반"))</f>
        <v/>
      </c>
      <c r="BC746" s="2">
        <f>IF($AS746="","",MID(IF($BA746="기간 밖"," / 기간 밖(신고기간 아님)","")&amp;IF(AND($AW746&lt;&gt;"",COUNTIF($AW$8:$AW$1007,$AW746)&gt;1)," / 승인번호 중복(두 번 붙여넣기?)","")&amp;IF(ABS($AU746-ROUND($AT746*0.1,0))&gt;설정!$B$8,IF($AU746=0," / 세액 0원(영세율·면세 여부 확인)"," / 세액이 공급가액 10%와 다름"),"")&amp;IF($BB746="수정"," / 수정세금계산서(합계에서 자동 가감)",""),4,200))</f>
        <v/>
      </c>
      <c r="BD746" s="2">
        <f>IF($BA746&lt;&gt;"포함","",IF(COUNTIFS($AX$8:$AX746,$AX746,$BA$8:$BA746,"포함")=1,MAX($BD$7:BD745)+1,""))</f>
        <v/>
      </c>
      <c r="BE746" s="2">
        <f>IF($BC746="","",MAX($BE$7:BE745)+1)</f>
        <v/>
      </c>
    </row>
    <row r="747">
      <c r="AR747" s="2">
        <f>IF(OR($A$5="",$B$6="",ROW()&lt;$A$5),"",IF(INDEX($A:$AP,ROW(),$B$6)="","",INDEX($A:$AP,ROW(),$B$6)))</f>
        <v/>
      </c>
      <c r="AS747" s="22">
        <f>IF($AR747="","",IF(ISNUMBER($AR747),IF($AR747&gt;=10000000,IFERROR(DATE(INT($AR747/10000),MOD(INT($AR747/100),100),MOD($AR747,100)),""),INT($AR747)),IFERROR(DATE(--LEFT(LEFT(SUBSTITUTE(SUBSTITUTE(SUBSTITUTE(SUBSTITUTE(TRIM($AR747),"-",""),".",""),"/","")," ",""),8),4),--MID(LEFT(SUBSTITUTE(SUBSTITUTE(SUBSTITUTE(SUBSTITUTE(TRIM($AR747),"-",""),".",""),"/","")," ",""),8),5,2),--MID(LEFT(SUBSTITUTE(SUBSTITUTE(SUBSTITUTE(SUBSTITUTE(TRIM($AR747),"-",""),".",""),"/","")," ",""),8),7,2)),"")))</f>
        <v/>
      </c>
      <c r="AT747" s="23">
        <f>IF($AS747="","",IF($F$6="",0,IF(ISNUMBER(INDEX($A:$AP,ROW(),$F$6)),INDEX($A:$AP,ROW(),$F$6),IFERROR(--SUBSTITUTE(SUBSTITUTE(TRIM(INDEX($A:$AP,ROW(),$F$6)),",",""),"원",""),0))))</f>
        <v/>
      </c>
      <c r="AU747" s="23">
        <f>IF($AS747="","",IF($G$6="",0,IF(ISNUMBER(INDEX($A:$AP,ROW(),$G$6)),INDEX($A:$AP,ROW(),$G$6),IFERROR(--SUBSTITUTE(SUBSTITUTE(TRIM(INDEX($A:$AP,ROW(),$G$6)),",",""),"원",""),0))))</f>
        <v/>
      </c>
      <c r="AV747" s="23">
        <f>IF($AS747="","",IF($H$6="",$AT747+$AU747,IF($H$6="",0,IF(ISNUMBER(INDEX($A:$AP,ROW(),$H$6)),INDEX($A:$AP,ROW(),$H$6),IFERROR(--SUBSTITUTE(SUBSTITUTE(TRIM(INDEX($A:$AP,ROW(),$H$6)),",",""),"원",""),0)))))</f>
        <v/>
      </c>
      <c r="AW747" s="2">
        <f>IF(OR($AS747="",$C$6=""),"",TRIM(INDEX($A:$AP,ROW(),$C$6)&amp;""))</f>
        <v/>
      </c>
      <c r="AX747" s="2">
        <f>IF($AS747="","",IF($AZ747&lt;&gt;"",SUBSTITUTE(SUBSTITUTE($AZ747,"-","")," ",""),$AY747))</f>
        <v/>
      </c>
      <c r="AY747" s="2">
        <f>IF(OR($AS747="",$E$6=""),"",TRIM(INDEX($A:$AP,ROW(),$E$6)&amp;""))</f>
        <v/>
      </c>
      <c r="AZ747" s="2">
        <f>IF(OR($AS747="",$D$6=""),"",TRIM(INDEX($A:$AP,ROW(),$D$6)&amp;""))</f>
        <v/>
      </c>
      <c r="BA747" s="2">
        <f>IF($AS747="","",IF(AND($AS747&gt;=설정!$B$10,$AS747&lt;=설정!$B$11),"포함","기간 밖"))</f>
        <v/>
      </c>
      <c r="BB747" s="2">
        <f>IF($AS747="","",IF(OR($AT747&lt;0,AND($I$6&lt;&gt;"",ISNUMBER(FIND("수정",INDEX($A:$AP,ROW(),IF($I$6="",1,$I$6))&amp;"")))),"수정","일반"))</f>
        <v/>
      </c>
      <c r="BC747" s="2">
        <f>IF($AS747="","",MID(IF($BA747="기간 밖"," / 기간 밖(신고기간 아님)","")&amp;IF(AND($AW747&lt;&gt;"",COUNTIF($AW$8:$AW$1007,$AW747)&gt;1)," / 승인번호 중복(두 번 붙여넣기?)","")&amp;IF(ABS($AU747-ROUND($AT747*0.1,0))&gt;설정!$B$8,IF($AU747=0," / 세액 0원(영세율·면세 여부 확인)"," / 세액이 공급가액 10%와 다름"),"")&amp;IF($BB747="수정"," / 수정세금계산서(합계에서 자동 가감)",""),4,200))</f>
        <v/>
      </c>
      <c r="BD747" s="2">
        <f>IF($BA747&lt;&gt;"포함","",IF(COUNTIFS($AX$8:$AX747,$AX747,$BA$8:$BA747,"포함")=1,MAX($BD$7:BD746)+1,""))</f>
        <v/>
      </c>
      <c r="BE747" s="2">
        <f>IF($BC747="","",MAX($BE$7:BE746)+1)</f>
        <v/>
      </c>
    </row>
    <row r="748">
      <c r="AR748" s="2">
        <f>IF(OR($A$5="",$B$6="",ROW()&lt;$A$5),"",IF(INDEX($A:$AP,ROW(),$B$6)="","",INDEX($A:$AP,ROW(),$B$6)))</f>
        <v/>
      </c>
      <c r="AS748" s="22">
        <f>IF($AR748="","",IF(ISNUMBER($AR748),IF($AR748&gt;=10000000,IFERROR(DATE(INT($AR748/10000),MOD(INT($AR748/100),100),MOD($AR748,100)),""),INT($AR748)),IFERROR(DATE(--LEFT(LEFT(SUBSTITUTE(SUBSTITUTE(SUBSTITUTE(SUBSTITUTE(TRIM($AR748),"-",""),".",""),"/","")," ",""),8),4),--MID(LEFT(SUBSTITUTE(SUBSTITUTE(SUBSTITUTE(SUBSTITUTE(TRIM($AR748),"-",""),".",""),"/","")," ",""),8),5,2),--MID(LEFT(SUBSTITUTE(SUBSTITUTE(SUBSTITUTE(SUBSTITUTE(TRIM($AR748),"-",""),".",""),"/","")," ",""),8),7,2)),"")))</f>
        <v/>
      </c>
      <c r="AT748" s="23">
        <f>IF($AS748="","",IF($F$6="",0,IF(ISNUMBER(INDEX($A:$AP,ROW(),$F$6)),INDEX($A:$AP,ROW(),$F$6),IFERROR(--SUBSTITUTE(SUBSTITUTE(TRIM(INDEX($A:$AP,ROW(),$F$6)),",",""),"원",""),0))))</f>
        <v/>
      </c>
      <c r="AU748" s="23">
        <f>IF($AS748="","",IF($G$6="",0,IF(ISNUMBER(INDEX($A:$AP,ROW(),$G$6)),INDEX($A:$AP,ROW(),$G$6),IFERROR(--SUBSTITUTE(SUBSTITUTE(TRIM(INDEX($A:$AP,ROW(),$G$6)),",",""),"원",""),0))))</f>
        <v/>
      </c>
      <c r="AV748" s="23">
        <f>IF($AS748="","",IF($H$6="",$AT748+$AU748,IF($H$6="",0,IF(ISNUMBER(INDEX($A:$AP,ROW(),$H$6)),INDEX($A:$AP,ROW(),$H$6),IFERROR(--SUBSTITUTE(SUBSTITUTE(TRIM(INDEX($A:$AP,ROW(),$H$6)),",",""),"원",""),0)))))</f>
        <v/>
      </c>
      <c r="AW748" s="2">
        <f>IF(OR($AS748="",$C$6=""),"",TRIM(INDEX($A:$AP,ROW(),$C$6)&amp;""))</f>
        <v/>
      </c>
      <c r="AX748" s="2">
        <f>IF($AS748="","",IF($AZ748&lt;&gt;"",SUBSTITUTE(SUBSTITUTE($AZ748,"-","")," ",""),$AY748))</f>
        <v/>
      </c>
      <c r="AY748" s="2">
        <f>IF(OR($AS748="",$E$6=""),"",TRIM(INDEX($A:$AP,ROW(),$E$6)&amp;""))</f>
        <v/>
      </c>
      <c r="AZ748" s="2">
        <f>IF(OR($AS748="",$D$6=""),"",TRIM(INDEX($A:$AP,ROW(),$D$6)&amp;""))</f>
        <v/>
      </c>
      <c r="BA748" s="2">
        <f>IF($AS748="","",IF(AND($AS748&gt;=설정!$B$10,$AS748&lt;=설정!$B$11),"포함","기간 밖"))</f>
        <v/>
      </c>
      <c r="BB748" s="2">
        <f>IF($AS748="","",IF(OR($AT748&lt;0,AND($I$6&lt;&gt;"",ISNUMBER(FIND("수정",INDEX($A:$AP,ROW(),IF($I$6="",1,$I$6))&amp;"")))),"수정","일반"))</f>
        <v/>
      </c>
      <c r="BC748" s="2">
        <f>IF($AS748="","",MID(IF($BA748="기간 밖"," / 기간 밖(신고기간 아님)","")&amp;IF(AND($AW748&lt;&gt;"",COUNTIF($AW$8:$AW$1007,$AW748)&gt;1)," / 승인번호 중복(두 번 붙여넣기?)","")&amp;IF(ABS($AU748-ROUND($AT748*0.1,0))&gt;설정!$B$8,IF($AU748=0," / 세액 0원(영세율·면세 여부 확인)"," / 세액이 공급가액 10%와 다름"),"")&amp;IF($BB748="수정"," / 수정세금계산서(합계에서 자동 가감)",""),4,200))</f>
        <v/>
      </c>
      <c r="BD748" s="2">
        <f>IF($BA748&lt;&gt;"포함","",IF(COUNTIFS($AX$8:$AX748,$AX748,$BA$8:$BA748,"포함")=1,MAX($BD$7:BD747)+1,""))</f>
        <v/>
      </c>
      <c r="BE748" s="2">
        <f>IF($BC748="","",MAX($BE$7:BE747)+1)</f>
        <v/>
      </c>
    </row>
    <row r="749">
      <c r="AR749" s="2">
        <f>IF(OR($A$5="",$B$6="",ROW()&lt;$A$5),"",IF(INDEX($A:$AP,ROW(),$B$6)="","",INDEX($A:$AP,ROW(),$B$6)))</f>
        <v/>
      </c>
      <c r="AS749" s="22">
        <f>IF($AR749="","",IF(ISNUMBER($AR749),IF($AR749&gt;=10000000,IFERROR(DATE(INT($AR749/10000),MOD(INT($AR749/100),100),MOD($AR749,100)),""),INT($AR749)),IFERROR(DATE(--LEFT(LEFT(SUBSTITUTE(SUBSTITUTE(SUBSTITUTE(SUBSTITUTE(TRIM($AR749),"-",""),".",""),"/","")," ",""),8),4),--MID(LEFT(SUBSTITUTE(SUBSTITUTE(SUBSTITUTE(SUBSTITUTE(TRIM($AR749),"-",""),".",""),"/","")," ",""),8),5,2),--MID(LEFT(SUBSTITUTE(SUBSTITUTE(SUBSTITUTE(SUBSTITUTE(TRIM($AR749),"-",""),".",""),"/","")," ",""),8),7,2)),"")))</f>
        <v/>
      </c>
      <c r="AT749" s="23">
        <f>IF($AS749="","",IF($F$6="",0,IF(ISNUMBER(INDEX($A:$AP,ROW(),$F$6)),INDEX($A:$AP,ROW(),$F$6),IFERROR(--SUBSTITUTE(SUBSTITUTE(TRIM(INDEX($A:$AP,ROW(),$F$6)),",",""),"원",""),0))))</f>
        <v/>
      </c>
      <c r="AU749" s="23">
        <f>IF($AS749="","",IF($G$6="",0,IF(ISNUMBER(INDEX($A:$AP,ROW(),$G$6)),INDEX($A:$AP,ROW(),$G$6),IFERROR(--SUBSTITUTE(SUBSTITUTE(TRIM(INDEX($A:$AP,ROW(),$G$6)),",",""),"원",""),0))))</f>
        <v/>
      </c>
      <c r="AV749" s="23">
        <f>IF($AS749="","",IF($H$6="",$AT749+$AU749,IF($H$6="",0,IF(ISNUMBER(INDEX($A:$AP,ROW(),$H$6)),INDEX($A:$AP,ROW(),$H$6),IFERROR(--SUBSTITUTE(SUBSTITUTE(TRIM(INDEX($A:$AP,ROW(),$H$6)),",",""),"원",""),0)))))</f>
        <v/>
      </c>
      <c r="AW749" s="2">
        <f>IF(OR($AS749="",$C$6=""),"",TRIM(INDEX($A:$AP,ROW(),$C$6)&amp;""))</f>
        <v/>
      </c>
      <c r="AX749" s="2">
        <f>IF($AS749="","",IF($AZ749&lt;&gt;"",SUBSTITUTE(SUBSTITUTE($AZ749,"-","")," ",""),$AY749))</f>
        <v/>
      </c>
      <c r="AY749" s="2">
        <f>IF(OR($AS749="",$E$6=""),"",TRIM(INDEX($A:$AP,ROW(),$E$6)&amp;""))</f>
        <v/>
      </c>
      <c r="AZ749" s="2">
        <f>IF(OR($AS749="",$D$6=""),"",TRIM(INDEX($A:$AP,ROW(),$D$6)&amp;""))</f>
        <v/>
      </c>
      <c r="BA749" s="2">
        <f>IF($AS749="","",IF(AND($AS749&gt;=설정!$B$10,$AS749&lt;=설정!$B$11),"포함","기간 밖"))</f>
        <v/>
      </c>
      <c r="BB749" s="2">
        <f>IF($AS749="","",IF(OR($AT749&lt;0,AND($I$6&lt;&gt;"",ISNUMBER(FIND("수정",INDEX($A:$AP,ROW(),IF($I$6="",1,$I$6))&amp;"")))),"수정","일반"))</f>
        <v/>
      </c>
      <c r="BC749" s="2">
        <f>IF($AS749="","",MID(IF($BA749="기간 밖"," / 기간 밖(신고기간 아님)","")&amp;IF(AND($AW749&lt;&gt;"",COUNTIF($AW$8:$AW$1007,$AW749)&gt;1)," / 승인번호 중복(두 번 붙여넣기?)","")&amp;IF(ABS($AU749-ROUND($AT749*0.1,0))&gt;설정!$B$8,IF($AU749=0," / 세액 0원(영세율·면세 여부 확인)"," / 세액이 공급가액 10%와 다름"),"")&amp;IF($BB749="수정"," / 수정세금계산서(합계에서 자동 가감)",""),4,200))</f>
        <v/>
      </c>
      <c r="BD749" s="2">
        <f>IF($BA749&lt;&gt;"포함","",IF(COUNTIFS($AX$8:$AX749,$AX749,$BA$8:$BA749,"포함")=1,MAX($BD$7:BD748)+1,""))</f>
        <v/>
      </c>
      <c r="BE749" s="2">
        <f>IF($BC749="","",MAX($BE$7:BE748)+1)</f>
        <v/>
      </c>
    </row>
    <row r="750">
      <c r="AR750" s="2">
        <f>IF(OR($A$5="",$B$6="",ROW()&lt;$A$5),"",IF(INDEX($A:$AP,ROW(),$B$6)="","",INDEX($A:$AP,ROW(),$B$6)))</f>
        <v/>
      </c>
      <c r="AS750" s="22">
        <f>IF($AR750="","",IF(ISNUMBER($AR750),IF($AR750&gt;=10000000,IFERROR(DATE(INT($AR750/10000),MOD(INT($AR750/100),100),MOD($AR750,100)),""),INT($AR750)),IFERROR(DATE(--LEFT(LEFT(SUBSTITUTE(SUBSTITUTE(SUBSTITUTE(SUBSTITUTE(TRIM($AR750),"-",""),".",""),"/","")," ",""),8),4),--MID(LEFT(SUBSTITUTE(SUBSTITUTE(SUBSTITUTE(SUBSTITUTE(TRIM($AR750),"-",""),".",""),"/","")," ",""),8),5,2),--MID(LEFT(SUBSTITUTE(SUBSTITUTE(SUBSTITUTE(SUBSTITUTE(TRIM($AR750),"-",""),".",""),"/","")," ",""),8),7,2)),"")))</f>
        <v/>
      </c>
      <c r="AT750" s="23">
        <f>IF($AS750="","",IF($F$6="",0,IF(ISNUMBER(INDEX($A:$AP,ROW(),$F$6)),INDEX($A:$AP,ROW(),$F$6),IFERROR(--SUBSTITUTE(SUBSTITUTE(TRIM(INDEX($A:$AP,ROW(),$F$6)),",",""),"원",""),0))))</f>
        <v/>
      </c>
      <c r="AU750" s="23">
        <f>IF($AS750="","",IF($G$6="",0,IF(ISNUMBER(INDEX($A:$AP,ROW(),$G$6)),INDEX($A:$AP,ROW(),$G$6),IFERROR(--SUBSTITUTE(SUBSTITUTE(TRIM(INDEX($A:$AP,ROW(),$G$6)),",",""),"원",""),0))))</f>
        <v/>
      </c>
      <c r="AV750" s="23">
        <f>IF($AS750="","",IF($H$6="",$AT750+$AU750,IF($H$6="",0,IF(ISNUMBER(INDEX($A:$AP,ROW(),$H$6)),INDEX($A:$AP,ROW(),$H$6),IFERROR(--SUBSTITUTE(SUBSTITUTE(TRIM(INDEX($A:$AP,ROW(),$H$6)),",",""),"원",""),0)))))</f>
        <v/>
      </c>
      <c r="AW750" s="2">
        <f>IF(OR($AS750="",$C$6=""),"",TRIM(INDEX($A:$AP,ROW(),$C$6)&amp;""))</f>
        <v/>
      </c>
      <c r="AX750" s="2">
        <f>IF($AS750="","",IF($AZ750&lt;&gt;"",SUBSTITUTE(SUBSTITUTE($AZ750,"-","")," ",""),$AY750))</f>
        <v/>
      </c>
      <c r="AY750" s="2">
        <f>IF(OR($AS750="",$E$6=""),"",TRIM(INDEX($A:$AP,ROW(),$E$6)&amp;""))</f>
        <v/>
      </c>
      <c r="AZ750" s="2">
        <f>IF(OR($AS750="",$D$6=""),"",TRIM(INDEX($A:$AP,ROW(),$D$6)&amp;""))</f>
        <v/>
      </c>
      <c r="BA750" s="2">
        <f>IF($AS750="","",IF(AND($AS750&gt;=설정!$B$10,$AS750&lt;=설정!$B$11),"포함","기간 밖"))</f>
        <v/>
      </c>
      <c r="BB750" s="2">
        <f>IF($AS750="","",IF(OR($AT750&lt;0,AND($I$6&lt;&gt;"",ISNUMBER(FIND("수정",INDEX($A:$AP,ROW(),IF($I$6="",1,$I$6))&amp;"")))),"수정","일반"))</f>
        <v/>
      </c>
      <c r="BC750" s="2">
        <f>IF($AS750="","",MID(IF($BA750="기간 밖"," / 기간 밖(신고기간 아님)","")&amp;IF(AND($AW750&lt;&gt;"",COUNTIF($AW$8:$AW$1007,$AW750)&gt;1)," / 승인번호 중복(두 번 붙여넣기?)","")&amp;IF(ABS($AU750-ROUND($AT750*0.1,0))&gt;설정!$B$8,IF($AU750=0," / 세액 0원(영세율·면세 여부 확인)"," / 세액이 공급가액 10%와 다름"),"")&amp;IF($BB750="수정"," / 수정세금계산서(합계에서 자동 가감)",""),4,200))</f>
        <v/>
      </c>
      <c r="BD750" s="2">
        <f>IF($BA750&lt;&gt;"포함","",IF(COUNTIFS($AX$8:$AX750,$AX750,$BA$8:$BA750,"포함")=1,MAX($BD$7:BD749)+1,""))</f>
        <v/>
      </c>
      <c r="BE750" s="2">
        <f>IF($BC750="","",MAX($BE$7:BE749)+1)</f>
        <v/>
      </c>
    </row>
    <row r="751">
      <c r="AR751" s="2">
        <f>IF(OR($A$5="",$B$6="",ROW()&lt;$A$5),"",IF(INDEX($A:$AP,ROW(),$B$6)="","",INDEX($A:$AP,ROW(),$B$6)))</f>
        <v/>
      </c>
      <c r="AS751" s="22">
        <f>IF($AR751="","",IF(ISNUMBER($AR751),IF($AR751&gt;=10000000,IFERROR(DATE(INT($AR751/10000),MOD(INT($AR751/100),100),MOD($AR751,100)),""),INT($AR751)),IFERROR(DATE(--LEFT(LEFT(SUBSTITUTE(SUBSTITUTE(SUBSTITUTE(SUBSTITUTE(TRIM($AR751),"-",""),".",""),"/","")," ",""),8),4),--MID(LEFT(SUBSTITUTE(SUBSTITUTE(SUBSTITUTE(SUBSTITUTE(TRIM($AR751),"-",""),".",""),"/","")," ",""),8),5,2),--MID(LEFT(SUBSTITUTE(SUBSTITUTE(SUBSTITUTE(SUBSTITUTE(TRIM($AR751),"-",""),".",""),"/","")," ",""),8),7,2)),"")))</f>
        <v/>
      </c>
      <c r="AT751" s="23">
        <f>IF($AS751="","",IF($F$6="",0,IF(ISNUMBER(INDEX($A:$AP,ROW(),$F$6)),INDEX($A:$AP,ROW(),$F$6),IFERROR(--SUBSTITUTE(SUBSTITUTE(TRIM(INDEX($A:$AP,ROW(),$F$6)),",",""),"원",""),0))))</f>
        <v/>
      </c>
      <c r="AU751" s="23">
        <f>IF($AS751="","",IF($G$6="",0,IF(ISNUMBER(INDEX($A:$AP,ROW(),$G$6)),INDEX($A:$AP,ROW(),$G$6),IFERROR(--SUBSTITUTE(SUBSTITUTE(TRIM(INDEX($A:$AP,ROW(),$G$6)),",",""),"원",""),0))))</f>
        <v/>
      </c>
      <c r="AV751" s="23">
        <f>IF($AS751="","",IF($H$6="",$AT751+$AU751,IF($H$6="",0,IF(ISNUMBER(INDEX($A:$AP,ROW(),$H$6)),INDEX($A:$AP,ROW(),$H$6),IFERROR(--SUBSTITUTE(SUBSTITUTE(TRIM(INDEX($A:$AP,ROW(),$H$6)),",",""),"원",""),0)))))</f>
        <v/>
      </c>
      <c r="AW751" s="2">
        <f>IF(OR($AS751="",$C$6=""),"",TRIM(INDEX($A:$AP,ROW(),$C$6)&amp;""))</f>
        <v/>
      </c>
      <c r="AX751" s="2">
        <f>IF($AS751="","",IF($AZ751&lt;&gt;"",SUBSTITUTE(SUBSTITUTE($AZ751,"-","")," ",""),$AY751))</f>
        <v/>
      </c>
      <c r="AY751" s="2">
        <f>IF(OR($AS751="",$E$6=""),"",TRIM(INDEX($A:$AP,ROW(),$E$6)&amp;""))</f>
        <v/>
      </c>
      <c r="AZ751" s="2">
        <f>IF(OR($AS751="",$D$6=""),"",TRIM(INDEX($A:$AP,ROW(),$D$6)&amp;""))</f>
        <v/>
      </c>
      <c r="BA751" s="2">
        <f>IF($AS751="","",IF(AND($AS751&gt;=설정!$B$10,$AS751&lt;=설정!$B$11),"포함","기간 밖"))</f>
        <v/>
      </c>
      <c r="BB751" s="2">
        <f>IF($AS751="","",IF(OR($AT751&lt;0,AND($I$6&lt;&gt;"",ISNUMBER(FIND("수정",INDEX($A:$AP,ROW(),IF($I$6="",1,$I$6))&amp;"")))),"수정","일반"))</f>
        <v/>
      </c>
      <c r="BC751" s="2">
        <f>IF($AS751="","",MID(IF($BA751="기간 밖"," / 기간 밖(신고기간 아님)","")&amp;IF(AND($AW751&lt;&gt;"",COUNTIF($AW$8:$AW$1007,$AW751)&gt;1)," / 승인번호 중복(두 번 붙여넣기?)","")&amp;IF(ABS($AU751-ROUND($AT751*0.1,0))&gt;설정!$B$8,IF($AU751=0," / 세액 0원(영세율·면세 여부 확인)"," / 세액이 공급가액 10%와 다름"),"")&amp;IF($BB751="수정"," / 수정세금계산서(합계에서 자동 가감)",""),4,200))</f>
        <v/>
      </c>
      <c r="BD751" s="2">
        <f>IF($BA751&lt;&gt;"포함","",IF(COUNTIFS($AX$8:$AX751,$AX751,$BA$8:$BA751,"포함")=1,MAX($BD$7:BD750)+1,""))</f>
        <v/>
      </c>
      <c r="BE751" s="2">
        <f>IF($BC751="","",MAX($BE$7:BE750)+1)</f>
        <v/>
      </c>
    </row>
    <row r="752">
      <c r="AR752" s="2">
        <f>IF(OR($A$5="",$B$6="",ROW()&lt;$A$5),"",IF(INDEX($A:$AP,ROW(),$B$6)="","",INDEX($A:$AP,ROW(),$B$6)))</f>
        <v/>
      </c>
      <c r="AS752" s="22">
        <f>IF($AR752="","",IF(ISNUMBER($AR752),IF($AR752&gt;=10000000,IFERROR(DATE(INT($AR752/10000),MOD(INT($AR752/100),100),MOD($AR752,100)),""),INT($AR752)),IFERROR(DATE(--LEFT(LEFT(SUBSTITUTE(SUBSTITUTE(SUBSTITUTE(SUBSTITUTE(TRIM($AR752),"-",""),".",""),"/","")," ",""),8),4),--MID(LEFT(SUBSTITUTE(SUBSTITUTE(SUBSTITUTE(SUBSTITUTE(TRIM($AR752),"-",""),".",""),"/","")," ",""),8),5,2),--MID(LEFT(SUBSTITUTE(SUBSTITUTE(SUBSTITUTE(SUBSTITUTE(TRIM($AR752),"-",""),".",""),"/","")," ",""),8),7,2)),"")))</f>
        <v/>
      </c>
      <c r="AT752" s="23">
        <f>IF($AS752="","",IF($F$6="",0,IF(ISNUMBER(INDEX($A:$AP,ROW(),$F$6)),INDEX($A:$AP,ROW(),$F$6),IFERROR(--SUBSTITUTE(SUBSTITUTE(TRIM(INDEX($A:$AP,ROW(),$F$6)),",",""),"원",""),0))))</f>
        <v/>
      </c>
      <c r="AU752" s="23">
        <f>IF($AS752="","",IF($G$6="",0,IF(ISNUMBER(INDEX($A:$AP,ROW(),$G$6)),INDEX($A:$AP,ROW(),$G$6),IFERROR(--SUBSTITUTE(SUBSTITUTE(TRIM(INDEX($A:$AP,ROW(),$G$6)),",",""),"원",""),0))))</f>
        <v/>
      </c>
      <c r="AV752" s="23">
        <f>IF($AS752="","",IF($H$6="",$AT752+$AU752,IF($H$6="",0,IF(ISNUMBER(INDEX($A:$AP,ROW(),$H$6)),INDEX($A:$AP,ROW(),$H$6),IFERROR(--SUBSTITUTE(SUBSTITUTE(TRIM(INDEX($A:$AP,ROW(),$H$6)),",",""),"원",""),0)))))</f>
        <v/>
      </c>
      <c r="AW752" s="2">
        <f>IF(OR($AS752="",$C$6=""),"",TRIM(INDEX($A:$AP,ROW(),$C$6)&amp;""))</f>
        <v/>
      </c>
      <c r="AX752" s="2">
        <f>IF($AS752="","",IF($AZ752&lt;&gt;"",SUBSTITUTE(SUBSTITUTE($AZ752,"-","")," ",""),$AY752))</f>
        <v/>
      </c>
      <c r="AY752" s="2">
        <f>IF(OR($AS752="",$E$6=""),"",TRIM(INDEX($A:$AP,ROW(),$E$6)&amp;""))</f>
        <v/>
      </c>
      <c r="AZ752" s="2">
        <f>IF(OR($AS752="",$D$6=""),"",TRIM(INDEX($A:$AP,ROW(),$D$6)&amp;""))</f>
        <v/>
      </c>
      <c r="BA752" s="2">
        <f>IF($AS752="","",IF(AND($AS752&gt;=설정!$B$10,$AS752&lt;=설정!$B$11),"포함","기간 밖"))</f>
        <v/>
      </c>
      <c r="BB752" s="2">
        <f>IF($AS752="","",IF(OR($AT752&lt;0,AND($I$6&lt;&gt;"",ISNUMBER(FIND("수정",INDEX($A:$AP,ROW(),IF($I$6="",1,$I$6))&amp;"")))),"수정","일반"))</f>
        <v/>
      </c>
      <c r="BC752" s="2">
        <f>IF($AS752="","",MID(IF($BA752="기간 밖"," / 기간 밖(신고기간 아님)","")&amp;IF(AND($AW752&lt;&gt;"",COUNTIF($AW$8:$AW$1007,$AW752)&gt;1)," / 승인번호 중복(두 번 붙여넣기?)","")&amp;IF(ABS($AU752-ROUND($AT752*0.1,0))&gt;설정!$B$8,IF($AU752=0," / 세액 0원(영세율·면세 여부 확인)"," / 세액이 공급가액 10%와 다름"),"")&amp;IF($BB752="수정"," / 수정세금계산서(합계에서 자동 가감)",""),4,200))</f>
        <v/>
      </c>
      <c r="BD752" s="2">
        <f>IF($BA752&lt;&gt;"포함","",IF(COUNTIFS($AX$8:$AX752,$AX752,$BA$8:$BA752,"포함")=1,MAX($BD$7:BD751)+1,""))</f>
        <v/>
      </c>
      <c r="BE752" s="2">
        <f>IF($BC752="","",MAX($BE$7:BE751)+1)</f>
        <v/>
      </c>
    </row>
    <row r="753">
      <c r="AR753" s="2">
        <f>IF(OR($A$5="",$B$6="",ROW()&lt;$A$5),"",IF(INDEX($A:$AP,ROW(),$B$6)="","",INDEX($A:$AP,ROW(),$B$6)))</f>
        <v/>
      </c>
      <c r="AS753" s="22">
        <f>IF($AR753="","",IF(ISNUMBER($AR753),IF($AR753&gt;=10000000,IFERROR(DATE(INT($AR753/10000),MOD(INT($AR753/100),100),MOD($AR753,100)),""),INT($AR753)),IFERROR(DATE(--LEFT(LEFT(SUBSTITUTE(SUBSTITUTE(SUBSTITUTE(SUBSTITUTE(TRIM($AR753),"-",""),".",""),"/","")," ",""),8),4),--MID(LEFT(SUBSTITUTE(SUBSTITUTE(SUBSTITUTE(SUBSTITUTE(TRIM($AR753),"-",""),".",""),"/","")," ",""),8),5,2),--MID(LEFT(SUBSTITUTE(SUBSTITUTE(SUBSTITUTE(SUBSTITUTE(TRIM($AR753),"-",""),".",""),"/","")," ",""),8),7,2)),"")))</f>
        <v/>
      </c>
      <c r="AT753" s="23">
        <f>IF($AS753="","",IF($F$6="",0,IF(ISNUMBER(INDEX($A:$AP,ROW(),$F$6)),INDEX($A:$AP,ROW(),$F$6),IFERROR(--SUBSTITUTE(SUBSTITUTE(TRIM(INDEX($A:$AP,ROW(),$F$6)),",",""),"원",""),0))))</f>
        <v/>
      </c>
      <c r="AU753" s="23">
        <f>IF($AS753="","",IF($G$6="",0,IF(ISNUMBER(INDEX($A:$AP,ROW(),$G$6)),INDEX($A:$AP,ROW(),$G$6),IFERROR(--SUBSTITUTE(SUBSTITUTE(TRIM(INDEX($A:$AP,ROW(),$G$6)),",",""),"원",""),0))))</f>
        <v/>
      </c>
      <c r="AV753" s="23">
        <f>IF($AS753="","",IF($H$6="",$AT753+$AU753,IF($H$6="",0,IF(ISNUMBER(INDEX($A:$AP,ROW(),$H$6)),INDEX($A:$AP,ROW(),$H$6),IFERROR(--SUBSTITUTE(SUBSTITUTE(TRIM(INDEX($A:$AP,ROW(),$H$6)),",",""),"원",""),0)))))</f>
        <v/>
      </c>
      <c r="AW753" s="2">
        <f>IF(OR($AS753="",$C$6=""),"",TRIM(INDEX($A:$AP,ROW(),$C$6)&amp;""))</f>
        <v/>
      </c>
      <c r="AX753" s="2">
        <f>IF($AS753="","",IF($AZ753&lt;&gt;"",SUBSTITUTE(SUBSTITUTE($AZ753,"-","")," ",""),$AY753))</f>
        <v/>
      </c>
      <c r="AY753" s="2">
        <f>IF(OR($AS753="",$E$6=""),"",TRIM(INDEX($A:$AP,ROW(),$E$6)&amp;""))</f>
        <v/>
      </c>
      <c r="AZ753" s="2">
        <f>IF(OR($AS753="",$D$6=""),"",TRIM(INDEX($A:$AP,ROW(),$D$6)&amp;""))</f>
        <v/>
      </c>
      <c r="BA753" s="2">
        <f>IF($AS753="","",IF(AND($AS753&gt;=설정!$B$10,$AS753&lt;=설정!$B$11),"포함","기간 밖"))</f>
        <v/>
      </c>
      <c r="BB753" s="2">
        <f>IF($AS753="","",IF(OR($AT753&lt;0,AND($I$6&lt;&gt;"",ISNUMBER(FIND("수정",INDEX($A:$AP,ROW(),IF($I$6="",1,$I$6))&amp;"")))),"수정","일반"))</f>
        <v/>
      </c>
      <c r="BC753" s="2">
        <f>IF($AS753="","",MID(IF($BA753="기간 밖"," / 기간 밖(신고기간 아님)","")&amp;IF(AND($AW753&lt;&gt;"",COUNTIF($AW$8:$AW$1007,$AW753)&gt;1)," / 승인번호 중복(두 번 붙여넣기?)","")&amp;IF(ABS($AU753-ROUND($AT753*0.1,0))&gt;설정!$B$8,IF($AU753=0," / 세액 0원(영세율·면세 여부 확인)"," / 세액이 공급가액 10%와 다름"),"")&amp;IF($BB753="수정"," / 수정세금계산서(합계에서 자동 가감)",""),4,200))</f>
        <v/>
      </c>
      <c r="BD753" s="2">
        <f>IF($BA753&lt;&gt;"포함","",IF(COUNTIFS($AX$8:$AX753,$AX753,$BA$8:$BA753,"포함")=1,MAX($BD$7:BD752)+1,""))</f>
        <v/>
      </c>
      <c r="BE753" s="2">
        <f>IF($BC753="","",MAX($BE$7:BE752)+1)</f>
        <v/>
      </c>
    </row>
    <row r="754">
      <c r="AR754" s="2">
        <f>IF(OR($A$5="",$B$6="",ROW()&lt;$A$5),"",IF(INDEX($A:$AP,ROW(),$B$6)="","",INDEX($A:$AP,ROW(),$B$6)))</f>
        <v/>
      </c>
      <c r="AS754" s="22">
        <f>IF($AR754="","",IF(ISNUMBER($AR754),IF($AR754&gt;=10000000,IFERROR(DATE(INT($AR754/10000),MOD(INT($AR754/100),100),MOD($AR754,100)),""),INT($AR754)),IFERROR(DATE(--LEFT(LEFT(SUBSTITUTE(SUBSTITUTE(SUBSTITUTE(SUBSTITUTE(TRIM($AR754),"-",""),".",""),"/","")," ",""),8),4),--MID(LEFT(SUBSTITUTE(SUBSTITUTE(SUBSTITUTE(SUBSTITUTE(TRIM($AR754),"-",""),".",""),"/","")," ",""),8),5,2),--MID(LEFT(SUBSTITUTE(SUBSTITUTE(SUBSTITUTE(SUBSTITUTE(TRIM($AR754),"-",""),".",""),"/","")," ",""),8),7,2)),"")))</f>
        <v/>
      </c>
      <c r="AT754" s="23">
        <f>IF($AS754="","",IF($F$6="",0,IF(ISNUMBER(INDEX($A:$AP,ROW(),$F$6)),INDEX($A:$AP,ROW(),$F$6),IFERROR(--SUBSTITUTE(SUBSTITUTE(TRIM(INDEX($A:$AP,ROW(),$F$6)),",",""),"원",""),0))))</f>
        <v/>
      </c>
      <c r="AU754" s="23">
        <f>IF($AS754="","",IF($G$6="",0,IF(ISNUMBER(INDEX($A:$AP,ROW(),$G$6)),INDEX($A:$AP,ROW(),$G$6),IFERROR(--SUBSTITUTE(SUBSTITUTE(TRIM(INDEX($A:$AP,ROW(),$G$6)),",",""),"원",""),0))))</f>
        <v/>
      </c>
      <c r="AV754" s="23">
        <f>IF($AS754="","",IF($H$6="",$AT754+$AU754,IF($H$6="",0,IF(ISNUMBER(INDEX($A:$AP,ROW(),$H$6)),INDEX($A:$AP,ROW(),$H$6),IFERROR(--SUBSTITUTE(SUBSTITUTE(TRIM(INDEX($A:$AP,ROW(),$H$6)),",",""),"원",""),0)))))</f>
        <v/>
      </c>
      <c r="AW754" s="2">
        <f>IF(OR($AS754="",$C$6=""),"",TRIM(INDEX($A:$AP,ROW(),$C$6)&amp;""))</f>
        <v/>
      </c>
      <c r="AX754" s="2">
        <f>IF($AS754="","",IF($AZ754&lt;&gt;"",SUBSTITUTE(SUBSTITUTE($AZ754,"-","")," ",""),$AY754))</f>
        <v/>
      </c>
      <c r="AY754" s="2">
        <f>IF(OR($AS754="",$E$6=""),"",TRIM(INDEX($A:$AP,ROW(),$E$6)&amp;""))</f>
        <v/>
      </c>
      <c r="AZ754" s="2">
        <f>IF(OR($AS754="",$D$6=""),"",TRIM(INDEX($A:$AP,ROW(),$D$6)&amp;""))</f>
        <v/>
      </c>
      <c r="BA754" s="2">
        <f>IF($AS754="","",IF(AND($AS754&gt;=설정!$B$10,$AS754&lt;=설정!$B$11),"포함","기간 밖"))</f>
        <v/>
      </c>
      <c r="BB754" s="2">
        <f>IF($AS754="","",IF(OR($AT754&lt;0,AND($I$6&lt;&gt;"",ISNUMBER(FIND("수정",INDEX($A:$AP,ROW(),IF($I$6="",1,$I$6))&amp;"")))),"수정","일반"))</f>
        <v/>
      </c>
      <c r="BC754" s="2">
        <f>IF($AS754="","",MID(IF($BA754="기간 밖"," / 기간 밖(신고기간 아님)","")&amp;IF(AND($AW754&lt;&gt;"",COUNTIF($AW$8:$AW$1007,$AW754)&gt;1)," / 승인번호 중복(두 번 붙여넣기?)","")&amp;IF(ABS($AU754-ROUND($AT754*0.1,0))&gt;설정!$B$8,IF($AU754=0," / 세액 0원(영세율·면세 여부 확인)"," / 세액이 공급가액 10%와 다름"),"")&amp;IF($BB754="수정"," / 수정세금계산서(합계에서 자동 가감)",""),4,200))</f>
        <v/>
      </c>
      <c r="BD754" s="2">
        <f>IF($BA754&lt;&gt;"포함","",IF(COUNTIFS($AX$8:$AX754,$AX754,$BA$8:$BA754,"포함")=1,MAX($BD$7:BD753)+1,""))</f>
        <v/>
      </c>
      <c r="BE754" s="2">
        <f>IF($BC754="","",MAX($BE$7:BE753)+1)</f>
        <v/>
      </c>
    </row>
    <row r="755">
      <c r="AR755" s="2">
        <f>IF(OR($A$5="",$B$6="",ROW()&lt;$A$5),"",IF(INDEX($A:$AP,ROW(),$B$6)="","",INDEX($A:$AP,ROW(),$B$6)))</f>
        <v/>
      </c>
      <c r="AS755" s="22">
        <f>IF($AR755="","",IF(ISNUMBER($AR755),IF($AR755&gt;=10000000,IFERROR(DATE(INT($AR755/10000),MOD(INT($AR755/100),100),MOD($AR755,100)),""),INT($AR755)),IFERROR(DATE(--LEFT(LEFT(SUBSTITUTE(SUBSTITUTE(SUBSTITUTE(SUBSTITUTE(TRIM($AR755),"-",""),".",""),"/","")," ",""),8),4),--MID(LEFT(SUBSTITUTE(SUBSTITUTE(SUBSTITUTE(SUBSTITUTE(TRIM($AR755),"-",""),".",""),"/","")," ",""),8),5,2),--MID(LEFT(SUBSTITUTE(SUBSTITUTE(SUBSTITUTE(SUBSTITUTE(TRIM($AR755),"-",""),".",""),"/","")," ",""),8),7,2)),"")))</f>
        <v/>
      </c>
      <c r="AT755" s="23">
        <f>IF($AS755="","",IF($F$6="",0,IF(ISNUMBER(INDEX($A:$AP,ROW(),$F$6)),INDEX($A:$AP,ROW(),$F$6),IFERROR(--SUBSTITUTE(SUBSTITUTE(TRIM(INDEX($A:$AP,ROW(),$F$6)),",",""),"원",""),0))))</f>
        <v/>
      </c>
      <c r="AU755" s="23">
        <f>IF($AS755="","",IF($G$6="",0,IF(ISNUMBER(INDEX($A:$AP,ROW(),$G$6)),INDEX($A:$AP,ROW(),$G$6),IFERROR(--SUBSTITUTE(SUBSTITUTE(TRIM(INDEX($A:$AP,ROW(),$G$6)),",",""),"원",""),0))))</f>
        <v/>
      </c>
      <c r="AV755" s="23">
        <f>IF($AS755="","",IF($H$6="",$AT755+$AU755,IF($H$6="",0,IF(ISNUMBER(INDEX($A:$AP,ROW(),$H$6)),INDEX($A:$AP,ROW(),$H$6),IFERROR(--SUBSTITUTE(SUBSTITUTE(TRIM(INDEX($A:$AP,ROW(),$H$6)),",",""),"원",""),0)))))</f>
        <v/>
      </c>
      <c r="AW755" s="2">
        <f>IF(OR($AS755="",$C$6=""),"",TRIM(INDEX($A:$AP,ROW(),$C$6)&amp;""))</f>
        <v/>
      </c>
      <c r="AX755" s="2">
        <f>IF($AS755="","",IF($AZ755&lt;&gt;"",SUBSTITUTE(SUBSTITUTE($AZ755,"-","")," ",""),$AY755))</f>
        <v/>
      </c>
      <c r="AY755" s="2">
        <f>IF(OR($AS755="",$E$6=""),"",TRIM(INDEX($A:$AP,ROW(),$E$6)&amp;""))</f>
        <v/>
      </c>
      <c r="AZ755" s="2">
        <f>IF(OR($AS755="",$D$6=""),"",TRIM(INDEX($A:$AP,ROW(),$D$6)&amp;""))</f>
        <v/>
      </c>
      <c r="BA755" s="2">
        <f>IF($AS755="","",IF(AND($AS755&gt;=설정!$B$10,$AS755&lt;=설정!$B$11),"포함","기간 밖"))</f>
        <v/>
      </c>
      <c r="BB755" s="2">
        <f>IF($AS755="","",IF(OR($AT755&lt;0,AND($I$6&lt;&gt;"",ISNUMBER(FIND("수정",INDEX($A:$AP,ROW(),IF($I$6="",1,$I$6))&amp;"")))),"수정","일반"))</f>
        <v/>
      </c>
      <c r="BC755" s="2">
        <f>IF($AS755="","",MID(IF($BA755="기간 밖"," / 기간 밖(신고기간 아님)","")&amp;IF(AND($AW755&lt;&gt;"",COUNTIF($AW$8:$AW$1007,$AW755)&gt;1)," / 승인번호 중복(두 번 붙여넣기?)","")&amp;IF(ABS($AU755-ROUND($AT755*0.1,0))&gt;설정!$B$8,IF($AU755=0," / 세액 0원(영세율·면세 여부 확인)"," / 세액이 공급가액 10%와 다름"),"")&amp;IF($BB755="수정"," / 수정세금계산서(합계에서 자동 가감)",""),4,200))</f>
        <v/>
      </c>
      <c r="BD755" s="2">
        <f>IF($BA755&lt;&gt;"포함","",IF(COUNTIFS($AX$8:$AX755,$AX755,$BA$8:$BA755,"포함")=1,MAX($BD$7:BD754)+1,""))</f>
        <v/>
      </c>
      <c r="BE755" s="2">
        <f>IF($BC755="","",MAX($BE$7:BE754)+1)</f>
        <v/>
      </c>
    </row>
    <row r="756">
      <c r="AR756" s="2">
        <f>IF(OR($A$5="",$B$6="",ROW()&lt;$A$5),"",IF(INDEX($A:$AP,ROW(),$B$6)="","",INDEX($A:$AP,ROW(),$B$6)))</f>
        <v/>
      </c>
      <c r="AS756" s="22">
        <f>IF($AR756="","",IF(ISNUMBER($AR756),IF($AR756&gt;=10000000,IFERROR(DATE(INT($AR756/10000),MOD(INT($AR756/100),100),MOD($AR756,100)),""),INT($AR756)),IFERROR(DATE(--LEFT(LEFT(SUBSTITUTE(SUBSTITUTE(SUBSTITUTE(SUBSTITUTE(TRIM($AR756),"-",""),".",""),"/","")," ",""),8),4),--MID(LEFT(SUBSTITUTE(SUBSTITUTE(SUBSTITUTE(SUBSTITUTE(TRIM($AR756),"-",""),".",""),"/","")," ",""),8),5,2),--MID(LEFT(SUBSTITUTE(SUBSTITUTE(SUBSTITUTE(SUBSTITUTE(TRIM($AR756),"-",""),".",""),"/","")," ",""),8),7,2)),"")))</f>
        <v/>
      </c>
      <c r="AT756" s="23">
        <f>IF($AS756="","",IF($F$6="",0,IF(ISNUMBER(INDEX($A:$AP,ROW(),$F$6)),INDEX($A:$AP,ROW(),$F$6),IFERROR(--SUBSTITUTE(SUBSTITUTE(TRIM(INDEX($A:$AP,ROW(),$F$6)),",",""),"원",""),0))))</f>
        <v/>
      </c>
      <c r="AU756" s="23">
        <f>IF($AS756="","",IF($G$6="",0,IF(ISNUMBER(INDEX($A:$AP,ROW(),$G$6)),INDEX($A:$AP,ROW(),$G$6),IFERROR(--SUBSTITUTE(SUBSTITUTE(TRIM(INDEX($A:$AP,ROW(),$G$6)),",",""),"원",""),0))))</f>
        <v/>
      </c>
      <c r="AV756" s="23">
        <f>IF($AS756="","",IF($H$6="",$AT756+$AU756,IF($H$6="",0,IF(ISNUMBER(INDEX($A:$AP,ROW(),$H$6)),INDEX($A:$AP,ROW(),$H$6),IFERROR(--SUBSTITUTE(SUBSTITUTE(TRIM(INDEX($A:$AP,ROW(),$H$6)),",",""),"원",""),0)))))</f>
        <v/>
      </c>
      <c r="AW756" s="2">
        <f>IF(OR($AS756="",$C$6=""),"",TRIM(INDEX($A:$AP,ROW(),$C$6)&amp;""))</f>
        <v/>
      </c>
      <c r="AX756" s="2">
        <f>IF($AS756="","",IF($AZ756&lt;&gt;"",SUBSTITUTE(SUBSTITUTE($AZ756,"-","")," ",""),$AY756))</f>
        <v/>
      </c>
      <c r="AY756" s="2">
        <f>IF(OR($AS756="",$E$6=""),"",TRIM(INDEX($A:$AP,ROW(),$E$6)&amp;""))</f>
        <v/>
      </c>
      <c r="AZ756" s="2">
        <f>IF(OR($AS756="",$D$6=""),"",TRIM(INDEX($A:$AP,ROW(),$D$6)&amp;""))</f>
        <v/>
      </c>
      <c r="BA756" s="2">
        <f>IF($AS756="","",IF(AND($AS756&gt;=설정!$B$10,$AS756&lt;=설정!$B$11),"포함","기간 밖"))</f>
        <v/>
      </c>
      <c r="BB756" s="2">
        <f>IF($AS756="","",IF(OR($AT756&lt;0,AND($I$6&lt;&gt;"",ISNUMBER(FIND("수정",INDEX($A:$AP,ROW(),IF($I$6="",1,$I$6))&amp;"")))),"수정","일반"))</f>
        <v/>
      </c>
      <c r="BC756" s="2">
        <f>IF($AS756="","",MID(IF($BA756="기간 밖"," / 기간 밖(신고기간 아님)","")&amp;IF(AND($AW756&lt;&gt;"",COUNTIF($AW$8:$AW$1007,$AW756)&gt;1)," / 승인번호 중복(두 번 붙여넣기?)","")&amp;IF(ABS($AU756-ROUND($AT756*0.1,0))&gt;설정!$B$8,IF($AU756=0," / 세액 0원(영세율·면세 여부 확인)"," / 세액이 공급가액 10%와 다름"),"")&amp;IF($BB756="수정"," / 수정세금계산서(합계에서 자동 가감)",""),4,200))</f>
        <v/>
      </c>
      <c r="BD756" s="2">
        <f>IF($BA756&lt;&gt;"포함","",IF(COUNTIFS($AX$8:$AX756,$AX756,$BA$8:$BA756,"포함")=1,MAX($BD$7:BD755)+1,""))</f>
        <v/>
      </c>
      <c r="BE756" s="2">
        <f>IF($BC756="","",MAX($BE$7:BE755)+1)</f>
        <v/>
      </c>
    </row>
    <row r="757">
      <c r="AR757" s="2">
        <f>IF(OR($A$5="",$B$6="",ROW()&lt;$A$5),"",IF(INDEX($A:$AP,ROW(),$B$6)="","",INDEX($A:$AP,ROW(),$B$6)))</f>
        <v/>
      </c>
      <c r="AS757" s="22">
        <f>IF($AR757="","",IF(ISNUMBER($AR757),IF($AR757&gt;=10000000,IFERROR(DATE(INT($AR757/10000),MOD(INT($AR757/100),100),MOD($AR757,100)),""),INT($AR757)),IFERROR(DATE(--LEFT(LEFT(SUBSTITUTE(SUBSTITUTE(SUBSTITUTE(SUBSTITUTE(TRIM($AR757),"-",""),".",""),"/","")," ",""),8),4),--MID(LEFT(SUBSTITUTE(SUBSTITUTE(SUBSTITUTE(SUBSTITUTE(TRIM($AR757),"-",""),".",""),"/","")," ",""),8),5,2),--MID(LEFT(SUBSTITUTE(SUBSTITUTE(SUBSTITUTE(SUBSTITUTE(TRIM($AR757),"-",""),".",""),"/","")," ",""),8),7,2)),"")))</f>
        <v/>
      </c>
      <c r="AT757" s="23">
        <f>IF($AS757="","",IF($F$6="",0,IF(ISNUMBER(INDEX($A:$AP,ROW(),$F$6)),INDEX($A:$AP,ROW(),$F$6),IFERROR(--SUBSTITUTE(SUBSTITUTE(TRIM(INDEX($A:$AP,ROW(),$F$6)),",",""),"원",""),0))))</f>
        <v/>
      </c>
      <c r="AU757" s="23">
        <f>IF($AS757="","",IF($G$6="",0,IF(ISNUMBER(INDEX($A:$AP,ROW(),$G$6)),INDEX($A:$AP,ROW(),$G$6),IFERROR(--SUBSTITUTE(SUBSTITUTE(TRIM(INDEX($A:$AP,ROW(),$G$6)),",",""),"원",""),0))))</f>
        <v/>
      </c>
      <c r="AV757" s="23">
        <f>IF($AS757="","",IF($H$6="",$AT757+$AU757,IF($H$6="",0,IF(ISNUMBER(INDEX($A:$AP,ROW(),$H$6)),INDEX($A:$AP,ROW(),$H$6),IFERROR(--SUBSTITUTE(SUBSTITUTE(TRIM(INDEX($A:$AP,ROW(),$H$6)),",",""),"원",""),0)))))</f>
        <v/>
      </c>
      <c r="AW757" s="2">
        <f>IF(OR($AS757="",$C$6=""),"",TRIM(INDEX($A:$AP,ROW(),$C$6)&amp;""))</f>
        <v/>
      </c>
      <c r="AX757" s="2">
        <f>IF($AS757="","",IF($AZ757&lt;&gt;"",SUBSTITUTE(SUBSTITUTE($AZ757,"-","")," ",""),$AY757))</f>
        <v/>
      </c>
      <c r="AY757" s="2">
        <f>IF(OR($AS757="",$E$6=""),"",TRIM(INDEX($A:$AP,ROW(),$E$6)&amp;""))</f>
        <v/>
      </c>
      <c r="AZ757" s="2">
        <f>IF(OR($AS757="",$D$6=""),"",TRIM(INDEX($A:$AP,ROW(),$D$6)&amp;""))</f>
        <v/>
      </c>
      <c r="BA757" s="2">
        <f>IF($AS757="","",IF(AND($AS757&gt;=설정!$B$10,$AS757&lt;=설정!$B$11),"포함","기간 밖"))</f>
        <v/>
      </c>
      <c r="BB757" s="2">
        <f>IF($AS757="","",IF(OR($AT757&lt;0,AND($I$6&lt;&gt;"",ISNUMBER(FIND("수정",INDEX($A:$AP,ROW(),IF($I$6="",1,$I$6))&amp;"")))),"수정","일반"))</f>
        <v/>
      </c>
      <c r="BC757" s="2">
        <f>IF($AS757="","",MID(IF($BA757="기간 밖"," / 기간 밖(신고기간 아님)","")&amp;IF(AND($AW757&lt;&gt;"",COUNTIF($AW$8:$AW$1007,$AW757)&gt;1)," / 승인번호 중복(두 번 붙여넣기?)","")&amp;IF(ABS($AU757-ROUND($AT757*0.1,0))&gt;설정!$B$8,IF($AU757=0," / 세액 0원(영세율·면세 여부 확인)"," / 세액이 공급가액 10%와 다름"),"")&amp;IF($BB757="수정"," / 수정세금계산서(합계에서 자동 가감)",""),4,200))</f>
        <v/>
      </c>
      <c r="BD757" s="2">
        <f>IF($BA757&lt;&gt;"포함","",IF(COUNTIFS($AX$8:$AX757,$AX757,$BA$8:$BA757,"포함")=1,MAX($BD$7:BD756)+1,""))</f>
        <v/>
      </c>
      <c r="BE757" s="2">
        <f>IF($BC757="","",MAX($BE$7:BE756)+1)</f>
        <v/>
      </c>
    </row>
    <row r="758">
      <c r="AR758" s="2">
        <f>IF(OR($A$5="",$B$6="",ROW()&lt;$A$5),"",IF(INDEX($A:$AP,ROW(),$B$6)="","",INDEX($A:$AP,ROW(),$B$6)))</f>
        <v/>
      </c>
      <c r="AS758" s="22">
        <f>IF($AR758="","",IF(ISNUMBER($AR758),IF($AR758&gt;=10000000,IFERROR(DATE(INT($AR758/10000),MOD(INT($AR758/100),100),MOD($AR758,100)),""),INT($AR758)),IFERROR(DATE(--LEFT(LEFT(SUBSTITUTE(SUBSTITUTE(SUBSTITUTE(SUBSTITUTE(TRIM($AR758),"-",""),".",""),"/","")," ",""),8),4),--MID(LEFT(SUBSTITUTE(SUBSTITUTE(SUBSTITUTE(SUBSTITUTE(TRIM($AR758),"-",""),".",""),"/","")," ",""),8),5,2),--MID(LEFT(SUBSTITUTE(SUBSTITUTE(SUBSTITUTE(SUBSTITUTE(TRIM($AR758),"-",""),".",""),"/","")," ",""),8),7,2)),"")))</f>
        <v/>
      </c>
      <c r="AT758" s="23">
        <f>IF($AS758="","",IF($F$6="",0,IF(ISNUMBER(INDEX($A:$AP,ROW(),$F$6)),INDEX($A:$AP,ROW(),$F$6),IFERROR(--SUBSTITUTE(SUBSTITUTE(TRIM(INDEX($A:$AP,ROW(),$F$6)),",",""),"원",""),0))))</f>
        <v/>
      </c>
      <c r="AU758" s="23">
        <f>IF($AS758="","",IF($G$6="",0,IF(ISNUMBER(INDEX($A:$AP,ROW(),$G$6)),INDEX($A:$AP,ROW(),$G$6),IFERROR(--SUBSTITUTE(SUBSTITUTE(TRIM(INDEX($A:$AP,ROW(),$G$6)),",",""),"원",""),0))))</f>
        <v/>
      </c>
      <c r="AV758" s="23">
        <f>IF($AS758="","",IF($H$6="",$AT758+$AU758,IF($H$6="",0,IF(ISNUMBER(INDEX($A:$AP,ROW(),$H$6)),INDEX($A:$AP,ROW(),$H$6),IFERROR(--SUBSTITUTE(SUBSTITUTE(TRIM(INDEX($A:$AP,ROW(),$H$6)),",",""),"원",""),0)))))</f>
        <v/>
      </c>
      <c r="AW758" s="2">
        <f>IF(OR($AS758="",$C$6=""),"",TRIM(INDEX($A:$AP,ROW(),$C$6)&amp;""))</f>
        <v/>
      </c>
      <c r="AX758" s="2">
        <f>IF($AS758="","",IF($AZ758&lt;&gt;"",SUBSTITUTE(SUBSTITUTE($AZ758,"-","")," ",""),$AY758))</f>
        <v/>
      </c>
      <c r="AY758" s="2">
        <f>IF(OR($AS758="",$E$6=""),"",TRIM(INDEX($A:$AP,ROW(),$E$6)&amp;""))</f>
        <v/>
      </c>
      <c r="AZ758" s="2">
        <f>IF(OR($AS758="",$D$6=""),"",TRIM(INDEX($A:$AP,ROW(),$D$6)&amp;""))</f>
        <v/>
      </c>
      <c r="BA758" s="2">
        <f>IF($AS758="","",IF(AND($AS758&gt;=설정!$B$10,$AS758&lt;=설정!$B$11),"포함","기간 밖"))</f>
        <v/>
      </c>
      <c r="BB758" s="2">
        <f>IF($AS758="","",IF(OR($AT758&lt;0,AND($I$6&lt;&gt;"",ISNUMBER(FIND("수정",INDEX($A:$AP,ROW(),IF($I$6="",1,$I$6))&amp;"")))),"수정","일반"))</f>
        <v/>
      </c>
      <c r="BC758" s="2">
        <f>IF($AS758="","",MID(IF($BA758="기간 밖"," / 기간 밖(신고기간 아님)","")&amp;IF(AND($AW758&lt;&gt;"",COUNTIF($AW$8:$AW$1007,$AW758)&gt;1)," / 승인번호 중복(두 번 붙여넣기?)","")&amp;IF(ABS($AU758-ROUND($AT758*0.1,0))&gt;설정!$B$8,IF($AU758=0," / 세액 0원(영세율·면세 여부 확인)"," / 세액이 공급가액 10%와 다름"),"")&amp;IF($BB758="수정"," / 수정세금계산서(합계에서 자동 가감)",""),4,200))</f>
        <v/>
      </c>
      <c r="BD758" s="2">
        <f>IF($BA758&lt;&gt;"포함","",IF(COUNTIFS($AX$8:$AX758,$AX758,$BA$8:$BA758,"포함")=1,MAX($BD$7:BD757)+1,""))</f>
        <v/>
      </c>
      <c r="BE758" s="2">
        <f>IF($BC758="","",MAX($BE$7:BE757)+1)</f>
        <v/>
      </c>
    </row>
    <row r="759">
      <c r="AR759" s="2">
        <f>IF(OR($A$5="",$B$6="",ROW()&lt;$A$5),"",IF(INDEX($A:$AP,ROW(),$B$6)="","",INDEX($A:$AP,ROW(),$B$6)))</f>
        <v/>
      </c>
      <c r="AS759" s="22">
        <f>IF($AR759="","",IF(ISNUMBER($AR759),IF($AR759&gt;=10000000,IFERROR(DATE(INT($AR759/10000),MOD(INT($AR759/100),100),MOD($AR759,100)),""),INT($AR759)),IFERROR(DATE(--LEFT(LEFT(SUBSTITUTE(SUBSTITUTE(SUBSTITUTE(SUBSTITUTE(TRIM($AR759),"-",""),".",""),"/","")," ",""),8),4),--MID(LEFT(SUBSTITUTE(SUBSTITUTE(SUBSTITUTE(SUBSTITUTE(TRIM($AR759),"-",""),".",""),"/","")," ",""),8),5,2),--MID(LEFT(SUBSTITUTE(SUBSTITUTE(SUBSTITUTE(SUBSTITUTE(TRIM($AR759),"-",""),".",""),"/","")," ",""),8),7,2)),"")))</f>
        <v/>
      </c>
      <c r="AT759" s="23">
        <f>IF($AS759="","",IF($F$6="",0,IF(ISNUMBER(INDEX($A:$AP,ROW(),$F$6)),INDEX($A:$AP,ROW(),$F$6),IFERROR(--SUBSTITUTE(SUBSTITUTE(TRIM(INDEX($A:$AP,ROW(),$F$6)),",",""),"원",""),0))))</f>
        <v/>
      </c>
      <c r="AU759" s="23">
        <f>IF($AS759="","",IF($G$6="",0,IF(ISNUMBER(INDEX($A:$AP,ROW(),$G$6)),INDEX($A:$AP,ROW(),$G$6),IFERROR(--SUBSTITUTE(SUBSTITUTE(TRIM(INDEX($A:$AP,ROW(),$G$6)),",",""),"원",""),0))))</f>
        <v/>
      </c>
      <c r="AV759" s="23">
        <f>IF($AS759="","",IF($H$6="",$AT759+$AU759,IF($H$6="",0,IF(ISNUMBER(INDEX($A:$AP,ROW(),$H$6)),INDEX($A:$AP,ROW(),$H$6),IFERROR(--SUBSTITUTE(SUBSTITUTE(TRIM(INDEX($A:$AP,ROW(),$H$6)),",",""),"원",""),0)))))</f>
        <v/>
      </c>
      <c r="AW759" s="2">
        <f>IF(OR($AS759="",$C$6=""),"",TRIM(INDEX($A:$AP,ROW(),$C$6)&amp;""))</f>
        <v/>
      </c>
      <c r="AX759" s="2">
        <f>IF($AS759="","",IF($AZ759&lt;&gt;"",SUBSTITUTE(SUBSTITUTE($AZ759,"-","")," ",""),$AY759))</f>
        <v/>
      </c>
      <c r="AY759" s="2">
        <f>IF(OR($AS759="",$E$6=""),"",TRIM(INDEX($A:$AP,ROW(),$E$6)&amp;""))</f>
        <v/>
      </c>
      <c r="AZ759" s="2">
        <f>IF(OR($AS759="",$D$6=""),"",TRIM(INDEX($A:$AP,ROW(),$D$6)&amp;""))</f>
        <v/>
      </c>
      <c r="BA759" s="2">
        <f>IF($AS759="","",IF(AND($AS759&gt;=설정!$B$10,$AS759&lt;=설정!$B$11),"포함","기간 밖"))</f>
        <v/>
      </c>
      <c r="BB759" s="2">
        <f>IF($AS759="","",IF(OR($AT759&lt;0,AND($I$6&lt;&gt;"",ISNUMBER(FIND("수정",INDEX($A:$AP,ROW(),IF($I$6="",1,$I$6))&amp;"")))),"수정","일반"))</f>
        <v/>
      </c>
      <c r="BC759" s="2">
        <f>IF($AS759="","",MID(IF($BA759="기간 밖"," / 기간 밖(신고기간 아님)","")&amp;IF(AND($AW759&lt;&gt;"",COUNTIF($AW$8:$AW$1007,$AW759)&gt;1)," / 승인번호 중복(두 번 붙여넣기?)","")&amp;IF(ABS($AU759-ROUND($AT759*0.1,0))&gt;설정!$B$8,IF($AU759=0," / 세액 0원(영세율·면세 여부 확인)"," / 세액이 공급가액 10%와 다름"),"")&amp;IF($BB759="수정"," / 수정세금계산서(합계에서 자동 가감)",""),4,200))</f>
        <v/>
      </c>
      <c r="BD759" s="2">
        <f>IF($BA759&lt;&gt;"포함","",IF(COUNTIFS($AX$8:$AX759,$AX759,$BA$8:$BA759,"포함")=1,MAX($BD$7:BD758)+1,""))</f>
        <v/>
      </c>
      <c r="BE759" s="2">
        <f>IF($BC759="","",MAX($BE$7:BE758)+1)</f>
        <v/>
      </c>
    </row>
    <row r="760">
      <c r="AR760" s="2">
        <f>IF(OR($A$5="",$B$6="",ROW()&lt;$A$5),"",IF(INDEX($A:$AP,ROW(),$B$6)="","",INDEX($A:$AP,ROW(),$B$6)))</f>
        <v/>
      </c>
      <c r="AS760" s="22">
        <f>IF($AR760="","",IF(ISNUMBER($AR760),IF($AR760&gt;=10000000,IFERROR(DATE(INT($AR760/10000),MOD(INT($AR760/100),100),MOD($AR760,100)),""),INT($AR760)),IFERROR(DATE(--LEFT(LEFT(SUBSTITUTE(SUBSTITUTE(SUBSTITUTE(SUBSTITUTE(TRIM($AR760),"-",""),".",""),"/","")," ",""),8),4),--MID(LEFT(SUBSTITUTE(SUBSTITUTE(SUBSTITUTE(SUBSTITUTE(TRIM($AR760),"-",""),".",""),"/","")," ",""),8),5,2),--MID(LEFT(SUBSTITUTE(SUBSTITUTE(SUBSTITUTE(SUBSTITUTE(TRIM($AR760),"-",""),".",""),"/","")," ",""),8),7,2)),"")))</f>
        <v/>
      </c>
      <c r="AT760" s="23">
        <f>IF($AS760="","",IF($F$6="",0,IF(ISNUMBER(INDEX($A:$AP,ROW(),$F$6)),INDEX($A:$AP,ROW(),$F$6),IFERROR(--SUBSTITUTE(SUBSTITUTE(TRIM(INDEX($A:$AP,ROW(),$F$6)),",",""),"원",""),0))))</f>
        <v/>
      </c>
      <c r="AU760" s="23">
        <f>IF($AS760="","",IF($G$6="",0,IF(ISNUMBER(INDEX($A:$AP,ROW(),$G$6)),INDEX($A:$AP,ROW(),$G$6),IFERROR(--SUBSTITUTE(SUBSTITUTE(TRIM(INDEX($A:$AP,ROW(),$G$6)),",",""),"원",""),0))))</f>
        <v/>
      </c>
      <c r="AV760" s="23">
        <f>IF($AS760="","",IF($H$6="",$AT760+$AU760,IF($H$6="",0,IF(ISNUMBER(INDEX($A:$AP,ROW(),$H$6)),INDEX($A:$AP,ROW(),$H$6),IFERROR(--SUBSTITUTE(SUBSTITUTE(TRIM(INDEX($A:$AP,ROW(),$H$6)),",",""),"원",""),0)))))</f>
        <v/>
      </c>
      <c r="AW760" s="2">
        <f>IF(OR($AS760="",$C$6=""),"",TRIM(INDEX($A:$AP,ROW(),$C$6)&amp;""))</f>
        <v/>
      </c>
      <c r="AX760" s="2">
        <f>IF($AS760="","",IF($AZ760&lt;&gt;"",SUBSTITUTE(SUBSTITUTE($AZ760,"-","")," ",""),$AY760))</f>
        <v/>
      </c>
      <c r="AY760" s="2">
        <f>IF(OR($AS760="",$E$6=""),"",TRIM(INDEX($A:$AP,ROW(),$E$6)&amp;""))</f>
        <v/>
      </c>
      <c r="AZ760" s="2">
        <f>IF(OR($AS760="",$D$6=""),"",TRIM(INDEX($A:$AP,ROW(),$D$6)&amp;""))</f>
        <v/>
      </c>
      <c r="BA760" s="2">
        <f>IF($AS760="","",IF(AND($AS760&gt;=설정!$B$10,$AS760&lt;=설정!$B$11),"포함","기간 밖"))</f>
        <v/>
      </c>
      <c r="BB760" s="2">
        <f>IF($AS760="","",IF(OR($AT760&lt;0,AND($I$6&lt;&gt;"",ISNUMBER(FIND("수정",INDEX($A:$AP,ROW(),IF($I$6="",1,$I$6))&amp;"")))),"수정","일반"))</f>
        <v/>
      </c>
      <c r="BC760" s="2">
        <f>IF($AS760="","",MID(IF($BA760="기간 밖"," / 기간 밖(신고기간 아님)","")&amp;IF(AND($AW760&lt;&gt;"",COUNTIF($AW$8:$AW$1007,$AW760)&gt;1)," / 승인번호 중복(두 번 붙여넣기?)","")&amp;IF(ABS($AU760-ROUND($AT760*0.1,0))&gt;설정!$B$8,IF($AU760=0," / 세액 0원(영세율·면세 여부 확인)"," / 세액이 공급가액 10%와 다름"),"")&amp;IF($BB760="수정"," / 수정세금계산서(합계에서 자동 가감)",""),4,200))</f>
        <v/>
      </c>
      <c r="BD760" s="2">
        <f>IF($BA760&lt;&gt;"포함","",IF(COUNTIFS($AX$8:$AX760,$AX760,$BA$8:$BA760,"포함")=1,MAX($BD$7:BD759)+1,""))</f>
        <v/>
      </c>
      <c r="BE760" s="2">
        <f>IF($BC760="","",MAX($BE$7:BE759)+1)</f>
        <v/>
      </c>
    </row>
    <row r="761">
      <c r="AR761" s="2">
        <f>IF(OR($A$5="",$B$6="",ROW()&lt;$A$5),"",IF(INDEX($A:$AP,ROW(),$B$6)="","",INDEX($A:$AP,ROW(),$B$6)))</f>
        <v/>
      </c>
      <c r="AS761" s="22">
        <f>IF($AR761="","",IF(ISNUMBER($AR761),IF($AR761&gt;=10000000,IFERROR(DATE(INT($AR761/10000),MOD(INT($AR761/100),100),MOD($AR761,100)),""),INT($AR761)),IFERROR(DATE(--LEFT(LEFT(SUBSTITUTE(SUBSTITUTE(SUBSTITUTE(SUBSTITUTE(TRIM($AR761),"-",""),".",""),"/","")," ",""),8),4),--MID(LEFT(SUBSTITUTE(SUBSTITUTE(SUBSTITUTE(SUBSTITUTE(TRIM($AR761),"-",""),".",""),"/","")," ",""),8),5,2),--MID(LEFT(SUBSTITUTE(SUBSTITUTE(SUBSTITUTE(SUBSTITUTE(TRIM($AR761),"-",""),".",""),"/","")," ",""),8),7,2)),"")))</f>
        <v/>
      </c>
      <c r="AT761" s="23">
        <f>IF($AS761="","",IF($F$6="",0,IF(ISNUMBER(INDEX($A:$AP,ROW(),$F$6)),INDEX($A:$AP,ROW(),$F$6),IFERROR(--SUBSTITUTE(SUBSTITUTE(TRIM(INDEX($A:$AP,ROW(),$F$6)),",",""),"원",""),0))))</f>
        <v/>
      </c>
      <c r="AU761" s="23">
        <f>IF($AS761="","",IF($G$6="",0,IF(ISNUMBER(INDEX($A:$AP,ROW(),$G$6)),INDEX($A:$AP,ROW(),$G$6),IFERROR(--SUBSTITUTE(SUBSTITUTE(TRIM(INDEX($A:$AP,ROW(),$G$6)),",",""),"원",""),0))))</f>
        <v/>
      </c>
      <c r="AV761" s="23">
        <f>IF($AS761="","",IF($H$6="",$AT761+$AU761,IF($H$6="",0,IF(ISNUMBER(INDEX($A:$AP,ROW(),$H$6)),INDEX($A:$AP,ROW(),$H$6),IFERROR(--SUBSTITUTE(SUBSTITUTE(TRIM(INDEX($A:$AP,ROW(),$H$6)),",",""),"원",""),0)))))</f>
        <v/>
      </c>
      <c r="AW761" s="2">
        <f>IF(OR($AS761="",$C$6=""),"",TRIM(INDEX($A:$AP,ROW(),$C$6)&amp;""))</f>
        <v/>
      </c>
      <c r="AX761" s="2">
        <f>IF($AS761="","",IF($AZ761&lt;&gt;"",SUBSTITUTE(SUBSTITUTE($AZ761,"-","")," ",""),$AY761))</f>
        <v/>
      </c>
      <c r="AY761" s="2">
        <f>IF(OR($AS761="",$E$6=""),"",TRIM(INDEX($A:$AP,ROW(),$E$6)&amp;""))</f>
        <v/>
      </c>
      <c r="AZ761" s="2">
        <f>IF(OR($AS761="",$D$6=""),"",TRIM(INDEX($A:$AP,ROW(),$D$6)&amp;""))</f>
        <v/>
      </c>
      <c r="BA761" s="2">
        <f>IF($AS761="","",IF(AND($AS761&gt;=설정!$B$10,$AS761&lt;=설정!$B$11),"포함","기간 밖"))</f>
        <v/>
      </c>
      <c r="BB761" s="2">
        <f>IF($AS761="","",IF(OR($AT761&lt;0,AND($I$6&lt;&gt;"",ISNUMBER(FIND("수정",INDEX($A:$AP,ROW(),IF($I$6="",1,$I$6))&amp;"")))),"수정","일반"))</f>
        <v/>
      </c>
      <c r="BC761" s="2">
        <f>IF($AS761="","",MID(IF($BA761="기간 밖"," / 기간 밖(신고기간 아님)","")&amp;IF(AND($AW761&lt;&gt;"",COUNTIF($AW$8:$AW$1007,$AW761)&gt;1)," / 승인번호 중복(두 번 붙여넣기?)","")&amp;IF(ABS($AU761-ROUND($AT761*0.1,0))&gt;설정!$B$8,IF($AU761=0," / 세액 0원(영세율·면세 여부 확인)"," / 세액이 공급가액 10%와 다름"),"")&amp;IF($BB761="수정"," / 수정세금계산서(합계에서 자동 가감)",""),4,200))</f>
        <v/>
      </c>
      <c r="BD761" s="2">
        <f>IF($BA761&lt;&gt;"포함","",IF(COUNTIFS($AX$8:$AX761,$AX761,$BA$8:$BA761,"포함")=1,MAX($BD$7:BD760)+1,""))</f>
        <v/>
      </c>
      <c r="BE761" s="2">
        <f>IF($BC761="","",MAX($BE$7:BE760)+1)</f>
        <v/>
      </c>
    </row>
    <row r="762">
      <c r="AR762" s="2">
        <f>IF(OR($A$5="",$B$6="",ROW()&lt;$A$5),"",IF(INDEX($A:$AP,ROW(),$B$6)="","",INDEX($A:$AP,ROW(),$B$6)))</f>
        <v/>
      </c>
      <c r="AS762" s="22">
        <f>IF($AR762="","",IF(ISNUMBER($AR762),IF($AR762&gt;=10000000,IFERROR(DATE(INT($AR762/10000),MOD(INT($AR762/100),100),MOD($AR762,100)),""),INT($AR762)),IFERROR(DATE(--LEFT(LEFT(SUBSTITUTE(SUBSTITUTE(SUBSTITUTE(SUBSTITUTE(TRIM($AR762),"-",""),".",""),"/","")," ",""),8),4),--MID(LEFT(SUBSTITUTE(SUBSTITUTE(SUBSTITUTE(SUBSTITUTE(TRIM($AR762),"-",""),".",""),"/","")," ",""),8),5,2),--MID(LEFT(SUBSTITUTE(SUBSTITUTE(SUBSTITUTE(SUBSTITUTE(TRIM($AR762),"-",""),".",""),"/","")," ",""),8),7,2)),"")))</f>
        <v/>
      </c>
      <c r="AT762" s="23">
        <f>IF($AS762="","",IF($F$6="",0,IF(ISNUMBER(INDEX($A:$AP,ROW(),$F$6)),INDEX($A:$AP,ROW(),$F$6),IFERROR(--SUBSTITUTE(SUBSTITUTE(TRIM(INDEX($A:$AP,ROW(),$F$6)),",",""),"원",""),0))))</f>
        <v/>
      </c>
      <c r="AU762" s="23">
        <f>IF($AS762="","",IF($G$6="",0,IF(ISNUMBER(INDEX($A:$AP,ROW(),$G$6)),INDEX($A:$AP,ROW(),$G$6),IFERROR(--SUBSTITUTE(SUBSTITUTE(TRIM(INDEX($A:$AP,ROW(),$G$6)),",",""),"원",""),0))))</f>
        <v/>
      </c>
      <c r="AV762" s="23">
        <f>IF($AS762="","",IF($H$6="",$AT762+$AU762,IF($H$6="",0,IF(ISNUMBER(INDEX($A:$AP,ROW(),$H$6)),INDEX($A:$AP,ROW(),$H$6),IFERROR(--SUBSTITUTE(SUBSTITUTE(TRIM(INDEX($A:$AP,ROW(),$H$6)),",",""),"원",""),0)))))</f>
        <v/>
      </c>
      <c r="AW762" s="2">
        <f>IF(OR($AS762="",$C$6=""),"",TRIM(INDEX($A:$AP,ROW(),$C$6)&amp;""))</f>
        <v/>
      </c>
      <c r="AX762" s="2">
        <f>IF($AS762="","",IF($AZ762&lt;&gt;"",SUBSTITUTE(SUBSTITUTE($AZ762,"-","")," ",""),$AY762))</f>
        <v/>
      </c>
      <c r="AY762" s="2">
        <f>IF(OR($AS762="",$E$6=""),"",TRIM(INDEX($A:$AP,ROW(),$E$6)&amp;""))</f>
        <v/>
      </c>
      <c r="AZ762" s="2">
        <f>IF(OR($AS762="",$D$6=""),"",TRIM(INDEX($A:$AP,ROW(),$D$6)&amp;""))</f>
        <v/>
      </c>
      <c r="BA762" s="2">
        <f>IF($AS762="","",IF(AND($AS762&gt;=설정!$B$10,$AS762&lt;=설정!$B$11),"포함","기간 밖"))</f>
        <v/>
      </c>
      <c r="BB762" s="2">
        <f>IF($AS762="","",IF(OR($AT762&lt;0,AND($I$6&lt;&gt;"",ISNUMBER(FIND("수정",INDEX($A:$AP,ROW(),IF($I$6="",1,$I$6))&amp;"")))),"수정","일반"))</f>
        <v/>
      </c>
      <c r="BC762" s="2">
        <f>IF($AS762="","",MID(IF($BA762="기간 밖"," / 기간 밖(신고기간 아님)","")&amp;IF(AND($AW762&lt;&gt;"",COUNTIF($AW$8:$AW$1007,$AW762)&gt;1)," / 승인번호 중복(두 번 붙여넣기?)","")&amp;IF(ABS($AU762-ROUND($AT762*0.1,0))&gt;설정!$B$8,IF($AU762=0," / 세액 0원(영세율·면세 여부 확인)"," / 세액이 공급가액 10%와 다름"),"")&amp;IF($BB762="수정"," / 수정세금계산서(합계에서 자동 가감)",""),4,200))</f>
        <v/>
      </c>
      <c r="BD762" s="2">
        <f>IF($BA762&lt;&gt;"포함","",IF(COUNTIFS($AX$8:$AX762,$AX762,$BA$8:$BA762,"포함")=1,MAX($BD$7:BD761)+1,""))</f>
        <v/>
      </c>
      <c r="BE762" s="2">
        <f>IF($BC762="","",MAX($BE$7:BE761)+1)</f>
        <v/>
      </c>
    </row>
    <row r="763">
      <c r="AR763" s="2">
        <f>IF(OR($A$5="",$B$6="",ROW()&lt;$A$5),"",IF(INDEX($A:$AP,ROW(),$B$6)="","",INDEX($A:$AP,ROW(),$B$6)))</f>
        <v/>
      </c>
      <c r="AS763" s="22">
        <f>IF($AR763="","",IF(ISNUMBER($AR763),IF($AR763&gt;=10000000,IFERROR(DATE(INT($AR763/10000),MOD(INT($AR763/100),100),MOD($AR763,100)),""),INT($AR763)),IFERROR(DATE(--LEFT(LEFT(SUBSTITUTE(SUBSTITUTE(SUBSTITUTE(SUBSTITUTE(TRIM($AR763),"-",""),".",""),"/","")," ",""),8),4),--MID(LEFT(SUBSTITUTE(SUBSTITUTE(SUBSTITUTE(SUBSTITUTE(TRIM($AR763),"-",""),".",""),"/","")," ",""),8),5,2),--MID(LEFT(SUBSTITUTE(SUBSTITUTE(SUBSTITUTE(SUBSTITUTE(TRIM($AR763),"-",""),".",""),"/","")," ",""),8),7,2)),"")))</f>
        <v/>
      </c>
      <c r="AT763" s="23">
        <f>IF($AS763="","",IF($F$6="",0,IF(ISNUMBER(INDEX($A:$AP,ROW(),$F$6)),INDEX($A:$AP,ROW(),$F$6),IFERROR(--SUBSTITUTE(SUBSTITUTE(TRIM(INDEX($A:$AP,ROW(),$F$6)),",",""),"원",""),0))))</f>
        <v/>
      </c>
      <c r="AU763" s="23">
        <f>IF($AS763="","",IF($G$6="",0,IF(ISNUMBER(INDEX($A:$AP,ROW(),$G$6)),INDEX($A:$AP,ROW(),$G$6),IFERROR(--SUBSTITUTE(SUBSTITUTE(TRIM(INDEX($A:$AP,ROW(),$G$6)),",",""),"원",""),0))))</f>
        <v/>
      </c>
      <c r="AV763" s="23">
        <f>IF($AS763="","",IF($H$6="",$AT763+$AU763,IF($H$6="",0,IF(ISNUMBER(INDEX($A:$AP,ROW(),$H$6)),INDEX($A:$AP,ROW(),$H$6),IFERROR(--SUBSTITUTE(SUBSTITUTE(TRIM(INDEX($A:$AP,ROW(),$H$6)),",",""),"원",""),0)))))</f>
        <v/>
      </c>
      <c r="AW763" s="2">
        <f>IF(OR($AS763="",$C$6=""),"",TRIM(INDEX($A:$AP,ROW(),$C$6)&amp;""))</f>
        <v/>
      </c>
      <c r="AX763" s="2">
        <f>IF($AS763="","",IF($AZ763&lt;&gt;"",SUBSTITUTE(SUBSTITUTE($AZ763,"-","")," ",""),$AY763))</f>
        <v/>
      </c>
      <c r="AY763" s="2">
        <f>IF(OR($AS763="",$E$6=""),"",TRIM(INDEX($A:$AP,ROW(),$E$6)&amp;""))</f>
        <v/>
      </c>
      <c r="AZ763" s="2">
        <f>IF(OR($AS763="",$D$6=""),"",TRIM(INDEX($A:$AP,ROW(),$D$6)&amp;""))</f>
        <v/>
      </c>
      <c r="BA763" s="2">
        <f>IF($AS763="","",IF(AND($AS763&gt;=설정!$B$10,$AS763&lt;=설정!$B$11),"포함","기간 밖"))</f>
        <v/>
      </c>
      <c r="BB763" s="2">
        <f>IF($AS763="","",IF(OR($AT763&lt;0,AND($I$6&lt;&gt;"",ISNUMBER(FIND("수정",INDEX($A:$AP,ROW(),IF($I$6="",1,$I$6))&amp;"")))),"수정","일반"))</f>
        <v/>
      </c>
      <c r="BC763" s="2">
        <f>IF($AS763="","",MID(IF($BA763="기간 밖"," / 기간 밖(신고기간 아님)","")&amp;IF(AND($AW763&lt;&gt;"",COUNTIF($AW$8:$AW$1007,$AW763)&gt;1)," / 승인번호 중복(두 번 붙여넣기?)","")&amp;IF(ABS($AU763-ROUND($AT763*0.1,0))&gt;설정!$B$8,IF($AU763=0," / 세액 0원(영세율·면세 여부 확인)"," / 세액이 공급가액 10%와 다름"),"")&amp;IF($BB763="수정"," / 수정세금계산서(합계에서 자동 가감)",""),4,200))</f>
        <v/>
      </c>
      <c r="BD763" s="2">
        <f>IF($BA763&lt;&gt;"포함","",IF(COUNTIFS($AX$8:$AX763,$AX763,$BA$8:$BA763,"포함")=1,MAX($BD$7:BD762)+1,""))</f>
        <v/>
      </c>
      <c r="BE763" s="2">
        <f>IF($BC763="","",MAX($BE$7:BE762)+1)</f>
        <v/>
      </c>
    </row>
    <row r="764">
      <c r="AR764" s="2">
        <f>IF(OR($A$5="",$B$6="",ROW()&lt;$A$5),"",IF(INDEX($A:$AP,ROW(),$B$6)="","",INDEX($A:$AP,ROW(),$B$6)))</f>
        <v/>
      </c>
      <c r="AS764" s="22">
        <f>IF($AR764="","",IF(ISNUMBER($AR764),IF($AR764&gt;=10000000,IFERROR(DATE(INT($AR764/10000),MOD(INT($AR764/100),100),MOD($AR764,100)),""),INT($AR764)),IFERROR(DATE(--LEFT(LEFT(SUBSTITUTE(SUBSTITUTE(SUBSTITUTE(SUBSTITUTE(TRIM($AR764),"-",""),".",""),"/","")," ",""),8),4),--MID(LEFT(SUBSTITUTE(SUBSTITUTE(SUBSTITUTE(SUBSTITUTE(TRIM($AR764),"-",""),".",""),"/","")," ",""),8),5,2),--MID(LEFT(SUBSTITUTE(SUBSTITUTE(SUBSTITUTE(SUBSTITUTE(TRIM($AR764),"-",""),".",""),"/","")," ",""),8),7,2)),"")))</f>
        <v/>
      </c>
      <c r="AT764" s="23">
        <f>IF($AS764="","",IF($F$6="",0,IF(ISNUMBER(INDEX($A:$AP,ROW(),$F$6)),INDEX($A:$AP,ROW(),$F$6),IFERROR(--SUBSTITUTE(SUBSTITUTE(TRIM(INDEX($A:$AP,ROW(),$F$6)),",",""),"원",""),0))))</f>
        <v/>
      </c>
      <c r="AU764" s="23">
        <f>IF($AS764="","",IF($G$6="",0,IF(ISNUMBER(INDEX($A:$AP,ROW(),$G$6)),INDEX($A:$AP,ROW(),$G$6),IFERROR(--SUBSTITUTE(SUBSTITUTE(TRIM(INDEX($A:$AP,ROW(),$G$6)),",",""),"원",""),0))))</f>
        <v/>
      </c>
      <c r="AV764" s="23">
        <f>IF($AS764="","",IF($H$6="",$AT764+$AU764,IF($H$6="",0,IF(ISNUMBER(INDEX($A:$AP,ROW(),$H$6)),INDEX($A:$AP,ROW(),$H$6),IFERROR(--SUBSTITUTE(SUBSTITUTE(TRIM(INDEX($A:$AP,ROW(),$H$6)),",",""),"원",""),0)))))</f>
        <v/>
      </c>
      <c r="AW764" s="2">
        <f>IF(OR($AS764="",$C$6=""),"",TRIM(INDEX($A:$AP,ROW(),$C$6)&amp;""))</f>
        <v/>
      </c>
      <c r="AX764" s="2">
        <f>IF($AS764="","",IF($AZ764&lt;&gt;"",SUBSTITUTE(SUBSTITUTE($AZ764,"-","")," ",""),$AY764))</f>
        <v/>
      </c>
      <c r="AY764" s="2">
        <f>IF(OR($AS764="",$E$6=""),"",TRIM(INDEX($A:$AP,ROW(),$E$6)&amp;""))</f>
        <v/>
      </c>
      <c r="AZ764" s="2">
        <f>IF(OR($AS764="",$D$6=""),"",TRIM(INDEX($A:$AP,ROW(),$D$6)&amp;""))</f>
        <v/>
      </c>
      <c r="BA764" s="2">
        <f>IF($AS764="","",IF(AND($AS764&gt;=설정!$B$10,$AS764&lt;=설정!$B$11),"포함","기간 밖"))</f>
        <v/>
      </c>
      <c r="BB764" s="2">
        <f>IF($AS764="","",IF(OR($AT764&lt;0,AND($I$6&lt;&gt;"",ISNUMBER(FIND("수정",INDEX($A:$AP,ROW(),IF($I$6="",1,$I$6))&amp;"")))),"수정","일반"))</f>
        <v/>
      </c>
      <c r="BC764" s="2">
        <f>IF($AS764="","",MID(IF($BA764="기간 밖"," / 기간 밖(신고기간 아님)","")&amp;IF(AND($AW764&lt;&gt;"",COUNTIF($AW$8:$AW$1007,$AW764)&gt;1)," / 승인번호 중복(두 번 붙여넣기?)","")&amp;IF(ABS($AU764-ROUND($AT764*0.1,0))&gt;설정!$B$8,IF($AU764=0," / 세액 0원(영세율·면세 여부 확인)"," / 세액이 공급가액 10%와 다름"),"")&amp;IF($BB764="수정"," / 수정세금계산서(합계에서 자동 가감)",""),4,200))</f>
        <v/>
      </c>
      <c r="BD764" s="2">
        <f>IF($BA764&lt;&gt;"포함","",IF(COUNTIFS($AX$8:$AX764,$AX764,$BA$8:$BA764,"포함")=1,MAX($BD$7:BD763)+1,""))</f>
        <v/>
      </c>
      <c r="BE764" s="2">
        <f>IF($BC764="","",MAX($BE$7:BE763)+1)</f>
        <v/>
      </c>
    </row>
    <row r="765">
      <c r="AR765" s="2">
        <f>IF(OR($A$5="",$B$6="",ROW()&lt;$A$5),"",IF(INDEX($A:$AP,ROW(),$B$6)="","",INDEX($A:$AP,ROW(),$B$6)))</f>
        <v/>
      </c>
      <c r="AS765" s="22">
        <f>IF($AR765="","",IF(ISNUMBER($AR765),IF($AR765&gt;=10000000,IFERROR(DATE(INT($AR765/10000),MOD(INT($AR765/100),100),MOD($AR765,100)),""),INT($AR765)),IFERROR(DATE(--LEFT(LEFT(SUBSTITUTE(SUBSTITUTE(SUBSTITUTE(SUBSTITUTE(TRIM($AR765),"-",""),".",""),"/","")," ",""),8),4),--MID(LEFT(SUBSTITUTE(SUBSTITUTE(SUBSTITUTE(SUBSTITUTE(TRIM($AR765),"-",""),".",""),"/","")," ",""),8),5,2),--MID(LEFT(SUBSTITUTE(SUBSTITUTE(SUBSTITUTE(SUBSTITUTE(TRIM($AR765),"-",""),".",""),"/","")," ",""),8),7,2)),"")))</f>
        <v/>
      </c>
      <c r="AT765" s="23">
        <f>IF($AS765="","",IF($F$6="",0,IF(ISNUMBER(INDEX($A:$AP,ROW(),$F$6)),INDEX($A:$AP,ROW(),$F$6),IFERROR(--SUBSTITUTE(SUBSTITUTE(TRIM(INDEX($A:$AP,ROW(),$F$6)),",",""),"원",""),0))))</f>
        <v/>
      </c>
      <c r="AU765" s="23">
        <f>IF($AS765="","",IF($G$6="",0,IF(ISNUMBER(INDEX($A:$AP,ROW(),$G$6)),INDEX($A:$AP,ROW(),$G$6),IFERROR(--SUBSTITUTE(SUBSTITUTE(TRIM(INDEX($A:$AP,ROW(),$G$6)),",",""),"원",""),0))))</f>
        <v/>
      </c>
      <c r="AV765" s="23">
        <f>IF($AS765="","",IF($H$6="",$AT765+$AU765,IF($H$6="",0,IF(ISNUMBER(INDEX($A:$AP,ROW(),$H$6)),INDEX($A:$AP,ROW(),$H$6),IFERROR(--SUBSTITUTE(SUBSTITUTE(TRIM(INDEX($A:$AP,ROW(),$H$6)),",",""),"원",""),0)))))</f>
        <v/>
      </c>
      <c r="AW765" s="2">
        <f>IF(OR($AS765="",$C$6=""),"",TRIM(INDEX($A:$AP,ROW(),$C$6)&amp;""))</f>
        <v/>
      </c>
      <c r="AX765" s="2">
        <f>IF($AS765="","",IF($AZ765&lt;&gt;"",SUBSTITUTE(SUBSTITUTE($AZ765,"-","")," ",""),$AY765))</f>
        <v/>
      </c>
      <c r="AY765" s="2">
        <f>IF(OR($AS765="",$E$6=""),"",TRIM(INDEX($A:$AP,ROW(),$E$6)&amp;""))</f>
        <v/>
      </c>
      <c r="AZ765" s="2">
        <f>IF(OR($AS765="",$D$6=""),"",TRIM(INDEX($A:$AP,ROW(),$D$6)&amp;""))</f>
        <v/>
      </c>
      <c r="BA765" s="2">
        <f>IF($AS765="","",IF(AND($AS765&gt;=설정!$B$10,$AS765&lt;=설정!$B$11),"포함","기간 밖"))</f>
        <v/>
      </c>
      <c r="BB765" s="2">
        <f>IF($AS765="","",IF(OR($AT765&lt;0,AND($I$6&lt;&gt;"",ISNUMBER(FIND("수정",INDEX($A:$AP,ROW(),IF($I$6="",1,$I$6))&amp;"")))),"수정","일반"))</f>
        <v/>
      </c>
      <c r="BC765" s="2">
        <f>IF($AS765="","",MID(IF($BA765="기간 밖"," / 기간 밖(신고기간 아님)","")&amp;IF(AND($AW765&lt;&gt;"",COUNTIF($AW$8:$AW$1007,$AW765)&gt;1)," / 승인번호 중복(두 번 붙여넣기?)","")&amp;IF(ABS($AU765-ROUND($AT765*0.1,0))&gt;설정!$B$8,IF($AU765=0," / 세액 0원(영세율·면세 여부 확인)"," / 세액이 공급가액 10%와 다름"),"")&amp;IF($BB765="수정"," / 수정세금계산서(합계에서 자동 가감)",""),4,200))</f>
        <v/>
      </c>
      <c r="BD765" s="2">
        <f>IF($BA765&lt;&gt;"포함","",IF(COUNTIFS($AX$8:$AX765,$AX765,$BA$8:$BA765,"포함")=1,MAX($BD$7:BD764)+1,""))</f>
        <v/>
      </c>
      <c r="BE765" s="2">
        <f>IF($BC765="","",MAX($BE$7:BE764)+1)</f>
        <v/>
      </c>
    </row>
    <row r="766">
      <c r="AR766" s="2">
        <f>IF(OR($A$5="",$B$6="",ROW()&lt;$A$5),"",IF(INDEX($A:$AP,ROW(),$B$6)="","",INDEX($A:$AP,ROW(),$B$6)))</f>
        <v/>
      </c>
      <c r="AS766" s="22">
        <f>IF($AR766="","",IF(ISNUMBER($AR766),IF($AR766&gt;=10000000,IFERROR(DATE(INT($AR766/10000),MOD(INT($AR766/100),100),MOD($AR766,100)),""),INT($AR766)),IFERROR(DATE(--LEFT(LEFT(SUBSTITUTE(SUBSTITUTE(SUBSTITUTE(SUBSTITUTE(TRIM($AR766),"-",""),".",""),"/","")," ",""),8),4),--MID(LEFT(SUBSTITUTE(SUBSTITUTE(SUBSTITUTE(SUBSTITUTE(TRIM($AR766),"-",""),".",""),"/","")," ",""),8),5,2),--MID(LEFT(SUBSTITUTE(SUBSTITUTE(SUBSTITUTE(SUBSTITUTE(TRIM($AR766),"-",""),".",""),"/","")," ",""),8),7,2)),"")))</f>
        <v/>
      </c>
      <c r="AT766" s="23">
        <f>IF($AS766="","",IF($F$6="",0,IF(ISNUMBER(INDEX($A:$AP,ROW(),$F$6)),INDEX($A:$AP,ROW(),$F$6),IFERROR(--SUBSTITUTE(SUBSTITUTE(TRIM(INDEX($A:$AP,ROW(),$F$6)),",",""),"원",""),0))))</f>
        <v/>
      </c>
      <c r="AU766" s="23">
        <f>IF($AS766="","",IF($G$6="",0,IF(ISNUMBER(INDEX($A:$AP,ROW(),$G$6)),INDEX($A:$AP,ROW(),$G$6),IFERROR(--SUBSTITUTE(SUBSTITUTE(TRIM(INDEX($A:$AP,ROW(),$G$6)),",",""),"원",""),0))))</f>
        <v/>
      </c>
      <c r="AV766" s="23">
        <f>IF($AS766="","",IF($H$6="",$AT766+$AU766,IF($H$6="",0,IF(ISNUMBER(INDEX($A:$AP,ROW(),$H$6)),INDEX($A:$AP,ROW(),$H$6),IFERROR(--SUBSTITUTE(SUBSTITUTE(TRIM(INDEX($A:$AP,ROW(),$H$6)),",",""),"원",""),0)))))</f>
        <v/>
      </c>
      <c r="AW766" s="2">
        <f>IF(OR($AS766="",$C$6=""),"",TRIM(INDEX($A:$AP,ROW(),$C$6)&amp;""))</f>
        <v/>
      </c>
      <c r="AX766" s="2">
        <f>IF($AS766="","",IF($AZ766&lt;&gt;"",SUBSTITUTE(SUBSTITUTE($AZ766,"-","")," ",""),$AY766))</f>
        <v/>
      </c>
      <c r="AY766" s="2">
        <f>IF(OR($AS766="",$E$6=""),"",TRIM(INDEX($A:$AP,ROW(),$E$6)&amp;""))</f>
        <v/>
      </c>
      <c r="AZ766" s="2">
        <f>IF(OR($AS766="",$D$6=""),"",TRIM(INDEX($A:$AP,ROW(),$D$6)&amp;""))</f>
        <v/>
      </c>
      <c r="BA766" s="2">
        <f>IF($AS766="","",IF(AND($AS766&gt;=설정!$B$10,$AS766&lt;=설정!$B$11),"포함","기간 밖"))</f>
        <v/>
      </c>
      <c r="BB766" s="2">
        <f>IF($AS766="","",IF(OR($AT766&lt;0,AND($I$6&lt;&gt;"",ISNUMBER(FIND("수정",INDEX($A:$AP,ROW(),IF($I$6="",1,$I$6))&amp;"")))),"수정","일반"))</f>
        <v/>
      </c>
      <c r="BC766" s="2">
        <f>IF($AS766="","",MID(IF($BA766="기간 밖"," / 기간 밖(신고기간 아님)","")&amp;IF(AND($AW766&lt;&gt;"",COUNTIF($AW$8:$AW$1007,$AW766)&gt;1)," / 승인번호 중복(두 번 붙여넣기?)","")&amp;IF(ABS($AU766-ROUND($AT766*0.1,0))&gt;설정!$B$8,IF($AU766=0," / 세액 0원(영세율·면세 여부 확인)"," / 세액이 공급가액 10%와 다름"),"")&amp;IF($BB766="수정"," / 수정세금계산서(합계에서 자동 가감)",""),4,200))</f>
        <v/>
      </c>
      <c r="BD766" s="2">
        <f>IF($BA766&lt;&gt;"포함","",IF(COUNTIFS($AX$8:$AX766,$AX766,$BA$8:$BA766,"포함")=1,MAX($BD$7:BD765)+1,""))</f>
        <v/>
      </c>
      <c r="BE766" s="2">
        <f>IF($BC766="","",MAX($BE$7:BE765)+1)</f>
        <v/>
      </c>
    </row>
    <row r="767">
      <c r="AR767" s="2">
        <f>IF(OR($A$5="",$B$6="",ROW()&lt;$A$5),"",IF(INDEX($A:$AP,ROW(),$B$6)="","",INDEX($A:$AP,ROW(),$B$6)))</f>
        <v/>
      </c>
      <c r="AS767" s="22">
        <f>IF($AR767="","",IF(ISNUMBER($AR767),IF($AR767&gt;=10000000,IFERROR(DATE(INT($AR767/10000),MOD(INT($AR767/100),100),MOD($AR767,100)),""),INT($AR767)),IFERROR(DATE(--LEFT(LEFT(SUBSTITUTE(SUBSTITUTE(SUBSTITUTE(SUBSTITUTE(TRIM($AR767),"-",""),".",""),"/","")," ",""),8),4),--MID(LEFT(SUBSTITUTE(SUBSTITUTE(SUBSTITUTE(SUBSTITUTE(TRIM($AR767),"-",""),".",""),"/","")," ",""),8),5,2),--MID(LEFT(SUBSTITUTE(SUBSTITUTE(SUBSTITUTE(SUBSTITUTE(TRIM($AR767),"-",""),".",""),"/","")," ",""),8),7,2)),"")))</f>
        <v/>
      </c>
      <c r="AT767" s="23">
        <f>IF($AS767="","",IF($F$6="",0,IF(ISNUMBER(INDEX($A:$AP,ROW(),$F$6)),INDEX($A:$AP,ROW(),$F$6),IFERROR(--SUBSTITUTE(SUBSTITUTE(TRIM(INDEX($A:$AP,ROW(),$F$6)),",",""),"원",""),0))))</f>
        <v/>
      </c>
      <c r="AU767" s="23">
        <f>IF($AS767="","",IF($G$6="",0,IF(ISNUMBER(INDEX($A:$AP,ROW(),$G$6)),INDEX($A:$AP,ROW(),$G$6),IFERROR(--SUBSTITUTE(SUBSTITUTE(TRIM(INDEX($A:$AP,ROW(),$G$6)),",",""),"원",""),0))))</f>
        <v/>
      </c>
      <c r="AV767" s="23">
        <f>IF($AS767="","",IF($H$6="",$AT767+$AU767,IF($H$6="",0,IF(ISNUMBER(INDEX($A:$AP,ROW(),$H$6)),INDEX($A:$AP,ROW(),$H$6),IFERROR(--SUBSTITUTE(SUBSTITUTE(TRIM(INDEX($A:$AP,ROW(),$H$6)),",",""),"원",""),0)))))</f>
        <v/>
      </c>
      <c r="AW767" s="2">
        <f>IF(OR($AS767="",$C$6=""),"",TRIM(INDEX($A:$AP,ROW(),$C$6)&amp;""))</f>
        <v/>
      </c>
      <c r="AX767" s="2">
        <f>IF($AS767="","",IF($AZ767&lt;&gt;"",SUBSTITUTE(SUBSTITUTE($AZ767,"-","")," ",""),$AY767))</f>
        <v/>
      </c>
      <c r="AY767" s="2">
        <f>IF(OR($AS767="",$E$6=""),"",TRIM(INDEX($A:$AP,ROW(),$E$6)&amp;""))</f>
        <v/>
      </c>
      <c r="AZ767" s="2">
        <f>IF(OR($AS767="",$D$6=""),"",TRIM(INDEX($A:$AP,ROW(),$D$6)&amp;""))</f>
        <v/>
      </c>
      <c r="BA767" s="2">
        <f>IF($AS767="","",IF(AND($AS767&gt;=설정!$B$10,$AS767&lt;=설정!$B$11),"포함","기간 밖"))</f>
        <v/>
      </c>
      <c r="BB767" s="2">
        <f>IF($AS767="","",IF(OR($AT767&lt;0,AND($I$6&lt;&gt;"",ISNUMBER(FIND("수정",INDEX($A:$AP,ROW(),IF($I$6="",1,$I$6))&amp;"")))),"수정","일반"))</f>
        <v/>
      </c>
      <c r="BC767" s="2">
        <f>IF($AS767="","",MID(IF($BA767="기간 밖"," / 기간 밖(신고기간 아님)","")&amp;IF(AND($AW767&lt;&gt;"",COUNTIF($AW$8:$AW$1007,$AW767)&gt;1)," / 승인번호 중복(두 번 붙여넣기?)","")&amp;IF(ABS($AU767-ROUND($AT767*0.1,0))&gt;설정!$B$8,IF($AU767=0," / 세액 0원(영세율·면세 여부 확인)"," / 세액이 공급가액 10%와 다름"),"")&amp;IF($BB767="수정"," / 수정세금계산서(합계에서 자동 가감)",""),4,200))</f>
        <v/>
      </c>
      <c r="BD767" s="2">
        <f>IF($BA767&lt;&gt;"포함","",IF(COUNTIFS($AX$8:$AX767,$AX767,$BA$8:$BA767,"포함")=1,MAX($BD$7:BD766)+1,""))</f>
        <v/>
      </c>
      <c r="BE767" s="2">
        <f>IF($BC767="","",MAX($BE$7:BE766)+1)</f>
        <v/>
      </c>
    </row>
    <row r="768">
      <c r="AR768" s="2">
        <f>IF(OR($A$5="",$B$6="",ROW()&lt;$A$5),"",IF(INDEX($A:$AP,ROW(),$B$6)="","",INDEX($A:$AP,ROW(),$B$6)))</f>
        <v/>
      </c>
      <c r="AS768" s="22">
        <f>IF($AR768="","",IF(ISNUMBER($AR768),IF($AR768&gt;=10000000,IFERROR(DATE(INT($AR768/10000),MOD(INT($AR768/100),100),MOD($AR768,100)),""),INT($AR768)),IFERROR(DATE(--LEFT(LEFT(SUBSTITUTE(SUBSTITUTE(SUBSTITUTE(SUBSTITUTE(TRIM($AR768),"-",""),".",""),"/","")," ",""),8),4),--MID(LEFT(SUBSTITUTE(SUBSTITUTE(SUBSTITUTE(SUBSTITUTE(TRIM($AR768),"-",""),".",""),"/","")," ",""),8),5,2),--MID(LEFT(SUBSTITUTE(SUBSTITUTE(SUBSTITUTE(SUBSTITUTE(TRIM($AR768),"-",""),".",""),"/","")," ",""),8),7,2)),"")))</f>
        <v/>
      </c>
      <c r="AT768" s="23">
        <f>IF($AS768="","",IF($F$6="",0,IF(ISNUMBER(INDEX($A:$AP,ROW(),$F$6)),INDEX($A:$AP,ROW(),$F$6),IFERROR(--SUBSTITUTE(SUBSTITUTE(TRIM(INDEX($A:$AP,ROW(),$F$6)),",",""),"원",""),0))))</f>
        <v/>
      </c>
      <c r="AU768" s="23">
        <f>IF($AS768="","",IF($G$6="",0,IF(ISNUMBER(INDEX($A:$AP,ROW(),$G$6)),INDEX($A:$AP,ROW(),$G$6),IFERROR(--SUBSTITUTE(SUBSTITUTE(TRIM(INDEX($A:$AP,ROW(),$G$6)),",",""),"원",""),0))))</f>
        <v/>
      </c>
      <c r="AV768" s="23">
        <f>IF($AS768="","",IF($H$6="",$AT768+$AU768,IF($H$6="",0,IF(ISNUMBER(INDEX($A:$AP,ROW(),$H$6)),INDEX($A:$AP,ROW(),$H$6),IFERROR(--SUBSTITUTE(SUBSTITUTE(TRIM(INDEX($A:$AP,ROW(),$H$6)),",",""),"원",""),0)))))</f>
        <v/>
      </c>
      <c r="AW768" s="2">
        <f>IF(OR($AS768="",$C$6=""),"",TRIM(INDEX($A:$AP,ROW(),$C$6)&amp;""))</f>
        <v/>
      </c>
      <c r="AX768" s="2">
        <f>IF($AS768="","",IF($AZ768&lt;&gt;"",SUBSTITUTE(SUBSTITUTE($AZ768,"-","")," ",""),$AY768))</f>
        <v/>
      </c>
      <c r="AY768" s="2">
        <f>IF(OR($AS768="",$E$6=""),"",TRIM(INDEX($A:$AP,ROW(),$E$6)&amp;""))</f>
        <v/>
      </c>
      <c r="AZ768" s="2">
        <f>IF(OR($AS768="",$D$6=""),"",TRIM(INDEX($A:$AP,ROW(),$D$6)&amp;""))</f>
        <v/>
      </c>
      <c r="BA768" s="2">
        <f>IF($AS768="","",IF(AND($AS768&gt;=설정!$B$10,$AS768&lt;=설정!$B$11),"포함","기간 밖"))</f>
        <v/>
      </c>
      <c r="BB768" s="2">
        <f>IF($AS768="","",IF(OR($AT768&lt;0,AND($I$6&lt;&gt;"",ISNUMBER(FIND("수정",INDEX($A:$AP,ROW(),IF($I$6="",1,$I$6))&amp;"")))),"수정","일반"))</f>
        <v/>
      </c>
      <c r="BC768" s="2">
        <f>IF($AS768="","",MID(IF($BA768="기간 밖"," / 기간 밖(신고기간 아님)","")&amp;IF(AND($AW768&lt;&gt;"",COUNTIF($AW$8:$AW$1007,$AW768)&gt;1)," / 승인번호 중복(두 번 붙여넣기?)","")&amp;IF(ABS($AU768-ROUND($AT768*0.1,0))&gt;설정!$B$8,IF($AU768=0," / 세액 0원(영세율·면세 여부 확인)"," / 세액이 공급가액 10%와 다름"),"")&amp;IF($BB768="수정"," / 수정세금계산서(합계에서 자동 가감)",""),4,200))</f>
        <v/>
      </c>
      <c r="BD768" s="2">
        <f>IF($BA768&lt;&gt;"포함","",IF(COUNTIFS($AX$8:$AX768,$AX768,$BA$8:$BA768,"포함")=1,MAX($BD$7:BD767)+1,""))</f>
        <v/>
      </c>
      <c r="BE768" s="2">
        <f>IF($BC768="","",MAX($BE$7:BE767)+1)</f>
        <v/>
      </c>
    </row>
    <row r="769">
      <c r="AR769" s="2">
        <f>IF(OR($A$5="",$B$6="",ROW()&lt;$A$5),"",IF(INDEX($A:$AP,ROW(),$B$6)="","",INDEX($A:$AP,ROW(),$B$6)))</f>
        <v/>
      </c>
      <c r="AS769" s="22">
        <f>IF($AR769="","",IF(ISNUMBER($AR769),IF($AR769&gt;=10000000,IFERROR(DATE(INT($AR769/10000),MOD(INT($AR769/100),100),MOD($AR769,100)),""),INT($AR769)),IFERROR(DATE(--LEFT(LEFT(SUBSTITUTE(SUBSTITUTE(SUBSTITUTE(SUBSTITUTE(TRIM($AR769),"-",""),".",""),"/","")," ",""),8),4),--MID(LEFT(SUBSTITUTE(SUBSTITUTE(SUBSTITUTE(SUBSTITUTE(TRIM($AR769),"-",""),".",""),"/","")," ",""),8),5,2),--MID(LEFT(SUBSTITUTE(SUBSTITUTE(SUBSTITUTE(SUBSTITUTE(TRIM($AR769),"-",""),".",""),"/","")," ",""),8),7,2)),"")))</f>
        <v/>
      </c>
      <c r="AT769" s="23">
        <f>IF($AS769="","",IF($F$6="",0,IF(ISNUMBER(INDEX($A:$AP,ROW(),$F$6)),INDEX($A:$AP,ROW(),$F$6),IFERROR(--SUBSTITUTE(SUBSTITUTE(TRIM(INDEX($A:$AP,ROW(),$F$6)),",",""),"원",""),0))))</f>
        <v/>
      </c>
      <c r="AU769" s="23">
        <f>IF($AS769="","",IF($G$6="",0,IF(ISNUMBER(INDEX($A:$AP,ROW(),$G$6)),INDEX($A:$AP,ROW(),$G$6),IFERROR(--SUBSTITUTE(SUBSTITUTE(TRIM(INDEX($A:$AP,ROW(),$G$6)),",",""),"원",""),0))))</f>
        <v/>
      </c>
      <c r="AV769" s="23">
        <f>IF($AS769="","",IF($H$6="",$AT769+$AU769,IF($H$6="",0,IF(ISNUMBER(INDEX($A:$AP,ROW(),$H$6)),INDEX($A:$AP,ROW(),$H$6),IFERROR(--SUBSTITUTE(SUBSTITUTE(TRIM(INDEX($A:$AP,ROW(),$H$6)),",",""),"원",""),0)))))</f>
        <v/>
      </c>
      <c r="AW769" s="2">
        <f>IF(OR($AS769="",$C$6=""),"",TRIM(INDEX($A:$AP,ROW(),$C$6)&amp;""))</f>
        <v/>
      </c>
      <c r="AX769" s="2">
        <f>IF($AS769="","",IF($AZ769&lt;&gt;"",SUBSTITUTE(SUBSTITUTE($AZ769,"-","")," ",""),$AY769))</f>
        <v/>
      </c>
      <c r="AY769" s="2">
        <f>IF(OR($AS769="",$E$6=""),"",TRIM(INDEX($A:$AP,ROW(),$E$6)&amp;""))</f>
        <v/>
      </c>
      <c r="AZ769" s="2">
        <f>IF(OR($AS769="",$D$6=""),"",TRIM(INDEX($A:$AP,ROW(),$D$6)&amp;""))</f>
        <v/>
      </c>
      <c r="BA769" s="2">
        <f>IF($AS769="","",IF(AND($AS769&gt;=설정!$B$10,$AS769&lt;=설정!$B$11),"포함","기간 밖"))</f>
        <v/>
      </c>
      <c r="BB769" s="2">
        <f>IF($AS769="","",IF(OR($AT769&lt;0,AND($I$6&lt;&gt;"",ISNUMBER(FIND("수정",INDEX($A:$AP,ROW(),IF($I$6="",1,$I$6))&amp;"")))),"수정","일반"))</f>
        <v/>
      </c>
      <c r="BC769" s="2">
        <f>IF($AS769="","",MID(IF($BA769="기간 밖"," / 기간 밖(신고기간 아님)","")&amp;IF(AND($AW769&lt;&gt;"",COUNTIF($AW$8:$AW$1007,$AW769)&gt;1)," / 승인번호 중복(두 번 붙여넣기?)","")&amp;IF(ABS($AU769-ROUND($AT769*0.1,0))&gt;설정!$B$8,IF($AU769=0," / 세액 0원(영세율·면세 여부 확인)"," / 세액이 공급가액 10%와 다름"),"")&amp;IF($BB769="수정"," / 수정세금계산서(합계에서 자동 가감)",""),4,200))</f>
        <v/>
      </c>
      <c r="BD769" s="2">
        <f>IF($BA769&lt;&gt;"포함","",IF(COUNTIFS($AX$8:$AX769,$AX769,$BA$8:$BA769,"포함")=1,MAX($BD$7:BD768)+1,""))</f>
        <v/>
      </c>
      <c r="BE769" s="2">
        <f>IF($BC769="","",MAX($BE$7:BE768)+1)</f>
        <v/>
      </c>
    </row>
    <row r="770">
      <c r="AR770" s="2">
        <f>IF(OR($A$5="",$B$6="",ROW()&lt;$A$5),"",IF(INDEX($A:$AP,ROW(),$B$6)="","",INDEX($A:$AP,ROW(),$B$6)))</f>
        <v/>
      </c>
      <c r="AS770" s="22">
        <f>IF($AR770="","",IF(ISNUMBER($AR770),IF($AR770&gt;=10000000,IFERROR(DATE(INT($AR770/10000),MOD(INT($AR770/100),100),MOD($AR770,100)),""),INT($AR770)),IFERROR(DATE(--LEFT(LEFT(SUBSTITUTE(SUBSTITUTE(SUBSTITUTE(SUBSTITUTE(TRIM($AR770),"-",""),".",""),"/","")," ",""),8),4),--MID(LEFT(SUBSTITUTE(SUBSTITUTE(SUBSTITUTE(SUBSTITUTE(TRIM($AR770),"-",""),".",""),"/","")," ",""),8),5,2),--MID(LEFT(SUBSTITUTE(SUBSTITUTE(SUBSTITUTE(SUBSTITUTE(TRIM($AR770),"-",""),".",""),"/","")," ",""),8),7,2)),"")))</f>
        <v/>
      </c>
      <c r="AT770" s="23">
        <f>IF($AS770="","",IF($F$6="",0,IF(ISNUMBER(INDEX($A:$AP,ROW(),$F$6)),INDEX($A:$AP,ROW(),$F$6),IFERROR(--SUBSTITUTE(SUBSTITUTE(TRIM(INDEX($A:$AP,ROW(),$F$6)),",",""),"원",""),0))))</f>
        <v/>
      </c>
      <c r="AU770" s="23">
        <f>IF($AS770="","",IF($G$6="",0,IF(ISNUMBER(INDEX($A:$AP,ROW(),$G$6)),INDEX($A:$AP,ROW(),$G$6),IFERROR(--SUBSTITUTE(SUBSTITUTE(TRIM(INDEX($A:$AP,ROW(),$G$6)),",",""),"원",""),0))))</f>
        <v/>
      </c>
      <c r="AV770" s="23">
        <f>IF($AS770="","",IF($H$6="",$AT770+$AU770,IF($H$6="",0,IF(ISNUMBER(INDEX($A:$AP,ROW(),$H$6)),INDEX($A:$AP,ROW(),$H$6),IFERROR(--SUBSTITUTE(SUBSTITUTE(TRIM(INDEX($A:$AP,ROW(),$H$6)),",",""),"원",""),0)))))</f>
        <v/>
      </c>
      <c r="AW770" s="2">
        <f>IF(OR($AS770="",$C$6=""),"",TRIM(INDEX($A:$AP,ROW(),$C$6)&amp;""))</f>
        <v/>
      </c>
      <c r="AX770" s="2">
        <f>IF($AS770="","",IF($AZ770&lt;&gt;"",SUBSTITUTE(SUBSTITUTE($AZ770,"-","")," ",""),$AY770))</f>
        <v/>
      </c>
      <c r="AY770" s="2">
        <f>IF(OR($AS770="",$E$6=""),"",TRIM(INDEX($A:$AP,ROW(),$E$6)&amp;""))</f>
        <v/>
      </c>
      <c r="AZ770" s="2">
        <f>IF(OR($AS770="",$D$6=""),"",TRIM(INDEX($A:$AP,ROW(),$D$6)&amp;""))</f>
        <v/>
      </c>
      <c r="BA770" s="2">
        <f>IF($AS770="","",IF(AND($AS770&gt;=설정!$B$10,$AS770&lt;=설정!$B$11),"포함","기간 밖"))</f>
        <v/>
      </c>
      <c r="BB770" s="2">
        <f>IF($AS770="","",IF(OR($AT770&lt;0,AND($I$6&lt;&gt;"",ISNUMBER(FIND("수정",INDEX($A:$AP,ROW(),IF($I$6="",1,$I$6))&amp;"")))),"수정","일반"))</f>
        <v/>
      </c>
      <c r="BC770" s="2">
        <f>IF($AS770="","",MID(IF($BA770="기간 밖"," / 기간 밖(신고기간 아님)","")&amp;IF(AND($AW770&lt;&gt;"",COUNTIF($AW$8:$AW$1007,$AW770)&gt;1)," / 승인번호 중복(두 번 붙여넣기?)","")&amp;IF(ABS($AU770-ROUND($AT770*0.1,0))&gt;설정!$B$8,IF($AU770=0," / 세액 0원(영세율·면세 여부 확인)"," / 세액이 공급가액 10%와 다름"),"")&amp;IF($BB770="수정"," / 수정세금계산서(합계에서 자동 가감)",""),4,200))</f>
        <v/>
      </c>
      <c r="BD770" s="2">
        <f>IF($BA770&lt;&gt;"포함","",IF(COUNTIFS($AX$8:$AX770,$AX770,$BA$8:$BA770,"포함")=1,MAX($BD$7:BD769)+1,""))</f>
        <v/>
      </c>
      <c r="BE770" s="2">
        <f>IF($BC770="","",MAX($BE$7:BE769)+1)</f>
        <v/>
      </c>
    </row>
    <row r="771">
      <c r="AR771" s="2">
        <f>IF(OR($A$5="",$B$6="",ROW()&lt;$A$5),"",IF(INDEX($A:$AP,ROW(),$B$6)="","",INDEX($A:$AP,ROW(),$B$6)))</f>
        <v/>
      </c>
      <c r="AS771" s="22">
        <f>IF($AR771="","",IF(ISNUMBER($AR771),IF($AR771&gt;=10000000,IFERROR(DATE(INT($AR771/10000),MOD(INT($AR771/100),100),MOD($AR771,100)),""),INT($AR771)),IFERROR(DATE(--LEFT(LEFT(SUBSTITUTE(SUBSTITUTE(SUBSTITUTE(SUBSTITUTE(TRIM($AR771),"-",""),".",""),"/","")," ",""),8),4),--MID(LEFT(SUBSTITUTE(SUBSTITUTE(SUBSTITUTE(SUBSTITUTE(TRIM($AR771),"-",""),".",""),"/","")," ",""),8),5,2),--MID(LEFT(SUBSTITUTE(SUBSTITUTE(SUBSTITUTE(SUBSTITUTE(TRIM($AR771),"-",""),".",""),"/","")," ",""),8),7,2)),"")))</f>
        <v/>
      </c>
      <c r="AT771" s="23">
        <f>IF($AS771="","",IF($F$6="",0,IF(ISNUMBER(INDEX($A:$AP,ROW(),$F$6)),INDEX($A:$AP,ROW(),$F$6),IFERROR(--SUBSTITUTE(SUBSTITUTE(TRIM(INDEX($A:$AP,ROW(),$F$6)),",",""),"원",""),0))))</f>
        <v/>
      </c>
      <c r="AU771" s="23">
        <f>IF($AS771="","",IF($G$6="",0,IF(ISNUMBER(INDEX($A:$AP,ROW(),$G$6)),INDEX($A:$AP,ROW(),$G$6),IFERROR(--SUBSTITUTE(SUBSTITUTE(TRIM(INDEX($A:$AP,ROW(),$G$6)),",",""),"원",""),0))))</f>
        <v/>
      </c>
      <c r="AV771" s="23">
        <f>IF($AS771="","",IF($H$6="",$AT771+$AU771,IF($H$6="",0,IF(ISNUMBER(INDEX($A:$AP,ROW(),$H$6)),INDEX($A:$AP,ROW(),$H$6),IFERROR(--SUBSTITUTE(SUBSTITUTE(TRIM(INDEX($A:$AP,ROW(),$H$6)),",",""),"원",""),0)))))</f>
        <v/>
      </c>
      <c r="AW771" s="2">
        <f>IF(OR($AS771="",$C$6=""),"",TRIM(INDEX($A:$AP,ROW(),$C$6)&amp;""))</f>
        <v/>
      </c>
      <c r="AX771" s="2">
        <f>IF($AS771="","",IF($AZ771&lt;&gt;"",SUBSTITUTE(SUBSTITUTE($AZ771,"-","")," ",""),$AY771))</f>
        <v/>
      </c>
      <c r="AY771" s="2">
        <f>IF(OR($AS771="",$E$6=""),"",TRIM(INDEX($A:$AP,ROW(),$E$6)&amp;""))</f>
        <v/>
      </c>
      <c r="AZ771" s="2">
        <f>IF(OR($AS771="",$D$6=""),"",TRIM(INDEX($A:$AP,ROW(),$D$6)&amp;""))</f>
        <v/>
      </c>
      <c r="BA771" s="2">
        <f>IF($AS771="","",IF(AND($AS771&gt;=설정!$B$10,$AS771&lt;=설정!$B$11),"포함","기간 밖"))</f>
        <v/>
      </c>
      <c r="BB771" s="2">
        <f>IF($AS771="","",IF(OR($AT771&lt;0,AND($I$6&lt;&gt;"",ISNUMBER(FIND("수정",INDEX($A:$AP,ROW(),IF($I$6="",1,$I$6))&amp;"")))),"수정","일반"))</f>
        <v/>
      </c>
      <c r="BC771" s="2">
        <f>IF($AS771="","",MID(IF($BA771="기간 밖"," / 기간 밖(신고기간 아님)","")&amp;IF(AND($AW771&lt;&gt;"",COUNTIF($AW$8:$AW$1007,$AW771)&gt;1)," / 승인번호 중복(두 번 붙여넣기?)","")&amp;IF(ABS($AU771-ROUND($AT771*0.1,0))&gt;설정!$B$8,IF($AU771=0," / 세액 0원(영세율·면세 여부 확인)"," / 세액이 공급가액 10%와 다름"),"")&amp;IF($BB771="수정"," / 수정세금계산서(합계에서 자동 가감)",""),4,200))</f>
        <v/>
      </c>
      <c r="BD771" s="2">
        <f>IF($BA771&lt;&gt;"포함","",IF(COUNTIFS($AX$8:$AX771,$AX771,$BA$8:$BA771,"포함")=1,MAX($BD$7:BD770)+1,""))</f>
        <v/>
      </c>
      <c r="BE771" s="2">
        <f>IF($BC771="","",MAX($BE$7:BE770)+1)</f>
        <v/>
      </c>
    </row>
    <row r="772">
      <c r="AR772" s="2">
        <f>IF(OR($A$5="",$B$6="",ROW()&lt;$A$5),"",IF(INDEX($A:$AP,ROW(),$B$6)="","",INDEX($A:$AP,ROW(),$B$6)))</f>
        <v/>
      </c>
      <c r="AS772" s="22">
        <f>IF($AR772="","",IF(ISNUMBER($AR772),IF($AR772&gt;=10000000,IFERROR(DATE(INT($AR772/10000),MOD(INT($AR772/100),100),MOD($AR772,100)),""),INT($AR772)),IFERROR(DATE(--LEFT(LEFT(SUBSTITUTE(SUBSTITUTE(SUBSTITUTE(SUBSTITUTE(TRIM($AR772),"-",""),".",""),"/","")," ",""),8),4),--MID(LEFT(SUBSTITUTE(SUBSTITUTE(SUBSTITUTE(SUBSTITUTE(TRIM($AR772),"-",""),".",""),"/","")," ",""),8),5,2),--MID(LEFT(SUBSTITUTE(SUBSTITUTE(SUBSTITUTE(SUBSTITUTE(TRIM($AR772),"-",""),".",""),"/","")," ",""),8),7,2)),"")))</f>
        <v/>
      </c>
      <c r="AT772" s="23">
        <f>IF($AS772="","",IF($F$6="",0,IF(ISNUMBER(INDEX($A:$AP,ROW(),$F$6)),INDEX($A:$AP,ROW(),$F$6),IFERROR(--SUBSTITUTE(SUBSTITUTE(TRIM(INDEX($A:$AP,ROW(),$F$6)),",",""),"원",""),0))))</f>
        <v/>
      </c>
      <c r="AU772" s="23">
        <f>IF($AS772="","",IF($G$6="",0,IF(ISNUMBER(INDEX($A:$AP,ROW(),$G$6)),INDEX($A:$AP,ROW(),$G$6),IFERROR(--SUBSTITUTE(SUBSTITUTE(TRIM(INDEX($A:$AP,ROW(),$G$6)),",",""),"원",""),0))))</f>
        <v/>
      </c>
      <c r="AV772" s="23">
        <f>IF($AS772="","",IF($H$6="",$AT772+$AU772,IF($H$6="",0,IF(ISNUMBER(INDEX($A:$AP,ROW(),$H$6)),INDEX($A:$AP,ROW(),$H$6),IFERROR(--SUBSTITUTE(SUBSTITUTE(TRIM(INDEX($A:$AP,ROW(),$H$6)),",",""),"원",""),0)))))</f>
        <v/>
      </c>
      <c r="AW772" s="2">
        <f>IF(OR($AS772="",$C$6=""),"",TRIM(INDEX($A:$AP,ROW(),$C$6)&amp;""))</f>
        <v/>
      </c>
      <c r="AX772" s="2">
        <f>IF($AS772="","",IF($AZ772&lt;&gt;"",SUBSTITUTE(SUBSTITUTE($AZ772,"-","")," ",""),$AY772))</f>
        <v/>
      </c>
      <c r="AY772" s="2">
        <f>IF(OR($AS772="",$E$6=""),"",TRIM(INDEX($A:$AP,ROW(),$E$6)&amp;""))</f>
        <v/>
      </c>
      <c r="AZ772" s="2">
        <f>IF(OR($AS772="",$D$6=""),"",TRIM(INDEX($A:$AP,ROW(),$D$6)&amp;""))</f>
        <v/>
      </c>
      <c r="BA772" s="2">
        <f>IF($AS772="","",IF(AND($AS772&gt;=설정!$B$10,$AS772&lt;=설정!$B$11),"포함","기간 밖"))</f>
        <v/>
      </c>
      <c r="BB772" s="2">
        <f>IF($AS772="","",IF(OR($AT772&lt;0,AND($I$6&lt;&gt;"",ISNUMBER(FIND("수정",INDEX($A:$AP,ROW(),IF($I$6="",1,$I$6))&amp;"")))),"수정","일반"))</f>
        <v/>
      </c>
      <c r="BC772" s="2">
        <f>IF($AS772="","",MID(IF($BA772="기간 밖"," / 기간 밖(신고기간 아님)","")&amp;IF(AND($AW772&lt;&gt;"",COUNTIF($AW$8:$AW$1007,$AW772)&gt;1)," / 승인번호 중복(두 번 붙여넣기?)","")&amp;IF(ABS($AU772-ROUND($AT772*0.1,0))&gt;설정!$B$8,IF($AU772=0," / 세액 0원(영세율·면세 여부 확인)"," / 세액이 공급가액 10%와 다름"),"")&amp;IF($BB772="수정"," / 수정세금계산서(합계에서 자동 가감)",""),4,200))</f>
        <v/>
      </c>
      <c r="BD772" s="2">
        <f>IF($BA772&lt;&gt;"포함","",IF(COUNTIFS($AX$8:$AX772,$AX772,$BA$8:$BA772,"포함")=1,MAX($BD$7:BD771)+1,""))</f>
        <v/>
      </c>
      <c r="BE772" s="2">
        <f>IF($BC772="","",MAX($BE$7:BE771)+1)</f>
        <v/>
      </c>
    </row>
    <row r="773">
      <c r="AR773" s="2">
        <f>IF(OR($A$5="",$B$6="",ROW()&lt;$A$5),"",IF(INDEX($A:$AP,ROW(),$B$6)="","",INDEX($A:$AP,ROW(),$B$6)))</f>
        <v/>
      </c>
      <c r="AS773" s="22">
        <f>IF($AR773="","",IF(ISNUMBER($AR773),IF($AR773&gt;=10000000,IFERROR(DATE(INT($AR773/10000),MOD(INT($AR773/100),100),MOD($AR773,100)),""),INT($AR773)),IFERROR(DATE(--LEFT(LEFT(SUBSTITUTE(SUBSTITUTE(SUBSTITUTE(SUBSTITUTE(TRIM($AR773),"-",""),".",""),"/","")," ",""),8),4),--MID(LEFT(SUBSTITUTE(SUBSTITUTE(SUBSTITUTE(SUBSTITUTE(TRIM($AR773),"-",""),".",""),"/","")," ",""),8),5,2),--MID(LEFT(SUBSTITUTE(SUBSTITUTE(SUBSTITUTE(SUBSTITUTE(TRIM($AR773),"-",""),".",""),"/","")," ",""),8),7,2)),"")))</f>
        <v/>
      </c>
      <c r="AT773" s="23">
        <f>IF($AS773="","",IF($F$6="",0,IF(ISNUMBER(INDEX($A:$AP,ROW(),$F$6)),INDEX($A:$AP,ROW(),$F$6),IFERROR(--SUBSTITUTE(SUBSTITUTE(TRIM(INDEX($A:$AP,ROW(),$F$6)),",",""),"원",""),0))))</f>
        <v/>
      </c>
      <c r="AU773" s="23">
        <f>IF($AS773="","",IF($G$6="",0,IF(ISNUMBER(INDEX($A:$AP,ROW(),$G$6)),INDEX($A:$AP,ROW(),$G$6),IFERROR(--SUBSTITUTE(SUBSTITUTE(TRIM(INDEX($A:$AP,ROW(),$G$6)),",",""),"원",""),0))))</f>
        <v/>
      </c>
      <c r="AV773" s="23">
        <f>IF($AS773="","",IF($H$6="",$AT773+$AU773,IF($H$6="",0,IF(ISNUMBER(INDEX($A:$AP,ROW(),$H$6)),INDEX($A:$AP,ROW(),$H$6),IFERROR(--SUBSTITUTE(SUBSTITUTE(TRIM(INDEX($A:$AP,ROW(),$H$6)),",",""),"원",""),0)))))</f>
        <v/>
      </c>
      <c r="AW773" s="2">
        <f>IF(OR($AS773="",$C$6=""),"",TRIM(INDEX($A:$AP,ROW(),$C$6)&amp;""))</f>
        <v/>
      </c>
      <c r="AX773" s="2">
        <f>IF($AS773="","",IF($AZ773&lt;&gt;"",SUBSTITUTE(SUBSTITUTE($AZ773,"-","")," ",""),$AY773))</f>
        <v/>
      </c>
      <c r="AY773" s="2">
        <f>IF(OR($AS773="",$E$6=""),"",TRIM(INDEX($A:$AP,ROW(),$E$6)&amp;""))</f>
        <v/>
      </c>
      <c r="AZ773" s="2">
        <f>IF(OR($AS773="",$D$6=""),"",TRIM(INDEX($A:$AP,ROW(),$D$6)&amp;""))</f>
        <v/>
      </c>
      <c r="BA773" s="2">
        <f>IF($AS773="","",IF(AND($AS773&gt;=설정!$B$10,$AS773&lt;=설정!$B$11),"포함","기간 밖"))</f>
        <v/>
      </c>
      <c r="BB773" s="2">
        <f>IF($AS773="","",IF(OR($AT773&lt;0,AND($I$6&lt;&gt;"",ISNUMBER(FIND("수정",INDEX($A:$AP,ROW(),IF($I$6="",1,$I$6))&amp;"")))),"수정","일반"))</f>
        <v/>
      </c>
      <c r="BC773" s="2">
        <f>IF($AS773="","",MID(IF($BA773="기간 밖"," / 기간 밖(신고기간 아님)","")&amp;IF(AND($AW773&lt;&gt;"",COUNTIF($AW$8:$AW$1007,$AW773)&gt;1)," / 승인번호 중복(두 번 붙여넣기?)","")&amp;IF(ABS($AU773-ROUND($AT773*0.1,0))&gt;설정!$B$8,IF($AU773=0," / 세액 0원(영세율·면세 여부 확인)"," / 세액이 공급가액 10%와 다름"),"")&amp;IF($BB773="수정"," / 수정세금계산서(합계에서 자동 가감)",""),4,200))</f>
        <v/>
      </c>
      <c r="BD773" s="2">
        <f>IF($BA773&lt;&gt;"포함","",IF(COUNTIFS($AX$8:$AX773,$AX773,$BA$8:$BA773,"포함")=1,MAX($BD$7:BD772)+1,""))</f>
        <v/>
      </c>
      <c r="BE773" s="2">
        <f>IF($BC773="","",MAX($BE$7:BE772)+1)</f>
        <v/>
      </c>
    </row>
    <row r="774">
      <c r="AR774" s="2">
        <f>IF(OR($A$5="",$B$6="",ROW()&lt;$A$5),"",IF(INDEX($A:$AP,ROW(),$B$6)="","",INDEX($A:$AP,ROW(),$B$6)))</f>
        <v/>
      </c>
      <c r="AS774" s="22">
        <f>IF($AR774="","",IF(ISNUMBER($AR774),IF($AR774&gt;=10000000,IFERROR(DATE(INT($AR774/10000),MOD(INT($AR774/100),100),MOD($AR774,100)),""),INT($AR774)),IFERROR(DATE(--LEFT(LEFT(SUBSTITUTE(SUBSTITUTE(SUBSTITUTE(SUBSTITUTE(TRIM($AR774),"-",""),".",""),"/","")," ",""),8),4),--MID(LEFT(SUBSTITUTE(SUBSTITUTE(SUBSTITUTE(SUBSTITUTE(TRIM($AR774),"-",""),".",""),"/","")," ",""),8),5,2),--MID(LEFT(SUBSTITUTE(SUBSTITUTE(SUBSTITUTE(SUBSTITUTE(TRIM($AR774),"-",""),".",""),"/","")," ",""),8),7,2)),"")))</f>
        <v/>
      </c>
      <c r="AT774" s="23">
        <f>IF($AS774="","",IF($F$6="",0,IF(ISNUMBER(INDEX($A:$AP,ROW(),$F$6)),INDEX($A:$AP,ROW(),$F$6),IFERROR(--SUBSTITUTE(SUBSTITUTE(TRIM(INDEX($A:$AP,ROW(),$F$6)),",",""),"원",""),0))))</f>
        <v/>
      </c>
      <c r="AU774" s="23">
        <f>IF($AS774="","",IF($G$6="",0,IF(ISNUMBER(INDEX($A:$AP,ROW(),$G$6)),INDEX($A:$AP,ROW(),$G$6),IFERROR(--SUBSTITUTE(SUBSTITUTE(TRIM(INDEX($A:$AP,ROW(),$G$6)),",",""),"원",""),0))))</f>
        <v/>
      </c>
      <c r="AV774" s="23">
        <f>IF($AS774="","",IF($H$6="",$AT774+$AU774,IF($H$6="",0,IF(ISNUMBER(INDEX($A:$AP,ROW(),$H$6)),INDEX($A:$AP,ROW(),$H$6),IFERROR(--SUBSTITUTE(SUBSTITUTE(TRIM(INDEX($A:$AP,ROW(),$H$6)),",",""),"원",""),0)))))</f>
        <v/>
      </c>
      <c r="AW774" s="2">
        <f>IF(OR($AS774="",$C$6=""),"",TRIM(INDEX($A:$AP,ROW(),$C$6)&amp;""))</f>
        <v/>
      </c>
      <c r="AX774" s="2">
        <f>IF($AS774="","",IF($AZ774&lt;&gt;"",SUBSTITUTE(SUBSTITUTE($AZ774,"-","")," ",""),$AY774))</f>
        <v/>
      </c>
      <c r="AY774" s="2">
        <f>IF(OR($AS774="",$E$6=""),"",TRIM(INDEX($A:$AP,ROW(),$E$6)&amp;""))</f>
        <v/>
      </c>
      <c r="AZ774" s="2">
        <f>IF(OR($AS774="",$D$6=""),"",TRIM(INDEX($A:$AP,ROW(),$D$6)&amp;""))</f>
        <v/>
      </c>
      <c r="BA774" s="2">
        <f>IF($AS774="","",IF(AND($AS774&gt;=설정!$B$10,$AS774&lt;=설정!$B$11),"포함","기간 밖"))</f>
        <v/>
      </c>
      <c r="BB774" s="2">
        <f>IF($AS774="","",IF(OR($AT774&lt;0,AND($I$6&lt;&gt;"",ISNUMBER(FIND("수정",INDEX($A:$AP,ROW(),IF($I$6="",1,$I$6))&amp;"")))),"수정","일반"))</f>
        <v/>
      </c>
      <c r="BC774" s="2">
        <f>IF($AS774="","",MID(IF($BA774="기간 밖"," / 기간 밖(신고기간 아님)","")&amp;IF(AND($AW774&lt;&gt;"",COUNTIF($AW$8:$AW$1007,$AW774)&gt;1)," / 승인번호 중복(두 번 붙여넣기?)","")&amp;IF(ABS($AU774-ROUND($AT774*0.1,0))&gt;설정!$B$8,IF($AU774=0," / 세액 0원(영세율·면세 여부 확인)"," / 세액이 공급가액 10%와 다름"),"")&amp;IF($BB774="수정"," / 수정세금계산서(합계에서 자동 가감)",""),4,200))</f>
        <v/>
      </c>
      <c r="BD774" s="2">
        <f>IF($BA774&lt;&gt;"포함","",IF(COUNTIFS($AX$8:$AX774,$AX774,$BA$8:$BA774,"포함")=1,MAX($BD$7:BD773)+1,""))</f>
        <v/>
      </c>
      <c r="BE774" s="2">
        <f>IF($BC774="","",MAX($BE$7:BE773)+1)</f>
        <v/>
      </c>
    </row>
    <row r="775">
      <c r="AR775" s="2">
        <f>IF(OR($A$5="",$B$6="",ROW()&lt;$A$5),"",IF(INDEX($A:$AP,ROW(),$B$6)="","",INDEX($A:$AP,ROW(),$B$6)))</f>
        <v/>
      </c>
      <c r="AS775" s="22">
        <f>IF($AR775="","",IF(ISNUMBER($AR775),IF($AR775&gt;=10000000,IFERROR(DATE(INT($AR775/10000),MOD(INT($AR775/100),100),MOD($AR775,100)),""),INT($AR775)),IFERROR(DATE(--LEFT(LEFT(SUBSTITUTE(SUBSTITUTE(SUBSTITUTE(SUBSTITUTE(TRIM($AR775),"-",""),".",""),"/","")," ",""),8),4),--MID(LEFT(SUBSTITUTE(SUBSTITUTE(SUBSTITUTE(SUBSTITUTE(TRIM($AR775),"-",""),".",""),"/","")," ",""),8),5,2),--MID(LEFT(SUBSTITUTE(SUBSTITUTE(SUBSTITUTE(SUBSTITUTE(TRIM($AR775),"-",""),".",""),"/","")," ",""),8),7,2)),"")))</f>
        <v/>
      </c>
      <c r="AT775" s="23">
        <f>IF($AS775="","",IF($F$6="",0,IF(ISNUMBER(INDEX($A:$AP,ROW(),$F$6)),INDEX($A:$AP,ROW(),$F$6),IFERROR(--SUBSTITUTE(SUBSTITUTE(TRIM(INDEX($A:$AP,ROW(),$F$6)),",",""),"원",""),0))))</f>
        <v/>
      </c>
      <c r="AU775" s="23">
        <f>IF($AS775="","",IF($G$6="",0,IF(ISNUMBER(INDEX($A:$AP,ROW(),$G$6)),INDEX($A:$AP,ROW(),$G$6),IFERROR(--SUBSTITUTE(SUBSTITUTE(TRIM(INDEX($A:$AP,ROW(),$G$6)),",",""),"원",""),0))))</f>
        <v/>
      </c>
      <c r="AV775" s="23">
        <f>IF($AS775="","",IF($H$6="",$AT775+$AU775,IF($H$6="",0,IF(ISNUMBER(INDEX($A:$AP,ROW(),$H$6)),INDEX($A:$AP,ROW(),$H$6),IFERROR(--SUBSTITUTE(SUBSTITUTE(TRIM(INDEX($A:$AP,ROW(),$H$6)),",",""),"원",""),0)))))</f>
        <v/>
      </c>
      <c r="AW775" s="2">
        <f>IF(OR($AS775="",$C$6=""),"",TRIM(INDEX($A:$AP,ROW(),$C$6)&amp;""))</f>
        <v/>
      </c>
      <c r="AX775" s="2">
        <f>IF($AS775="","",IF($AZ775&lt;&gt;"",SUBSTITUTE(SUBSTITUTE($AZ775,"-","")," ",""),$AY775))</f>
        <v/>
      </c>
      <c r="AY775" s="2">
        <f>IF(OR($AS775="",$E$6=""),"",TRIM(INDEX($A:$AP,ROW(),$E$6)&amp;""))</f>
        <v/>
      </c>
      <c r="AZ775" s="2">
        <f>IF(OR($AS775="",$D$6=""),"",TRIM(INDEX($A:$AP,ROW(),$D$6)&amp;""))</f>
        <v/>
      </c>
      <c r="BA775" s="2">
        <f>IF($AS775="","",IF(AND($AS775&gt;=설정!$B$10,$AS775&lt;=설정!$B$11),"포함","기간 밖"))</f>
        <v/>
      </c>
      <c r="BB775" s="2">
        <f>IF($AS775="","",IF(OR($AT775&lt;0,AND($I$6&lt;&gt;"",ISNUMBER(FIND("수정",INDEX($A:$AP,ROW(),IF($I$6="",1,$I$6))&amp;"")))),"수정","일반"))</f>
        <v/>
      </c>
      <c r="BC775" s="2">
        <f>IF($AS775="","",MID(IF($BA775="기간 밖"," / 기간 밖(신고기간 아님)","")&amp;IF(AND($AW775&lt;&gt;"",COUNTIF($AW$8:$AW$1007,$AW775)&gt;1)," / 승인번호 중복(두 번 붙여넣기?)","")&amp;IF(ABS($AU775-ROUND($AT775*0.1,0))&gt;설정!$B$8,IF($AU775=0," / 세액 0원(영세율·면세 여부 확인)"," / 세액이 공급가액 10%와 다름"),"")&amp;IF($BB775="수정"," / 수정세금계산서(합계에서 자동 가감)",""),4,200))</f>
        <v/>
      </c>
      <c r="BD775" s="2">
        <f>IF($BA775&lt;&gt;"포함","",IF(COUNTIFS($AX$8:$AX775,$AX775,$BA$8:$BA775,"포함")=1,MAX($BD$7:BD774)+1,""))</f>
        <v/>
      </c>
      <c r="BE775" s="2">
        <f>IF($BC775="","",MAX($BE$7:BE774)+1)</f>
        <v/>
      </c>
    </row>
    <row r="776">
      <c r="AR776" s="2">
        <f>IF(OR($A$5="",$B$6="",ROW()&lt;$A$5),"",IF(INDEX($A:$AP,ROW(),$B$6)="","",INDEX($A:$AP,ROW(),$B$6)))</f>
        <v/>
      </c>
      <c r="AS776" s="22">
        <f>IF($AR776="","",IF(ISNUMBER($AR776),IF($AR776&gt;=10000000,IFERROR(DATE(INT($AR776/10000),MOD(INT($AR776/100),100),MOD($AR776,100)),""),INT($AR776)),IFERROR(DATE(--LEFT(LEFT(SUBSTITUTE(SUBSTITUTE(SUBSTITUTE(SUBSTITUTE(TRIM($AR776),"-",""),".",""),"/","")," ",""),8),4),--MID(LEFT(SUBSTITUTE(SUBSTITUTE(SUBSTITUTE(SUBSTITUTE(TRIM($AR776),"-",""),".",""),"/","")," ",""),8),5,2),--MID(LEFT(SUBSTITUTE(SUBSTITUTE(SUBSTITUTE(SUBSTITUTE(TRIM($AR776),"-",""),".",""),"/","")," ",""),8),7,2)),"")))</f>
        <v/>
      </c>
      <c r="AT776" s="23">
        <f>IF($AS776="","",IF($F$6="",0,IF(ISNUMBER(INDEX($A:$AP,ROW(),$F$6)),INDEX($A:$AP,ROW(),$F$6),IFERROR(--SUBSTITUTE(SUBSTITUTE(TRIM(INDEX($A:$AP,ROW(),$F$6)),",",""),"원",""),0))))</f>
        <v/>
      </c>
      <c r="AU776" s="23">
        <f>IF($AS776="","",IF($G$6="",0,IF(ISNUMBER(INDEX($A:$AP,ROW(),$G$6)),INDEX($A:$AP,ROW(),$G$6),IFERROR(--SUBSTITUTE(SUBSTITUTE(TRIM(INDEX($A:$AP,ROW(),$G$6)),",",""),"원",""),0))))</f>
        <v/>
      </c>
      <c r="AV776" s="23">
        <f>IF($AS776="","",IF($H$6="",$AT776+$AU776,IF($H$6="",0,IF(ISNUMBER(INDEX($A:$AP,ROW(),$H$6)),INDEX($A:$AP,ROW(),$H$6),IFERROR(--SUBSTITUTE(SUBSTITUTE(TRIM(INDEX($A:$AP,ROW(),$H$6)),",",""),"원",""),0)))))</f>
        <v/>
      </c>
      <c r="AW776" s="2">
        <f>IF(OR($AS776="",$C$6=""),"",TRIM(INDEX($A:$AP,ROW(),$C$6)&amp;""))</f>
        <v/>
      </c>
      <c r="AX776" s="2">
        <f>IF($AS776="","",IF($AZ776&lt;&gt;"",SUBSTITUTE(SUBSTITUTE($AZ776,"-","")," ",""),$AY776))</f>
        <v/>
      </c>
      <c r="AY776" s="2">
        <f>IF(OR($AS776="",$E$6=""),"",TRIM(INDEX($A:$AP,ROW(),$E$6)&amp;""))</f>
        <v/>
      </c>
      <c r="AZ776" s="2">
        <f>IF(OR($AS776="",$D$6=""),"",TRIM(INDEX($A:$AP,ROW(),$D$6)&amp;""))</f>
        <v/>
      </c>
      <c r="BA776" s="2">
        <f>IF($AS776="","",IF(AND($AS776&gt;=설정!$B$10,$AS776&lt;=설정!$B$11),"포함","기간 밖"))</f>
        <v/>
      </c>
      <c r="BB776" s="2">
        <f>IF($AS776="","",IF(OR($AT776&lt;0,AND($I$6&lt;&gt;"",ISNUMBER(FIND("수정",INDEX($A:$AP,ROW(),IF($I$6="",1,$I$6))&amp;"")))),"수정","일반"))</f>
        <v/>
      </c>
      <c r="BC776" s="2">
        <f>IF($AS776="","",MID(IF($BA776="기간 밖"," / 기간 밖(신고기간 아님)","")&amp;IF(AND($AW776&lt;&gt;"",COUNTIF($AW$8:$AW$1007,$AW776)&gt;1)," / 승인번호 중복(두 번 붙여넣기?)","")&amp;IF(ABS($AU776-ROUND($AT776*0.1,0))&gt;설정!$B$8,IF($AU776=0," / 세액 0원(영세율·면세 여부 확인)"," / 세액이 공급가액 10%와 다름"),"")&amp;IF($BB776="수정"," / 수정세금계산서(합계에서 자동 가감)",""),4,200))</f>
        <v/>
      </c>
      <c r="BD776" s="2">
        <f>IF($BA776&lt;&gt;"포함","",IF(COUNTIFS($AX$8:$AX776,$AX776,$BA$8:$BA776,"포함")=1,MAX($BD$7:BD775)+1,""))</f>
        <v/>
      </c>
      <c r="BE776" s="2">
        <f>IF($BC776="","",MAX($BE$7:BE775)+1)</f>
        <v/>
      </c>
    </row>
    <row r="777">
      <c r="AR777" s="2">
        <f>IF(OR($A$5="",$B$6="",ROW()&lt;$A$5),"",IF(INDEX($A:$AP,ROW(),$B$6)="","",INDEX($A:$AP,ROW(),$B$6)))</f>
        <v/>
      </c>
      <c r="AS777" s="22">
        <f>IF($AR777="","",IF(ISNUMBER($AR777),IF($AR777&gt;=10000000,IFERROR(DATE(INT($AR777/10000),MOD(INT($AR777/100),100),MOD($AR777,100)),""),INT($AR777)),IFERROR(DATE(--LEFT(LEFT(SUBSTITUTE(SUBSTITUTE(SUBSTITUTE(SUBSTITUTE(TRIM($AR777),"-",""),".",""),"/","")," ",""),8),4),--MID(LEFT(SUBSTITUTE(SUBSTITUTE(SUBSTITUTE(SUBSTITUTE(TRIM($AR777),"-",""),".",""),"/","")," ",""),8),5,2),--MID(LEFT(SUBSTITUTE(SUBSTITUTE(SUBSTITUTE(SUBSTITUTE(TRIM($AR777),"-",""),".",""),"/","")," ",""),8),7,2)),"")))</f>
        <v/>
      </c>
      <c r="AT777" s="23">
        <f>IF($AS777="","",IF($F$6="",0,IF(ISNUMBER(INDEX($A:$AP,ROW(),$F$6)),INDEX($A:$AP,ROW(),$F$6),IFERROR(--SUBSTITUTE(SUBSTITUTE(TRIM(INDEX($A:$AP,ROW(),$F$6)),",",""),"원",""),0))))</f>
        <v/>
      </c>
      <c r="AU777" s="23">
        <f>IF($AS777="","",IF($G$6="",0,IF(ISNUMBER(INDEX($A:$AP,ROW(),$G$6)),INDEX($A:$AP,ROW(),$G$6),IFERROR(--SUBSTITUTE(SUBSTITUTE(TRIM(INDEX($A:$AP,ROW(),$G$6)),",",""),"원",""),0))))</f>
        <v/>
      </c>
      <c r="AV777" s="23">
        <f>IF($AS777="","",IF($H$6="",$AT777+$AU777,IF($H$6="",0,IF(ISNUMBER(INDEX($A:$AP,ROW(),$H$6)),INDEX($A:$AP,ROW(),$H$6),IFERROR(--SUBSTITUTE(SUBSTITUTE(TRIM(INDEX($A:$AP,ROW(),$H$6)),",",""),"원",""),0)))))</f>
        <v/>
      </c>
      <c r="AW777" s="2">
        <f>IF(OR($AS777="",$C$6=""),"",TRIM(INDEX($A:$AP,ROW(),$C$6)&amp;""))</f>
        <v/>
      </c>
      <c r="AX777" s="2">
        <f>IF($AS777="","",IF($AZ777&lt;&gt;"",SUBSTITUTE(SUBSTITUTE($AZ777,"-","")," ",""),$AY777))</f>
        <v/>
      </c>
      <c r="AY777" s="2">
        <f>IF(OR($AS777="",$E$6=""),"",TRIM(INDEX($A:$AP,ROW(),$E$6)&amp;""))</f>
        <v/>
      </c>
      <c r="AZ777" s="2">
        <f>IF(OR($AS777="",$D$6=""),"",TRIM(INDEX($A:$AP,ROW(),$D$6)&amp;""))</f>
        <v/>
      </c>
      <c r="BA777" s="2">
        <f>IF($AS777="","",IF(AND($AS777&gt;=설정!$B$10,$AS777&lt;=설정!$B$11),"포함","기간 밖"))</f>
        <v/>
      </c>
      <c r="BB777" s="2">
        <f>IF($AS777="","",IF(OR($AT777&lt;0,AND($I$6&lt;&gt;"",ISNUMBER(FIND("수정",INDEX($A:$AP,ROW(),IF($I$6="",1,$I$6))&amp;"")))),"수정","일반"))</f>
        <v/>
      </c>
      <c r="BC777" s="2">
        <f>IF($AS777="","",MID(IF($BA777="기간 밖"," / 기간 밖(신고기간 아님)","")&amp;IF(AND($AW777&lt;&gt;"",COUNTIF($AW$8:$AW$1007,$AW777)&gt;1)," / 승인번호 중복(두 번 붙여넣기?)","")&amp;IF(ABS($AU777-ROUND($AT777*0.1,0))&gt;설정!$B$8,IF($AU777=0," / 세액 0원(영세율·면세 여부 확인)"," / 세액이 공급가액 10%와 다름"),"")&amp;IF($BB777="수정"," / 수정세금계산서(합계에서 자동 가감)",""),4,200))</f>
        <v/>
      </c>
      <c r="BD777" s="2">
        <f>IF($BA777&lt;&gt;"포함","",IF(COUNTIFS($AX$8:$AX777,$AX777,$BA$8:$BA777,"포함")=1,MAX($BD$7:BD776)+1,""))</f>
        <v/>
      </c>
      <c r="BE777" s="2">
        <f>IF($BC777="","",MAX($BE$7:BE776)+1)</f>
        <v/>
      </c>
    </row>
    <row r="778">
      <c r="AR778" s="2">
        <f>IF(OR($A$5="",$B$6="",ROW()&lt;$A$5),"",IF(INDEX($A:$AP,ROW(),$B$6)="","",INDEX($A:$AP,ROW(),$B$6)))</f>
        <v/>
      </c>
      <c r="AS778" s="22">
        <f>IF($AR778="","",IF(ISNUMBER($AR778),IF($AR778&gt;=10000000,IFERROR(DATE(INT($AR778/10000),MOD(INT($AR778/100),100),MOD($AR778,100)),""),INT($AR778)),IFERROR(DATE(--LEFT(LEFT(SUBSTITUTE(SUBSTITUTE(SUBSTITUTE(SUBSTITUTE(TRIM($AR778),"-",""),".",""),"/","")," ",""),8),4),--MID(LEFT(SUBSTITUTE(SUBSTITUTE(SUBSTITUTE(SUBSTITUTE(TRIM($AR778),"-",""),".",""),"/","")," ",""),8),5,2),--MID(LEFT(SUBSTITUTE(SUBSTITUTE(SUBSTITUTE(SUBSTITUTE(TRIM($AR778),"-",""),".",""),"/","")," ",""),8),7,2)),"")))</f>
        <v/>
      </c>
      <c r="AT778" s="23">
        <f>IF($AS778="","",IF($F$6="",0,IF(ISNUMBER(INDEX($A:$AP,ROW(),$F$6)),INDEX($A:$AP,ROW(),$F$6),IFERROR(--SUBSTITUTE(SUBSTITUTE(TRIM(INDEX($A:$AP,ROW(),$F$6)),",",""),"원",""),0))))</f>
        <v/>
      </c>
      <c r="AU778" s="23">
        <f>IF($AS778="","",IF($G$6="",0,IF(ISNUMBER(INDEX($A:$AP,ROW(),$G$6)),INDEX($A:$AP,ROW(),$G$6),IFERROR(--SUBSTITUTE(SUBSTITUTE(TRIM(INDEX($A:$AP,ROW(),$G$6)),",",""),"원",""),0))))</f>
        <v/>
      </c>
      <c r="AV778" s="23">
        <f>IF($AS778="","",IF($H$6="",$AT778+$AU778,IF($H$6="",0,IF(ISNUMBER(INDEX($A:$AP,ROW(),$H$6)),INDEX($A:$AP,ROW(),$H$6),IFERROR(--SUBSTITUTE(SUBSTITUTE(TRIM(INDEX($A:$AP,ROW(),$H$6)),",",""),"원",""),0)))))</f>
        <v/>
      </c>
      <c r="AW778" s="2">
        <f>IF(OR($AS778="",$C$6=""),"",TRIM(INDEX($A:$AP,ROW(),$C$6)&amp;""))</f>
        <v/>
      </c>
      <c r="AX778" s="2">
        <f>IF($AS778="","",IF($AZ778&lt;&gt;"",SUBSTITUTE(SUBSTITUTE($AZ778,"-","")," ",""),$AY778))</f>
        <v/>
      </c>
      <c r="AY778" s="2">
        <f>IF(OR($AS778="",$E$6=""),"",TRIM(INDEX($A:$AP,ROW(),$E$6)&amp;""))</f>
        <v/>
      </c>
      <c r="AZ778" s="2">
        <f>IF(OR($AS778="",$D$6=""),"",TRIM(INDEX($A:$AP,ROW(),$D$6)&amp;""))</f>
        <v/>
      </c>
      <c r="BA778" s="2">
        <f>IF($AS778="","",IF(AND($AS778&gt;=설정!$B$10,$AS778&lt;=설정!$B$11),"포함","기간 밖"))</f>
        <v/>
      </c>
      <c r="BB778" s="2">
        <f>IF($AS778="","",IF(OR($AT778&lt;0,AND($I$6&lt;&gt;"",ISNUMBER(FIND("수정",INDEX($A:$AP,ROW(),IF($I$6="",1,$I$6))&amp;"")))),"수정","일반"))</f>
        <v/>
      </c>
      <c r="BC778" s="2">
        <f>IF($AS778="","",MID(IF($BA778="기간 밖"," / 기간 밖(신고기간 아님)","")&amp;IF(AND($AW778&lt;&gt;"",COUNTIF($AW$8:$AW$1007,$AW778)&gt;1)," / 승인번호 중복(두 번 붙여넣기?)","")&amp;IF(ABS($AU778-ROUND($AT778*0.1,0))&gt;설정!$B$8,IF($AU778=0," / 세액 0원(영세율·면세 여부 확인)"," / 세액이 공급가액 10%와 다름"),"")&amp;IF($BB778="수정"," / 수정세금계산서(합계에서 자동 가감)",""),4,200))</f>
        <v/>
      </c>
      <c r="BD778" s="2">
        <f>IF($BA778&lt;&gt;"포함","",IF(COUNTIFS($AX$8:$AX778,$AX778,$BA$8:$BA778,"포함")=1,MAX($BD$7:BD777)+1,""))</f>
        <v/>
      </c>
      <c r="BE778" s="2">
        <f>IF($BC778="","",MAX($BE$7:BE777)+1)</f>
        <v/>
      </c>
    </row>
    <row r="779">
      <c r="AR779" s="2">
        <f>IF(OR($A$5="",$B$6="",ROW()&lt;$A$5),"",IF(INDEX($A:$AP,ROW(),$B$6)="","",INDEX($A:$AP,ROW(),$B$6)))</f>
        <v/>
      </c>
      <c r="AS779" s="22">
        <f>IF($AR779="","",IF(ISNUMBER($AR779),IF($AR779&gt;=10000000,IFERROR(DATE(INT($AR779/10000),MOD(INT($AR779/100),100),MOD($AR779,100)),""),INT($AR779)),IFERROR(DATE(--LEFT(LEFT(SUBSTITUTE(SUBSTITUTE(SUBSTITUTE(SUBSTITUTE(TRIM($AR779),"-",""),".",""),"/","")," ",""),8),4),--MID(LEFT(SUBSTITUTE(SUBSTITUTE(SUBSTITUTE(SUBSTITUTE(TRIM($AR779),"-",""),".",""),"/","")," ",""),8),5,2),--MID(LEFT(SUBSTITUTE(SUBSTITUTE(SUBSTITUTE(SUBSTITUTE(TRIM($AR779),"-",""),".",""),"/","")," ",""),8),7,2)),"")))</f>
        <v/>
      </c>
      <c r="AT779" s="23">
        <f>IF($AS779="","",IF($F$6="",0,IF(ISNUMBER(INDEX($A:$AP,ROW(),$F$6)),INDEX($A:$AP,ROW(),$F$6),IFERROR(--SUBSTITUTE(SUBSTITUTE(TRIM(INDEX($A:$AP,ROW(),$F$6)),",",""),"원",""),0))))</f>
        <v/>
      </c>
      <c r="AU779" s="23">
        <f>IF($AS779="","",IF($G$6="",0,IF(ISNUMBER(INDEX($A:$AP,ROW(),$G$6)),INDEX($A:$AP,ROW(),$G$6),IFERROR(--SUBSTITUTE(SUBSTITUTE(TRIM(INDEX($A:$AP,ROW(),$G$6)),",",""),"원",""),0))))</f>
        <v/>
      </c>
      <c r="AV779" s="23">
        <f>IF($AS779="","",IF($H$6="",$AT779+$AU779,IF($H$6="",0,IF(ISNUMBER(INDEX($A:$AP,ROW(),$H$6)),INDEX($A:$AP,ROW(),$H$6),IFERROR(--SUBSTITUTE(SUBSTITUTE(TRIM(INDEX($A:$AP,ROW(),$H$6)),",",""),"원",""),0)))))</f>
        <v/>
      </c>
      <c r="AW779" s="2">
        <f>IF(OR($AS779="",$C$6=""),"",TRIM(INDEX($A:$AP,ROW(),$C$6)&amp;""))</f>
        <v/>
      </c>
      <c r="AX779" s="2">
        <f>IF($AS779="","",IF($AZ779&lt;&gt;"",SUBSTITUTE(SUBSTITUTE($AZ779,"-","")," ",""),$AY779))</f>
        <v/>
      </c>
      <c r="AY779" s="2">
        <f>IF(OR($AS779="",$E$6=""),"",TRIM(INDEX($A:$AP,ROW(),$E$6)&amp;""))</f>
        <v/>
      </c>
      <c r="AZ779" s="2">
        <f>IF(OR($AS779="",$D$6=""),"",TRIM(INDEX($A:$AP,ROW(),$D$6)&amp;""))</f>
        <v/>
      </c>
      <c r="BA779" s="2">
        <f>IF($AS779="","",IF(AND($AS779&gt;=설정!$B$10,$AS779&lt;=설정!$B$11),"포함","기간 밖"))</f>
        <v/>
      </c>
      <c r="BB779" s="2">
        <f>IF($AS779="","",IF(OR($AT779&lt;0,AND($I$6&lt;&gt;"",ISNUMBER(FIND("수정",INDEX($A:$AP,ROW(),IF($I$6="",1,$I$6))&amp;"")))),"수정","일반"))</f>
        <v/>
      </c>
      <c r="BC779" s="2">
        <f>IF($AS779="","",MID(IF($BA779="기간 밖"," / 기간 밖(신고기간 아님)","")&amp;IF(AND($AW779&lt;&gt;"",COUNTIF($AW$8:$AW$1007,$AW779)&gt;1)," / 승인번호 중복(두 번 붙여넣기?)","")&amp;IF(ABS($AU779-ROUND($AT779*0.1,0))&gt;설정!$B$8,IF($AU779=0," / 세액 0원(영세율·면세 여부 확인)"," / 세액이 공급가액 10%와 다름"),"")&amp;IF($BB779="수정"," / 수정세금계산서(합계에서 자동 가감)",""),4,200))</f>
        <v/>
      </c>
      <c r="BD779" s="2">
        <f>IF($BA779&lt;&gt;"포함","",IF(COUNTIFS($AX$8:$AX779,$AX779,$BA$8:$BA779,"포함")=1,MAX($BD$7:BD778)+1,""))</f>
        <v/>
      </c>
      <c r="BE779" s="2">
        <f>IF($BC779="","",MAX($BE$7:BE778)+1)</f>
        <v/>
      </c>
    </row>
    <row r="780">
      <c r="AR780" s="2">
        <f>IF(OR($A$5="",$B$6="",ROW()&lt;$A$5),"",IF(INDEX($A:$AP,ROW(),$B$6)="","",INDEX($A:$AP,ROW(),$B$6)))</f>
        <v/>
      </c>
      <c r="AS780" s="22">
        <f>IF($AR780="","",IF(ISNUMBER($AR780),IF($AR780&gt;=10000000,IFERROR(DATE(INT($AR780/10000),MOD(INT($AR780/100),100),MOD($AR780,100)),""),INT($AR780)),IFERROR(DATE(--LEFT(LEFT(SUBSTITUTE(SUBSTITUTE(SUBSTITUTE(SUBSTITUTE(TRIM($AR780),"-",""),".",""),"/","")," ",""),8),4),--MID(LEFT(SUBSTITUTE(SUBSTITUTE(SUBSTITUTE(SUBSTITUTE(TRIM($AR780),"-",""),".",""),"/","")," ",""),8),5,2),--MID(LEFT(SUBSTITUTE(SUBSTITUTE(SUBSTITUTE(SUBSTITUTE(TRIM($AR780),"-",""),".",""),"/","")," ",""),8),7,2)),"")))</f>
        <v/>
      </c>
      <c r="AT780" s="23">
        <f>IF($AS780="","",IF($F$6="",0,IF(ISNUMBER(INDEX($A:$AP,ROW(),$F$6)),INDEX($A:$AP,ROW(),$F$6),IFERROR(--SUBSTITUTE(SUBSTITUTE(TRIM(INDEX($A:$AP,ROW(),$F$6)),",",""),"원",""),0))))</f>
        <v/>
      </c>
      <c r="AU780" s="23">
        <f>IF($AS780="","",IF($G$6="",0,IF(ISNUMBER(INDEX($A:$AP,ROW(),$G$6)),INDEX($A:$AP,ROW(),$G$6),IFERROR(--SUBSTITUTE(SUBSTITUTE(TRIM(INDEX($A:$AP,ROW(),$G$6)),",",""),"원",""),0))))</f>
        <v/>
      </c>
      <c r="AV780" s="23">
        <f>IF($AS780="","",IF($H$6="",$AT780+$AU780,IF($H$6="",0,IF(ISNUMBER(INDEX($A:$AP,ROW(),$H$6)),INDEX($A:$AP,ROW(),$H$6),IFERROR(--SUBSTITUTE(SUBSTITUTE(TRIM(INDEX($A:$AP,ROW(),$H$6)),",",""),"원",""),0)))))</f>
        <v/>
      </c>
      <c r="AW780" s="2">
        <f>IF(OR($AS780="",$C$6=""),"",TRIM(INDEX($A:$AP,ROW(),$C$6)&amp;""))</f>
        <v/>
      </c>
      <c r="AX780" s="2">
        <f>IF($AS780="","",IF($AZ780&lt;&gt;"",SUBSTITUTE(SUBSTITUTE($AZ780,"-","")," ",""),$AY780))</f>
        <v/>
      </c>
      <c r="AY780" s="2">
        <f>IF(OR($AS780="",$E$6=""),"",TRIM(INDEX($A:$AP,ROW(),$E$6)&amp;""))</f>
        <v/>
      </c>
      <c r="AZ780" s="2">
        <f>IF(OR($AS780="",$D$6=""),"",TRIM(INDEX($A:$AP,ROW(),$D$6)&amp;""))</f>
        <v/>
      </c>
      <c r="BA780" s="2">
        <f>IF($AS780="","",IF(AND($AS780&gt;=설정!$B$10,$AS780&lt;=설정!$B$11),"포함","기간 밖"))</f>
        <v/>
      </c>
      <c r="BB780" s="2">
        <f>IF($AS780="","",IF(OR($AT780&lt;0,AND($I$6&lt;&gt;"",ISNUMBER(FIND("수정",INDEX($A:$AP,ROW(),IF($I$6="",1,$I$6))&amp;"")))),"수정","일반"))</f>
        <v/>
      </c>
      <c r="BC780" s="2">
        <f>IF($AS780="","",MID(IF($BA780="기간 밖"," / 기간 밖(신고기간 아님)","")&amp;IF(AND($AW780&lt;&gt;"",COUNTIF($AW$8:$AW$1007,$AW780)&gt;1)," / 승인번호 중복(두 번 붙여넣기?)","")&amp;IF(ABS($AU780-ROUND($AT780*0.1,0))&gt;설정!$B$8,IF($AU780=0," / 세액 0원(영세율·면세 여부 확인)"," / 세액이 공급가액 10%와 다름"),"")&amp;IF($BB780="수정"," / 수정세금계산서(합계에서 자동 가감)",""),4,200))</f>
        <v/>
      </c>
      <c r="BD780" s="2">
        <f>IF($BA780&lt;&gt;"포함","",IF(COUNTIFS($AX$8:$AX780,$AX780,$BA$8:$BA780,"포함")=1,MAX($BD$7:BD779)+1,""))</f>
        <v/>
      </c>
      <c r="BE780" s="2">
        <f>IF($BC780="","",MAX($BE$7:BE779)+1)</f>
        <v/>
      </c>
    </row>
    <row r="781">
      <c r="AR781" s="2">
        <f>IF(OR($A$5="",$B$6="",ROW()&lt;$A$5),"",IF(INDEX($A:$AP,ROW(),$B$6)="","",INDEX($A:$AP,ROW(),$B$6)))</f>
        <v/>
      </c>
      <c r="AS781" s="22">
        <f>IF($AR781="","",IF(ISNUMBER($AR781),IF($AR781&gt;=10000000,IFERROR(DATE(INT($AR781/10000),MOD(INT($AR781/100),100),MOD($AR781,100)),""),INT($AR781)),IFERROR(DATE(--LEFT(LEFT(SUBSTITUTE(SUBSTITUTE(SUBSTITUTE(SUBSTITUTE(TRIM($AR781),"-",""),".",""),"/","")," ",""),8),4),--MID(LEFT(SUBSTITUTE(SUBSTITUTE(SUBSTITUTE(SUBSTITUTE(TRIM($AR781),"-",""),".",""),"/","")," ",""),8),5,2),--MID(LEFT(SUBSTITUTE(SUBSTITUTE(SUBSTITUTE(SUBSTITUTE(TRIM($AR781),"-",""),".",""),"/","")," ",""),8),7,2)),"")))</f>
        <v/>
      </c>
      <c r="AT781" s="23">
        <f>IF($AS781="","",IF($F$6="",0,IF(ISNUMBER(INDEX($A:$AP,ROW(),$F$6)),INDEX($A:$AP,ROW(),$F$6),IFERROR(--SUBSTITUTE(SUBSTITUTE(TRIM(INDEX($A:$AP,ROW(),$F$6)),",",""),"원",""),0))))</f>
        <v/>
      </c>
      <c r="AU781" s="23">
        <f>IF($AS781="","",IF($G$6="",0,IF(ISNUMBER(INDEX($A:$AP,ROW(),$G$6)),INDEX($A:$AP,ROW(),$G$6),IFERROR(--SUBSTITUTE(SUBSTITUTE(TRIM(INDEX($A:$AP,ROW(),$G$6)),",",""),"원",""),0))))</f>
        <v/>
      </c>
      <c r="AV781" s="23">
        <f>IF($AS781="","",IF($H$6="",$AT781+$AU781,IF($H$6="",0,IF(ISNUMBER(INDEX($A:$AP,ROW(),$H$6)),INDEX($A:$AP,ROW(),$H$6),IFERROR(--SUBSTITUTE(SUBSTITUTE(TRIM(INDEX($A:$AP,ROW(),$H$6)),",",""),"원",""),0)))))</f>
        <v/>
      </c>
      <c r="AW781" s="2">
        <f>IF(OR($AS781="",$C$6=""),"",TRIM(INDEX($A:$AP,ROW(),$C$6)&amp;""))</f>
        <v/>
      </c>
      <c r="AX781" s="2">
        <f>IF($AS781="","",IF($AZ781&lt;&gt;"",SUBSTITUTE(SUBSTITUTE($AZ781,"-","")," ",""),$AY781))</f>
        <v/>
      </c>
      <c r="AY781" s="2">
        <f>IF(OR($AS781="",$E$6=""),"",TRIM(INDEX($A:$AP,ROW(),$E$6)&amp;""))</f>
        <v/>
      </c>
      <c r="AZ781" s="2">
        <f>IF(OR($AS781="",$D$6=""),"",TRIM(INDEX($A:$AP,ROW(),$D$6)&amp;""))</f>
        <v/>
      </c>
      <c r="BA781" s="2">
        <f>IF($AS781="","",IF(AND($AS781&gt;=설정!$B$10,$AS781&lt;=설정!$B$11),"포함","기간 밖"))</f>
        <v/>
      </c>
      <c r="BB781" s="2">
        <f>IF($AS781="","",IF(OR($AT781&lt;0,AND($I$6&lt;&gt;"",ISNUMBER(FIND("수정",INDEX($A:$AP,ROW(),IF($I$6="",1,$I$6))&amp;"")))),"수정","일반"))</f>
        <v/>
      </c>
      <c r="BC781" s="2">
        <f>IF($AS781="","",MID(IF($BA781="기간 밖"," / 기간 밖(신고기간 아님)","")&amp;IF(AND($AW781&lt;&gt;"",COUNTIF($AW$8:$AW$1007,$AW781)&gt;1)," / 승인번호 중복(두 번 붙여넣기?)","")&amp;IF(ABS($AU781-ROUND($AT781*0.1,0))&gt;설정!$B$8,IF($AU781=0," / 세액 0원(영세율·면세 여부 확인)"," / 세액이 공급가액 10%와 다름"),"")&amp;IF($BB781="수정"," / 수정세금계산서(합계에서 자동 가감)",""),4,200))</f>
        <v/>
      </c>
      <c r="BD781" s="2">
        <f>IF($BA781&lt;&gt;"포함","",IF(COUNTIFS($AX$8:$AX781,$AX781,$BA$8:$BA781,"포함")=1,MAX($BD$7:BD780)+1,""))</f>
        <v/>
      </c>
      <c r="BE781" s="2">
        <f>IF($BC781="","",MAX($BE$7:BE780)+1)</f>
        <v/>
      </c>
    </row>
    <row r="782">
      <c r="AR782" s="2">
        <f>IF(OR($A$5="",$B$6="",ROW()&lt;$A$5),"",IF(INDEX($A:$AP,ROW(),$B$6)="","",INDEX($A:$AP,ROW(),$B$6)))</f>
        <v/>
      </c>
      <c r="AS782" s="22">
        <f>IF($AR782="","",IF(ISNUMBER($AR782),IF($AR782&gt;=10000000,IFERROR(DATE(INT($AR782/10000),MOD(INT($AR782/100),100),MOD($AR782,100)),""),INT($AR782)),IFERROR(DATE(--LEFT(LEFT(SUBSTITUTE(SUBSTITUTE(SUBSTITUTE(SUBSTITUTE(TRIM($AR782),"-",""),".",""),"/","")," ",""),8),4),--MID(LEFT(SUBSTITUTE(SUBSTITUTE(SUBSTITUTE(SUBSTITUTE(TRIM($AR782),"-",""),".",""),"/","")," ",""),8),5,2),--MID(LEFT(SUBSTITUTE(SUBSTITUTE(SUBSTITUTE(SUBSTITUTE(TRIM($AR782),"-",""),".",""),"/","")," ",""),8),7,2)),"")))</f>
        <v/>
      </c>
      <c r="AT782" s="23">
        <f>IF($AS782="","",IF($F$6="",0,IF(ISNUMBER(INDEX($A:$AP,ROW(),$F$6)),INDEX($A:$AP,ROW(),$F$6),IFERROR(--SUBSTITUTE(SUBSTITUTE(TRIM(INDEX($A:$AP,ROW(),$F$6)),",",""),"원",""),0))))</f>
        <v/>
      </c>
      <c r="AU782" s="23">
        <f>IF($AS782="","",IF($G$6="",0,IF(ISNUMBER(INDEX($A:$AP,ROW(),$G$6)),INDEX($A:$AP,ROW(),$G$6),IFERROR(--SUBSTITUTE(SUBSTITUTE(TRIM(INDEX($A:$AP,ROW(),$G$6)),",",""),"원",""),0))))</f>
        <v/>
      </c>
      <c r="AV782" s="23">
        <f>IF($AS782="","",IF($H$6="",$AT782+$AU782,IF($H$6="",0,IF(ISNUMBER(INDEX($A:$AP,ROW(),$H$6)),INDEX($A:$AP,ROW(),$H$6),IFERROR(--SUBSTITUTE(SUBSTITUTE(TRIM(INDEX($A:$AP,ROW(),$H$6)),",",""),"원",""),0)))))</f>
        <v/>
      </c>
      <c r="AW782" s="2">
        <f>IF(OR($AS782="",$C$6=""),"",TRIM(INDEX($A:$AP,ROW(),$C$6)&amp;""))</f>
        <v/>
      </c>
      <c r="AX782" s="2">
        <f>IF($AS782="","",IF($AZ782&lt;&gt;"",SUBSTITUTE(SUBSTITUTE($AZ782,"-","")," ",""),$AY782))</f>
        <v/>
      </c>
      <c r="AY782" s="2">
        <f>IF(OR($AS782="",$E$6=""),"",TRIM(INDEX($A:$AP,ROW(),$E$6)&amp;""))</f>
        <v/>
      </c>
      <c r="AZ782" s="2">
        <f>IF(OR($AS782="",$D$6=""),"",TRIM(INDEX($A:$AP,ROW(),$D$6)&amp;""))</f>
        <v/>
      </c>
      <c r="BA782" s="2">
        <f>IF($AS782="","",IF(AND($AS782&gt;=설정!$B$10,$AS782&lt;=설정!$B$11),"포함","기간 밖"))</f>
        <v/>
      </c>
      <c r="BB782" s="2">
        <f>IF($AS782="","",IF(OR($AT782&lt;0,AND($I$6&lt;&gt;"",ISNUMBER(FIND("수정",INDEX($A:$AP,ROW(),IF($I$6="",1,$I$6))&amp;"")))),"수정","일반"))</f>
        <v/>
      </c>
      <c r="BC782" s="2">
        <f>IF($AS782="","",MID(IF($BA782="기간 밖"," / 기간 밖(신고기간 아님)","")&amp;IF(AND($AW782&lt;&gt;"",COUNTIF($AW$8:$AW$1007,$AW782)&gt;1)," / 승인번호 중복(두 번 붙여넣기?)","")&amp;IF(ABS($AU782-ROUND($AT782*0.1,0))&gt;설정!$B$8,IF($AU782=0," / 세액 0원(영세율·면세 여부 확인)"," / 세액이 공급가액 10%와 다름"),"")&amp;IF($BB782="수정"," / 수정세금계산서(합계에서 자동 가감)",""),4,200))</f>
        <v/>
      </c>
      <c r="BD782" s="2">
        <f>IF($BA782&lt;&gt;"포함","",IF(COUNTIFS($AX$8:$AX782,$AX782,$BA$8:$BA782,"포함")=1,MAX($BD$7:BD781)+1,""))</f>
        <v/>
      </c>
      <c r="BE782" s="2">
        <f>IF($BC782="","",MAX($BE$7:BE781)+1)</f>
        <v/>
      </c>
    </row>
    <row r="783">
      <c r="AR783" s="2">
        <f>IF(OR($A$5="",$B$6="",ROW()&lt;$A$5),"",IF(INDEX($A:$AP,ROW(),$B$6)="","",INDEX($A:$AP,ROW(),$B$6)))</f>
        <v/>
      </c>
      <c r="AS783" s="22">
        <f>IF($AR783="","",IF(ISNUMBER($AR783),IF($AR783&gt;=10000000,IFERROR(DATE(INT($AR783/10000),MOD(INT($AR783/100),100),MOD($AR783,100)),""),INT($AR783)),IFERROR(DATE(--LEFT(LEFT(SUBSTITUTE(SUBSTITUTE(SUBSTITUTE(SUBSTITUTE(TRIM($AR783),"-",""),".",""),"/","")," ",""),8),4),--MID(LEFT(SUBSTITUTE(SUBSTITUTE(SUBSTITUTE(SUBSTITUTE(TRIM($AR783),"-",""),".",""),"/","")," ",""),8),5,2),--MID(LEFT(SUBSTITUTE(SUBSTITUTE(SUBSTITUTE(SUBSTITUTE(TRIM($AR783),"-",""),".",""),"/","")," ",""),8),7,2)),"")))</f>
        <v/>
      </c>
      <c r="AT783" s="23">
        <f>IF($AS783="","",IF($F$6="",0,IF(ISNUMBER(INDEX($A:$AP,ROW(),$F$6)),INDEX($A:$AP,ROW(),$F$6),IFERROR(--SUBSTITUTE(SUBSTITUTE(TRIM(INDEX($A:$AP,ROW(),$F$6)),",",""),"원",""),0))))</f>
        <v/>
      </c>
      <c r="AU783" s="23">
        <f>IF($AS783="","",IF($G$6="",0,IF(ISNUMBER(INDEX($A:$AP,ROW(),$G$6)),INDEX($A:$AP,ROW(),$G$6),IFERROR(--SUBSTITUTE(SUBSTITUTE(TRIM(INDEX($A:$AP,ROW(),$G$6)),",",""),"원",""),0))))</f>
        <v/>
      </c>
      <c r="AV783" s="23">
        <f>IF($AS783="","",IF($H$6="",$AT783+$AU783,IF($H$6="",0,IF(ISNUMBER(INDEX($A:$AP,ROW(),$H$6)),INDEX($A:$AP,ROW(),$H$6),IFERROR(--SUBSTITUTE(SUBSTITUTE(TRIM(INDEX($A:$AP,ROW(),$H$6)),",",""),"원",""),0)))))</f>
        <v/>
      </c>
      <c r="AW783" s="2">
        <f>IF(OR($AS783="",$C$6=""),"",TRIM(INDEX($A:$AP,ROW(),$C$6)&amp;""))</f>
        <v/>
      </c>
      <c r="AX783" s="2">
        <f>IF($AS783="","",IF($AZ783&lt;&gt;"",SUBSTITUTE(SUBSTITUTE($AZ783,"-","")," ",""),$AY783))</f>
        <v/>
      </c>
      <c r="AY783" s="2">
        <f>IF(OR($AS783="",$E$6=""),"",TRIM(INDEX($A:$AP,ROW(),$E$6)&amp;""))</f>
        <v/>
      </c>
      <c r="AZ783" s="2">
        <f>IF(OR($AS783="",$D$6=""),"",TRIM(INDEX($A:$AP,ROW(),$D$6)&amp;""))</f>
        <v/>
      </c>
      <c r="BA783" s="2">
        <f>IF($AS783="","",IF(AND($AS783&gt;=설정!$B$10,$AS783&lt;=설정!$B$11),"포함","기간 밖"))</f>
        <v/>
      </c>
      <c r="BB783" s="2">
        <f>IF($AS783="","",IF(OR($AT783&lt;0,AND($I$6&lt;&gt;"",ISNUMBER(FIND("수정",INDEX($A:$AP,ROW(),IF($I$6="",1,$I$6))&amp;"")))),"수정","일반"))</f>
        <v/>
      </c>
      <c r="BC783" s="2">
        <f>IF($AS783="","",MID(IF($BA783="기간 밖"," / 기간 밖(신고기간 아님)","")&amp;IF(AND($AW783&lt;&gt;"",COUNTIF($AW$8:$AW$1007,$AW783)&gt;1)," / 승인번호 중복(두 번 붙여넣기?)","")&amp;IF(ABS($AU783-ROUND($AT783*0.1,0))&gt;설정!$B$8,IF($AU783=0," / 세액 0원(영세율·면세 여부 확인)"," / 세액이 공급가액 10%와 다름"),"")&amp;IF($BB783="수정"," / 수정세금계산서(합계에서 자동 가감)",""),4,200))</f>
        <v/>
      </c>
      <c r="BD783" s="2">
        <f>IF($BA783&lt;&gt;"포함","",IF(COUNTIFS($AX$8:$AX783,$AX783,$BA$8:$BA783,"포함")=1,MAX($BD$7:BD782)+1,""))</f>
        <v/>
      </c>
      <c r="BE783" s="2">
        <f>IF($BC783="","",MAX($BE$7:BE782)+1)</f>
        <v/>
      </c>
    </row>
    <row r="784">
      <c r="AR784" s="2">
        <f>IF(OR($A$5="",$B$6="",ROW()&lt;$A$5),"",IF(INDEX($A:$AP,ROW(),$B$6)="","",INDEX($A:$AP,ROW(),$B$6)))</f>
        <v/>
      </c>
      <c r="AS784" s="22">
        <f>IF($AR784="","",IF(ISNUMBER($AR784),IF($AR784&gt;=10000000,IFERROR(DATE(INT($AR784/10000),MOD(INT($AR784/100),100),MOD($AR784,100)),""),INT($AR784)),IFERROR(DATE(--LEFT(LEFT(SUBSTITUTE(SUBSTITUTE(SUBSTITUTE(SUBSTITUTE(TRIM($AR784),"-",""),".",""),"/","")," ",""),8),4),--MID(LEFT(SUBSTITUTE(SUBSTITUTE(SUBSTITUTE(SUBSTITUTE(TRIM($AR784),"-",""),".",""),"/","")," ",""),8),5,2),--MID(LEFT(SUBSTITUTE(SUBSTITUTE(SUBSTITUTE(SUBSTITUTE(TRIM($AR784),"-",""),".",""),"/","")," ",""),8),7,2)),"")))</f>
        <v/>
      </c>
      <c r="AT784" s="23">
        <f>IF($AS784="","",IF($F$6="",0,IF(ISNUMBER(INDEX($A:$AP,ROW(),$F$6)),INDEX($A:$AP,ROW(),$F$6),IFERROR(--SUBSTITUTE(SUBSTITUTE(TRIM(INDEX($A:$AP,ROW(),$F$6)),",",""),"원",""),0))))</f>
        <v/>
      </c>
      <c r="AU784" s="23">
        <f>IF($AS784="","",IF($G$6="",0,IF(ISNUMBER(INDEX($A:$AP,ROW(),$G$6)),INDEX($A:$AP,ROW(),$G$6),IFERROR(--SUBSTITUTE(SUBSTITUTE(TRIM(INDEX($A:$AP,ROW(),$G$6)),",",""),"원",""),0))))</f>
        <v/>
      </c>
      <c r="AV784" s="23">
        <f>IF($AS784="","",IF($H$6="",$AT784+$AU784,IF($H$6="",0,IF(ISNUMBER(INDEX($A:$AP,ROW(),$H$6)),INDEX($A:$AP,ROW(),$H$6),IFERROR(--SUBSTITUTE(SUBSTITUTE(TRIM(INDEX($A:$AP,ROW(),$H$6)),",",""),"원",""),0)))))</f>
        <v/>
      </c>
      <c r="AW784" s="2">
        <f>IF(OR($AS784="",$C$6=""),"",TRIM(INDEX($A:$AP,ROW(),$C$6)&amp;""))</f>
        <v/>
      </c>
      <c r="AX784" s="2">
        <f>IF($AS784="","",IF($AZ784&lt;&gt;"",SUBSTITUTE(SUBSTITUTE($AZ784,"-","")," ",""),$AY784))</f>
        <v/>
      </c>
      <c r="AY784" s="2">
        <f>IF(OR($AS784="",$E$6=""),"",TRIM(INDEX($A:$AP,ROW(),$E$6)&amp;""))</f>
        <v/>
      </c>
      <c r="AZ784" s="2">
        <f>IF(OR($AS784="",$D$6=""),"",TRIM(INDEX($A:$AP,ROW(),$D$6)&amp;""))</f>
        <v/>
      </c>
      <c r="BA784" s="2">
        <f>IF($AS784="","",IF(AND($AS784&gt;=설정!$B$10,$AS784&lt;=설정!$B$11),"포함","기간 밖"))</f>
        <v/>
      </c>
      <c r="BB784" s="2">
        <f>IF($AS784="","",IF(OR($AT784&lt;0,AND($I$6&lt;&gt;"",ISNUMBER(FIND("수정",INDEX($A:$AP,ROW(),IF($I$6="",1,$I$6))&amp;"")))),"수정","일반"))</f>
        <v/>
      </c>
      <c r="BC784" s="2">
        <f>IF($AS784="","",MID(IF($BA784="기간 밖"," / 기간 밖(신고기간 아님)","")&amp;IF(AND($AW784&lt;&gt;"",COUNTIF($AW$8:$AW$1007,$AW784)&gt;1)," / 승인번호 중복(두 번 붙여넣기?)","")&amp;IF(ABS($AU784-ROUND($AT784*0.1,0))&gt;설정!$B$8,IF($AU784=0," / 세액 0원(영세율·면세 여부 확인)"," / 세액이 공급가액 10%와 다름"),"")&amp;IF($BB784="수정"," / 수정세금계산서(합계에서 자동 가감)",""),4,200))</f>
        <v/>
      </c>
      <c r="BD784" s="2">
        <f>IF($BA784&lt;&gt;"포함","",IF(COUNTIFS($AX$8:$AX784,$AX784,$BA$8:$BA784,"포함")=1,MAX($BD$7:BD783)+1,""))</f>
        <v/>
      </c>
      <c r="BE784" s="2">
        <f>IF($BC784="","",MAX($BE$7:BE783)+1)</f>
        <v/>
      </c>
    </row>
    <row r="785">
      <c r="AR785" s="2">
        <f>IF(OR($A$5="",$B$6="",ROW()&lt;$A$5),"",IF(INDEX($A:$AP,ROW(),$B$6)="","",INDEX($A:$AP,ROW(),$B$6)))</f>
        <v/>
      </c>
      <c r="AS785" s="22">
        <f>IF($AR785="","",IF(ISNUMBER($AR785),IF($AR785&gt;=10000000,IFERROR(DATE(INT($AR785/10000),MOD(INT($AR785/100),100),MOD($AR785,100)),""),INT($AR785)),IFERROR(DATE(--LEFT(LEFT(SUBSTITUTE(SUBSTITUTE(SUBSTITUTE(SUBSTITUTE(TRIM($AR785),"-",""),".",""),"/","")," ",""),8),4),--MID(LEFT(SUBSTITUTE(SUBSTITUTE(SUBSTITUTE(SUBSTITUTE(TRIM($AR785),"-",""),".",""),"/","")," ",""),8),5,2),--MID(LEFT(SUBSTITUTE(SUBSTITUTE(SUBSTITUTE(SUBSTITUTE(TRIM($AR785),"-",""),".",""),"/","")," ",""),8),7,2)),"")))</f>
        <v/>
      </c>
      <c r="AT785" s="23">
        <f>IF($AS785="","",IF($F$6="",0,IF(ISNUMBER(INDEX($A:$AP,ROW(),$F$6)),INDEX($A:$AP,ROW(),$F$6),IFERROR(--SUBSTITUTE(SUBSTITUTE(TRIM(INDEX($A:$AP,ROW(),$F$6)),",",""),"원",""),0))))</f>
        <v/>
      </c>
      <c r="AU785" s="23">
        <f>IF($AS785="","",IF($G$6="",0,IF(ISNUMBER(INDEX($A:$AP,ROW(),$G$6)),INDEX($A:$AP,ROW(),$G$6),IFERROR(--SUBSTITUTE(SUBSTITUTE(TRIM(INDEX($A:$AP,ROW(),$G$6)),",",""),"원",""),0))))</f>
        <v/>
      </c>
      <c r="AV785" s="23">
        <f>IF($AS785="","",IF($H$6="",$AT785+$AU785,IF($H$6="",0,IF(ISNUMBER(INDEX($A:$AP,ROW(),$H$6)),INDEX($A:$AP,ROW(),$H$6),IFERROR(--SUBSTITUTE(SUBSTITUTE(TRIM(INDEX($A:$AP,ROW(),$H$6)),",",""),"원",""),0)))))</f>
        <v/>
      </c>
      <c r="AW785" s="2">
        <f>IF(OR($AS785="",$C$6=""),"",TRIM(INDEX($A:$AP,ROW(),$C$6)&amp;""))</f>
        <v/>
      </c>
      <c r="AX785" s="2">
        <f>IF($AS785="","",IF($AZ785&lt;&gt;"",SUBSTITUTE(SUBSTITUTE($AZ785,"-","")," ",""),$AY785))</f>
        <v/>
      </c>
      <c r="AY785" s="2">
        <f>IF(OR($AS785="",$E$6=""),"",TRIM(INDEX($A:$AP,ROW(),$E$6)&amp;""))</f>
        <v/>
      </c>
      <c r="AZ785" s="2">
        <f>IF(OR($AS785="",$D$6=""),"",TRIM(INDEX($A:$AP,ROW(),$D$6)&amp;""))</f>
        <v/>
      </c>
      <c r="BA785" s="2">
        <f>IF($AS785="","",IF(AND($AS785&gt;=설정!$B$10,$AS785&lt;=설정!$B$11),"포함","기간 밖"))</f>
        <v/>
      </c>
      <c r="BB785" s="2">
        <f>IF($AS785="","",IF(OR($AT785&lt;0,AND($I$6&lt;&gt;"",ISNUMBER(FIND("수정",INDEX($A:$AP,ROW(),IF($I$6="",1,$I$6))&amp;"")))),"수정","일반"))</f>
        <v/>
      </c>
      <c r="BC785" s="2">
        <f>IF($AS785="","",MID(IF($BA785="기간 밖"," / 기간 밖(신고기간 아님)","")&amp;IF(AND($AW785&lt;&gt;"",COUNTIF($AW$8:$AW$1007,$AW785)&gt;1)," / 승인번호 중복(두 번 붙여넣기?)","")&amp;IF(ABS($AU785-ROUND($AT785*0.1,0))&gt;설정!$B$8,IF($AU785=0," / 세액 0원(영세율·면세 여부 확인)"," / 세액이 공급가액 10%와 다름"),"")&amp;IF($BB785="수정"," / 수정세금계산서(합계에서 자동 가감)",""),4,200))</f>
        <v/>
      </c>
      <c r="BD785" s="2">
        <f>IF($BA785&lt;&gt;"포함","",IF(COUNTIFS($AX$8:$AX785,$AX785,$BA$8:$BA785,"포함")=1,MAX($BD$7:BD784)+1,""))</f>
        <v/>
      </c>
      <c r="BE785" s="2">
        <f>IF($BC785="","",MAX($BE$7:BE784)+1)</f>
        <v/>
      </c>
    </row>
    <row r="786">
      <c r="AR786" s="2">
        <f>IF(OR($A$5="",$B$6="",ROW()&lt;$A$5),"",IF(INDEX($A:$AP,ROW(),$B$6)="","",INDEX($A:$AP,ROW(),$B$6)))</f>
        <v/>
      </c>
      <c r="AS786" s="22">
        <f>IF($AR786="","",IF(ISNUMBER($AR786),IF($AR786&gt;=10000000,IFERROR(DATE(INT($AR786/10000),MOD(INT($AR786/100),100),MOD($AR786,100)),""),INT($AR786)),IFERROR(DATE(--LEFT(LEFT(SUBSTITUTE(SUBSTITUTE(SUBSTITUTE(SUBSTITUTE(TRIM($AR786),"-",""),".",""),"/","")," ",""),8),4),--MID(LEFT(SUBSTITUTE(SUBSTITUTE(SUBSTITUTE(SUBSTITUTE(TRIM($AR786),"-",""),".",""),"/","")," ",""),8),5,2),--MID(LEFT(SUBSTITUTE(SUBSTITUTE(SUBSTITUTE(SUBSTITUTE(TRIM($AR786),"-",""),".",""),"/","")," ",""),8),7,2)),"")))</f>
        <v/>
      </c>
      <c r="AT786" s="23">
        <f>IF($AS786="","",IF($F$6="",0,IF(ISNUMBER(INDEX($A:$AP,ROW(),$F$6)),INDEX($A:$AP,ROW(),$F$6),IFERROR(--SUBSTITUTE(SUBSTITUTE(TRIM(INDEX($A:$AP,ROW(),$F$6)),",",""),"원",""),0))))</f>
        <v/>
      </c>
      <c r="AU786" s="23">
        <f>IF($AS786="","",IF($G$6="",0,IF(ISNUMBER(INDEX($A:$AP,ROW(),$G$6)),INDEX($A:$AP,ROW(),$G$6),IFERROR(--SUBSTITUTE(SUBSTITUTE(TRIM(INDEX($A:$AP,ROW(),$G$6)),",",""),"원",""),0))))</f>
        <v/>
      </c>
      <c r="AV786" s="23">
        <f>IF($AS786="","",IF($H$6="",$AT786+$AU786,IF($H$6="",0,IF(ISNUMBER(INDEX($A:$AP,ROW(),$H$6)),INDEX($A:$AP,ROW(),$H$6),IFERROR(--SUBSTITUTE(SUBSTITUTE(TRIM(INDEX($A:$AP,ROW(),$H$6)),",",""),"원",""),0)))))</f>
        <v/>
      </c>
      <c r="AW786" s="2">
        <f>IF(OR($AS786="",$C$6=""),"",TRIM(INDEX($A:$AP,ROW(),$C$6)&amp;""))</f>
        <v/>
      </c>
      <c r="AX786" s="2">
        <f>IF($AS786="","",IF($AZ786&lt;&gt;"",SUBSTITUTE(SUBSTITUTE($AZ786,"-","")," ",""),$AY786))</f>
        <v/>
      </c>
      <c r="AY786" s="2">
        <f>IF(OR($AS786="",$E$6=""),"",TRIM(INDEX($A:$AP,ROW(),$E$6)&amp;""))</f>
        <v/>
      </c>
      <c r="AZ786" s="2">
        <f>IF(OR($AS786="",$D$6=""),"",TRIM(INDEX($A:$AP,ROW(),$D$6)&amp;""))</f>
        <v/>
      </c>
      <c r="BA786" s="2">
        <f>IF($AS786="","",IF(AND($AS786&gt;=설정!$B$10,$AS786&lt;=설정!$B$11),"포함","기간 밖"))</f>
        <v/>
      </c>
      <c r="BB786" s="2">
        <f>IF($AS786="","",IF(OR($AT786&lt;0,AND($I$6&lt;&gt;"",ISNUMBER(FIND("수정",INDEX($A:$AP,ROW(),IF($I$6="",1,$I$6))&amp;"")))),"수정","일반"))</f>
        <v/>
      </c>
      <c r="BC786" s="2">
        <f>IF($AS786="","",MID(IF($BA786="기간 밖"," / 기간 밖(신고기간 아님)","")&amp;IF(AND($AW786&lt;&gt;"",COUNTIF($AW$8:$AW$1007,$AW786)&gt;1)," / 승인번호 중복(두 번 붙여넣기?)","")&amp;IF(ABS($AU786-ROUND($AT786*0.1,0))&gt;설정!$B$8,IF($AU786=0," / 세액 0원(영세율·면세 여부 확인)"," / 세액이 공급가액 10%와 다름"),"")&amp;IF($BB786="수정"," / 수정세금계산서(합계에서 자동 가감)",""),4,200))</f>
        <v/>
      </c>
      <c r="BD786" s="2">
        <f>IF($BA786&lt;&gt;"포함","",IF(COUNTIFS($AX$8:$AX786,$AX786,$BA$8:$BA786,"포함")=1,MAX($BD$7:BD785)+1,""))</f>
        <v/>
      </c>
      <c r="BE786" s="2">
        <f>IF($BC786="","",MAX($BE$7:BE785)+1)</f>
        <v/>
      </c>
    </row>
    <row r="787">
      <c r="AR787" s="2">
        <f>IF(OR($A$5="",$B$6="",ROW()&lt;$A$5),"",IF(INDEX($A:$AP,ROW(),$B$6)="","",INDEX($A:$AP,ROW(),$B$6)))</f>
        <v/>
      </c>
      <c r="AS787" s="22">
        <f>IF($AR787="","",IF(ISNUMBER($AR787),IF($AR787&gt;=10000000,IFERROR(DATE(INT($AR787/10000),MOD(INT($AR787/100),100),MOD($AR787,100)),""),INT($AR787)),IFERROR(DATE(--LEFT(LEFT(SUBSTITUTE(SUBSTITUTE(SUBSTITUTE(SUBSTITUTE(TRIM($AR787),"-",""),".",""),"/","")," ",""),8),4),--MID(LEFT(SUBSTITUTE(SUBSTITUTE(SUBSTITUTE(SUBSTITUTE(TRIM($AR787),"-",""),".",""),"/","")," ",""),8),5,2),--MID(LEFT(SUBSTITUTE(SUBSTITUTE(SUBSTITUTE(SUBSTITUTE(TRIM($AR787),"-",""),".",""),"/","")," ",""),8),7,2)),"")))</f>
        <v/>
      </c>
      <c r="AT787" s="23">
        <f>IF($AS787="","",IF($F$6="",0,IF(ISNUMBER(INDEX($A:$AP,ROW(),$F$6)),INDEX($A:$AP,ROW(),$F$6),IFERROR(--SUBSTITUTE(SUBSTITUTE(TRIM(INDEX($A:$AP,ROW(),$F$6)),",",""),"원",""),0))))</f>
        <v/>
      </c>
      <c r="AU787" s="23">
        <f>IF($AS787="","",IF($G$6="",0,IF(ISNUMBER(INDEX($A:$AP,ROW(),$G$6)),INDEX($A:$AP,ROW(),$G$6),IFERROR(--SUBSTITUTE(SUBSTITUTE(TRIM(INDEX($A:$AP,ROW(),$G$6)),",",""),"원",""),0))))</f>
        <v/>
      </c>
      <c r="AV787" s="23">
        <f>IF($AS787="","",IF($H$6="",$AT787+$AU787,IF($H$6="",0,IF(ISNUMBER(INDEX($A:$AP,ROW(),$H$6)),INDEX($A:$AP,ROW(),$H$6),IFERROR(--SUBSTITUTE(SUBSTITUTE(TRIM(INDEX($A:$AP,ROW(),$H$6)),",",""),"원",""),0)))))</f>
        <v/>
      </c>
      <c r="AW787" s="2">
        <f>IF(OR($AS787="",$C$6=""),"",TRIM(INDEX($A:$AP,ROW(),$C$6)&amp;""))</f>
        <v/>
      </c>
      <c r="AX787" s="2">
        <f>IF($AS787="","",IF($AZ787&lt;&gt;"",SUBSTITUTE(SUBSTITUTE($AZ787,"-","")," ",""),$AY787))</f>
        <v/>
      </c>
      <c r="AY787" s="2">
        <f>IF(OR($AS787="",$E$6=""),"",TRIM(INDEX($A:$AP,ROW(),$E$6)&amp;""))</f>
        <v/>
      </c>
      <c r="AZ787" s="2">
        <f>IF(OR($AS787="",$D$6=""),"",TRIM(INDEX($A:$AP,ROW(),$D$6)&amp;""))</f>
        <v/>
      </c>
      <c r="BA787" s="2">
        <f>IF($AS787="","",IF(AND($AS787&gt;=설정!$B$10,$AS787&lt;=설정!$B$11),"포함","기간 밖"))</f>
        <v/>
      </c>
      <c r="BB787" s="2">
        <f>IF($AS787="","",IF(OR($AT787&lt;0,AND($I$6&lt;&gt;"",ISNUMBER(FIND("수정",INDEX($A:$AP,ROW(),IF($I$6="",1,$I$6))&amp;"")))),"수정","일반"))</f>
        <v/>
      </c>
      <c r="BC787" s="2">
        <f>IF($AS787="","",MID(IF($BA787="기간 밖"," / 기간 밖(신고기간 아님)","")&amp;IF(AND($AW787&lt;&gt;"",COUNTIF($AW$8:$AW$1007,$AW787)&gt;1)," / 승인번호 중복(두 번 붙여넣기?)","")&amp;IF(ABS($AU787-ROUND($AT787*0.1,0))&gt;설정!$B$8,IF($AU787=0," / 세액 0원(영세율·면세 여부 확인)"," / 세액이 공급가액 10%와 다름"),"")&amp;IF($BB787="수정"," / 수정세금계산서(합계에서 자동 가감)",""),4,200))</f>
        <v/>
      </c>
      <c r="BD787" s="2">
        <f>IF($BA787&lt;&gt;"포함","",IF(COUNTIFS($AX$8:$AX787,$AX787,$BA$8:$BA787,"포함")=1,MAX($BD$7:BD786)+1,""))</f>
        <v/>
      </c>
      <c r="BE787" s="2">
        <f>IF($BC787="","",MAX($BE$7:BE786)+1)</f>
        <v/>
      </c>
    </row>
    <row r="788">
      <c r="AR788" s="2">
        <f>IF(OR($A$5="",$B$6="",ROW()&lt;$A$5),"",IF(INDEX($A:$AP,ROW(),$B$6)="","",INDEX($A:$AP,ROW(),$B$6)))</f>
        <v/>
      </c>
      <c r="AS788" s="22">
        <f>IF($AR788="","",IF(ISNUMBER($AR788),IF($AR788&gt;=10000000,IFERROR(DATE(INT($AR788/10000),MOD(INT($AR788/100),100),MOD($AR788,100)),""),INT($AR788)),IFERROR(DATE(--LEFT(LEFT(SUBSTITUTE(SUBSTITUTE(SUBSTITUTE(SUBSTITUTE(TRIM($AR788),"-",""),".",""),"/","")," ",""),8),4),--MID(LEFT(SUBSTITUTE(SUBSTITUTE(SUBSTITUTE(SUBSTITUTE(TRIM($AR788),"-",""),".",""),"/","")," ",""),8),5,2),--MID(LEFT(SUBSTITUTE(SUBSTITUTE(SUBSTITUTE(SUBSTITUTE(TRIM($AR788),"-",""),".",""),"/","")," ",""),8),7,2)),"")))</f>
        <v/>
      </c>
      <c r="AT788" s="23">
        <f>IF($AS788="","",IF($F$6="",0,IF(ISNUMBER(INDEX($A:$AP,ROW(),$F$6)),INDEX($A:$AP,ROW(),$F$6),IFERROR(--SUBSTITUTE(SUBSTITUTE(TRIM(INDEX($A:$AP,ROW(),$F$6)),",",""),"원",""),0))))</f>
        <v/>
      </c>
      <c r="AU788" s="23">
        <f>IF($AS788="","",IF($G$6="",0,IF(ISNUMBER(INDEX($A:$AP,ROW(),$G$6)),INDEX($A:$AP,ROW(),$G$6),IFERROR(--SUBSTITUTE(SUBSTITUTE(TRIM(INDEX($A:$AP,ROW(),$G$6)),",",""),"원",""),0))))</f>
        <v/>
      </c>
      <c r="AV788" s="23">
        <f>IF($AS788="","",IF($H$6="",$AT788+$AU788,IF($H$6="",0,IF(ISNUMBER(INDEX($A:$AP,ROW(),$H$6)),INDEX($A:$AP,ROW(),$H$6),IFERROR(--SUBSTITUTE(SUBSTITUTE(TRIM(INDEX($A:$AP,ROW(),$H$6)),",",""),"원",""),0)))))</f>
        <v/>
      </c>
      <c r="AW788" s="2">
        <f>IF(OR($AS788="",$C$6=""),"",TRIM(INDEX($A:$AP,ROW(),$C$6)&amp;""))</f>
        <v/>
      </c>
      <c r="AX788" s="2">
        <f>IF($AS788="","",IF($AZ788&lt;&gt;"",SUBSTITUTE(SUBSTITUTE($AZ788,"-","")," ",""),$AY788))</f>
        <v/>
      </c>
      <c r="AY788" s="2">
        <f>IF(OR($AS788="",$E$6=""),"",TRIM(INDEX($A:$AP,ROW(),$E$6)&amp;""))</f>
        <v/>
      </c>
      <c r="AZ788" s="2">
        <f>IF(OR($AS788="",$D$6=""),"",TRIM(INDEX($A:$AP,ROW(),$D$6)&amp;""))</f>
        <v/>
      </c>
      <c r="BA788" s="2">
        <f>IF($AS788="","",IF(AND($AS788&gt;=설정!$B$10,$AS788&lt;=설정!$B$11),"포함","기간 밖"))</f>
        <v/>
      </c>
      <c r="BB788" s="2">
        <f>IF($AS788="","",IF(OR($AT788&lt;0,AND($I$6&lt;&gt;"",ISNUMBER(FIND("수정",INDEX($A:$AP,ROW(),IF($I$6="",1,$I$6))&amp;"")))),"수정","일반"))</f>
        <v/>
      </c>
      <c r="BC788" s="2">
        <f>IF($AS788="","",MID(IF($BA788="기간 밖"," / 기간 밖(신고기간 아님)","")&amp;IF(AND($AW788&lt;&gt;"",COUNTIF($AW$8:$AW$1007,$AW788)&gt;1)," / 승인번호 중복(두 번 붙여넣기?)","")&amp;IF(ABS($AU788-ROUND($AT788*0.1,0))&gt;설정!$B$8,IF($AU788=0," / 세액 0원(영세율·면세 여부 확인)"," / 세액이 공급가액 10%와 다름"),"")&amp;IF($BB788="수정"," / 수정세금계산서(합계에서 자동 가감)",""),4,200))</f>
        <v/>
      </c>
      <c r="BD788" s="2">
        <f>IF($BA788&lt;&gt;"포함","",IF(COUNTIFS($AX$8:$AX788,$AX788,$BA$8:$BA788,"포함")=1,MAX($BD$7:BD787)+1,""))</f>
        <v/>
      </c>
      <c r="BE788" s="2">
        <f>IF($BC788="","",MAX($BE$7:BE787)+1)</f>
        <v/>
      </c>
    </row>
    <row r="789">
      <c r="AR789" s="2">
        <f>IF(OR($A$5="",$B$6="",ROW()&lt;$A$5),"",IF(INDEX($A:$AP,ROW(),$B$6)="","",INDEX($A:$AP,ROW(),$B$6)))</f>
        <v/>
      </c>
      <c r="AS789" s="22">
        <f>IF($AR789="","",IF(ISNUMBER($AR789),IF($AR789&gt;=10000000,IFERROR(DATE(INT($AR789/10000),MOD(INT($AR789/100),100),MOD($AR789,100)),""),INT($AR789)),IFERROR(DATE(--LEFT(LEFT(SUBSTITUTE(SUBSTITUTE(SUBSTITUTE(SUBSTITUTE(TRIM($AR789),"-",""),".",""),"/","")," ",""),8),4),--MID(LEFT(SUBSTITUTE(SUBSTITUTE(SUBSTITUTE(SUBSTITUTE(TRIM($AR789),"-",""),".",""),"/","")," ",""),8),5,2),--MID(LEFT(SUBSTITUTE(SUBSTITUTE(SUBSTITUTE(SUBSTITUTE(TRIM($AR789),"-",""),".",""),"/","")," ",""),8),7,2)),"")))</f>
        <v/>
      </c>
      <c r="AT789" s="23">
        <f>IF($AS789="","",IF($F$6="",0,IF(ISNUMBER(INDEX($A:$AP,ROW(),$F$6)),INDEX($A:$AP,ROW(),$F$6),IFERROR(--SUBSTITUTE(SUBSTITUTE(TRIM(INDEX($A:$AP,ROW(),$F$6)),",",""),"원",""),0))))</f>
        <v/>
      </c>
      <c r="AU789" s="23">
        <f>IF($AS789="","",IF($G$6="",0,IF(ISNUMBER(INDEX($A:$AP,ROW(),$G$6)),INDEX($A:$AP,ROW(),$G$6),IFERROR(--SUBSTITUTE(SUBSTITUTE(TRIM(INDEX($A:$AP,ROW(),$G$6)),",",""),"원",""),0))))</f>
        <v/>
      </c>
      <c r="AV789" s="23">
        <f>IF($AS789="","",IF($H$6="",$AT789+$AU789,IF($H$6="",0,IF(ISNUMBER(INDEX($A:$AP,ROW(),$H$6)),INDEX($A:$AP,ROW(),$H$6),IFERROR(--SUBSTITUTE(SUBSTITUTE(TRIM(INDEX($A:$AP,ROW(),$H$6)),",",""),"원",""),0)))))</f>
        <v/>
      </c>
      <c r="AW789" s="2">
        <f>IF(OR($AS789="",$C$6=""),"",TRIM(INDEX($A:$AP,ROW(),$C$6)&amp;""))</f>
        <v/>
      </c>
      <c r="AX789" s="2">
        <f>IF($AS789="","",IF($AZ789&lt;&gt;"",SUBSTITUTE(SUBSTITUTE($AZ789,"-","")," ",""),$AY789))</f>
        <v/>
      </c>
      <c r="AY789" s="2">
        <f>IF(OR($AS789="",$E$6=""),"",TRIM(INDEX($A:$AP,ROW(),$E$6)&amp;""))</f>
        <v/>
      </c>
      <c r="AZ789" s="2">
        <f>IF(OR($AS789="",$D$6=""),"",TRIM(INDEX($A:$AP,ROW(),$D$6)&amp;""))</f>
        <v/>
      </c>
      <c r="BA789" s="2">
        <f>IF($AS789="","",IF(AND($AS789&gt;=설정!$B$10,$AS789&lt;=설정!$B$11),"포함","기간 밖"))</f>
        <v/>
      </c>
      <c r="BB789" s="2">
        <f>IF($AS789="","",IF(OR($AT789&lt;0,AND($I$6&lt;&gt;"",ISNUMBER(FIND("수정",INDEX($A:$AP,ROW(),IF($I$6="",1,$I$6))&amp;"")))),"수정","일반"))</f>
        <v/>
      </c>
      <c r="BC789" s="2">
        <f>IF($AS789="","",MID(IF($BA789="기간 밖"," / 기간 밖(신고기간 아님)","")&amp;IF(AND($AW789&lt;&gt;"",COUNTIF($AW$8:$AW$1007,$AW789)&gt;1)," / 승인번호 중복(두 번 붙여넣기?)","")&amp;IF(ABS($AU789-ROUND($AT789*0.1,0))&gt;설정!$B$8,IF($AU789=0," / 세액 0원(영세율·면세 여부 확인)"," / 세액이 공급가액 10%와 다름"),"")&amp;IF($BB789="수정"," / 수정세금계산서(합계에서 자동 가감)",""),4,200))</f>
        <v/>
      </c>
      <c r="BD789" s="2">
        <f>IF($BA789&lt;&gt;"포함","",IF(COUNTIFS($AX$8:$AX789,$AX789,$BA$8:$BA789,"포함")=1,MAX($BD$7:BD788)+1,""))</f>
        <v/>
      </c>
      <c r="BE789" s="2">
        <f>IF($BC789="","",MAX($BE$7:BE788)+1)</f>
        <v/>
      </c>
    </row>
    <row r="790">
      <c r="AR790" s="2">
        <f>IF(OR($A$5="",$B$6="",ROW()&lt;$A$5),"",IF(INDEX($A:$AP,ROW(),$B$6)="","",INDEX($A:$AP,ROW(),$B$6)))</f>
        <v/>
      </c>
      <c r="AS790" s="22">
        <f>IF($AR790="","",IF(ISNUMBER($AR790),IF($AR790&gt;=10000000,IFERROR(DATE(INT($AR790/10000),MOD(INT($AR790/100),100),MOD($AR790,100)),""),INT($AR790)),IFERROR(DATE(--LEFT(LEFT(SUBSTITUTE(SUBSTITUTE(SUBSTITUTE(SUBSTITUTE(TRIM($AR790),"-",""),".",""),"/","")," ",""),8),4),--MID(LEFT(SUBSTITUTE(SUBSTITUTE(SUBSTITUTE(SUBSTITUTE(TRIM($AR790),"-",""),".",""),"/","")," ",""),8),5,2),--MID(LEFT(SUBSTITUTE(SUBSTITUTE(SUBSTITUTE(SUBSTITUTE(TRIM($AR790),"-",""),".",""),"/","")," ",""),8),7,2)),"")))</f>
        <v/>
      </c>
      <c r="AT790" s="23">
        <f>IF($AS790="","",IF($F$6="",0,IF(ISNUMBER(INDEX($A:$AP,ROW(),$F$6)),INDEX($A:$AP,ROW(),$F$6),IFERROR(--SUBSTITUTE(SUBSTITUTE(TRIM(INDEX($A:$AP,ROW(),$F$6)),",",""),"원",""),0))))</f>
        <v/>
      </c>
      <c r="AU790" s="23">
        <f>IF($AS790="","",IF($G$6="",0,IF(ISNUMBER(INDEX($A:$AP,ROW(),$G$6)),INDEX($A:$AP,ROW(),$G$6),IFERROR(--SUBSTITUTE(SUBSTITUTE(TRIM(INDEX($A:$AP,ROW(),$G$6)),",",""),"원",""),0))))</f>
        <v/>
      </c>
      <c r="AV790" s="23">
        <f>IF($AS790="","",IF($H$6="",$AT790+$AU790,IF($H$6="",0,IF(ISNUMBER(INDEX($A:$AP,ROW(),$H$6)),INDEX($A:$AP,ROW(),$H$6),IFERROR(--SUBSTITUTE(SUBSTITUTE(TRIM(INDEX($A:$AP,ROW(),$H$6)),",",""),"원",""),0)))))</f>
        <v/>
      </c>
      <c r="AW790" s="2">
        <f>IF(OR($AS790="",$C$6=""),"",TRIM(INDEX($A:$AP,ROW(),$C$6)&amp;""))</f>
        <v/>
      </c>
      <c r="AX790" s="2">
        <f>IF($AS790="","",IF($AZ790&lt;&gt;"",SUBSTITUTE(SUBSTITUTE($AZ790,"-","")," ",""),$AY790))</f>
        <v/>
      </c>
      <c r="AY790" s="2">
        <f>IF(OR($AS790="",$E$6=""),"",TRIM(INDEX($A:$AP,ROW(),$E$6)&amp;""))</f>
        <v/>
      </c>
      <c r="AZ790" s="2">
        <f>IF(OR($AS790="",$D$6=""),"",TRIM(INDEX($A:$AP,ROW(),$D$6)&amp;""))</f>
        <v/>
      </c>
      <c r="BA790" s="2">
        <f>IF($AS790="","",IF(AND($AS790&gt;=설정!$B$10,$AS790&lt;=설정!$B$11),"포함","기간 밖"))</f>
        <v/>
      </c>
      <c r="BB790" s="2">
        <f>IF($AS790="","",IF(OR($AT790&lt;0,AND($I$6&lt;&gt;"",ISNUMBER(FIND("수정",INDEX($A:$AP,ROW(),IF($I$6="",1,$I$6))&amp;"")))),"수정","일반"))</f>
        <v/>
      </c>
      <c r="BC790" s="2">
        <f>IF($AS790="","",MID(IF($BA790="기간 밖"," / 기간 밖(신고기간 아님)","")&amp;IF(AND($AW790&lt;&gt;"",COUNTIF($AW$8:$AW$1007,$AW790)&gt;1)," / 승인번호 중복(두 번 붙여넣기?)","")&amp;IF(ABS($AU790-ROUND($AT790*0.1,0))&gt;설정!$B$8,IF($AU790=0," / 세액 0원(영세율·면세 여부 확인)"," / 세액이 공급가액 10%와 다름"),"")&amp;IF($BB790="수정"," / 수정세금계산서(합계에서 자동 가감)",""),4,200))</f>
        <v/>
      </c>
      <c r="BD790" s="2">
        <f>IF($BA790&lt;&gt;"포함","",IF(COUNTIFS($AX$8:$AX790,$AX790,$BA$8:$BA790,"포함")=1,MAX($BD$7:BD789)+1,""))</f>
        <v/>
      </c>
      <c r="BE790" s="2">
        <f>IF($BC790="","",MAX($BE$7:BE789)+1)</f>
        <v/>
      </c>
    </row>
    <row r="791">
      <c r="AR791" s="2">
        <f>IF(OR($A$5="",$B$6="",ROW()&lt;$A$5),"",IF(INDEX($A:$AP,ROW(),$B$6)="","",INDEX($A:$AP,ROW(),$B$6)))</f>
        <v/>
      </c>
      <c r="AS791" s="22">
        <f>IF($AR791="","",IF(ISNUMBER($AR791),IF($AR791&gt;=10000000,IFERROR(DATE(INT($AR791/10000),MOD(INT($AR791/100),100),MOD($AR791,100)),""),INT($AR791)),IFERROR(DATE(--LEFT(LEFT(SUBSTITUTE(SUBSTITUTE(SUBSTITUTE(SUBSTITUTE(TRIM($AR791),"-",""),".",""),"/","")," ",""),8),4),--MID(LEFT(SUBSTITUTE(SUBSTITUTE(SUBSTITUTE(SUBSTITUTE(TRIM($AR791),"-",""),".",""),"/","")," ",""),8),5,2),--MID(LEFT(SUBSTITUTE(SUBSTITUTE(SUBSTITUTE(SUBSTITUTE(TRIM($AR791),"-",""),".",""),"/","")," ",""),8),7,2)),"")))</f>
        <v/>
      </c>
      <c r="AT791" s="23">
        <f>IF($AS791="","",IF($F$6="",0,IF(ISNUMBER(INDEX($A:$AP,ROW(),$F$6)),INDEX($A:$AP,ROW(),$F$6),IFERROR(--SUBSTITUTE(SUBSTITUTE(TRIM(INDEX($A:$AP,ROW(),$F$6)),",",""),"원",""),0))))</f>
        <v/>
      </c>
      <c r="AU791" s="23">
        <f>IF($AS791="","",IF($G$6="",0,IF(ISNUMBER(INDEX($A:$AP,ROW(),$G$6)),INDEX($A:$AP,ROW(),$G$6),IFERROR(--SUBSTITUTE(SUBSTITUTE(TRIM(INDEX($A:$AP,ROW(),$G$6)),",",""),"원",""),0))))</f>
        <v/>
      </c>
      <c r="AV791" s="23">
        <f>IF($AS791="","",IF($H$6="",$AT791+$AU791,IF($H$6="",0,IF(ISNUMBER(INDEX($A:$AP,ROW(),$H$6)),INDEX($A:$AP,ROW(),$H$6),IFERROR(--SUBSTITUTE(SUBSTITUTE(TRIM(INDEX($A:$AP,ROW(),$H$6)),",",""),"원",""),0)))))</f>
        <v/>
      </c>
      <c r="AW791" s="2">
        <f>IF(OR($AS791="",$C$6=""),"",TRIM(INDEX($A:$AP,ROW(),$C$6)&amp;""))</f>
        <v/>
      </c>
      <c r="AX791" s="2">
        <f>IF($AS791="","",IF($AZ791&lt;&gt;"",SUBSTITUTE(SUBSTITUTE($AZ791,"-","")," ",""),$AY791))</f>
        <v/>
      </c>
      <c r="AY791" s="2">
        <f>IF(OR($AS791="",$E$6=""),"",TRIM(INDEX($A:$AP,ROW(),$E$6)&amp;""))</f>
        <v/>
      </c>
      <c r="AZ791" s="2">
        <f>IF(OR($AS791="",$D$6=""),"",TRIM(INDEX($A:$AP,ROW(),$D$6)&amp;""))</f>
        <v/>
      </c>
      <c r="BA791" s="2">
        <f>IF($AS791="","",IF(AND($AS791&gt;=설정!$B$10,$AS791&lt;=설정!$B$11),"포함","기간 밖"))</f>
        <v/>
      </c>
      <c r="BB791" s="2">
        <f>IF($AS791="","",IF(OR($AT791&lt;0,AND($I$6&lt;&gt;"",ISNUMBER(FIND("수정",INDEX($A:$AP,ROW(),IF($I$6="",1,$I$6))&amp;"")))),"수정","일반"))</f>
        <v/>
      </c>
      <c r="BC791" s="2">
        <f>IF($AS791="","",MID(IF($BA791="기간 밖"," / 기간 밖(신고기간 아님)","")&amp;IF(AND($AW791&lt;&gt;"",COUNTIF($AW$8:$AW$1007,$AW791)&gt;1)," / 승인번호 중복(두 번 붙여넣기?)","")&amp;IF(ABS($AU791-ROUND($AT791*0.1,0))&gt;설정!$B$8,IF($AU791=0," / 세액 0원(영세율·면세 여부 확인)"," / 세액이 공급가액 10%와 다름"),"")&amp;IF($BB791="수정"," / 수정세금계산서(합계에서 자동 가감)",""),4,200))</f>
        <v/>
      </c>
      <c r="BD791" s="2">
        <f>IF($BA791&lt;&gt;"포함","",IF(COUNTIFS($AX$8:$AX791,$AX791,$BA$8:$BA791,"포함")=1,MAX($BD$7:BD790)+1,""))</f>
        <v/>
      </c>
      <c r="BE791" s="2">
        <f>IF($BC791="","",MAX($BE$7:BE790)+1)</f>
        <v/>
      </c>
    </row>
    <row r="792">
      <c r="AR792" s="2">
        <f>IF(OR($A$5="",$B$6="",ROW()&lt;$A$5),"",IF(INDEX($A:$AP,ROW(),$B$6)="","",INDEX($A:$AP,ROW(),$B$6)))</f>
        <v/>
      </c>
      <c r="AS792" s="22">
        <f>IF($AR792="","",IF(ISNUMBER($AR792),IF($AR792&gt;=10000000,IFERROR(DATE(INT($AR792/10000),MOD(INT($AR792/100),100),MOD($AR792,100)),""),INT($AR792)),IFERROR(DATE(--LEFT(LEFT(SUBSTITUTE(SUBSTITUTE(SUBSTITUTE(SUBSTITUTE(TRIM($AR792),"-",""),".",""),"/","")," ",""),8),4),--MID(LEFT(SUBSTITUTE(SUBSTITUTE(SUBSTITUTE(SUBSTITUTE(TRIM($AR792),"-",""),".",""),"/","")," ",""),8),5,2),--MID(LEFT(SUBSTITUTE(SUBSTITUTE(SUBSTITUTE(SUBSTITUTE(TRIM($AR792),"-",""),".",""),"/","")," ",""),8),7,2)),"")))</f>
        <v/>
      </c>
      <c r="AT792" s="23">
        <f>IF($AS792="","",IF($F$6="",0,IF(ISNUMBER(INDEX($A:$AP,ROW(),$F$6)),INDEX($A:$AP,ROW(),$F$6),IFERROR(--SUBSTITUTE(SUBSTITUTE(TRIM(INDEX($A:$AP,ROW(),$F$6)),",",""),"원",""),0))))</f>
        <v/>
      </c>
      <c r="AU792" s="23">
        <f>IF($AS792="","",IF($G$6="",0,IF(ISNUMBER(INDEX($A:$AP,ROW(),$G$6)),INDEX($A:$AP,ROW(),$G$6),IFERROR(--SUBSTITUTE(SUBSTITUTE(TRIM(INDEX($A:$AP,ROW(),$G$6)),",",""),"원",""),0))))</f>
        <v/>
      </c>
      <c r="AV792" s="23">
        <f>IF($AS792="","",IF($H$6="",$AT792+$AU792,IF($H$6="",0,IF(ISNUMBER(INDEX($A:$AP,ROW(),$H$6)),INDEX($A:$AP,ROW(),$H$6),IFERROR(--SUBSTITUTE(SUBSTITUTE(TRIM(INDEX($A:$AP,ROW(),$H$6)),",",""),"원",""),0)))))</f>
        <v/>
      </c>
      <c r="AW792" s="2">
        <f>IF(OR($AS792="",$C$6=""),"",TRIM(INDEX($A:$AP,ROW(),$C$6)&amp;""))</f>
        <v/>
      </c>
      <c r="AX792" s="2">
        <f>IF($AS792="","",IF($AZ792&lt;&gt;"",SUBSTITUTE(SUBSTITUTE($AZ792,"-","")," ",""),$AY792))</f>
        <v/>
      </c>
      <c r="AY792" s="2">
        <f>IF(OR($AS792="",$E$6=""),"",TRIM(INDEX($A:$AP,ROW(),$E$6)&amp;""))</f>
        <v/>
      </c>
      <c r="AZ792" s="2">
        <f>IF(OR($AS792="",$D$6=""),"",TRIM(INDEX($A:$AP,ROW(),$D$6)&amp;""))</f>
        <v/>
      </c>
      <c r="BA792" s="2">
        <f>IF($AS792="","",IF(AND($AS792&gt;=설정!$B$10,$AS792&lt;=설정!$B$11),"포함","기간 밖"))</f>
        <v/>
      </c>
      <c r="BB792" s="2">
        <f>IF($AS792="","",IF(OR($AT792&lt;0,AND($I$6&lt;&gt;"",ISNUMBER(FIND("수정",INDEX($A:$AP,ROW(),IF($I$6="",1,$I$6))&amp;"")))),"수정","일반"))</f>
        <v/>
      </c>
      <c r="BC792" s="2">
        <f>IF($AS792="","",MID(IF($BA792="기간 밖"," / 기간 밖(신고기간 아님)","")&amp;IF(AND($AW792&lt;&gt;"",COUNTIF($AW$8:$AW$1007,$AW792)&gt;1)," / 승인번호 중복(두 번 붙여넣기?)","")&amp;IF(ABS($AU792-ROUND($AT792*0.1,0))&gt;설정!$B$8,IF($AU792=0," / 세액 0원(영세율·면세 여부 확인)"," / 세액이 공급가액 10%와 다름"),"")&amp;IF($BB792="수정"," / 수정세금계산서(합계에서 자동 가감)",""),4,200))</f>
        <v/>
      </c>
      <c r="BD792" s="2">
        <f>IF($BA792&lt;&gt;"포함","",IF(COUNTIFS($AX$8:$AX792,$AX792,$BA$8:$BA792,"포함")=1,MAX($BD$7:BD791)+1,""))</f>
        <v/>
      </c>
      <c r="BE792" s="2">
        <f>IF($BC792="","",MAX($BE$7:BE791)+1)</f>
        <v/>
      </c>
    </row>
    <row r="793">
      <c r="AR793" s="2">
        <f>IF(OR($A$5="",$B$6="",ROW()&lt;$A$5),"",IF(INDEX($A:$AP,ROW(),$B$6)="","",INDEX($A:$AP,ROW(),$B$6)))</f>
        <v/>
      </c>
      <c r="AS793" s="22">
        <f>IF($AR793="","",IF(ISNUMBER($AR793),IF($AR793&gt;=10000000,IFERROR(DATE(INT($AR793/10000),MOD(INT($AR793/100),100),MOD($AR793,100)),""),INT($AR793)),IFERROR(DATE(--LEFT(LEFT(SUBSTITUTE(SUBSTITUTE(SUBSTITUTE(SUBSTITUTE(TRIM($AR793),"-",""),".",""),"/","")," ",""),8),4),--MID(LEFT(SUBSTITUTE(SUBSTITUTE(SUBSTITUTE(SUBSTITUTE(TRIM($AR793),"-",""),".",""),"/","")," ",""),8),5,2),--MID(LEFT(SUBSTITUTE(SUBSTITUTE(SUBSTITUTE(SUBSTITUTE(TRIM($AR793),"-",""),".",""),"/","")," ",""),8),7,2)),"")))</f>
        <v/>
      </c>
      <c r="AT793" s="23">
        <f>IF($AS793="","",IF($F$6="",0,IF(ISNUMBER(INDEX($A:$AP,ROW(),$F$6)),INDEX($A:$AP,ROW(),$F$6),IFERROR(--SUBSTITUTE(SUBSTITUTE(TRIM(INDEX($A:$AP,ROW(),$F$6)),",",""),"원",""),0))))</f>
        <v/>
      </c>
      <c r="AU793" s="23">
        <f>IF($AS793="","",IF($G$6="",0,IF(ISNUMBER(INDEX($A:$AP,ROW(),$G$6)),INDEX($A:$AP,ROW(),$G$6),IFERROR(--SUBSTITUTE(SUBSTITUTE(TRIM(INDEX($A:$AP,ROW(),$G$6)),",",""),"원",""),0))))</f>
        <v/>
      </c>
      <c r="AV793" s="23">
        <f>IF($AS793="","",IF($H$6="",$AT793+$AU793,IF($H$6="",0,IF(ISNUMBER(INDEX($A:$AP,ROW(),$H$6)),INDEX($A:$AP,ROW(),$H$6),IFERROR(--SUBSTITUTE(SUBSTITUTE(TRIM(INDEX($A:$AP,ROW(),$H$6)),",",""),"원",""),0)))))</f>
        <v/>
      </c>
      <c r="AW793" s="2">
        <f>IF(OR($AS793="",$C$6=""),"",TRIM(INDEX($A:$AP,ROW(),$C$6)&amp;""))</f>
        <v/>
      </c>
      <c r="AX793" s="2">
        <f>IF($AS793="","",IF($AZ793&lt;&gt;"",SUBSTITUTE(SUBSTITUTE($AZ793,"-","")," ",""),$AY793))</f>
        <v/>
      </c>
      <c r="AY793" s="2">
        <f>IF(OR($AS793="",$E$6=""),"",TRIM(INDEX($A:$AP,ROW(),$E$6)&amp;""))</f>
        <v/>
      </c>
      <c r="AZ793" s="2">
        <f>IF(OR($AS793="",$D$6=""),"",TRIM(INDEX($A:$AP,ROW(),$D$6)&amp;""))</f>
        <v/>
      </c>
      <c r="BA793" s="2">
        <f>IF($AS793="","",IF(AND($AS793&gt;=설정!$B$10,$AS793&lt;=설정!$B$11),"포함","기간 밖"))</f>
        <v/>
      </c>
      <c r="BB793" s="2">
        <f>IF($AS793="","",IF(OR($AT793&lt;0,AND($I$6&lt;&gt;"",ISNUMBER(FIND("수정",INDEX($A:$AP,ROW(),IF($I$6="",1,$I$6))&amp;"")))),"수정","일반"))</f>
        <v/>
      </c>
      <c r="BC793" s="2">
        <f>IF($AS793="","",MID(IF($BA793="기간 밖"," / 기간 밖(신고기간 아님)","")&amp;IF(AND($AW793&lt;&gt;"",COUNTIF($AW$8:$AW$1007,$AW793)&gt;1)," / 승인번호 중복(두 번 붙여넣기?)","")&amp;IF(ABS($AU793-ROUND($AT793*0.1,0))&gt;설정!$B$8,IF($AU793=0," / 세액 0원(영세율·면세 여부 확인)"," / 세액이 공급가액 10%와 다름"),"")&amp;IF($BB793="수정"," / 수정세금계산서(합계에서 자동 가감)",""),4,200))</f>
        <v/>
      </c>
      <c r="BD793" s="2">
        <f>IF($BA793&lt;&gt;"포함","",IF(COUNTIFS($AX$8:$AX793,$AX793,$BA$8:$BA793,"포함")=1,MAX($BD$7:BD792)+1,""))</f>
        <v/>
      </c>
      <c r="BE793" s="2">
        <f>IF($BC793="","",MAX($BE$7:BE792)+1)</f>
        <v/>
      </c>
    </row>
    <row r="794">
      <c r="AR794" s="2">
        <f>IF(OR($A$5="",$B$6="",ROW()&lt;$A$5),"",IF(INDEX($A:$AP,ROW(),$B$6)="","",INDEX($A:$AP,ROW(),$B$6)))</f>
        <v/>
      </c>
      <c r="AS794" s="22">
        <f>IF($AR794="","",IF(ISNUMBER($AR794),IF($AR794&gt;=10000000,IFERROR(DATE(INT($AR794/10000),MOD(INT($AR794/100),100),MOD($AR794,100)),""),INT($AR794)),IFERROR(DATE(--LEFT(LEFT(SUBSTITUTE(SUBSTITUTE(SUBSTITUTE(SUBSTITUTE(TRIM($AR794),"-",""),".",""),"/","")," ",""),8),4),--MID(LEFT(SUBSTITUTE(SUBSTITUTE(SUBSTITUTE(SUBSTITUTE(TRIM($AR794),"-",""),".",""),"/","")," ",""),8),5,2),--MID(LEFT(SUBSTITUTE(SUBSTITUTE(SUBSTITUTE(SUBSTITUTE(TRIM($AR794),"-",""),".",""),"/","")," ",""),8),7,2)),"")))</f>
        <v/>
      </c>
      <c r="AT794" s="23">
        <f>IF($AS794="","",IF($F$6="",0,IF(ISNUMBER(INDEX($A:$AP,ROW(),$F$6)),INDEX($A:$AP,ROW(),$F$6),IFERROR(--SUBSTITUTE(SUBSTITUTE(TRIM(INDEX($A:$AP,ROW(),$F$6)),",",""),"원",""),0))))</f>
        <v/>
      </c>
      <c r="AU794" s="23">
        <f>IF($AS794="","",IF($G$6="",0,IF(ISNUMBER(INDEX($A:$AP,ROW(),$G$6)),INDEX($A:$AP,ROW(),$G$6),IFERROR(--SUBSTITUTE(SUBSTITUTE(TRIM(INDEX($A:$AP,ROW(),$G$6)),",",""),"원",""),0))))</f>
        <v/>
      </c>
      <c r="AV794" s="23">
        <f>IF($AS794="","",IF($H$6="",$AT794+$AU794,IF($H$6="",0,IF(ISNUMBER(INDEX($A:$AP,ROW(),$H$6)),INDEX($A:$AP,ROW(),$H$6),IFERROR(--SUBSTITUTE(SUBSTITUTE(TRIM(INDEX($A:$AP,ROW(),$H$6)),",",""),"원",""),0)))))</f>
        <v/>
      </c>
      <c r="AW794" s="2">
        <f>IF(OR($AS794="",$C$6=""),"",TRIM(INDEX($A:$AP,ROW(),$C$6)&amp;""))</f>
        <v/>
      </c>
      <c r="AX794" s="2">
        <f>IF($AS794="","",IF($AZ794&lt;&gt;"",SUBSTITUTE(SUBSTITUTE($AZ794,"-","")," ",""),$AY794))</f>
        <v/>
      </c>
      <c r="AY794" s="2">
        <f>IF(OR($AS794="",$E$6=""),"",TRIM(INDEX($A:$AP,ROW(),$E$6)&amp;""))</f>
        <v/>
      </c>
      <c r="AZ794" s="2">
        <f>IF(OR($AS794="",$D$6=""),"",TRIM(INDEX($A:$AP,ROW(),$D$6)&amp;""))</f>
        <v/>
      </c>
      <c r="BA794" s="2">
        <f>IF($AS794="","",IF(AND($AS794&gt;=설정!$B$10,$AS794&lt;=설정!$B$11),"포함","기간 밖"))</f>
        <v/>
      </c>
      <c r="BB794" s="2">
        <f>IF($AS794="","",IF(OR($AT794&lt;0,AND($I$6&lt;&gt;"",ISNUMBER(FIND("수정",INDEX($A:$AP,ROW(),IF($I$6="",1,$I$6))&amp;"")))),"수정","일반"))</f>
        <v/>
      </c>
      <c r="BC794" s="2">
        <f>IF($AS794="","",MID(IF($BA794="기간 밖"," / 기간 밖(신고기간 아님)","")&amp;IF(AND($AW794&lt;&gt;"",COUNTIF($AW$8:$AW$1007,$AW794)&gt;1)," / 승인번호 중복(두 번 붙여넣기?)","")&amp;IF(ABS($AU794-ROUND($AT794*0.1,0))&gt;설정!$B$8,IF($AU794=0," / 세액 0원(영세율·면세 여부 확인)"," / 세액이 공급가액 10%와 다름"),"")&amp;IF($BB794="수정"," / 수정세금계산서(합계에서 자동 가감)",""),4,200))</f>
        <v/>
      </c>
      <c r="BD794" s="2">
        <f>IF($BA794&lt;&gt;"포함","",IF(COUNTIFS($AX$8:$AX794,$AX794,$BA$8:$BA794,"포함")=1,MAX($BD$7:BD793)+1,""))</f>
        <v/>
      </c>
      <c r="BE794" s="2">
        <f>IF($BC794="","",MAX($BE$7:BE793)+1)</f>
        <v/>
      </c>
    </row>
    <row r="795">
      <c r="AR795" s="2">
        <f>IF(OR($A$5="",$B$6="",ROW()&lt;$A$5),"",IF(INDEX($A:$AP,ROW(),$B$6)="","",INDEX($A:$AP,ROW(),$B$6)))</f>
        <v/>
      </c>
      <c r="AS795" s="22">
        <f>IF($AR795="","",IF(ISNUMBER($AR795),IF($AR795&gt;=10000000,IFERROR(DATE(INT($AR795/10000),MOD(INT($AR795/100),100),MOD($AR795,100)),""),INT($AR795)),IFERROR(DATE(--LEFT(LEFT(SUBSTITUTE(SUBSTITUTE(SUBSTITUTE(SUBSTITUTE(TRIM($AR795),"-",""),".",""),"/","")," ",""),8),4),--MID(LEFT(SUBSTITUTE(SUBSTITUTE(SUBSTITUTE(SUBSTITUTE(TRIM($AR795),"-",""),".",""),"/","")," ",""),8),5,2),--MID(LEFT(SUBSTITUTE(SUBSTITUTE(SUBSTITUTE(SUBSTITUTE(TRIM($AR795),"-",""),".",""),"/","")," ",""),8),7,2)),"")))</f>
        <v/>
      </c>
      <c r="AT795" s="23">
        <f>IF($AS795="","",IF($F$6="",0,IF(ISNUMBER(INDEX($A:$AP,ROW(),$F$6)),INDEX($A:$AP,ROW(),$F$6),IFERROR(--SUBSTITUTE(SUBSTITUTE(TRIM(INDEX($A:$AP,ROW(),$F$6)),",",""),"원",""),0))))</f>
        <v/>
      </c>
      <c r="AU795" s="23">
        <f>IF($AS795="","",IF($G$6="",0,IF(ISNUMBER(INDEX($A:$AP,ROW(),$G$6)),INDEX($A:$AP,ROW(),$G$6),IFERROR(--SUBSTITUTE(SUBSTITUTE(TRIM(INDEX($A:$AP,ROW(),$G$6)),",",""),"원",""),0))))</f>
        <v/>
      </c>
      <c r="AV795" s="23">
        <f>IF($AS795="","",IF($H$6="",$AT795+$AU795,IF($H$6="",0,IF(ISNUMBER(INDEX($A:$AP,ROW(),$H$6)),INDEX($A:$AP,ROW(),$H$6),IFERROR(--SUBSTITUTE(SUBSTITUTE(TRIM(INDEX($A:$AP,ROW(),$H$6)),",",""),"원",""),0)))))</f>
        <v/>
      </c>
      <c r="AW795" s="2">
        <f>IF(OR($AS795="",$C$6=""),"",TRIM(INDEX($A:$AP,ROW(),$C$6)&amp;""))</f>
        <v/>
      </c>
      <c r="AX795" s="2">
        <f>IF($AS795="","",IF($AZ795&lt;&gt;"",SUBSTITUTE(SUBSTITUTE($AZ795,"-","")," ",""),$AY795))</f>
        <v/>
      </c>
      <c r="AY795" s="2">
        <f>IF(OR($AS795="",$E$6=""),"",TRIM(INDEX($A:$AP,ROW(),$E$6)&amp;""))</f>
        <v/>
      </c>
      <c r="AZ795" s="2">
        <f>IF(OR($AS795="",$D$6=""),"",TRIM(INDEX($A:$AP,ROW(),$D$6)&amp;""))</f>
        <v/>
      </c>
      <c r="BA795" s="2">
        <f>IF($AS795="","",IF(AND($AS795&gt;=설정!$B$10,$AS795&lt;=설정!$B$11),"포함","기간 밖"))</f>
        <v/>
      </c>
      <c r="BB795" s="2">
        <f>IF($AS795="","",IF(OR($AT795&lt;0,AND($I$6&lt;&gt;"",ISNUMBER(FIND("수정",INDEX($A:$AP,ROW(),IF($I$6="",1,$I$6))&amp;"")))),"수정","일반"))</f>
        <v/>
      </c>
      <c r="BC795" s="2">
        <f>IF($AS795="","",MID(IF($BA795="기간 밖"," / 기간 밖(신고기간 아님)","")&amp;IF(AND($AW795&lt;&gt;"",COUNTIF($AW$8:$AW$1007,$AW795)&gt;1)," / 승인번호 중복(두 번 붙여넣기?)","")&amp;IF(ABS($AU795-ROUND($AT795*0.1,0))&gt;설정!$B$8,IF($AU795=0," / 세액 0원(영세율·면세 여부 확인)"," / 세액이 공급가액 10%와 다름"),"")&amp;IF($BB795="수정"," / 수정세금계산서(합계에서 자동 가감)",""),4,200))</f>
        <v/>
      </c>
      <c r="BD795" s="2">
        <f>IF($BA795&lt;&gt;"포함","",IF(COUNTIFS($AX$8:$AX795,$AX795,$BA$8:$BA795,"포함")=1,MAX($BD$7:BD794)+1,""))</f>
        <v/>
      </c>
      <c r="BE795" s="2">
        <f>IF($BC795="","",MAX($BE$7:BE794)+1)</f>
        <v/>
      </c>
    </row>
    <row r="796">
      <c r="AR796" s="2">
        <f>IF(OR($A$5="",$B$6="",ROW()&lt;$A$5),"",IF(INDEX($A:$AP,ROW(),$B$6)="","",INDEX($A:$AP,ROW(),$B$6)))</f>
        <v/>
      </c>
      <c r="AS796" s="22">
        <f>IF($AR796="","",IF(ISNUMBER($AR796),IF($AR796&gt;=10000000,IFERROR(DATE(INT($AR796/10000),MOD(INT($AR796/100),100),MOD($AR796,100)),""),INT($AR796)),IFERROR(DATE(--LEFT(LEFT(SUBSTITUTE(SUBSTITUTE(SUBSTITUTE(SUBSTITUTE(TRIM($AR796),"-",""),".",""),"/","")," ",""),8),4),--MID(LEFT(SUBSTITUTE(SUBSTITUTE(SUBSTITUTE(SUBSTITUTE(TRIM($AR796),"-",""),".",""),"/","")," ",""),8),5,2),--MID(LEFT(SUBSTITUTE(SUBSTITUTE(SUBSTITUTE(SUBSTITUTE(TRIM($AR796),"-",""),".",""),"/","")," ",""),8),7,2)),"")))</f>
        <v/>
      </c>
      <c r="AT796" s="23">
        <f>IF($AS796="","",IF($F$6="",0,IF(ISNUMBER(INDEX($A:$AP,ROW(),$F$6)),INDEX($A:$AP,ROW(),$F$6),IFERROR(--SUBSTITUTE(SUBSTITUTE(TRIM(INDEX($A:$AP,ROW(),$F$6)),",",""),"원",""),0))))</f>
        <v/>
      </c>
      <c r="AU796" s="23">
        <f>IF($AS796="","",IF($G$6="",0,IF(ISNUMBER(INDEX($A:$AP,ROW(),$G$6)),INDEX($A:$AP,ROW(),$G$6),IFERROR(--SUBSTITUTE(SUBSTITUTE(TRIM(INDEX($A:$AP,ROW(),$G$6)),",",""),"원",""),0))))</f>
        <v/>
      </c>
      <c r="AV796" s="23">
        <f>IF($AS796="","",IF($H$6="",$AT796+$AU796,IF($H$6="",0,IF(ISNUMBER(INDEX($A:$AP,ROW(),$H$6)),INDEX($A:$AP,ROW(),$H$6),IFERROR(--SUBSTITUTE(SUBSTITUTE(TRIM(INDEX($A:$AP,ROW(),$H$6)),",",""),"원",""),0)))))</f>
        <v/>
      </c>
      <c r="AW796" s="2">
        <f>IF(OR($AS796="",$C$6=""),"",TRIM(INDEX($A:$AP,ROW(),$C$6)&amp;""))</f>
        <v/>
      </c>
      <c r="AX796" s="2">
        <f>IF($AS796="","",IF($AZ796&lt;&gt;"",SUBSTITUTE(SUBSTITUTE($AZ796,"-","")," ",""),$AY796))</f>
        <v/>
      </c>
      <c r="AY796" s="2">
        <f>IF(OR($AS796="",$E$6=""),"",TRIM(INDEX($A:$AP,ROW(),$E$6)&amp;""))</f>
        <v/>
      </c>
      <c r="AZ796" s="2">
        <f>IF(OR($AS796="",$D$6=""),"",TRIM(INDEX($A:$AP,ROW(),$D$6)&amp;""))</f>
        <v/>
      </c>
      <c r="BA796" s="2">
        <f>IF($AS796="","",IF(AND($AS796&gt;=설정!$B$10,$AS796&lt;=설정!$B$11),"포함","기간 밖"))</f>
        <v/>
      </c>
      <c r="BB796" s="2">
        <f>IF($AS796="","",IF(OR($AT796&lt;0,AND($I$6&lt;&gt;"",ISNUMBER(FIND("수정",INDEX($A:$AP,ROW(),IF($I$6="",1,$I$6))&amp;"")))),"수정","일반"))</f>
        <v/>
      </c>
      <c r="BC796" s="2">
        <f>IF($AS796="","",MID(IF($BA796="기간 밖"," / 기간 밖(신고기간 아님)","")&amp;IF(AND($AW796&lt;&gt;"",COUNTIF($AW$8:$AW$1007,$AW796)&gt;1)," / 승인번호 중복(두 번 붙여넣기?)","")&amp;IF(ABS($AU796-ROUND($AT796*0.1,0))&gt;설정!$B$8,IF($AU796=0," / 세액 0원(영세율·면세 여부 확인)"," / 세액이 공급가액 10%와 다름"),"")&amp;IF($BB796="수정"," / 수정세금계산서(합계에서 자동 가감)",""),4,200))</f>
        <v/>
      </c>
      <c r="BD796" s="2">
        <f>IF($BA796&lt;&gt;"포함","",IF(COUNTIFS($AX$8:$AX796,$AX796,$BA$8:$BA796,"포함")=1,MAX($BD$7:BD795)+1,""))</f>
        <v/>
      </c>
      <c r="BE796" s="2">
        <f>IF($BC796="","",MAX($BE$7:BE795)+1)</f>
        <v/>
      </c>
    </row>
    <row r="797">
      <c r="AR797" s="2">
        <f>IF(OR($A$5="",$B$6="",ROW()&lt;$A$5),"",IF(INDEX($A:$AP,ROW(),$B$6)="","",INDEX($A:$AP,ROW(),$B$6)))</f>
        <v/>
      </c>
      <c r="AS797" s="22">
        <f>IF($AR797="","",IF(ISNUMBER($AR797),IF($AR797&gt;=10000000,IFERROR(DATE(INT($AR797/10000),MOD(INT($AR797/100),100),MOD($AR797,100)),""),INT($AR797)),IFERROR(DATE(--LEFT(LEFT(SUBSTITUTE(SUBSTITUTE(SUBSTITUTE(SUBSTITUTE(TRIM($AR797),"-",""),".",""),"/","")," ",""),8),4),--MID(LEFT(SUBSTITUTE(SUBSTITUTE(SUBSTITUTE(SUBSTITUTE(TRIM($AR797),"-",""),".",""),"/","")," ",""),8),5,2),--MID(LEFT(SUBSTITUTE(SUBSTITUTE(SUBSTITUTE(SUBSTITUTE(TRIM($AR797),"-",""),".",""),"/","")," ",""),8),7,2)),"")))</f>
        <v/>
      </c>
      <c r="AT797" s="23">
        <f>IF($AS797="","",IF($F$6="",0,IF(ISNUMBER(INDEX($A:$AP,ROW(),$F$6)),INDEX($A:$AP,ROW(),$F$6),IFERROR(--SUBSTITUTE(SUBSTITUTE(TRIM(INDEX($A:$AP,ROW(),$F$6)),",",""),"원",""),0))))</f>
        <v/>
      </c>
      <c r="AU797" s="23">
        <f>IF($AS797="","",IF($G$6="",0,IF(ISNUMBER(INDEX($A:$AP,ROW(),$G$6)),INDEX($A:$AP,ROW(),$G$6),IFERROR(--SUBSTITUTE(SUBSTITUTE(TRIM(INDEX($A:$AP,ROW(),$G$6)),",",""),"원",""),0))))</f>
        <v/>
      </c>
      <c r="AV797" s="23">
        <f>IF($AS797="","",IF($H$6="",$AT797+$AU797,IF($H$6="",0,IF(ISNUMBER(INDEX($A:$AP,ROW(),$H$6)),INDEX($A:$AP,ROW(),$H$6),IFERROR(--SUBSTITUTE(SUBSTITUTE(TRIM(INDEX($A:$AP,ROW(),$H$6)),",",""),"원",""),0)))))</f>
        <v/>
      </c>
      <c r="AW797" s="2">
        <f>IF(OR($AS797="",$C$6=""),"",TRIM(INDEX($A:$AP,ROW(),$C$6)&amp;""))</f>
        <v/>
      </c>
      <c r="AX797" s="2">
        <f>IF($AS797="","",IF($AZ797&lt;&gt;"",SUBSTITUTE(SUBSTITUTE($AZ797,"-","")," ",""),$AY797))</f>
        <v/>
      </c>
      <c r="AY797" s="2">
        <f>IF(OR($AS797="",$E$6=""),"",TRIM(INDEX($A:$AP,ROW(),$E$6)&amp;""))</f>
        <v/>
      </c>
      <c r="AZ797" s="2">
        <f>IF(OR($AS797="",$D$6=""),"",TRIM(INDEX($A:$AP,ROW(),$D$6)&amp;""))</f>
        <v/>
      </c>
      <c r="BA797" s="2">
        <f>IF($AS797="","",IF(AND($AS797&gt;=설정!$B$10,$AS797&lt;=설정!$B$11),"포함","기간 밖"))</f>
        <v/>
      </c>
      <c r="BB797" s="2">
        <f>IF($AS797="","",IF(OR($AT797&lt;0,AND($I$6&lt;&gt;"",ISNUMBER(FIND("수정",INDEX($A:$AP,ROW(),IF($I$6="",1,$I$6))&amp;"")))),"수정","일반"))</f>
        <v/>
      </c>
      <c r="BC797" s="2">
        <f>IF($AS797="","",MID(IF($BA797="기간 밖"," / 기간 밖(신고기간 아님)","")&amp;IF(AND($AW797&lt;&gt;"",COUNTIF($AW$8:$AW$1007,$AW797)&gt;1)," / 승인번호 중복(두 번 붙여넣기?)","")&amp;IF(ABS($AU797-ROUND($AT797*0.1,0))&gt;설정!$B$8,IF($AU797=0," / 세액 0원(영세율·면세 여부 확인)"," / 세액이 공급가액 10%와 다름"),"")&amp;IF($BB797="수정"," / 수정세금계산서(합계에서 자동 가감)",""),4,200))</f>
        <v/>
      </c>
      <c r="BD797" s="2">
        <f>IF($BA797&lt;&gt;"포함","",IF(COUNTIFS($AX$8:$AX797,$AX797,$BA$8:$BA797,"포함")=1,MAX($BD$7:BD796)+1,""))</f>
        <v/>
      </c>
      <c r="BE797" s="2">
        <f>IF($BC797="","",MAX($BE$7:BE796)+1)</f>
        <v/>
      </c>
    </row>
    <row r="798">
      <c r="AR798" s="2">
        <f>IF(OR($A$5="",$B$6="",ROW()&lt;$A$5),"",IF(INDEX($A:$AP,ROW(),$B$6)="","",INDEX($A:$AP,ROW(),$B$6)))</f>
        <v/>
      </c>
      <c r="AS798" s="22">
        <f>IF($AR798="","",IF(ISNUMBER($AR798),IF($AR798&gt;=10000000,IFERROR(DATE(INT($AR798/10000),MOD(INT($AR798/100),100),MOD($AR798,100)),""),INT($AR798)),IFERROR(DATE(--LEFT(LEFT(SUBSTITUTE(SUBSTITUTE(SUBSTITUTE(SUBSTITUTE(TRIM($AR798),"-",""),".",""),"/","")," ",""),8),4),--MID(LEFT(SUBSTITUTE(SUBSTITUTE(SUBSTITUTE(SUBSTITUTE(TRIM($AR798),"-",""),".",""),"/","")," ",""),8),5,2),--MID(LEFT(SUBSTITUTE(SUBSTITUTE(SUBSTITUTE(SUBSTITUTE(TRIM($AR798),"-",""),".",""),"/","")," ",""),8),7,2)),"")))</f>
        <v/>
      </c>
      <c r="AT798" s="23">
        <f>IF($AS798="","",IF($F$6="",0,IF(ISNUMBER(INDEX($A:$AP,ROW(),$F$6)),INDEX($A:$AP,ROW(),$F$6),IFERROR(--SUBSTITUTE(SUBSTITUTE(TRIM(INDEX($A:$AP,ROW(),$F$6)),",",""),"원",""),0))))</f>
        <v/>
      </c>
      <c r="AU798" s="23">
        <f>IF($AS798="","",IF($G$6="",0,IF(ISNUMBER(INDEX($A:$AP,ROW(),$G$6)),INDEX($A:$AP,ROW(),$G$6),IFERROR(--SUBSTITUTE(SUBSTITUTE(TRIM(INDEX($A:$AP,ROW(),$G$6)),",",""),"원",""),0))))</f>
        <v/>
      </c>
      <c r="AV798" s="23">
        <f>IF($AS798="","",IF($H$6="",$AT798+$AU798,IF($H$6="",0,IF(ISNUMBER(INDEX($A:$AP,ROW(),$H$6)),INDEX($A:$AP,ROW(),$H$6),IFERROR(--SUBSTITUTE(SUBSTITUTE(TRIM(INDEX($A:$AP,ROW(),$H$6)),",",""),"원",""),0)))))</f>
        <v/>
      </c>
      <c r="AW798" s="2">
        <f>IF(OR($AS798="",$C$6=""),"",TRIM(INDEX($A:$AP,ROW(),$C$6)&amp;""))</f>
        <v/>
      </c>
      <c r="AX798" s="2">
        <f>IF($AS798="","",IF($AZ798&lt;&gt;"",SUBSTITUTE(SUBSTITUTE($AZ798,"-","")," ",""),$AY798))</f>
        <v/>
      </c>
      <c r="AY798" s="2">
        <f>IF(OR($AS798="",$E$6=""),"",TRIM(INDEX($A:$AP,ROW(),$E$6)&amp;""))</f>
        <v/>
      </c>
      <c r="AZ798" s="2">
        <f>IF(OR($AS798="",$D$6=""),"",TRIM(INDEX($A:$AP,ROW(),$D$6)&amp;""))</f>
        <v/>
      </c>
      <c r="BA798" s="2">
        <f>IF($AS798="","",IF(AND($AS798&gt;=설정!$B$10,$AS798&lt;=설정!$B$11),"포함","기간 밖"))</f>
        <v/>
      </c>
      <c r="BB798" s="2">
        <f>IF($AS798="","",IF(OR($AT798&lt;0,AND($I$6&lt;&gt;"",ISNUMBER(FIND("수정",INDEX($A:$AP,ROW(),IF($I$6="",1,$I$6))&amp;"")))),"수정","일반"))</f>
        <v/>
      </c>
      <c r="BC798" s="2">
        <f>IF($AS798="","",MID(IF($BA798="기간 밖"," / 기간 밖(신고기간 아님)","")&amp;IF(AND($AW798&lt;&gt;"",COUNTIF($AW$8:$AW$1007,$AW798)&gt;1)," / 승인번호 중복(두 번 붙여넣기?)","")&amp;IF(ABS($AU798-ROUND($AT798*0.1,0))&gt;설정!$B$8,IF($AU798=0," / 세액 0원(영세율·면세 여부 확인)"," / 세액이 공급가액 10%와 다름"),"")&amp;IF($BB798="수정"," / 수정세금계산서(합계에서 자동 가감)",""),4,200))</f>
        <v/>
      </c>
      <c r="BD798" s="2">
        <f>IF($BA798&lt;&gt;"포함","",IF(COUNTIFS($AX$8:$AX798,$AX798,$BA$8:$BA798,"포함")=1,MAX($BD$7:BD797)+1,""))</f>
        <v/>
      </c>
      <c r="BE798" s="2">
        <f>IF($BC798="","",MAX($BE$7:BE797)+1)</f>
        <v/>
      </c>
    </row>
    <row r="799">
      <c r="AR799" s="2">
        <f>IF(OR($A$5="",$B$6="",ROW()&lt;$A$5),"",IF(INDEX($A:$AP,ROW(),$B$6)="","",INDEX($A:$AP,ROW(),$B$6)))</f>
        <v/>
      </c>
      <c r="AS799" s="22">
        <f>IF($AR799="","",IF(ISNUMBER($AR799),IF($AR799&gt;=10000000,IFERROR(DATE(INT($AR799/10000),MOD(INT($AR799/100),100),MOD($AR799,100)),""),INT($AR799)),IFERROR(DATE(--LEFT(LEFT(SUBSTITUTE(SUBSTITUTE(SUBSTITUTE(SUBSTITUTE(TRIM($AR799),"-",""),".",""),"/","")," ",""),8),4),--MID(LEFT(SUBSTITUTE(SUBSTITUTE(SUBSTITUTE(SUBSTITUTE(TRIM($AR799),"-",""),".",""),"/","")," ",""),8),5,2),--MID(LEFT(SUBSTITUTE(SUBSTITUTE(SUBSTITUTE(SUBSTITUTE(TRIM($AR799),"-",""),".",""),"/","")," ",""),8),7,2)),"")))</f>
        <v/>
      </c>
      <c r="AT799" s="23">
        <f>IF($AS799="","",IF($F$6="",0,IF(ISNUMBER(INDEX($A:$AP,ROW(),$F$6)),INDEX($A:$AP,ROW(),$F$6),IFERROR(--SUBSTITUTE(SUBSTITUTE(TRIM(INDEX($A:$AP,ROW(),$F$6)),",",""),"원",""),0))))</f>
        <v/>
      </c>
      <c r="AU799" s="23">
        <f>IF($AS799="","",IF($G$6="",0,IF(ISNUMBER(INDEX($A:$AP,ROW(),$G$6)),INDEX($A:$AP,ROW(),$G$6),IFERROR(--SUBSTITUTE(SUBSTITUTE(TRIM(INDEX($A:$AP,ROW(),$G$6)),",",""),"원",""),0))))</f>
        <v/>
      </c>
      <c r="AV799" s="23">
        <f>IF($AS799="","",IF($H$6="",$AT799+$AU799,IF($H$6="",0,IF(ISNUMBER(INDEX($A:$AP,ROW(),$H$6)),INDEX($A:$AP,ROW(),$H$6),IFERROR(--SUBSTITUTE(SUBSTITUTE(TRIM(INDEX($A:$AP,ROW(),$H$6)),",",""),"원",""),0)))))</f>
        <v/>
      </c>
      <c r="AW799" s="2">
        <f>IF(OR($AS799="",$C$6=""),"",TRIM(INDEX($A:$AP,ROW(),$C$6)&amp;""))</f>
        <v/>
      </c>
      <c r="AX799" s="2">
        <f>IF($AS799="","",IF($AZ799&lt;&gt;"",SUBSTITUTE(SUBSTITUTE($AZ799,"-","")," ",""),$AY799))</f>
        <v/>
      </c>
      <c r="AY799" s="2">
        <f>IF(OR($AS799="",$E$6=""),"",TRIM(INDEX($A:$AP,ROW(),$E$6)&amp;""))</f>
        <v/>
      </c>
      <c r="AZ799" s="2">
        <f>IF(OR($AS799="",$D$6=""),"",TRIM(INDEX($A:$AP,ROW(),$D$6)&amp;""))</f>
        <v/>
      </c>
      <c r="BA799" s="2">
        <f>IF($AS799="","",IF(AND($AS799&gt;=설정!$B$10,$AS799&lt;=설정!$B$11),"포함","기간 밖"))</f>
        <v/>
      </c>
      <c r="BB799" s="2">
        <f>IF($AS799="","",IF(OR($AT799&lt;0,AND($I$6&lt;&gt;"",ISNUMBER(FIND("수정",INDEX($A:$AP,ROW(),IF($I$6="",1,$I$6))&amp;"")))),"수정","일반"))</f>
        <v/>
      </c>
      <c r="BC799" s="2">
        <f>IF($AS799="","",MID(IF($BA799="기간 밖"," / 기간 밖(신고기간 아님)","")&amp;IF(AND($AW799&lt;&gt;"",COUNTIF($AW$8:$AW$1007,$AW799)&gt;1)," / 승인번호 중복(두 번 붙여넣기?)","")&amp;IF(ABS($AU799-ROUND($AT799*0.1,0))&gt;설정!$B$8,IF($AU799=0," / 세액 0원(영세율·면세 여부 확인)"," / 세액이 공급가액 10%와 다름"),"")&amp;IF($BB799="수정"," / 수정세금계산서(합계에서 자동 가감)",""),4,200))</f>
        <v/>
      </c>
      <c r="BD799" s="2">
        <f>IF($BA799&lt;&gt;"포함","",IF(COUNTIFS($AX$8:$AX799,$AX799,$BA$8:$BA799,"포함")=1,MAX($BD$7:BD798)+1,""))</f>
        <v/>
      </c>
      <c r="BE799" s="2">
        <f>IF($BC799="","",MAX($BE$7:BE798)+1)</f>
        <v/>
      </c>
    </row>
    <row r="800">
      <c r="AR800" s="2">
        <f>IF(OR($A$5="",$B$6="",ROW()&lt;$A$5),"",IF(INDEX($A:$AP,ROW(),$B$6)="","",INDEX($A:$AP,ROW(),$B$6)))</f>
        <v/>
      </c>
      <c r="AS800" s="22">
        <f>IF($AR800="","",IF(ISNUMBER($AR800),IF($AR800&gt;=10000000,IFERROR(DATE(INT($AR800/10000),MOD(INT($AR800/100),100),MOD($AR800,100)),""),INT($AR800)),IFERROR(DATE(--LEFT(LEFT(SUBSTITUTE(SUBSTITUTE(SUBSTITUTE(SUBSTITUTE(TRIM($AR800),"-",""),".",""),"/","")," ",""),8),4),--MID(LEFT(SUBSTITUTE(SUBSTITUTE(SUBSTITUTE(SUBSTITUTE(TRIM($AR800),"-",""),".",""),"/","")," ",""),8),5,2),--MID(LEFT(SUBSTITUTE(SUBSTITUTE(SUBSTITUTE(SUBSTITUTE(TRIM($AR800),"-",""),".",""),"/","")," ",""),8),7,2)),"")))</f>
        <v/>
      </c>
      <c r="AT800" s="23">
        <f>IF($AS800="","",IF($F$6="",0,IF(ISNUMBER(INDEX($A:$AP,ROW(),$F$6)),INDEX($A:$AP,ROW(),$F$6),IFERROR(--SUBSTITUTE(SUBSTITUTE(TRIM(INDEX($A:$AP,ROW(),$F$6)),",",""),"원",""),0))))</f>
        <v/>
      </c>
      <c r="AU800" s="23">
        <f>IF($AS800="","",IF($G$6="",0,IF(ISNUMBER(INDEX($A:$AP,ROW(),$G$6)),INDEX($A:$AP,ROW(),$G$6),IFERROR(--SUBSTITUTE(SUBSTITUTE(TRIM(INDEX($A:$AP,ROW(),$G$6)),",",""),"원",""),0))))</f>
        <v/>
      </c>
      <c r="AV800" s="23">
        <f>IF($AS800="","",IF($H$6="",$AT800+$AU800,IF($H$6="",0,IF(ISNUMBER(INDEX($A:$AP,ROW(),$H$6)),INDEX($A:$AP,ROW(),$H$6),IFERROR(--SUBSTITUTE(SUBSTITUTE(TRIM(INDEX($A:$AP,ROW(),$H$6)),",",""),"원",""),0)))))</f>
        <v/>
      </c>
      <c r="AW800" s="2">
        <f>IF(OR($AS800="",$C$6=""),"",TRIM(INDEX($A:$AP,ROW(),$C$6)&amp;""))</f>
        <v/>
      </c>
      <c r="AX800" s="2">
        <f>IF($AS800="","",IF($AZ800&lt;&gt;"",SUBSTITUTE(SUBSTITUTE($AZ800,"-","")," ",""),$AY800))</f>
        <v/>
      </c>
      <c r="AY800" s="2">
        <f>IF(OR($AS800="",$E$6=""),"",TRIM(INDEX($A:$AP,ROW(),$E$6)&amp;""))</f>
        <v/>
      </c>
      <c r="AZ800" s="2">
        <f>IF(OR($AS800="",$D$6=""),"",TRIM(INDEX($A:$AP,ROW(),$D$6)&amp;""))</f>
        <v/>
      </c>
      <c r="BA800" s="2">
        <f>IF($AS800="","",IF(AND($AS800&gt;=설정!$B$10,$AS800&lt;=설정!$B$11),"포함","기간 밖"))</f>
        <v/>
      </c>
      <c r="BB800" s="2">
        <f>IF($AS800="","",IF(OR($AT800&lt;0,AND($I$6&lt;&gt;"",ISNUMBER(FIND("수정",INDEX($A:$AP,ROW(),IF($I$6="",1,$I$6))&amp;"")))),"수정","일반"))</f>
        <v/>
      </c>
      <c r="BC800" s="2">
        <f>IF($AS800="","",MID(IF($BA800="기간 밖"," / 기간 밖(신고기간 아님)","")&amp;IF(AND($AW800&lt;&gt;"",COUNTIF($AW$8:$AW$1007,$AW800)&gt;1)," / 승인번호 중복(두 번 붙여넣기?)","")&amp;IF(ABS($AU800-ROUND($AT800*0.1,0))&gt;설정!$B$8,IF($AU800=0," / 세액 0원(영세율·면세 여부 확인)"," / 세액이 공급가액 10%와 다름"),"")&amp;IF($BB800="수정"," / 수정세금계산서(합계에서 자동 가감)",""),4,200))</f>
        <v/>
      </c>
      <c r="BD800" s="2">
        <f>IF($BA800&lt;&gt;"포함","",IF(COUNTIFS($AX$8:$AX800,$AX800,$BA$8:$BA800,"포함")=1,MAX($BD$7:BD799)+1,""))</f>
        <v/>
      </c>
      <c r="BE800" s="2">
        <f>IF($BC800="","",MAX($BE$7:BE799)+1)</f>
        <v/>
      </c>
    </row>
    <row r="801">
      <c r="AR801" s="2">
        <f>IF(OR($A$5="",$B$6="",ROW()&lt;$A$5),"",IF(INDEX($A:$AP,ROW(),$B$6)="","",INDEX($A:$AP,ROW(),$B$6)))</f>
        <v/>
      </c>
      <c r="AS801" s="22">
        <f>IF($AR801="","",IF(ISNUMBER($AR801),IF($AR801&gt;=10000000,IFERROR(DATE(INT($AR801/10000),MOD(INT($AR801/100),100),MOD($AR801,100)),""),INT($AR801)),IFERROR(DATE(--LEFT(LEFT(SUBSTITUTE(SUBSTITUTE(SUBSTITUTE(SUBSTITUTE(TRIM($AR801),"-",""),".",""),"/","")," ",""),8),4),--MID(LEFT(SUBSTITUTE(SUBSTITUTE(SUBSTITUTE(SUBSTITUTE(TRIM($AR801),"-",""),".",""),"/","")," ",""),8),5,2),--MID(LEFT(SUBSTITUTE(SUBSTITUTE(SUBSTITUTE(SUBSTITUTE(TRIM($AR801),"-",""),".",""),"/","")," ",""),8),7,2)),"")))</f>
        <v/>
      </c>
      <c r="AT801" s="23">
        <f>IF($AS801="","",IF($F$6="",0,IF(ISNUMBER(INDEX($A:$AP,ROW(),$F$6)),INDEX($A:$AP,ROW(),$F$6),IFERROR(--SUBSTITUTE(SUBSTITUTE(TRIM(INDEX($A:$AP,ROW(),$F$6)),",",""),"원",""),0))))</f>
        <v/>
      </c>
      <c r="AU801" s="23">
        <f>IF($AS801="","",IF($G$6="",0,IF(ISNUMBER(INDEX($A:$AP,ROW(),$G$6)),INDEX($A:$AP,ROW(),$G$6),IFERROR(--SUBSTITUTE(SUBSTITUTE(TRIM(INDEX($A:$AP,ROW(),$G$6)),",",""),"원",""),0))))</f>
        <v/>
      </c>
      <c r="AV801" s="23">
        <f>IF($AS801="","",IF($H$6="",$AT801+$AU801,IF($H$6="",0,IF(ISNUMBER(INDEX($A:$AP,ROW(),$H$6)),INDEX($A:$AP,ROW(),$H$6),IFERROR(--SUBSTITUTE(SUBSTITUTE(TRIM(INDEX($A:$AP,ROW(),$H$6)),",",""),"원",""),0)))))</f>
        <v/>
      </c>
      <c r="AW801" s="2">
        <f>IF(OR($AS801="",$C$6=""),"",TRIM(INDEX($A:$AP,ROW(),$C$6)&amp;""))</f>
        <v/>
      </c>
      <c r="AX801" s="2">
        <f>IF($AS801="","",IF($AZ801&lt;&gt;"",SUBSTITUTE(SUBSTITUTE($AZ801,"-","")," ",""),$AY801))</f>
        <v/>
      </c>
      <c r="AY801" s="2">
        <f>IF(OR($AS801="",$E$6=""),"",TRIM(INDEX($A:$AP,ROW(),$E$6)&amp;""))</f>
        <v/>
      </c>
      <c r="AZ801" s="2">
        <f>IF(OR($AS801="",$D$6=""),"",TRIM(INDEX($A:$AP,ROW(),$D$6)&amp;""))</f>
        <v/>
      </c>
      <c r="BA801" s="2">
        <f>IF($AS801="","",IF(AND($AS801&gt;=설정!$B$10,$AS801&lt;=설정!$B$11),"포함","기간 밖"))</f>
        <v/>
      </c>
      <c r="BB801" s="2">
        <f>IF($AS801="","",IF(OR($AT801&lt;0,AND($I$6&lt;&gt;"",ISNUMBER(FIND("수정",INDEX($A:$AP,ROW(),IF($I$6="",1,$I$6))&amp;"")))),"수정","일반"))</f>
        <v/>
      </c>
      <c r="BC801" s="2">
        <f>IF($AS801="","",MID(IF($BA801="기간 밖"," / 기간 밖(신고기간 아님)","")&amp;IF(AND($AW801&lt;&gt;"",COUNTIF($AW$8:$AW$1007,$AW801)&gt;1)," / 승인번호 중복(두 번 붙여넣기?)","")&amp;IF(ABS($AU801-ROUND($AT801*0.1,0))&gt;설정!$B$8,IF($AU801=0," / 세액 0원(영세율·면세 여부 확인)"," / 세액이 공급가액 10%와 다름"),"")&amp;IF($BB801="수정"," / 수정세금계산서(합계에서 자동 가감)",""),4,200))</f>
        <v/>
      </c>
      <c r="BD801" s="2">
        <f>IF($BA801&lt;&gt;"포함","",IF(COUNTIFS($AX$8:$AX801,$AX801,$BA$8:$BA801,"포함")=1,MAX($BD$7:BD800)+1,""))</f>
        <v/>
      </c>
      <c r="BE801" s="2">
        <f>IF($BC801="","",MAX($BE$7:BE800)+1)</f>
        <v/>
      </c>
    </row>
    <row r="802">
      <c r="AR802" s="2">
        <f>IF(OR($A$5="",$B$6="",ROW()&lt;$A$5),"",IF(INDEX($A:$AP,ROW(),$B$6)="","",INDEX($A:$AP,ROW(),$B$6)))</f>
        <v/>
      </c>
      <c r="AS802" s="22">
        <f>IF($AR802="","",IF(ISNUMBER($AR802),IF($AR802&gt;=10000000,IFERROR(DATE(INT($AR802/10000),MOD(INT($AR802/100),100),MOD($AR802,100)),""),INT($AR802)),IFERROR(DATE(--LEFT(LEFT(SUBSTITUTE(SUBSTITUTE(SUBSTITUTE(SUBSTITUTE(TRIM($AR802),"-",""),".",""),"/","")," ",""),8),4),--MID(LEFT(SUBSTITUTE(SUBSTITUTE(SUBSTITUTE(SUBSTITUTE(TRIM($AR802),"-",""),".",""),"/","")," ",""),8),5,2),--MID(LEFT(SUBSTITUTE(SUBSTITUTE(SUBSTITUTE(SUBSTITUTE(TRIM($AR802),"-",""),".",""),"/","")," ",""),8),7,2)),"")))</f>
        <v/>
      </c>
      <c r="AT802" s="23">
        <f>IF($AS802="","",IF($F$6="",0,IF(ISNUMBER(INDEX($A:$AP,ROW(),$F$6)),INDEX($A:$AP,ROW(),$F$6),IFERROR(--SUBSTITUTE(SUBSTITUTE(TRIM(INDEX($A:$AP,ROW(),$F$6)),",",""),"원",""),0))))</f>
        <v/>
      </c>
      <c r="AU802" s="23">
        <f>IF($AS802="","",IF($G$6="",0,IF(ISNUMBER(INDEX($A:$AP,ROW(),$G$6)),INDEX($A:$AP,ROW(),$G$6),IFERROR(--SUBSTITUTE(SUBSTITUTE(TRIM(INDEX($A:$AP,ROW(),$G$6)),",",""),"원",""),0))))</f>
        <v/>
      </c>
      <c r="AV802" s="23">
        <f>IF($AS802="","",IF($H$6="",$AT802+$AU802,IF($H$6="",0,IF(ISNUMBER(INDEX($A:$AP,ROW(),$H$6)),INDEX($A:$AP,ROW(),$H$6),IFERROR(--SUBSTITUTE(SUBSTITUTE(TRIM(INDEX($A:$AP,ROW(),$H$6)),",",""),"원",""),0)))))</f>
        <v/>
      </c>
      <c r="AW802" s="2">
        <f>IF(OR($AS802="",$C$6=""),"",TRIM(INDEX($A:$AP,ROW(),$C$6)&amp;""))</f>
        <v/>
      </c>
      <c r="AX802" s="2">
        <f>IF($AS802="","",IF($AZ802&lt;&gt;"",SUBSTITUTE(SUBSTITUTE($AZ802,"-","")," ",""),$AY802))</f>
        <v/>
      </c>
      <c r="AY802" s="2">
        <f>IF(OR($AS802="",$E$6=""),"",TRIM(INDEX($A:$AP,ROW(),$E$6)&amp;""))</f>
        <v/>
      </c>
      <c r="AZ802" s="2">
        <f>IF(OR($AS802="",$D$6=""),"",TRIM(INDEX($A:$AP,ROW(),$D$6)&amp;""))</f>
        <v/>
      </c>
      <c r="BA802" s="2">
        <f>IF($AS802="","",IF(AND($AS802&gt;=설정!$B$10,$AS802&lt;=설정!$B$11),"포함","기간 밖"))</f>
        <v/>
      </c>
      <c r="BB802" s="2">
        <f>IF($AS802="","",IF(OR($AT802&lt;0,AND($I$6&lt;&gt;"",ISNUMBER(FIND("수정",INDEX($A:$AP,ROW(),IF($I$6="",1,$I$6))&amp;"")))),"수정","일반"))</f>
        <v/>
      </c>
      <c r="BC802" s="2">
        <f>IF($AS802="","",MID(IF($BA802="기간 밖"," / 기간 밖(신고기간 아님)","")&amp;IF(AND($AW802&lt;&gt;"",COUNTIF($AW$8:$AW$1007,$AW802)&gt;1)," / 승인번호 중복(두 번 붙여넣기?)","")&amp;IF(ABS($AU802-ROUND($AT802*0.1,0))&gt;설정!$B$8,IF($AU802=0," / 세액 0원(영세율·면세 여부 확인)"," / 세액이 공급가액 10%와 다름"),"")&amp;IF($BB802="수정"," / 수정세금계산서(합계에서 자동 가감)",""),4,200))</f>
        <v/>
      </c>
      <c r="BD802" s="2">
        <f>IF($BA802&lt;&gt;"포함","",IF(COUNTIFS($AX$8:$AX802,$AX802,$BA$8:$BA802,"포함")=1,MAX($BD$7:BD801)+1,""))</f>
        <v/>
      </c>
      <c r="BE802" s="2">
        <f>IF($BC802="","",MAX($BE$7:BE801)+1)</f>
        <v/>
      </c>
    </row>
    <row r="803">
      <c r="AR803" s="2">
        <f>IF(OR($A$5="",$B$6="",ROW()&lt;$A$5),"",IF(INDEX($A:$AP,ROW(),$B$6)="","",INDEX($A:$AP,ROW(),$B$6)))</f>
        <v/>
      </c>
      <c r="AS803" s="22">
        <f>IF($AR803="","",IF(ISNUMBER($AR803),IF($AR803&gt;=10000000,IFERROR(DATE(INT($AR803/10000),MOD(INT($AR803/100),100),MOD($AR803,100)),""),INT($AR803)),IFERROR(DATE(--LEFT(LEFT(SUBSTITUTE(SUBSTITUTE(SUBSTITUTE(SUBSTITUTE(TRIM($AR803),"-",""),".",""),"/","")," ",""),8),4),--MID(LEFT(SUBSTITUTE(SUBSTITUTE(SUBSTITUTE(SUBSTITUTE(TRIM($AR803),"-",""),".",""),"/","")," ",""),8),5,2),--MID(LEFT(SUBSTITUTE(SUBSTITUTE(SUBSTITUTE(SUBSTITUTE(TRIM($AR803),"-",""),".",""),"/","")," ",""),8),7,2)),"")))</f>
        <v/>
      </c>
      <c r="AT803" s="23">
        <f>IF($AS803="","",IF($F$6="",0,IF(ISNUMBER(INDEX($A:$AP,ROW(),$F$6)),INDEX($A:$AP,ROW(),$F$6),IFERROR(--SUBSTITUTE(SUBSTITUTE(TRIM(INDEX($A:$AP,ROW(),$F$6)),",",""),"원",""),0))))</f>
        <v/>
      </c>
      <c r="AU803" s="23">
        <f>IF($AS803="","",IF($G$6="",0,IF(ISNUMBER(INDEX($A:$AP,ROW(),$G$6)),INDEX($A:$AP,ROW(),$G$6),IFERROR(--SUBSTITUTE(SUBSTITUTE(TRIM(INDEX($A:$AP,ROW(),$G$6)),",",""),"원",""),0))))</f>
        <v/>
      </c>
      <c r="AV803" s="23">
        <f>IF($AS803="","",IF($H$6="",$AT803+$AU803,IF($H$6="",0,IF(ISNUMBER(INDEX($A:$AP,ROW(),$H$6)),INDEX($A:$AP,ROW(),$H$6),IFERROR(--SUBSTITUTE(SUBSTITUTE(TRIM(INDEX($A:$AP,ROW(),$H$6)),",",""),"원",""),0)))))</f>
        <v/>
      </c>
      <c r="AW803" s="2">
        <f>IF(OR($AS803="",$C$6=""),"",TRIM(INDEX($A:$AP,ROW(),$C$6)&amp;""))</f>
        <v/>
      </c>
      <c r="AX803" s="2">
        <f>IF($AS803="","",IF($AZ803&lt;&gt;"",SUBSTITUTE(SUBSTITUTE($AZ803,"-","")," ",""),$AY803))</f>
        <v/>
      </c>
      <c r="AY803" s="2">
        <f>IF(OR($AS803="",$E$6=""),"",TRIM(INDEX($A:$AP,ROW(),$E$6)&amp;""))</f>
        <v/>
      </c>
      <c r="AZ803" s="2">
        <f>IF(OR($AS803="",$D$6=""),"",TRIM(INDEX($A:$AP,ROW(),$D$6)&amp;""))</f>
        <v/>
      </c>
      <c r="BA803" s="2">
        <f>IF($AS803="","",IF(AND($AS803&gt;=설정!$B$10,$AS803&lt;=설정!$B$11),"포함","기간 밖"))</f>
        <v/>
      </c>
      <c r="BB803" s="2">
        <f>IF($AS803="","",IF(OR($AT803&lt;0,AND($I$6&lt;&gt;"",ISNUMBER(FIND("수정",INDEX($A:$AP,ROW(),IF($I$6="",1,$I$6))&amp;"")))),"수정","일반"))</f>
        <v/>
      </c>
      <c r="BC803" s="2">
        <f>IF($AS803="","",MID(IF($BA803="기간 밖"," / 기간 밖(신고기간 아님)","")&amp;IF(AND($AW803&lt;&gt;"",COUNTIF($AW$8:$AW$1007,$AW803)&gt;1)," / 승인번호 중복(두 번 붙여넣기?)","")&amp;IF(ABS($AU803-ROUND($AT803*0.1,0))&gt;설정!$B$8,IF($AU803=0," / 세액 0원(영세율·면세 여부 확인)"," / 세액이 공급가액 10%와 다름"),"")&amp;IF($BB803="수정"," / 수정세금계산서(합계에서 자동 가감)",""),4,200))</f>
        <v/>
      </c>
      <c r="BD803" s="2">
        <f>IF($BA803&lt;&gt;"포함","",IF(COUNTIFS($AX$8:$AX803,$AX803,$BA$8:$BA803,"포함")=1,MAX($BD$7:BD802)+1,""))</f>
        <v/>
      </c>
      <c r="BE803" s="2">
        <f>IF($BC803="","",MAX($BE$7:BE802)+1)</f>
        <v/>
      </c>
    </row>
    <row r="804">
      <c r="AR804" s="2">
        <f>IF(OR($A$5="",$B$6="",ROW()&lt;$A$5),"",IF(INDEX($A:$AP,ROW(),$B$6)="","",INDEX($A:$AP,ROW(),$B$6)))</f>
        <v/>
      </c>
      <c r="AS804" s="22">
        <f>IF($AR804="","",IF(ISNUMBER($AR804),IF($AR804&gt;=10000000,IFERROR(DATE(INT($AR804/10000),MOD(INT($AR804/100),100),MOD($AR804,100)),""),INT($AR804)),IFERROR(DATE(--LEFT(LEFT(SUBSTITUTE(SUBSTITUTE(SUBSTITUTE(SUBSTITUTE(TRIM($AR804),"-",""),".",""),"/","")," ",""),8),4),--MID(LEFT(SUBSTITUTE(SUBSTITUTE(SUBSTITUTE(SUBSTITUTE(TRIM($AR804),"-",""),".",""),"/","")," ",""),8),5,2),--MID(LEFT(SUBSTITUTE(SUBSTITUTE(SUBSTITUTE(SUBSTITUTE(TRIM($AR804),"-",""),".",""),"/","")," ",""),8),7,2)),"")))</f>
        <v/>
      </c>
      <c r="AT804" s="23">
        <f>IF($AS804="","",IF($F$6="",0,IF(ISNUMBER(INDEX($A:$AP,ROW(),$F$6)),INDEX($A:$AP,ROW(),$F$6),IFERROR(--SUBSTITUTE(SUBSTITUTE(TRIM(INDEX($A:$AP,ROW(),$F$6)),",",""),"원",""),0))))</f>
        <v/>
      </c>
      <c r="AU804" s="23">
        <f>IF($AS804="","",IF($G$6="",0,IF(ISNUMBER(INDEX($A:$AP,ROW(),$G$6)),INDEX($A:$AP,ROW(),$G$6),IFERROR(--SUBSTITUTE(SUBSTITUTE(TRIM(INDEX($A:$AP,ROW(),$G$6)),",",""),"원",""),0))))</f>
        <v/>
      </c>
      <c r="AV804" s="23">
        <f>IF($AS804="","",IF($H$6="",$AT804+$AU804,IF($H$6="",0,IF(ISNUMBER(INDEX($A:$AP,ROW(),$H$6)),INDEX($A:$AP,ROW(),$H$6),IFERROR(--SUBSTITUTE(SUBSTITUTE(TRIM(INDEX($A:$AP,ROW(),$H$6)),",",""),"원",""),0)))))</f>
        <v/>
      </c>
      <c r="AW804" s="2">
        <f>IF(OR($AS804="",$C$6=""),"",TRIM(INDEX($A:$AP,ROW(),$C$6)&amp;""))</f>
        <v/>
      </c>
      <c r="AX804" s="2">
        <f>IF($AS804="","",IF($AZ804&lt;&gt;"",SUBSTITUTE(SUBSTITUTE($AZ804,"-","")," ",""),$AY804))</f>
        <v/>
      </c>
      <c r="AY804" s="2">
        <f>IF(OR($AS804="",$E$6=""),"",TRIM(INDEX($A:$AP,ROW(),$E$6)&amp;""))</f>
        <v/>
      </c>
      <c r="AZ804" s="2">
        <f>IF(OR($AS804="",$D$6=""),"",TRIM(INDEX($A:$AP,ROW(),$D$6)&amp;""))</f>
        <v/>
      </c>
      <c r="BA804" s="2">
        <f>IF($AS804="","",IF(AND($AS804&gt;=설정!$B$10,$AS804&lt;=설정!$B$11),"포함","기간 밖"))</f>
        <v/>
      </c>
      <c r="BB804" s="2">
        <f>IF($AS804="","",IF(OR($AT804&lt;0,AND($I$6&lt;&gt;"",ISNUMBER(FIND("수정",INDEX($A:$AP,ROW(),IF($I$6="",1,$I$6))&amp;"")))),"수정","일반"))</f>
        <v/>
      </c>
      <c r="BC804" s="2">
        <f>IF($AS804="","",MID(IF($BA804="기간 밖"," / 기간 밖(신고기간 아님)","")&amp;IF(AND($AW804&lt;&gt;"",COUNTIF($AW$8:$AW$1007,$AW804)&gt;1)," / 승인번호 중복(두 번 붙여넣기?)","")&amp;IF(ABS($AU804-ROUND($AT804*0.1,0))&gt;설정!$B$8,IF($AU804=0," / 세액 0원(영세율·면세 여부 확인)"," / 세액이 공급가액 10%와 다름"),"")&amp;IF($BB804="수정"," / 수정세금계산서(합계에서 자동 가감)",""),4,200))</f>
        <v/>
      </c>
      <c r="BD804" s="2">
        <f>IF($BA804&lt;&gt;"포함","",IF(COUNTIFS($AX$8:$AX804,$AX804,$BA$8:$BA804,"포함")=1,MAX($BD$7:BD803)+1,""))</f>
        <v/>
      </c>
      <c r="BE804" s="2">
        <f>IF($BC804="","",MAX($BE$7:BE803)+1)</f>
        <v/>
      </c>
    </row>
    <row r="805">
      <c r="AR805" s="2">
        <f>IF(OR($A$5="",$B$6="",ROW()&lt;$A$5),"",IF(INDEX($A:$AP,ROW(),$B$6)="","",INDEX($A:$AP,ROW(),$B$6)))</f>
        <v/>
      </c>
      <c r="AS805" s="22">
        <f>IF($AR805="","",IF(ISNUMBER($AR805),IF($AR805&gt;=10000000,IFERROR(DATE(INT($AR805/10000),MOD(INT($AR805/100),100),MOD($AR805,100)),""),INT($AR805)),IFERROR(DATE(--LEFT(LEFT(SUBSTITUTE(SUBSTITUTE(SUBSTITUTE(SUBSTITUTE(TRIM($AR805),"-",""),".",""),"/","")," ",""),8),4),--MID(LEFT(SUBSTITUTE(SUBSTITUTE(SUBSTITUTE(SUBSTITUTE(TRIM($AR805),"-",""),".",""),"/","")," ",""),8),5,2),--MID(LEFT(SUBSTITUTE(SUBSTITUTE(SUBSTITUTE(SUBSTITUTE(TRIM($AR805),"-",""),".",""),"/","")," ",""),8),7,2)),"")))</f>
        <v/>
      </c>
      <c r="AT805" s="23">
        <f>IF($AS805="","",IF($F$6="",0,IF(ISNUMBER(INDEX($A:$AP,ROW(),$F$6)),INDEX($A:$AP,ROW(),$F$6),IFERROR(--SUBSTITUTE(SUBSTITUTE(TRIM(INDEX($A:$AP,ROW(),$F$6)),",",""),"원",""),0))))</f>
        <v/>
      </c>
      <c r="AU805" s="23">
        <f>IF($AS805="","",IF($G$6="",0,IF(ISNUMBER(INDEX($A:$AP,ROW(),$G$6)),INDEX($A:$AP,ROW(),$G$6),IFERROR(--SUBSTITUTE(SUBSTITUTE(TRIM(INDEX($A:$AP,ROW(),$G$6)),",",""),"원",""),0))))</f>
        <v/>
      </c>
      <c r="AV805" s="23">
        <f>IF($AS805="","",IF($H$6="",$AT805+$AU805,IF($H$6="",0,IF(ISNUMBER(INDEX($A:$AP,ROW(),$H$6)),INDEX($A:$AP,ROW(),$H$6),IFERROR(--SUBSTITUTE(SUBSTITUTE(TRIM(INDEX($A:$AP,ROW(),$H$6)),",",""),"원",""),0)))))</f>
        <v/>
      </c>
      <c r="AW805" s="2">
        <f>IF(OR($AS805="",$C$6=""),"",TRIM(INDEX($A:$AP,ROW(),$C$6)&amp;""))</f>
        <v/>
      </c>
      <c r="AX805" s="2">
        <f>IF($AS805="","",IF($AZ805&lt;&gt;"",SUBSTITUTE(SUBSTITUTE($AZ805,"-","")," ",""),$AY805))</f>
        <v/>
      </c>
      <c r="AY805" s="2">
        <f>IF(OR($AS805="",$E$6=""),"",TRIM(INDEX($A:$AP,ROW(),$E$6)&amp;""))</f>
        <v/>
      </c>
      <c r="AZ805" s="2">
        <f>IF(OR($AS805="",$D$6=""),"",TRIM(INDEX($A:$AP,ROW(),$D$6)&amp;""))</f>
        <v/>
      </c>
      <c r="BA805" s="2">
        <f>IF($AS805="","",IF(AND($AS805&gt;=설정!$B$10,$AS805&lt;=설정!$B$11),"포함","기간 밖"))</f>
        <v/>
      </c>
      <c r="BB805" s="2">
        <f>IF($AS805="","",IF(OR($AT805&lt;0,AND($I$6&lt;&gt;"",ISNUMBER(FIND("수정",INDEX($A:$AP,ROW(),IF($I$6="",1,$I$6))&amp;"")))),"수정","일반"))</f>
        <v/>
      </c>
      <c r="BC805" s="2">
        <f>IF($AS805="","",MID(IF($BA805="기간 밖"," / 기간 밖(신고기간 아님)","")&amp;IF(AND($AW805&lt;&gt;"",COUNTIF($AW$8:$AW$1007,$AW805)&gt;1)," / 승인번호 중복(두 번 붙여넣기?)","")&amp;IF(ABS($AU805-ROUND($AT805*0.1,0))&gt;설정!$B$8,IF($AU805=0," / 세액 0원(영세율·면세 여부 확인)"," / 세액이 공급가액 10%와 다름"),"")&amp;IF($BB805="수정"," / 수정세금계산서(합계에서 자동 가감)",""),4,200))</f>
        <v/>
      </c>
      <c r="BD805" s="2">
        <f>IF($BA805&lt;&gt;"포함","",IF(COUNTIFS($AX$8:$AX805,$AX805,$BA$8:$BA805,"포함")=1,MAX($BD$7:BD804)+1,""))</f>
        <v/>
      </c>
      <c r="BE805" s="2">
        <f>IF($BC805="","",MAX($BE$7:BE804)+1)</f>
        <v/>
      </c>
    </row>
    <row r="806">
      <c r="AR806" s="2">
        <f>IF(OR($A$5="",$B$6="",ROW()&lt;$A$5),"",IF(INDEX($A:$AP,ROW(),$B$6)="","",INDEX($A:$AP,ROW(),$B$6)))</f>
        <v/>
      </c>
      <c r="AS806" s="22">
        <f>IF($AR806="","",IF(ISNUMBER($AR806),IF($AR806&gt;=10000000,IFERROR(DATE(INT($AR806/10000),MOD(INT($AR806/100),100),MOD($AR806,100)),""),INT($AR806)),IFERROR(DATE(--LEFT(LEFT(SUBSTITUTE(SUBSTITUTE(SUBSTITUTE(SUBSTITUTE(TRIM($AR806),"-",""),".",""),"/","")," ",""),8),4),--MID(LEFT(SUBSTITUTE(SUBSTITUTE(SUBSTITUTE(SUBSTITUTE(TRIM($AR806),"-",""),".",""),"/","")," ",""),8),5,2),--MID(LEFT(SUBSTITUTE(SUBSTITUTE(SUBSTITUTE(SUBSTITUTE(TRIM($AR806),"-",""),".",""),"/","")," ",""),8),7,2)),"")))</f>
        <v/>
      </c>
      <c r="AT806" s="23">
        <f>IF($AS806="","",IF($F$6="",0,IF(ISNUMBER(INDEX($A:$AP,ROW(),$F$6)),INDEX($A:$AP,ROW(),$F$6),IFERROR(--SUBSTITUTE(SUBSTITUTE(TRIM(INDEX($A:$AP,ROW(),$F$6)),",",""),"원",""),0))))</f>
        <v/>
      </c>
      <c r="AU806" s="23">
        <f>IF($AS806="","",IF($G$6="",0,IF(ISNUMBER(INDEX($A:$AP,ROW(),$G$6)),INDEX($A:$AP,ROW(),$G$6),IFERROR(--SUBSTITUTE(SUBSTITUTE(TRIM(INDEX($A:$AP,ROW(),$G$6)),",",""),"원",""),0))))</f>
        <v/>
      </c>
      <c r="AV806" s="23">
        <f>IF($AS806="","",IF($H$6="",$AT806+$AU806,IF($H$6="",0,IF(ISNUMBER(INDEX($A:$AP,ROW(),$H$6)),INDEX($A:$AP,ROW(),$H$6),IFERROR(--SUBSTITUTE(SUBSTITUTE(TRIM(INDEX($A:$AP,ROW(),$H$6)),",",""),"원",""),0)))))</f>
        <v/>
      </c>
      <c r="AW806" s="2">
        <f>IF(OR($AS806="",$C$6=""),"",TRIM(INDEX($A:$AP,ROW(),$C$6)&amp;""))</f>
        <v/>
      </c>
      <c r="AX806" s="2">
        <f>IF($AS806="","",IF($AZ806&lt;&gt;"",SUBSTITUTE(SUBSTITUTE($AZ806,"-","")," ",""),$AY806))</f>
        <v/>
      </c>
      <c r="AY806" s="2">
        <f>IF(OR($AS806="",$E$6=""),"",TRIM(INDEX($A:$AP,ROW(),$E$6)&amp;""))</f>
        <v/>
      </c>
      <c r="AZ806" s="2">
        <f>IF(OR($AS806="",$D$6=""),"",TRIM(INDEX($A:$AP,ROW(),$D$6)&amp;""))</f>
        <v/>
      </c>
      <c r="BA806" s="2">
        <f>IF($AS806="","",IF(AND($AS806&gt;=설정!$B$10,$AS806&lt;=설정!$B$11),"포함","기간 밖"))</f>
        <v/>
      </c>
      <c r="BB806" s="2">
        <f>IF($AS806="","",IF(OR($AT806&lt;0,AND($I$6&lt;&gt;"",ISNUMBER(FIND("수정",INDEX($A:$AP,ROW(),IF($I$6="",1,$I$6))&amp;"")))),"수정","일반"))</f>
        <v/>
      </c>
      <c r="BC806" s="2">
        <f>IF($AS806="","",MID(IF($BA806="기간 밖"," / 기간 밖(신고기간 아님)","")&amp;IF(AND($AW806&lt;&gt;"",COUNTIF($AW$8:$AW$1007,$AW806)&gt;1)," / 승인번호 중복(두 번 붙여넣기?)","")&amp;IF(ABS($AU806-ROUND($AT806*0.1,0))&gt;설정!$B$8,IF($AU806=0," / 세액 0원(영세율·면세 여부 확인)"," / 세액이 공급가액 10%와 다름"),"")&amp;IF($BB806="수정"," / 수정세금계산서(합계에서 자동 가감)",""),4,200))</f>
        <v/>
      </c>
      <c r="BD806" s="2">
        <f>IF($BA806&lt;&gt;"포함","",IF(COUNTIFS($AX$8:$AX806,$AX806,$BA$8:$BA806,"포함")=1,MAX($BD$7:BD805)+1,""))</f>
        <v/>
      </c>
      <c r="BE806" s="2">
        <f>IF($BC806="","",MAX($BE$7:BE805)+1)</f>
        <v/>
      </c>
    </row>
    <row r="807">
      <c r="AR807" s="2">
        <f>IF(OR($A$5="",$B$6="",ROW()&lt;$A$5),"",IF(INDEX($A:$AP,ROW(),$B$6)="","",INDEX($A:$AP,ROW(),$B$6)))</f>
        <v/>
      </c>
      <c r="AS807" s="22">
        <f>IF($AR807="","",IF(ISNUMBER($AR807),IF($AR807&gt;=10000000,IFERROR(DATE(INT($AR807/10000),MOD(INT($AR807/100),100),MOD($AR807,100)),""),INT($AR807)),IFERROR(DATE(--LEFT(LEFT(SUBSTITUTE(SUBSTITUTE(SUBSTITUTE(SUBSTITUTE(TRIM($AR807),"-",""),".",""),"/","")," ",""),8),4),--MID(LEFT(SUBSTITUTE(SUBSTITUTE(SUBSTITUTE(SUBSTITUTE(TRIM($AR807),"-",""),".",""),"/","")," ",""),8),5,2),--MID(LEFT(SUBSTITUTE(SUBSTITUTE(SUBSTITUTE(SUBSTITUTE(TRIM($AR807),"-",""),".",""),"/","")," ",""),8),7,2)),"")))</f>
        <v/>
      </c>
      <c r="AT807" s="23">
        <f>IF($AS807="","",IF($F$6="",0,IF(ISNUMBER(INDEX($A:$AP,ROW(),$F$6)),INDEX($A:$AP,ROW(),$F$6),IFERROR(--SUBSTITUTE(SUBSTITUTE(TRIM(INDEX($A:$AP,ROW(),$F$6)),",",""),"원",""),0))))</f>
        <v/>
      </c>
      <c r="AU807" s="23">
        <f>IF($AS807="","",IF($G$6="",0,IF(ISNUMBER(INDEX($A:$AP,ROW(),$G$6)),INDEX($A:$AP,ROW(),$G$6),IFERROR(--SUBSTITUTE(SUBSTITUTE(TRIM(INDEX($A:$AP,ROW(),$G$6)),",",""),"원",""),0))))</f>
        <v/>
      </c>
      <c r="AV807" s="23">
        <f>IF($AS807="","",IF($H$6="",$AT807+$AU807,IF($H$6="",0,IF(ISNUMBER(INDEX($A:$AP,ROW(),$H$6)),INDEX($A:$AP,ROW(),$H$6),IFERROR(--SUBSTITUTE(SUBSTITUTE(TRIM(INDEX($A:$AP,ROW(),$H$6)),",",""),"원",""),0)))))</f>
        <v/>
      </c>
      <c r="AW807" s="2">
        <f>IF(OR($AS807="",$C$6=""),"",TRIM(INDEX($A:$AP,ROW(),$C$6)&amp;""))</f>
        <v/>
      </c>
      <c r="AX807" s="2">
        <f>IF($AS807="","",IF($AZ807&lt;&gt;"",SUBSTITUTE(SUBSTITUTE($AZ807,"-","")," ",""),$AY807))</f>
        <v/>
      </c>
      <c r="AY807" s="2">
        <f>IF(OR($AS807="",$E$6=""),"",TRIM(INDEX($A:$AP,ROW(),$E$6)&amp;""))</f>
        <v/>
      </c>
      <c r="AZ807" s="2">
        <f>IF(OR($AS807="",$D$6=""),"",TRIM(INDEX($A:$AP,ROW(),$D$6)&amp;""))</f>
        <v/>
      </c>
      <c r="BA807" s="2">
        <f>IF($AS807="","",IF(AND($AS807&gt;=설정!$B$10,$AS807&lt;=설정!$B$11),"포함","기간 밖"))</f>
        <v/>
      </c>
      <c r="BB807" s="2">
        <f>IF($AS807="","",IF(OR($AT807&lt;0,AND($I$6&lt;&gt;"",ISNUMBER(FIND("수정",INDEX($A:$AP,ROW(),IF($I$6="",1,$I$6))&amp;"")))),"수정","일반"))</f>
        <v/>
      </c>
      <c r="BC807" s="2">
        <f>IF($AS807="","",MID(IF($BA807="기간 밖"," / 기간 밖(신고기간 아님)","")&amp;IF(AND($AW807&lt;&gt;"",COUNTIF($AW$8:$AW$1007,$AW807)&gt;1)," / 승인번호 중복(두 번 붙여넣기?)","")&amp;IF(ABS($AU807-ROUND($AT807*0.1,0))&gt;설정!$B$8,IF($AU807=0," / 세액 0원(영세율·면세 여부 확인)"," / 세액이 공급가액 10%와 다름"),"")&amp;IF($BB807="수정"," / 수정세금계산서(합계에서 자동 가감)",""),4,200))</f>
        <v/>
      </c>
      <c r="BD807" s="2">
        <f>IF($BA807&lt;&gt;"포함","",IF(COUNTIFS($AX$8:$AX807,$AX807,$BA$8:$BA807,"포함")=1,MAX($BD$7:BD806)+1,""))</f>
        <v/>
      </c>
      <c r="BE807" s="2">
        <f>IF($BC807="","",MAX($BE$7:BE806)+1)</f>
        <v/>
      </c>
    </row>
    <row r="808">
      <c r="AR808" s="2">
        <f>IF(OR($A$5="",$B$6="",ROW()&lt;$A$5),"",IF(INDEX($A:$AP,ROW(),$B$6)="","",INDEX($A:$AP,ROW(),$B$6)))</f>
        <v/>
      </c>
      <c r="AS808" s="22">
        <f>IF($AR808="","",IF(ISNUMBER($AR808),IF($AR808&gt;=10000000,IFERROR(DATE(INT($AR808/10000),MOD(INT($AR808/100),100),MOD($AR808,100)),""),INT($AR808)),IFERROR(DATE(--LEFT(LEFT(SUBSTITUTE(SUBSTITUTE(SUBSTITUTE(SUBSTITUTE(TRIM($AR808),"-",""),".",""),"/","")," ",""),8),4),--MID(LEFT(SUBSTITUTE(SUBSTITUTE(SUBSTITUTE(SUBSTITUTE(TRIM($AR808),"-",""),".",""),"/","")," ",""),8),5,2),--MID(LEFT(SUBSTITUTE(SUBSTITUTE(SUBSTITUTE(SUBSTITUTE(TRIM($AR808),"-",""),".",""),"/","")," ",""),8),7,2)),"")))</f>
        <v/>
      </c>
      <c r="AT808" s="23">
        <f>IF($AS808="","",IF($F$6="",0,IF(ISNUMBER(INDEX($A:$AP,ROW(),$F$6)),INDEX($A:$AP,ROW(),$F$6),IFERROR(--SUBSTITUTE(SUBSTITUTE(TRIM(INDEX($A:$AP,ROW(),$F$6)),",",""),"원",""),0))))</f>
        <v/>
      </c>
      <c r="AU808" s="23">
        <f>IF($AS808="","",IF($G$6="",0,IF(ISNUMBER(INDEX($A:$AP,ROW(),$G$6)),INDEX($A:$AP,ROW(),$G$6),IFERROR(--SUBSTITUTE(SUBSTITUTE(TRIM(INDEX($A:$AP,ROW(),$G$6)),",",""),"원",""),0))))</f>
        <v/>
      </c>
      <c r="AV808" s="23">
        <f>IF($AS808="","",IF($H$6="",$AT808+$AU808,IF($H$6="",0,IF(ISNUMBER(INDEX($A:$AP,ROW(),$H$6)),INDEX($A:$AP,ROW(),$H$6),IFERROR(--SUBSTITUTE(SUBSTITUTE(TRIM(INDEX($A:$AP,ROW(),$H$6)),",",""),"원",""),0)))))</f>
        <v/>
      </c>
      <c r="AW808" s="2">
        <f>IF(OR($AS808="",$C$6=""),"",TRIM(INDEX($A:$AP,ROW(),$C$6)&amp;""))</f>
        <v/>
      </c>
      <c r="AX808" s="2">
        <f>IF($AS808="","",IF($AZ808&lt;&gt;"",SUBSTITUTE(SUBSTITUTE($AZ808,"-","")," ",""),$AY808))</f>
        <v/>
      </c>
      <c r="AY808" s="2">
        <f>IF(OR($AS808="",$E$6=""),"",TRIM(INDEX($A:$AP,ROW(),$E$6)&amp;""))</f>
        <v/>
      </c>
      <c r="AZ808" s="2">
        <f>IF(OR($AS808="",$D$6=""),"",TRIM(INDEX($A:$AP,ROW(),$D$6)&amp;""))</f>
        <v/>
      </c>
      <c r="BA808" s="2">
        <f>IF($AS808="","",IF(AND($AS808&gt;=설정!$B$10,$AS808&lt;=설정!$B$11),"포함","기간 밖"))</f>
        <v/>
      </c>
      <c r="BB808" s="2">
        <f>IF($AS808="","",IF(OR($AT808&lt;0,AND($I$6&lt;&gt;"",ISNUMBER(FIND("수정",INDEX($A:$AP,ROW(),IF($I$6="",1,$I$6))&amp;"")))),"수정","일반"))</f>
        <v/>
      </c>
      <c r="BC808" s="2">
        <f>IF($AS808="","",MID(IF($BA808="기간 밖"," / 기간 밖(신고기간 아님)","")&amp;IF(AND($AW808&lt;&gt;"",COUNTIF($AW$8:$AW$1007,$AW808)&gt;1)," / 승인번호 중복(두 번 붙여넣기?)","")&amp;IF(ABS($AU808-ROUND($AT808*0.1,0))&gt;설정!$B$8,IF($AU808=0," / 세액 0원(영세율·면세 여부 확인)"," / 세액이 공급가액 10%와 다름"),"")&amp;IF($BB808="수정"," / 수정세금계산서(합계에서 자동 가감)",""),4,200))</f>
        <v/>
      </c>
      <c r="BD808" s="2">
        <f>IF($BA808&lt;&gt;"포함","",IF(COUNTIFS($AX$8:$AX808,$AX808,$BA$8:$BA808,"포함")=1,MAX($BD$7:BD807)+1,""))</f>
        <v/>
      </c>
      <c r="BE808" s="2">
        <f>IF($BC808="","",MAX($BE$7:BE807)+1)</f>
        <v/>
      </c>
    </row>
    <row r="809">
      <c r="AR809" s="2">
        <f>IF(OR($A$5="",$B$6="",ROW()&lt;$A$5),"",IF(INDEX($A:$AP,ROW(),$B$6)="","",INDEX($A:$AP,ROW(),$B$6)))</f>
        <v/>
      </c>
      <c r="AS809" s="22">
        <f>IF($AR809="","",IF(ISNUMBER($AR809),IF($AR809&gt;=10000000,IFERROR(DATE(INT($AR809/10000),MOD(INT($AR809/100),100),MOD($AR809,100)),""),INT($AR809)),IFERROR(DATE(--LEFT(LEFT(SUBSTITUTE(SUBSTITUTE(SUBSTITUTE(SUBSTITUTE(TRIM($AR809),"-",""),".",""),"/","")," ",""),8),4),--MID(LEFT(SUBSTITUTE(SUBSTITUTE(SUBSTITUTE(SUBSTITUTE(TRIM($AR809),"-",""),".",""),"/","")," ",""),8),5,2),--MID(LEFT(SUBSTITUTE(SUBSTITUTE(SUBSTITUTE(SUBSTITUTE(TRIM($AR809),"-",""),".",""),"/","")," ",""),8),7,2)),"")))</f>
        <v/>
      </c>
      <c r="AT809" s="23">
        <f>IF($AS809="","",IF($F$6="",0,IF(ISNUMBER(INDEX($A:$AP,ROW(),$F$6)),INDEX($A:$AP,ROW(),$F$6),IFERROR(--SUBSTITUTE(SUBSTITUTE(TRIM(INDEX($A:$AP,ROW(),$F$6)),",",""),"원",""),0))))</f>
        <v/>
      </c>
      <c r="AU809" s="23">
        <f>IF($AS809="","",IF($G$6="",0,IF(ISNUMBER(INDEX($A:$AP,ROW(),$G$6)),INDEX($A:$AP,ROW(),$G$6),IFERROR(--SUBSTITUTE(SUBSTITUTE(TRIM(INDEX($A:$AP,ROW(),$G$6)),",",""),"원",""),0))))</f>
        <v/>
      </c>
      <c r="AV809" s="23">
        <f>IF($AS809="","",IF($H$6="",$AT809+$AU809,IF($H$6="",0,IF(ISNUMBER(INDEX($A:$AP,ROW(),$H$6)),INDEX($A:$AP,ROW(),$H$6),IFERROR(--SUBSTITUTE(SUBSTITUTE(TRIM(INDEX($A:$AP,ROW(),$H$6)),",",""),"원",""),0)))))</f>
        <v/>
      </c>
      <c r="AW809" s="2">
        <f>IF(OR($AS809="",$C$6=""),"",TRIM(INDEX($A:$AP,ROW(),$C$6)&amp;""))</f>
        <v/>
      </c>
      <c r="AX809" s="2">
        <f>IF($AS809="","",IF($AZ809&lt;&gt;"",SUBSTITUTE(SUBSTITUTE($AZ809,"-","")," ",""),$AY809))</f>
        <v/>
      </c>
      <c r="AY809" s="2">
        <f>IF(OR($AS809="",$E$6=""),"",TRIM(INDEX($A:$AP,ROW(),$E$6)&amp;""))</f>
        <v/>
      </c>
      <c r="AZ809" s="2">
        <f>IF(OR($AS809="",$D$6=""),"",TRIM(INDEX($A:$AP,ROW(),$D$6)&amp;""))</f>
        <v/>
      </c>
      <c r="BA809" s="2">
        <f>IF($AS809="","",IF(AND($AS809&gt;=설정!$B$10,$AS809&lt;=설정!$B$11),"포함","기간 밖"))</f>
        <v/>
      </c>
      <c r="BB809" s="2">
        <f>IF($AS809="","",IF(OR($AT809&lt;0,AND($I$6&lt;&gt;"",ISNUMBER(FIND("수정",INDEX($A:$AP,ROW(),IF($I$6="",1,$I$6))&amp;"")))),"수정","일반"))</f>
        <v/>
      </c>
      <c r="BC809" s="2">
        <f>IF($AS809="","",MID(IF($BA809="기간 밖"," / 기간 밖(신고기간 아님)","")&amp;IF(AND($AW809&lt;&gt;"",COUNTIF($AW$8:$AW$1007,$AW809)&gt;1)," / 승인번호 중복(두 번 붙여넣기?)","")&amp;IF(ABS($AU809-ROUND($AT809*0.1,0))&gt;설정!$B$8,IF($AU809=0," / 세액 0원(영세율·면세 여부 확인)"," / 세액이 공급가액 10%와 다름"),"")&amp;IF($BB809="수정"," / 수정세금계산서(합계에서 자동 가감)",""),4,200))</f>
        <v/>
      </c>
      <c r="BD809" s="2">
        <f>IF($BA809&lt;&gt;"포함","",IF(COUNTIFS($AX$8:$AX809,$AX809,$BA$8:$BA809,"포함")=1,MAX($BD$7:BD808)+1,""))</f>
        <v/>
      </c>
      <c r="BE809" s="2">
        <f>IF($BC809="","",MAX($BE$7:BE808)+1)</f>
        <v/>
      </c>
    </row>
    <row r="810">
      <c r="AR810" s="2">
        <f>IF(OR($A$5="",$B$6="",ROW()&lt;$A$5),"",IF(INDEX($A:$AP,ROW(),$B$6)="","",INDEX($A:$AP,ROW(),$B$6)))</f>
        <v/>
      </c>
      <c r="AS810" s="22">
        <f>IF($AR810="","",IF(ISNUMBER($AR810),IF($AR810&gt;=10000000,IFERROR(DATE(INT($AR810/10000),MOD(INT($AR810/100),100),MOD($AR810,100)),""),INT($AR810)),IFERROR(DATE(--LEFT(LEFT(SUBSTITUTE(SUBSTITUTE(SUBSTITUTE(SUBSTITUTE(TRIM($AR810),"-",""),".",""),"/","")," ",""),8),4),--MID(LEFT(SUBSTITUTE(SUBSTITUTE(SUBSTITUTE(SUBSTITUTE(TRIM($AR810),"-",""),".",""),"/","")," ",""),8),5,2),--MID(LEFT(SUBSTITUTE(SUBSTITUTE(SUBSTITUTE(SUBSTITUTE(TRIM($AR810),"-",""),".",""),"/","")," ",""),8),7,2)),"")))</f>
        <v/>
      </c>
      <c r="AT810" s="23">
        <f>IF($AS810="","",IF($F$6="",0,IF(ISNUMBER(INDEX($A:$AP,ROW(),$F$6)),INDEX($A:$AP,ROW(),$F$6),IFERROR(--SUBSTITUTE(SUBSTITUTE(TRIM(INDEX($A:$AP,ROW(),$F$6)),",",""),"원",""),0))))</f>
        <v/>
      </c>
      <c r="AU810" s="23">
        <f>IF($AS810="","",IF($G$6="",0,IF(ISNUMBER(INDEX($A:$AP,ROW(),$G$6)),INDEX($A:$AP,ROW(),$G$6),IFERROR(--SUBSTITUTE(SUBSTITUTE(TRIM(INDEX($A:$AP,ROW(),$G$6)),",",""),"원",""),0))))</f>
        <v/>
      </c>
      <c r="AV810" s="23">
        <f>IF($AS810="","",IF($H$6="",$AT810+$AU810,IF($H$6="",0,IF(ISNUMBER(INDEX($A:$AP,ROW(),$H$6)),INDEX($A:$AP,ROW(),$H$6),IFERROR(--SUBSTITUTE(SUBSTITUTE(TRIM(INDEX($A:$AP,ROW(),$H$6)),",",""),"원",""),0)))))</f>
        <v/>
      </c>
      <c r="AW810" s="2">
        <f>IF(OR($AS810="",$C$6=""),"",TRIM(INDEX($A:$AP,ROW(),$C$6)&amp;""))</f>
        <v/>
      </c>
      <c r="AX810" s="2">
        <f>IF($AS810="","",IF($AZ810&lt;&gt;"",SUBSTITUTE(SUBSTITUTE($AZ810,"-","")," ",""),$AY810))</f>
        <v/>
      </c>
      <c r="AY810" s="2">
        <f>IF(OR($AS810="",$E$6=""),"",TRIM(INDEX($A:$AP,ROW(),$E$6)&amp;""))</f>
        <v/>
      </c>
      <c r="AZ810" s="2">
        <f>IF(OR($AS810="",$D$6=""),"",TRIM(INDEX($A:$AP,ROW(),$D$6)&amp;""))</f>
        <v/>
      </c>
      <c r="BA810" s="2">
        <f>IF($AS810="","",IF(AND($AS810&gt;=설정!$B$10,$AS810&lt;=설정!$B$11),"포함","기간 밖"))</f>
        <v/>
      </c>
      <c r="BB810" s="2">
        <f>IF($AS810="","",IF(OR($AT810&lt;0,AND($I$6&lt;&gt;"",ISNUMBER(FIND("수정",INDEX($A:$AP,ROW(),IF($I$6="",1,$I$6))&amp;"")))),"수정","일반"))</f>
        <v/>
      </c>
      <c r="BC810" s="2">
        <f>IF($AS810="","",MID(IF($BA810="기간 밖"," / 기간 밖(신고기간 아님)","")&amp;IF(AND($AW810&lt;&gt;"",COUNTIF($AW$8:$AW$1007,$AW810)&gt;1)," / 승인번호 중복(두 번 붙여넣기?)","")&amp;IF(ABS($AU810-ROUND($AT810*0.1,0))&gt;설정!$B$8,IF($AU810=0," / 세액 0원(영세율·면세 여부 확인)"," / 세액이 공급가액 10%와 다름"),"")&amp;IF($BB810="수정"," / 수정세금계산서(합계에서 자동 가감)",""),4,200))</f>
        <v/>
      </c>
      <c r="BD810" s="2">
        <f>IF($BA810&lt;&gt;"포함","",IF(COUNTIFS($AX$8:$AX810,$AX810,$BA$8:$BA810,"포함")=1,MAX($BD$7:BD809)+1,""))</f>
        <v/>
      </c>
      <c r="BE810" s="2">
        <f>IF($BC810="","",MAX($BE$7:BE809)+1)</f>
        <v/>
      </c>
    </row>
    <row r="811">
      <c r="AR811" s="2">
        <f>IF(OR($A$5="",$B$6="",ROW()&lt;$A$5),"",IF(INDEX($A:$AP,ROW(),$B$6)="","",INDEX($A:$AP,ROW(),$B$6)))</f>
        <v/>
      </c>
      <c r="AS811" s="22">
        <f>IF($AR811="","",IF(ISNUMBER($AR811),IF($AR811&gt;=10000000,IFERROR(DATE(INT($AR811/10000),MOD(INT($AR811/100),100),MOD($AR811,100)),""),INT($AR811)),IFERROR(DATE(--LEFT(LEFT(SUBSTITUTE(SUBSTITUTE(SUBSTITUTE(SUBSTITUTE(TRIM($AR811),"-",""),".",""),"/","")," ",""),8),4),--MID(LEFT(SUBSTITUTE(SUBSTITUTE(SUBSTITUTE(SUBSTITUTE(TRIM($AR811),"-",""),".",""),"/","")," ",""),8),5,2),--MID(LEFT(SUBSTITUTE(SUBSTITUTE(SUBSTITUTE(SUBSTITUTE(TRIM($AR811),"-",""),".",""),"/","")," ",""),8),7,2)),"")))</f>
        <v/>
      </c>
      <c r="AT811" s="23">
        <f>IF($AS811="","",IF($F$6="",0,IF(ISNUMBER(INDEX($A:$AP,ROW(),$F$6)),INDEX($A:$AP,ROW(),$F$6),IFERROR(--SUBSTITUTE(SUBSTITUTE(TRIM(INDEX($A:$AP,ROW(),$F$6)),",",""),"원",""),0))))</f>
        <v/>
      </c>
      <c r="AU811" s="23">
        <f>IF($AS811="","",IF($G$6="",0,IF(ISNUMBER(INDEX($A:$AP,ROW(),$G$6)),INDEX($A:$AP,ROW(),$G$6),IFERROR(--SUBSTITUTE(SUBSTITUTE(TRIM(INDEX($A:$AP,ROW(),$G$6)),",",""),"원",""),0))))</f>
        <v/>
      </c>
      <c r="AV811" s="23">
        <f>IF($AS811="","",IF($H$6="",$AT811+$AU811,IF($H$6="",0,IF(ISNUMBER(INDEX($A:$AP,ROW(),$H$6)),INDEX($A:$AP,ROW(),$H$6),IFERROR(--SUBSTITUTE(SUBSTITUTE(TRIM(INDEX($A:$AP,ROW(),$H$6)),",",""),"원",""),0)))))</f>
        <v/>
      </c>
      <c r="AW811" s="2">
        <f>IF(OR($AS811="",$C$6=""),"",TRIM(INDEX($A:$AP,ROW(),$C$6)&amp;""))</f>
        <v/>
      </c>
      <c r="AX811" s="2">
        <f>IF($AS811="","",IF($AZ811&lt;&gt;"",SUBSTITUTE(SUBSTITUTE($AZ811,"-","")," ",""),$AY811))</f>
        <v/>
      </c>
      <c r="AY811" s="2">
        <f>IF(OR($AS811="",$E$6=""),"",TRIM(INDEX($A:$AP,ROW(),$E$6)&amp;""))</f>
        <v/>
      </c>
      <c r="AZ811" s="2">
        <f>IF(OR($AS811="",$D$6=""),"",TRIM(INDEX($A:$AP,ROW(),$D$6)&amp;""))</f>
        <v/>
      </c>
      <c r="BA811" s="2">
        <f>IF($AS811="","",IF(AND($AS811&gt;=설정!$B$10,$AS811&lt;=설정!$B$11),"포함","기간 밖"))</f>
        <v/>
      </c>
      <c r="BB811" s="2">
        <f>IF($AS811="","",IF(OR($AT811&lt;0,AND($I$6&lt;&gt;"",ISNUMBER(FIND("수정",INDEX($A:$AP,ROW(),IF($I$6="",1,$I$6))&amp;"")))),"수정","일반"))</f>
        <v/>
      </c>
      <c r="BC811" s="2">
        <f>IF($AS811="","",MID(IF($BA811="기간 밖"," / 기간 밖(신고기간 아님)","")&amp;IF(AND($AW811&lt;&gt;"",COUNTIF($AW$8:$AW$1007,$AW811)&gt;1)," / 승인번호 중복(두 번 붙여넣기?)","")&amp;IF(ABS($AU811-ROUND($AT811*0.1,0))&gt;설정!$B$8,IF($AU811=0," / 세액 0원(영세율·면세 여부 확인)"," / 세액이 공급가액 10%와 다름"),"")&amp;IF($BB811="수정"," / 수정세금계산서(합계에서 자동 가감)",""),4,200))</f>
        <v/>
      </c>
      <c r="BD811" s="2">
        <f>IF($BA811&lt;&gt;"포함","",IF(COUNTIFS($AX$8:$AX811,$AX811,$BA$8:$BA811,"포함")=1,MAX($BD$7:BD810)+1,""))</f>
        <v/>
      </c>
      <c r="BE811" s="2">
        <f>IF($BC811="","",MAX($BE$7:BE810)+1)</f>
        <v/>
      </c>
    </row>
    <row r="812">
      <c r="AR812" s="2">
        <f>IF(OR($A$5="",$B$6="",ROW()&lt;$A$5),"",IF(INDEX($A:$AP,ROW(),$B$6)="","",INDEX($A:$AP,ROW(),$B$6)))</f>
        <v/>
      </c>
      <c r="AS812" s="22">
        <f>IF($AR812="","",IF(ISNUMBER($AR812),IF($AR812&gt;=10000000,IFERROR(DATE(INT($AR812/10000),MOD(INT($AR812/100),100),MOD($AR812,100)),""),INT($AR812)),IFERROR(DATE(--LEFT(LEFT(SUBSTITUTE(SUBSTITUTE(SUBSTITUTE(SUBSTITUTE(TRIM($AR812),"-",""),".",""),"/","")," ",""),8),4),--MID(LEFT(SUBSTITUTE(SUBSTITUTE(SUBSTITUTE(SUBSTITUTE(TRIM($AR812),"-",""),".",""),"/","")," ",""),8),5,2),--MID(LEFT(SUBSTITUTE(SUBSTITUTE(SUBSTITUTE(SUBSTITUTE(TRIM($AR812),"-",""),".",""),"/","")," ",""),8),7,2)),"")))</f>
        <v/>
      </c>
      <c r="AT812" s="23">
        <f>IF($AS812="","",IF($F$6="",0,IF(ISNUMBER(INDEX($A:$AP,ROW(),$F$6)),INDEX($A:$AP,ROW(),$F$6),IFERROR(--SUBSTITUTE(SUBSTITUTE(TRIM(INDEX($A:$AP,ROW(),$F$6)),",",""),"원",""),0))))</f>
        <v/>
      </c>
      <c r="AU812" s="23">
        <f>IF($AS812="","",IF($G$6="",0,IF(ISNUMBER(INDEX($A:$AP,ROW(),$G$6)),INDEX($A:$AP,ROW(),$G$6),IFERROR(--SUBSTITUTE(SUBSTITUTE(TRIM(INDEX($A:$AP,ROW(),$G$6)),",",""),"원",""),0))))</f>
        <v/>
      </c>
      <c r="AV812" s="23">
        <f>IF($AS812="","",IF($H$6="",$AT812+$AU812,IF($H$6="",0,IF(ISNUMBER(INDEX($A:$AP,ROW(),$H$6)),INDEX($A:$AP,ROW(),$H$6),IFERROR(--SUBSTITUTE(SUBSTITUTE(TRIM(INDEX($A:$AP,ROW(),$H$6)),",",""),"원",""),0)))))</f>
        <v/>
      </c>
      <c r="AW812" s="2">
        <f>IF(OR($AS812="",$C$6=""),"",TRIM(INDEX($A:$AP,ROW(),$C$6)&amp;""))</f>
        <v/>
      </c>
      <c r="AX812" s="2">
        <f>IF($AS812="","",IF($AZ812&lt;&gt;"",SUBSTITUTE(SUBSTITUTE($AZ812,"-","")," ",""),$AY812))</f>
        <v/>
      </c>
      <c r="AY812" s="2">
        <f>IF(OR($AS812="",$E$6=""),"",TRIM(INDEX($A:$AP,ROW(),$E$6)&amp;""))</f>
        <v/>
      </c>
      <c r="AZ812" s="2">
        <f>IF(OR($AS812="",$D$6=""),"",TRIM(INDEX($A:$AP,ROW(),$D$6)&amp;""))</f>
        <v/>
      </c>
      <c r="BA812" s="2">
        <f>IF($AS812="","",IF(AND($AS812&gt;=설정!$B$10,$AS812&lt;=설정!$B$11),"포함","기간 밖"))</f>
        <v/>
      </c>
      <c r="BB812" s="2">
        <f>IF($AS812="","",IF(OR($AT812&lt;0,AND($I$6&lt;&gt;"",ISNUMBER(FIND("수정",INDEX($A:$AP,ROW(),IF($I$6="",1,$I$6))&amp;"")))),"수정","일반"))</f>
        <v/>
      </c>
      <c r="BC812" s="2">
        <f>IF($AS812="","",MID(IF($BA812="기간 밖"," / 기간 밖(신고기간 아님)","")&amp;IF(AND($AW812&lt;&gt;"",COUNTIF($AW$8:$AW$1007,$AW812)&gt;1)," / 승인번호 중복(두 번 붙여넣기?)","")&amp;IF(ABS($AU812-ROUND($AT812*0.1,0))&gt;설정!$B$8,IF($AU812=0," / 세액 0원(영세율·면세 여부 확인)"," / 세액이 공급가액 10%와 다름"),"")&amp;IF($BB812="수정"," / 수정세금계산서(합계에서 자동 가감)",""),4,200))</f>
        <v/>
      </c>
      <c r="BD812" s="2">
        <f>IF($BA812&lt;&gt;"포함","",IF(COUNTIFS($AX$8:$AX812,$AX812,$BA$8:$BA812,"포함")=1,MAX($BD$7:BD811)+1,""))</f>
        <v/>
      </c>
      <c r="BE812" s="2">
        <f>IF($BC812="","",MAX($BE$7:BE811)+1)</f>
        <v/>
      </c>
    </row>
    <row r="813">
      <c r="AR813" s="2">
        <f>IF(OR($A$5="",$B$6="",ROW()&lt;$A$5),"",IF(INDEX($A:$AP,ROW(),$B$6)="","",INDEX($A:$AP,ROW(),$B$6)))</f>
        <v/>
      </c>
      <c r="AS813" s="22">
        <f>IF($AR813="","",IF(ISNUMBER($AR813),IF($AR813&gt;=10000000,IFERROR(DATE(INT($AR813/10000),MOD(INT($AR813/100),100),MOD($AR813,100)),""),INT($AR813)),IFERROR(DATE(--LEFT(LEFT(SUBSTITUTE(SUBSTITUTE(SUBSTITUTE(SUBSTITUTE(TRIM($AR813),"-",""),".",""),"/","")," ",""),8),4),--MID(LEFT(SUBSTITUTE(SUBSTITUTE(SUBSTITUTE(SUBSTITUTE(TRIM($AR813),"-",""),".",""),"/","")," ",""),8),5,2),--MID(LEFT(SUBSTITUTE(SUBSTITUTE(SUBSTITUTE(SUBSTITUTE(TRIM($AR813),"-",""),".",""),"/","")," ",""),8),7,2)),"")))</f>
        <v/>
      </c>
      <c r="AT813" s="23">
        <f>IF($AS813="","",IF($F$6="",0,IF(ISNUMBER(INDEX($A:$AP,ROW(),$F$6)),INDEX($A:$AP,ROW(),$F$6),IFERROR(--SUBSTITUTE(SUBSTITUTE(TRIM(INDEX($A:$AP,ROW(),$F$6)),",",""),"원",""),0))))</f>
        <v/>
      </c>
      <c r="AU813" s="23">
        <f>IF($AS813="","",IF($G$6="",0,IF(ISNUMBER(INDEX($A:$AP,ROW(),$G$6)),INDEX($A:$AP,ROW(),$G$6),IFERROR(--SUBSTITUTE(SUBSTITUTE(TRIM(INDEX($A:$AP,ROW(),$G$6)),",",""),"원",""),0))))</f>
        <v/>
      </c>
      <c r="AV813" s="23">
        <f>IF($AS813="","",IF($H$6="",$AT813+$AU813,IF($H$6="",0,IF(ISNUMBER(INDEX($A:$AP,ROW(),$H$6)),INDEX($A:$AP,ROW(),$H$6),IFERROR(--SUBSTITUTE(SUBSTITUTE(TRIM(INDEX($A:$AP,ROW(),$H$6)),",",""),"원",""),0)))))</f>
        <v/>
      </c>
      <c r="AW813" s="2">
        <f>IF(OR($AS813="",$C$6=""),"",TRIM(INDEX($A:$AP,ROW(),$C$6)&amp;""))</f>
        <v/>
      </c>
      <c r="AX813" s="2">
        <f>IF($AS813="","",IF($AZ813&lt;&gt;"",SUBSTITUTE(SUBSTITUTE($AZ813,"-","")," ",""),$AY813))</f>
        <v/>
      </c>
      <c r="AY813" s="2">
        <f>IF(OR($AS813="",$E$6=""),"",TRIM(INDEX($A:$AP,ROW(),$E$6)&amp;""))</f>
        <v/>
      </c>
      <c r="AZ813" s="2">
        <f>IF(OR($AS813="",$D$6=""),"",TRIM(INDEX($A:$AP,ROW(),$D$6)&amp;""))</f>
        <v/>
      </c>
      <c r="BA813" s="2">
        <f>IF($AS813="","",IF(AND($AS813&gt;=설정!$B$10,$AS813&lt;=설정!$B$11),"포함","기간 밖"))</f>
        <v/>
      </c>
      <c r="BB813" s="2">
        <f>IF($AS813="","",IF(OR($AT813&lt;0,AND($I$6&lt;&gt;"",ISNUMBER(FIND("수정",INDEX($A:$AP,ROW(),IF($I$6="",1,$I$6))&amp;"")))),"수정","일반"))</f>
        <v/>
      </c>
      <c r="BC813" s="2">
        <f>IF($AS813="","",MID(IF($BA813="기간 밖"," / 기간 밖(신고기간 아님)","")&amp;IF(AND($AW813&lt;&gt;"",COUNTIF($AW$8:$AW$1007,$AW813)&gt;1)," / 승인번호 중복(두 번 붙여넣기?)","")&amp;IF(ABS($AU813-ROUND($AT813*0.1,0))&gt;설정!$B$8,IF($AU813=0," / 세액 0원(영세율·면세 여부 확인)"," / 세액이 공급가액 10%와 다름"),"")&amp;IF($BB813="수정"," / 수정세금계산서(합계에서 자동 가감)",""),4,200))</f>
        <v/>
      </c>
      <c r="BD813" s="2">
        <f>IF($BA813&lt;&gt;"포함","",IF(COUNTIFS($AX$8:$AX813,$AX813,$BA$8:$BA813,"포함")=1,MAX($BD$7:BD812)+1,""))</f>
        <v/>
      </c>
      <c r="BE813" s="2">
        <f>IF($BC813="","",MAX($BE$7:BE812)+1)</f>
        <v/>
      </c>
    </row>
    <row r="814">
      <c r="AR814" s="2">
        <f>IF(OR($A$5="",$B$6="",ROW()&lt;$A$5),"",IF(INDEX($A:$AP,ROW(),$B$6)="","",INDEX($A:$AP,ROW(),$B$6)))</f>
        <v/>
      </c>
      <c r="AS814" s="22">
        <f>IF($AR814="","",IF(ISNUMBER($AR814),IF($AR814&gt;=10000000,IFERROR(DATE(INT($AR814/10000),MOD(INT($AR814/100),100),MOD($AR814,100)),""),INT($AR814)),IFERROR(DATE(--LEFT(LEFT(SUBSTITUTE(SUBSTITUTE(SUBSTITUTE(SUBSTITUTE(TRIM($AR814),"-",""),".",""),"/","")," ",""),8),4),--MID(LEFT(SUBSTITUTE(SUBSTITUTE(SUBSTITUTE(SUBSTITUTE(TRIM($AR814),"-",""),".",""),"/","")," ",""),8),5,2),--MID(LEFT(SUBSTITUTE(SUBSTITUTE(SUBSTITUTE(SUBSTITUTE(TRIM($AR814),"-",""),".",""),"/","")," ",""),8),7,2)),"")))</f>
        <v/>
      </c>
      <c r="AT814" s="23">
        <f>IF($AS814="","",IF($F$6="",0,IF(ISNUMBER(INDEX($A:$AP,ROW(),$F$6)),INDEX($A:$AP,ROW(),$F$6),IFERROR(--SUBSTITUTE(SUBSTITUTE(TRIM(INDEX($A:$AP,ROW(),$F$6)),",",""),"원",""),0))))</f>
        <v/>
      </c>
      <c r="AU814" s="23">
        <f>IF($AS814="","",IF($G$6="",0,IF(ISNUMBER(INDEX($A:$AP,ROW(),$G$6)),INDEX($A:$AP,ROW(),$G$6),IFERROR(--SUBSTITUTE(SUBSTITUTE(TRIM(INDEX($A:$AP,ROW(),$G$6)),",",""),"원",""),0))))</f>
        <v/>
      </c>
      <c r="AV814" s="23">
        <f>IF($AS814="","",IF($H$6="",$AT814+$AU814,IF($H$6="",0,IF(ISNUMBER(INDEX($A:$AP,ROW(),$H$6)),INDEX($A:$AP,ROW(),$H$6),IFERROR(--SUBSTITUTE(SUBSTITUTE(TRIM(INDEX($A:$AP,ROW(),$H$6)),",",""),"원",""),0)))))</f>
        <v/>
      </c>
      <c r="AW814" s="2">
        <f>IF(OR($AS814="",$C$6=""),"",TRIM(INDEX($A:$AP,ROW(),$C$6)&amp;""))</f>
        <v/>
      </c>
      <c r="AX814" s="2">
        <f>IF($AS814="","",IF($AZ814&lt;&gt;"",SUBSTITUTE(SUBSTITUTE($AZ814,"-","")," ",""),$AY814))</f>
        <v/>
      </c>
      <c r="AY814" s="2">
        <f>IF(OR($AS814="",$E$6=""),"",TRIM(INDEX($A:$AP,ROW(),$E$6)&amp;""))</f>
        <v/>
      </c>
      <c r="AZ814" s="2">
        <f>IF(OR($AS814="",$D$6=""),"",TRIM(INDEX($A:$AP,ROW(),$D$6)&amp;""))</f>
        <v/>
      </c>
      <c r="BA814" s="2">
        <f>IF($AS814="","",IF(AND($AS814&gt;=설정!$B$10,$AS814&lt;=설정!$B$11),"포함","기간 밖"))</f>
        <v/>
      </c>
      <c r="BB814" s="2">
        <f>IF($AS814="","",IF(OR($AT814&lt;0,AND($I$6&lt;&gt;"",ISNUMBER(FIND("수정",INDEX($A:$AP,ROW(),IF($I$6="",1,$I$6))&amp;"")))),"수정","일반"))</f>
        <v/>
      </c>
      <c r="BC814" s="2">
        <f>IF($AS814="","",MID(IF($BA814="기간 밖"," / 기간 밖(신고기간 아님)","")&amp;IF(AND($AW814&lt;&gt;"",COUNTIF($AW$8:$AW$1007,$AW814)&gt;1)," / 승인번호 중복(두 번 붙여넣기?)","")&amp;IF(ABS($AU814-ROUND($AT814*0.1,0))&gt;설정!$B$8,IF($AU814=0," / 세액 0원(영세율·면세 여부 확인)"," / 세액이 공급가액 10%와 다름"),"")&amp;IF($BB814="수정"," / 수정세금계산서(합계에서 자동 가감)",""),4,200))</f>
        <v/>
      </c>
      <c r="BD814" s="2">
        <f>IF($BA814&lt;&gt;"포함","",IF(COUNTIFS($AX$8:$AX814,$AX814,$BA$8:$BA814,"포함")=1,MAX($BD$7:BD813)+1,""))</f>
        <v/>
      </c>
      <c r="BE814" s="2">
        <f>IF($BC814="","",MAX($BE$7:BE813)+1)</f>
        <v/>
      </c>
    </row>
    <row r="815">
      <c r="AR815" s="2">
        <f>IF(OR($A$5="",$B$6="",ROW()&lt;$A$5),"",IF(INDEX($A:$AP,ROW(),$B$6)="","",INDEX($A:$AP,ROW(),$B$6)))</f>
        <v/>
      </c>
      <c r="AS815" s="22">
        <f>IF($AR815="","",IF(ISNUMBER($AR815),IF($AR815&gt;=10000000,IFERROR(DATE(INT($AR815/10000),MOD(INT($AR815/100),100),MOD($AR815,100)),""),INT($AR815)),IFERROR(DATE(--LEFT(LEFT(SUBSTITUTE(SUBSTITUTE(SUBSTITUTE(SUBSTITUTE(TRIM($AR815),"-",""),".",""),"/","")," ",""),8),4),--MID(LEFT(SUBSTITUTE(SUBSTITUTE(SUBSTITUTE(SUBSTITUTE(TRIM($AR815),"-",""),".",""),"/","")," ",""),8),5,2),--MID(LEFT(SUBSTITUTE(SUBSTITUTE(SUBSTITUTE(SUBSTITUTE(TRIM($AR815),"-",""),".",""),"/","")," ",""),8),7,2)),"")))</f>
        <v/>
      </c>
      <c r="AT815" s="23">
        <f>IF($AS815="","",IF($F$6="",0,IF(ISNUMBER(INDEX($A:$AP,ROW(),$F$6)),INDEX($A:$AP,ROW(),$F$6),IFERROR(--SUBSTITUTE(SUBSTITUTE(TRIM(INDEX($A:$AP,ROW(),$F$6)),",",""),"원",""),0))))</f>
        <v/>
      </c>
      <c r="AU815" s="23">
        <f>IF($AS815="","",IF($G$6="",0,IF(ISNUMBER(INDEX($A:$AP,ROW(),$G$6)),INDEX($A:$AP,ROW(),$G$6),IFERROR(--SUBSTITUTE(SUBSTITUTE(TRIM(INDEX($A:$AP,ROW(),$G$6)),",",""),"원",""),0))))</f>
        <v/>
      </c>
      <c r="AV815" s="23">
        <f>IF($AS815="","",IF($H$6="",$AT815+$AU815,IF($H$6="",0,IF(ISNUMBER(INDEX($A:$AP,ROW(),$H$6)),INDEX($A:$AP,ROW(),$H$6),IFERROR(--SUBSTITUTE(SUBSTITUTE(TRIM(INDEX($A:$AP,ROW(),$H$6)),",",""),"원",""),0)))))</f>
        <v/>
      </c>
      <c r="AW815" s="2">
        <f>IF(OR($AS815="",$C$6=""),"",TRIM(INDEX($A:$AP,ROW(),$C$6)&amp;""))</f>
        <v/>
      </c>
      <c r="AX815" s="2">
        <f>IF($AS815="","",IF($AZ815&lt;&gt;"",SUBSTITUTE(SUBSTITUTE($AZ815,"-","")," ",""),$AY815))</f>
        <v/>
      </c>
      <c r="AY815" s="2">
        <f>IF(OR($AS815="",$E$6=""),"",TRIM(INDEX($A:$AP,ROW(),$E$6)&amp;""))</f>
        <v/>
      </c>
      <c r="AZ815" s="2">
        <f>IF(OR($AS815="",$D$6=""),"",TRIM(INDEX($A:$AP,ROW(),$D$6)&amp;""))</f>
        <v/>
      </c>
      <c r="BA815" s="2">
        <f>IF($AS815="","",IF(AND($AS815&gt;=설정!$B$10,$AS815&lt;=설정!$B$11),"포함","기간 밖"))</f>
        <v/>
      </c>
      <c r="BB815" s="2">
        <f>IF($AS815="","",IF(OR($AT815&lt;0,AND($I$6&lt;&gt;"",ISNUMBER(FIND("수정",INDEX($A:$AP,ROW(),IF($I$6="",1,$I$6))&amp;"")))),"수정","일반"))</f>
        <v/>
      </c>
      <c r="BC815" s="2">
        <f>IF($AS815="","",MID(IF($BA815="기간 밖"," / 기간 밖(신고기간 아님)","")&amp;IF(AND($AW815&lt;&gt;"",COUNTIF($AW$8:$AW$1007,$AW815)&gt;1)," / 승인번호 중복(두 번 붙여넣기?)","")&amp;IF(ABS($AU815-ROUND($AT815*0.1,0))&gt;설정!$B$8,IF($AU815=0," / 세액 0원(영세율·면세 여부 확인)"," / 세액이 공급가액 10%와 다름"),"")&amp;IF($BB815="수정"," / 수정세금계산서(합계에서 자동 가감)",""),4,200))</f>
        <v/>
      </c>
      <c r="BD815" s="2">
        <f>IF($BA815&lt;&gt;"포함","",IF(COUNTIFS($AX$8:$AX815,$AX815,$BA$8:$BA815,"포함")=1,MAX($BD$7:BD814)+1,""))</f>
        <v/>
      </c>
      <c r="BE815" s="2">
        <f>IF($BC815="","",MAX($BE$7:BE814)+1)</f>
        <v/>
      </c>
    </row>
    <row r="816">
      <c r="AR816" s="2">
        <f>IF(OR($A$5="",$B$6="",ROW()&lt;$A$5),"",IF(INDEX($A:$AP,ROW(),$B$6)="","",INDEX($A:$AP,ROW(),$B$6)))</f>
        <v/>
      </c>
      <c r="AS816" s="22">
        <f>IF($AR816="","",IF(ISNUMBER($AR816),IF($AR816&gt;=10000000,IFERROR(DATE(INT($AR816/10000),MOD(INT($AR816/100),100),MOD($AR816,100)),""),INT($AR816)),IFERROR(DATE(--LEFT(LEFT(SUBSTITUTE(SUBSTITUTE(SUBSTITUTE(SUBSTITUTE(TRIM($AR816),"-",""),".",""),"/","")," ",""),8),4),--MID(LEFT(SUBSTITUTE(SUBSTITUTE(SUBSTITUTE(SUBSTITUTE(TRIM($AR816),"-",""),".",""),"/","")," ",""),8),5,2),--MID(LEFT(SUBSTITUTE(SUBSTITUTE(SUBSTITUTE(SUBSTITUTE(TRIM($AR816),"-",""),".",""),"/","")," ",""),8),7,2)),"")))</f>
        <v/>
      </c>
      <c r="AT816" s="23">
        <f>IF($AS816="","",IF($F$6="",0,IF(ISNUMBER(INDEX($A:$AP,ROW(),$F$6)),INDEX($A:$AP,ROW(),$F$6),IFERROR(--SUBSTITUTE(SUBSTITUTE(TRIM(INDEX($A:$AP,ROW(),$F$6)),",",""),"원",""),0))))</f>
        <v/>
      </c>
      <c r="AU816" s="23">
        <f>IF($AS816="","",IF($G$6="",0,IF(ISNUMBER(INDEX($A:$AP,ROW(),$G$6)),INDEX($A:$AP,ROW(),$G$6),IFERROR(--SUBSTITUTE(SUBSTITUTE(TRIM(INDEX($A:$AP,ROW(),$G$6)),",",""),"원",""),0))))</f>
        <v/>
      </c>
      <c r="AV816" s="23">
        <f>IF($AS816="","",IF($H$6="",$AT816+$AU816,IF($H$6="",0,IF(ISNUMBER(INDEX($A:$AP,ROW(),$H$6)),INDEX($A:$AP,ROW(),$H$6),IFERROR(--SUBSTITUTE(SUBSTITUTE(TRIM(INDEX($A:$AP,ROW(),$H$6)),",",""),"원",""),0)))))</f>
        <v/>
      </c>
      <c r="AW816" s="2">
        <f>IF(OR($AS816="",$C$6=""),"",TRIM(INDEX($A:$AP,ROW(),$C$6)&amp;""))</f>
        <v/>
      </c>
      <c r="AX816" s="2">
        <f>IF($AS816="","",IF($AZ816&lt;&gt;"",SUBSTITUTE(SUBSTITUTE($AZ816,"-","")," ",""),$AY816))</f>
        <v/>
      </c>
      <c r="AY816" s="2">
        <f>IF(OR($AS816="",$E$6=""),"",TRIM(INDEX($A:$AP,ROW(),$E$6)&amp;""))</f>
        <v/>
      </c>
      <c r="AZ816" s="2">
        <f>IF(OR($AS816="",$D$6=""),"",TRIM(INDEX($A:$AP,ROW(),$D$6)&amp;""))</f>
        <v/>
      </c>
      <c r="BA816" s="2">
        <f>IF($AS816="","",IF(AND($AS816&gt;=설정!$B$10,$AS816&lt;=설정!$B$11),"포함","기간 밖"))</f>
        <v/>
      </c>
      <c r="BB816" s="2">
        <f>IF($AS816="","",IF(OR($AT816&lt;0,AND($I$6&lt;&gt;"",ISNUMBER(FIND("수정",INDEX($A:$AP,ROW(),IF($I$6="",1,$I$6))&amp;"")))),"수정","일반"))</f>
        <v/>
      </c>
      <c r="BC816" s="2">
        <f>IF($AS816="","",MID(IF($BA816="기간 밖"," / 기간 밖(신고기간 아님)","")&amp;IF(AND($AW816&lt;&gt;"",COUNTIF($AW$8:$AW$1007,$AW816)&gt;1)," / 승인번호 중복(두 번 붙여넣기?)","")&amp;IF(ABS($AU816-ROUND($AT816*0.1,0))&gt;설정!$B$8,IF($AU816=0," / 세액 0원(영세율·면세 여부 확인)"," / 세액이 공급가액 10%와 다름"),"")&amp;IF($BB816="수정"," / 수정세금계산서(합계에서 자동 가감)",""),4,200))</f>
        <v/>
      </c>
      <c r="BD816" s="2">
        <f>IF($BA816&lt;&gt;"포함","",IF(COUNTIFS($AX$8:$AX816,$AX816,$BA$8:$BA816,"포함")=1,MAX($BD$7:BD815)+1,""))</f>
        <v/>
      </c>
      <c r="BE816" s="2">
        <f>IF($BC816="","",MAX($BE$7:BE815)+1)</f>
        <v/>
      </c>
    </row>
    <row r="817">
      <c r="AR817" s="2">
        <f>IF(OR($A$5="",$B$6="",ROW()&lt;$A$5),"",IF(INDEX($A:$AP,ROW(),$B$6)="","",INDEX($A:$AP,ROW(),$B$6)))</f>
        <v/>
      </c>
      <c r="AS817" s="22">
        <f>IF($AR817="","",IF(ISNUMBER($AR817),IF($AR817&gt;=10000000,IFERROR(DATE(INT($AR817/10000),MOD(INT($AR817/100),100),MOD($AR817,100)),""),INT($AR817)),IFERROR(DATE(--LEFT(LEFT(SUBSTITUTE(SUBSTITUTE(SUBSTITUTE(SUBSTITUTE(TRIM($AR817),"-",""),".",""),"/","")," ",""),8),4),--MID(LEFT(SUBSTITUTE(SUBSTITUTE(SUBSTITUTE(SUBSTITUTE(TRIM($AR817),"-",""),".",""),"/","")," ",""),8),5,2),--MID(LEFT(SUBSTITUTE(SUBSTITUTE(SUBSTITUTE(SUBSTITUTE(TRIM($AR817),"-",""),".",""),"/","")," ",""),8),7,2)),"")))</f>
        <v/>
      </c>
      <c r="AT817" s="23">
        <f>IF($AS817="","",IF($F$6="",0,IF(ISNUMBER(INDEX($A:$AP,ROW(),$F$6)),INDEX($A:$AP,ROW(),$F$6),IFERROR(--SUBSTITUTE(SUBSTITUTE(TRIM(INDEX($A:$AP,ROW(),$F$6)),",",""),"원",""),0))))</f>
        <v/>
      </c>
      <c r="AU817" s="23">
        <f>IF($AS817="","",IF($G$6="",0,IF(ISNUMBER(INDEX($A:$AP,ROW(),$G$6)),INDEX($A:$AP,ROW(),$G$6),IFERROR(--SUBSTITUTE(SUBSTITUTE(TRIM(INDEX($A:$AP,ROW(),$G$6)),",",""),"원",""),0))))</f>
        <v/>
      </c>
      <c r="AV817" s="23">
        <f>IF($AS817="","",IF($H$6="",$AT817+$AU817,IF($H$6="",0,IF(ISNUMBER(INDEX($A:$AP,ROW(),$H$6)),INDEX($A:$AP,ROW(),$H$6),IFERROR(--SUBSTITUTE(SUBSTITUTE(TRIM(INDEX($A:$AP,ROW(),$H$6)),",",""),"원",""),0)))))</f>
        <v/>
      </c>
      <c r="AW817" s="2">
        <f>IF(OR($AS817="",$C$6=""),"",TRIM(INDEX($A:$AP,ROW(),$C$6)&amp;""))</f>
        <v/>
      </c>
      <c r="AX817" s="2">
        <f>IF($AS817="","",IF($AZ817&lt;&gt;"",SUBSTITUTE(SUBSTITUTE($AZ817,"-","")," ",""),$AY817))</f>
        <v/>
      </c>
      <c r="AY817" s="2">
        <f>IF(OR($AS817="",$E$6=""),"",TRIM(INDEX($A:$AP,ROW(),$E$6)&amp;""))</f>
        <v/>
      </c>
      <c r="AZ817" s="2">
        <f>IF(OR($AS817="",$D$6=""),"",TRIM(INDEX($A:$AP,ROW(),$D$6)&amp;""))</f>
        <v/>
      </c>
      <c r="BA817" s="2">
        <f>IF($AS817="","",IF(AND($AS817&gt;=설정!$B$10,$AS817&lt;=설정!$B$11),"포함","기간 밖"))</f>
        <v/>
      </c>
      <c r="BB817" s="2">
        <f>IF($AS817="","",IF(OR($AT817&lt;0,AND($I$6&lt;&gt;"",ISNUMBER(FIND("수정",INDEX($A:$AP,ROW(),IF($I$6="",1,$I$6))&amp;"")))),"수정","일반"))</f>
        <v/>
      </c>
      <c r="BC817" s="2">
        <f>IF($AS817="","",MID(IF($BA817="기간 밖"," / 기간 밖(신고기간 아님)","")&amp;IF(AND($AW817&lt;&gt;"",COUNTIF($AW$8:$AW$1007,$AW817)&gt;1)," / 승인번호 중복(두 번 붙여넣기?)","")&amp;IF(ABS($AU817-ROUND($AT817*0.1,0))&gt;설정!$B$8,IF($AU817=0," / 세액 0원(영세율·면세 여부 확인)"," / 세액이 공급가액 10%와 다름"),"")&amp;IF($BB817="수정"," / 수정세금계산서(합계에서 자동 가감)",""),4,200))</f>
        <v/>
      </c>
      <c r="BD817" s="2">
        <f>IF($BA817&lt;&gt;"포함","",IF(COUNTIFS($AX$8:$AX817,$AX817,$BA$8:$BA817,"포함")=1,MAX($BD$7:BD816)+1,""))</f>
        <v/>
      </c>
      <c r="BE817" s="2">
        <f>IF($BC817="","",MAX($BE$7:BE816)+1)</f>
        <v/>
      </c>
    </row>
    <row r="818">
      <c r="AR818" s="2">
        <f>IF(OR($A$5="",$B$6="",ROW()&lt;$A$5),"",IF(INDEX($A:$AP,ROW(),$B$6)="","",INDEX($A:$AP,ROW(),$B$6)))</f>
        <v/>
      </c>
      <c r="AS818" s="22">
        <f>IF($AR818="","",IF(ISNUMBER($AR818),IF($AR818&gt;=10000000,IFERROR(DATE(INT($AR818/10000),MOD(INT($AR818/100),100),MOD($AR818,100)),""),INT($AR818)),IFERROR(DATE(--LEFT(LEFT(SUBSTITUTE(SUBSTITUTE(SUBSTITUTE(SUBSTITUTE(TRIM($AR818),"-",""),".",""),"/","")," ",""),8),4),--MID(LEFT(SUBSTITUTE(SUBSTITUTE(SUBSTITUTE(SUBSTITUTE(TRIM($AR818),"-",""),".",""),"/","")," ",""),8),5,2),--MID(LEFT(SUBSTITUTE(SUBSTITUTE(SUBSTITUTE(SUBSTITUTE(TRIM($AR818),"-",""),".",""),"/","")," ",""),8),7,2)),"")))</f>
        <v/>
      </c>
      <c r="AT818" s="23">
        <f>IF($AS818="","",IF($F$6="",0,IF(ISNUMBER(INDEX($A:$AP,ROW(),$F$6)),INDEX($A:$AP,ROW(),$F$6),IFERROR(--SUBSTITUTE(SUBSTITUTE(TRIM(INDEX($A:$AP,ROW(),$F$6)),",",""),"원",""),0))))</f>
        <v/>
      </c>
      <c r="AU818" s="23">
        <f>IF($AS818="","",IF($G$6="",0,IF(ISNUMBER(INDEX($A:$AP,ROW(),$G$6)),INDEX($A:$AP,ROW(),$G$6),IFERROR(--SUBSTITUTE(SUBSTITUTE(TRIM(INDEX($A:$AP,ROW(),$G$6)),",",""),"원",""),0))))</f>
        <v/>
      </c>
      <c r="AV818" s="23">
        <f>IF($AS818="","",IF($H$6="",$AT818+$AU818,IF($H$6="",0,IF(ISNUMBER(INDEX($A:$AP,ROW(),$H$6)),INDEX($A:$AP,ROW(),$H$6),IFERROR(--SUBSTITUTE(SUBSTITUTE(TRIM(INDEX($A:$AP,ROW(),$H$6)),",",""),"원",""),0)))))</f>
        <v/>
      </c>
      <c r="AW818" s="2">
        <f>IF(OR($AS818="",$C$6=""),"",TRIM(INDEX($A:$AP,ROW(),$C$6)&amp;""))</f>
        <v/>
      </c>
      <c r="AX818" s="2">
        <f>IF($AS818="","",IF($AZ818&lt;&gt;"",SUBSTITUTE(SUBSTITUTE($AZ818,"-","")," ",""),$AY818))</f>
        <v/>
      </c>
      <c r="AY818" s="2">
        <f>IF(OR($AS818="",$E$6=""),"",TRIM(INDEX($A:$AP,ROW(),$E$6)&amp;""))</f>
        <v/>
      </c>
      <c r="AZ818" s="2">
        <f>IF(OR($AS818="",$D$6=""),"",TRIM(INDEX($A:$AP,ROW(),$D$6)&amp;""))</f>
        <v/>
      </c>
      <c r="BA818" s="2">
        <f>IF($AS818="","",IF(AND($AS818&gt;=설정!$B$10,$AS818&lt;=설정!$B$11),"포함","기간 밖"))</f>
        <v/>
      </c>
      <c r="BB818" s="2">
        <f>IF($AS818="","",IF(OR($AT818&lt;0,AND($I$6&lt;&gt;"",ISNUMBER(FIND("수정",INDEX($A:$AP,ROW(),IF($I$6="",1,$I$6))&amp;"")))),"수정","일반"))</f>
        <v/>
      </c>
      <c r="BC818" s="2">
        <f>IF($AS818="","",MID(IF($BA818="기간 밖"," / 기간 밖(신고기간 아님)","")&amp;IF(AND($AW818&lt;&gt;"",COUNTIF($AW$8:$AW$1007,$AW818)&gt;1)," / 승인번호 중복(두 번 붙여넣기?)","")&amp;IF(ABS($AU818-ROUND($AT818*0.1,0))&gt;설정!$B$8,IF($AU818=0," / 세액 0원(영세율·면세 여부 확인)"," / 세액이 공급가액 10%와 다름"),"")&amp;IF($BB818="수정"," / 수정세금계산서(합계에서 자동 가감)",""),4,200))</f>
        <v/>
      </c>
      <c r="BD818" s="2">
        <f>IF($BA818&lt;&gt;"포함","",IF(COUNTIFS($AX$8:$AX818,$AX818,$BA$8:$BA818,"포함")=1,MAX($BD$7:BD817)+1,""))</f>
        <v/>
      </c>
      <c r="BE818" s="2">
        <f>IF($BC818="","",MAX($BE$7:BE817)+1)</f>
        <v/>
      </c>
    </row>
    <row r="819">
      <c r="AR819" s="2">
        <f>IF(OR($A$5="",$B$6="",ROW()&lt;$A$5),"",IF(INDEX($A:$AP,ROW(),$B$6)="","",INDEX($A:$AP,ROW(),$B$6)))</f>
        <v/>
      </c>
      <c r="AS819" s="22">
        <f>IF($AR819="","",IF(ISNUMBER($AR819),IF($AR819&gt;=10000000,IFERROR(DATE(INT($AR819/10000),MOD(INT($AR819/100),100),MOD($AR819,100)),""),INT($AR819)),IFERROR(DATE(--LEFT(LEFT(SUBSTITUTE(SUBSTITUTE(SUBSTITUTE(SUBSTITUTE(TRIM($AR819),"-",""),".",""),"/","")," ",""),8),4),--MID(LEFT(SUBSTITUTE(SUBSTITUTE(SUBSTITUTE(SUBSTITUTE(TRIM($AR819),"-",""),".",""),"/","")," ",""),8),5,2),--MID(LEFT(SUBSTITUTE(SUBSTITUTE(SUBSTITUTE(SUBSTITUTE(TRIM($AR819),"-",""),".",""),"/","")," ",""),8),7,2)),"")))</f>
        <v/>
      </c>
      <c r="AT819" s="23">
        <f>IF($AS819="","",IF($F$6="",0,IF(ISNUMBER(INDEX($A:$AP,ROW(),$F$6)),INDEX($A:$AP,ROW(),$F$6),IFERROR(--SUBSTITUTE(SUBSTITUTE(TRIM(INDEX($A:$AP,ROW(),$F$6)),",",""),"원",""),0))))</f>
        <v/>
      </c>
      <c r="AU819" s="23">
        <f>IF($AS819="","",IF($G$6="",0,IF(ISNUMBER(INDEX($A:$AP,ROW(),$G$6)),INDEX($A:$AP,ROW(),$G$6),IFERROR(--SUBSTITUTE(SUBSTITUTE(TRIM(INDEX($A:$AP,ROW(),$G$6)),",",""),"원",""),0))))</f>
        <v/>
      </c>
      <c r="AV819" s="23">
        <f>IF($AS819="","",IF($H$6="",$AT819+$AU819,IF($H$6="",0,IF(ISNUMBER(INDEX($A:$AP,ROW(),$H$6)),INDEX($A:$AP,ROW(),$H$6),IFERROR(--SUBSTITUTE(SUBSTITUTE(TRIM(INDEX($A:$AP,ROW(),$H$6)),",",""),"원",""),0)))))</f>
        <v/>
      </c>
      <c r="AW819" s="2">
        <f>IF(OR($AS819="",$C$6=""),"",TRIM(INDEX($A:$AP,ROW(),$C$6)&amp;""))</f>
        <v/>
      </c>
      <c r="AX819" s="2">
        <f>IF($AS819="","",IF($AZ819&lt;&gt;"",SUBSTITUTE(SUBSTITUTE($AZ819,"-","")," ",""),$AY819))</f>
        <v/>
      </c>
      <c r="AY819" s="2">
        <f>IF(OR($AS819="",$E$6=""),"",TRIM(INDEX($A:$AP,ROW(),$E$6)&amp;""))</f>
        <v/>
      </c>
      <c r="AZ819" s="2">
        <f>IF(OR($AS819="",$D$6=""),"",TRIM(INDEX($A:$AP,ROW(),$D$6)&amp;""))</f>
        <v/>
      </c>
      <c r="BA819" s="2">
        <f>IF($AS819="","",IF(AND($AS819&gt;=설정!$B$10,$AS819&lt;=설정!$B$11),"포함","기간 밖"))</f>
        <v/>
      </c>
      <c r="BB819" s="2">
        <f>IF($AS819="","",IF(OR($AT819&lt;0,AND($I$6&lt;&gt;"",ISNUMBER(FIND("수정",INDEX($A:$AP,ROW(),IF($I$6="",1,$I$6))&amp;"")))),"수정","일반"))</f>
        <v/>
      </c>
      <c r="BC819" s="2">
        <f>IF($AS819="","",MID(IF($BA819="기간 밖"," / 기간 밖(신고기간 아님)","")&amp;IF(AND($AW819&lt;&gt;"",COUNTIF($AW$8:$AW$1007,$AW819)&gt;1)," / 승인번호 중복(두 번 붙여넣기?)","")&amp;IF(ABS($AU819-ROUND($AT819*0.1,0))&gt;설정!$B$8,IF($AU819=0," / 세액 0원(영세율·면세 여부 확인)"," / 세액이 공급가액 10%와 다름"),"")&amp;IF($BB819="수정"," / 수정세금계산서(합계에서 자동 가감)",""),4,200))</f>
        <v/>
      </c>
      <c r="BD819" s="2">
        <f>IF($BA819&lt;&gt;"포함","",IF(COUNTIFS($AX$8:$AX819,$AX819,$BA$8:$BA819,"포함")=1,MAX($BD$7:BD818)+1,""))</f>
        <v/>
      </c>
      <c r="BE819" s="2">
        <f>IF($BC819="","",MAX($BE$7:BE818)+1)</f>
        <v/>
      </c>
    </row>
    <row r="820">
      <c r="AR820" s="2">
        <f>IF(OR($A$5="",$B$6="",ROW()&lt;$A$5),"",IF(INDEX($A:$AP,ROW(),$B$6)="","",INDEX($A:$AP,ROW(),$B$6)))</f>
        <v/>
      </c>
      <c r="AS820" s="22">
        <f>IF($AR820="","",IF(ISNUMBER($AR820),IF($AR820&gt;=10000000,IFERROR(DATE(INT($AR820/10000),MOD(INT($AR820/100),100),MOD($AR820,100)),""),INT($AR820)),IFERROR(DATE(--LEFT(LEFT(SUBSTITUTE(SUBSTITUTE(SUBSTITUTE(SUBSTITUTE(TRIM($AR820),"-",""),".",""),"/","")," ",""),8),4),--MID(LEFT(SUBSTITUTE(SUBSTITUTE(SUBSTITUTE(SUBSTITUTE(TRIM($AR820),"-",""),".",""),"/","")," ",""),8),5,2),--MID(LEFT(SUBSTITUTE(SUBSTITUTE(SUBSTITUTE(SUBSTITUTE(TRIM($AR820),"-",""),".",""),"/","")," ",""),8),7,2)),"")))</f>
        <v/>
      </c>
      <c r="AT820" s="23">
        <f>IF($AS820="","",IF($F$6="",0,IF(ISNUMBER(INDEX($A:$AP,ROW(),$F$6)),INDEX($A:$AP,ROW(),$F$6),IFERROR(--SUBSTITUTE(SUBSTITUTE(TRIM(INDEX($A:$AP,ROW(),$F$6)),",",""),"원",""),0))))</f>
        <v/>
      </c>
      <c r="AU820" s="23">
        <f>IF($AS820="","",IF($G$6="",0,IF(ISNUMBER(INDEX($A:$AP,ROW(),$G$6)),INDEX($A:$AP,ROW(),$G$6),IFERROR(--SUBSTITUTE(SUBSTITUTE(TRIM(INDEX($A:$AP,ROW(),$G$6)),",",""),"원",""),0))))</f>
        <v/>
      </c>
      <c r="AV820" s="23">
        <f>IF($AS820="","",IF($H$6="",$AT820+$AU820,IF($H$6="",0,IF(ISNUMBER(INDEX($A:$AP,ROW(),$H$6)),INDEX($A:$AP,ROW(),$H$6),IFERROR(--SUBSTITUTE(SUBSTITUTE(TRIM(INDEX($A:$AP,ROW(),$H$6)),",",""),"원",""),0)))))</f>
        <v/>
      </c>
      <c r="AW820" s="2">
        <f>IF(OR($AS820="",$C$6=""),"",TRIM(INDEX($A:$AP,ROW(),$C$6)&amp;""))</f>
        <v/>
      </c>
      <c r="AX820" s="2">
        <f>IF($AS820="","",IF($AZ820&lt;&gt;"",SUBSTITUTE(SUBSTITUTE($AZ820,"-","")," ",""),$AY820))</f>
        <v/>
      </c>
      <c r="AY820" s="2">
        <f>IF(OR($AS820="",$E$6=""),"",TRIM(INDEX($A:$AP,ROW(),$E$6)&amp;""))</f>
        <v/>
      </c>
      <c r="AZ820" s="2">
        <f>IF(OR($AS820="",$D$6=""),"",TRIM(INDEX($A:$AP,ROW(),$D$6)&amp;""))</f>
        <v/>
      </c>
      <c r="BA820" s="2">
        <f>IF($AS820="","",IF(AND($AS820&gt;=설정!$B$10,$AS820&lt;=설정!$B$11),"포함","기간 밖"))</f>
        <v/>
      </c>
      <c r="BB820" s="2">
        <f>IF($AS820="","",IF(OR($AT820&lt;0,AND($I$6&lt;&gt;"",ISNUMBER(FIND("수정",INDEX($A:$AP,ROW(),IF($I$6="",1,$I$6))&amp;"")))),"수정","일반"))</f>
        <v/>
      </c>
      <c r="BC820" s="2">
        <f>IF($AS820="","",MID(IF($BA820="기간 밖"," / 기간 밖(신고기간 아님)","")&amp;IF(AND($AW820&lt;&gt;"",COUNTIF($AW$8:$AW$1007,$AW820)&gt;1)," / 승인번호 중복(두 번 붙여넣기?)","")&amp;IF(ABS($AU820-ROUND($AT820*0.1,0))&gt;설정!$B$8,IF($AU820=0," / 세액 0원(영세율·면세 여부 확인)"," / 세액이 공급가액 10%와 다름"),"")&amp;IF($BB820="수정"," / 수정세금계산서(합계에서 자동 가감)",""),4,200))</f>
        <v/>
      </c>
      <c r="BD820" s="2">
        <f>IF($BA820&lt;&gt;"포함","",IF(COUNTIFS($AX$8:$AX820,$AX820,$BA$8:$BA820,"포함")=1,MAX($BD$7:BD819)+1,""))</f>
        <v/>
      </c>
      <c r="BE820" s="2">
        <f>IF($BC820="","",MAX($BE$7:BE819)+1)</f>
        <v/>
      </c>
    </row>
    <row r="821">
      <c r="AR821" s="2">
        <f>IF(OR($A$5="",$B$6="",ROW()&lt;$A$5),"",IF(INDEX($A:$AP,ROW(),$B$6)="","",INDEX($A:$AP,ROW(),$B$6)))</f>
        <v/>
      </c>
      <c r="AS821" s="22">
        <f>IF($AR821="","",IF(ISNUMBER($AR821),IF($AR821&gt;=10000000,IFERROR(DATE(INT($AR821/10000),MOD(INT($AR821/100),100),MOD($AR821,100)),""),INT($AR821)),IFERROR(DATE(--LEFT(LEFT(SUBSTITUTE(SUBSTITUTE(SUBSTITUTE(SUBSTITUTE(TRIM($AR821),"-",""),".",""),"/","")," ",""),8),4),--MID(LEFT(SUBSTITUTE(SUBSTITUTE(SUBSTITUTE(SUBSTITUTE(TRIM($AR821),"-",""),".",""),"/","")," ",""),8),5,2),--MID(LEFT(SUBSTITUTE(SUBSTITUTE(SUBSTITUTE(SUBSTITUTE(TRIM($AR821),"-",""),".",""),"/","")," ",""),8),7,2)),"")))</f>
        <v/>
      </c>
      <c r="AT821" s="23">
        <f>IF($AS821="","",IF($F$6="",0,IF(ISNUMBER(INDEX($A:$AP,ROW(),$F$6)),INDEX($A:$AP,ROW(),$F$6),IFERROR(--SUBSTITUTE(SUBSTITUTE(TRIM(INDEX($A:$AP,ROW(),$F$6)),",",""),"원",""),0))))</f>
        <v/>
      </c>
      <c r="AU821" s="23">
        <f>IF($AS821="","",IF($G$6="",0,IF(ISNUMBER(INDEX($A:$AP,ROW(),$G$6)),INDEX($A:$AP,ROW(),$G$6),IFERROR(--SUBSTITUTE(SUBSTITUTE(TRIM(INDEX($A:$AP,ROW(),$G$6)),",",""),"원",""),0))))</f>
        <v/>
      </c>
      <c r="AV821" s="23">
        <f>IF($AS821="","",IF($H$6="",$AT821+$AU821,IF($H$6="",0,IF(ISNUMBER(INDEX($A:$AP,ROW(),$H$6)),INDEX($A:$AP,ROW(),$H$6),IFERROR(--SUBSTITUTE(SUBSTITUTE(TRIM(INDEX($A:$AP,ROW(),$H$6)),",",""),"원",""),0)))))</f>
        <v/>
      </c>
      <c r="AW821" s="2">
        <f>IF(OR($AS821="",$C$6=""),"",TRIM(INDEX($A:$AP,ROW(),$C$6)&amp;""))</f>
        <v/>
      </c>
      <c r="AX821" s="2">
        <f>IF($AS821="","",IF($AZ821&lt;&gt;"",SUBSTITUTE(SUBSTITUTE($AZ821,"-","")," ",""),$AY821))</f>
        <v/>
      </c>
      <c r="AY821" s="2">
        <f>IF(OR($AS821="",$E$6=""),"",TRIM(INDEX($A:$AP,ROW(),$E$6)&amp;""))</f>
        <v/>
      </c>
      <c r="AZ821" s="2">
        <f>IF(OR($AS821="",$D$6=""),"",TRIM(INDEX($A:$AP,ROW(),$D$6)&amp;""))</f>
        <v/>
      </c>
      <c r="BA821" s="2">
        <f>IF($AS821="","",IF(AND($AS821&gt;=설정!$B$10,$AS821&lt;=설정!$B$11),"포함","기간 밖"))</f>
        <v/>
      </c>
      <c r="BB821" s="2">
        <f>IF($AS821="","",IF(OR($AT821&lt;0,AND($I$6&lt;&gt;"",ISNUMBER(FIND("수정",INDEX($A:$AP,ROW(),IF($I$6="",1,$I$6))&amp;"")))),"수정","일반"))</f>
        <v/>
      </c>
      <c r="BC821" s="2">
        <f>IF($AS821="","",MID(IF($BA821="기간 밖"," / 기간 밖(신고기간 아님)","")&amp;IF(AND($AW821&lt;&gt;"",COUNTIF($AW$8:$AW$1007,$AW821)&gt;1)," / 승인번호 중복(두 번 붙여넣기?)","")&amp;IF(ABS($AU821-ROUND($AT821*0.1,0))&gt;설정!$B$8,IF($AU821=0," / 세액 0원(영세율·면세 여부 확인)"," / 세액이 공급가액 10%와 다름"),"")&amp;IF($BB821="수정"," / 수정세금계산서(합계에서 자동 가감)",""),4,200))</f>
        <v/>
      </c>
      <c r="BD821" s="2">
        <f>IF($BA821&lt;&gt;"포함","",IF(COUNTIFS($AX$8:$AX821,$AX821,$BA$8:$BA821,"포함")=1,MAX($BD$7:BD820)+1,""))</f>
        <v/>
      </c>
      <c r="BE821" s="2">
        <f>IF($BC821="","",MAX($BE$7:BE820)+1)</f>
        <v/>
      </c>
    </row>
    <row r="822">
      <c r="AR822" s="2">
        <f>IF(OR($A$5="",$B$6="",ROW()&lt;$A$5),"",IF(INDEX($A:$AP,ROW(),$B$6)="","",INDEX($A:$AP,ROW(),$B$6)))</f>
        <v/>
      </c>
      <c r="AS822" s="22">
        <f>IF($AR822="","",IF(ISNUMBER($AR822),IF($AR822&gt;=10000000,IFERROR(DATE(INT($AR822/10000),MOD(INT($AR822/100),100),MOD($AR822,100)),""),INT($AR822)),IFERROR(DATE(--LEFT(LEFT(SUBSTITUTE(SUBSTITUTE(SUBSTITUTE(SUBSTITUTE(TRIM($AR822),"-",""),".",""),"/","")," ",""),8),4),--MID(LEFT(SUBSTITUTE(SUBSTITUTE(SUBSTITUTE(SUBSTITUTE(TRIM($AR822),"-",""),".",""),"/","")," ",""),8),5,2),--MID(LEFT(SUBSTITUTE(SUBSTITUTE(SUBSTITUTE(SUBSTITUTE(TRIM($AR822),"-",""),".",""),"/","")," ",""),8),7,2)),"")))</f>
        <v/>
      </c>
      <c r="AT822" s="23">
        <f>IF($AS822="","",IF($F$6="",0,IF(ISNUMBER(INDEX($A:$AP,ROW(),$F$6)),INDEX($A:$AP,ROW(),$F$6),IFERROR(--SUBSTITUTE(SUBSTITUTE(TRIM(INDEX($A:$AP,ROW(),$F$6)),",",""),"원",""),0))))</f>
        <v/>
      </c>
      <c r="AU822" s="23">
        <f>IF($AS822="","",IF($G$6="",0,IF(ISNUMBER(INDEX($A:$AP,ROW(),$G$6)),INDEX($A:$AP,ROW(),$G$6),IFERROR(--SUBSTITUTE(SUBSTITUTE(TRIM(INDEX($A:$AP,ROW(),$G$6)),",",""),"원",""),0))))</f>
        <v/>
      </c>
      <c r="AV822" s="23">
        <f>IF($AS822="","",IF($H$6="",$AT822+$AU822,IF($H$6="",0,IF(ISNUMBER(INDEX($A:$AP,ROW(),$H$6)),INDEX($A:$AP,ROW(),$H$6),IFERROR(--SUBSTITUTE(SUBSTITUTE(TRIM(INDEX($A:$AP,ROW(),$H$6)),",",""),"원",""),0)))))</f>
        <v/>
      </c>
      <c r="AW822" s="2">
        <f>IF(OR($AS822="",$C$6=""),"",TRIM(INDEX($A:$AP,ROW(),$C$6)&amp;""))</f>
        <v/>
      </c>
      <c r="AX822" s="2">
        <f>IF($AS822="","",IF($AZ822&lt;&gt;"",SUBSTITUTE(SUBSTITUTE($AZ822,"-","")," ",""),$AY822))</f>
        <v/>
      </c>
      <c r="AY822" s="2">
        <f>IF(OR($AS822="",$E$6=""),"",TRIM(INDEX($A:$AP,ROW(),$E$6)&amp;""))</f>
        <v/>
      </c>
      <c r="AZ822" s="2">
        <f>IF(OR($AS822="",$D$6=""),"",TRIM(INDEX($A:$AP,ROW(),$D$6)&amp;""))</f>
        <v/>
      </c>
      <c r="BA822" s="2">
        <f>IF($AS822="","",IF(AND($AS822&gt;=설정!$B$10,$AS822&lt;=설정!$B$11),"포함","기간 밖"))</f>
        <v/>
      </c>
      <c r="BB822" s="2">
        <f>IF($AS822="","",IF(OR($AT822&lt;0,AND($I$6&lt;&gt;"",ISNUMBER(FIND("수정",INDEX($A:$AP,ROW(),IF($I$6="",1,$I$6))&amp;"")))),"수정","일반"))</f>
        <v/>
      </c>
      <c r="BC822" s="2">
        <f>IF($AS822="","",MID(IF($BA822="기간 밖"," / 기간 밖(신고기간 아님)","")&amp;IF(AND($AW822&lt;&gt;"",COUNTIF($AW$8:$AW$1007,$AW822)&gt;1)," / 승인번호 중복(두 번 붙여넣기?)","")&amp;IF(ABS($AU822-ROUND($AT822*0.1,0))&gt;설정!$B$8,IF($AU822=0," / 세액 0원(영세율·면세 여부 확인)"," / 세액이 공급가액 10%와 다름"),"")&amp;IF($BB822="수정"," / 수정세금계산서(합계에서 자동 가감)",""),4,200))</f>
        <v/>
      </c>
      <c r="BD822" s="2">
        <f>IF($BA822&lt;&gt;"포함","",IF(COUNTIFS($AX$8:$AX822,$AX822,$BA$8:$BA822,"포함")=1,MAX($BD$7:BD821)+1,""))</f>
        <v/>
      </c>
      <c r="BE822" s="2">
        <f>IF($BC822="","",MAX($BE$7:BE821)+1)</f>
        <v/>
      </c>
    </row>
    <row r="823">
      <c r="AR823" s="2">
        <f>IF(OR($A$5="",$B$6="",ROW()&lt;$A$5),"",IF(INDEX($A:$AP,ROW(),$B$6)="","",INDEX($A:$AP,ROW(),$B$6)))</f>
        <v/>
      </c>
      <c r="AS823" s="22">
        <f>IF($AR823="","",IF(ISNUMBER($AR823),IF($AR823&gt;=10000000,IFERROR(DATE(INT($AR823/10000),MOD(INT($AR823/100),100),MOD($AR823,100)),""),INT($AR823)),IFERROR(DATE(--LEFT(LEFT(SUBSTITUTE(SUBSTITUTE(SUBSTITUTE(SUBSTITUTE(TRIM($AR823),"-",""),".",""),"/","")," ",""),8),4),--MID(LEFT(SUBSTITUTE(SUBSTITUTE(SUBSTITUTE(SUBSTITUTE(TRIM($AR823),"-",""),".",""),"/","")," ",""),8),5,2),--MID(LEFT(SUBSTITUTE(SUBSTITUTE(SUBSTITUTE(SUBSTITUTE(TRIM($AR823),"-",""),".",""),"/","")," ",""),8),7,2)),"")))</f>
        <v/>
      </c>
      <c r="AT823" s="23">
        <f>IF($AS823="","",IF($F$6="",0,IF(ISNUMBER(INDEX($A:$AP,ROW(),$F$6)),INDEX($A:$AP,ROW(),$F$6),IFERROR(--SUBSTITUTE(SUBSTITUTE(TRIM(INDEX($A:$AP,ROW(),$F$6)),",",""),"원",""),0))))</f>
        <v/>
      </c>
      <c r="AU823" s="23">
        <f>IF($AS823="","",IF($G$6="",0,IF(ISNUMBER(INDEX($A:$AP,ROW(),$G$6)),INDEX($A:$AP,ROW(),$G$6),IFERROR(--SUBSTITUTE(SUBSTITUTE(TRIM(INDEX($A:$AP,ROW(),$G$6)),",",""),"원",""),0))))</f>
        <v/>
      </c>
      <c r="AV823" s="23">
        <f>IF($AS823="","",IF($H$6="",$AT823+$AU823,IF($H$6="",0,IF(ISNUMBER(INDEX($A:$AP,ROW(),$H$6)),INDEX($A:$AP,ROW(),$H$6),IFERROR(--SUBSTITUTE(SUBSTITUTE(TRIM(INDEX($A:$AP,ROW(),$H$6)),",",""),"원",""),0)))))</f>
        <v/>
      </c>
      <c r="AW823" s="2">
        <f>IF(OR($AS823="",$C$6=""),"",TRIM(INDEX($A:$AP,ROW(),$C$6)&amp;""))</f>
        <v/>
      </c>
      <c r="AX823" s="2">
        <f>IF($AS823="","",IF($AZ823&lt;&gt;"",SUBSTITUTE(SUBSTITUTE($AZ823,"-","")," ",""),$AY823))</f>
        <v/>
      </c>
      <c r="AY823" s="2">
        <f>IF(OR($AS823="",$E$6=""),"",TRIM(INDEX($A:$AP,ROW(),$E$6)&amp;""))</f>
        <v/>
      </c>
      <c r="AZ823" s="2">
        <f>IF(OR($AS823="",$D$6=""),"",TRIM(INDEX($A:$AP,ROW(),$D$6)&amp;""))</f>
        <v/>
      </c>
      <c r="BA823" s="2">
        <f>IF($AS823="","",IF(AND($AS823&gt;=설정!$B$10,$AS823&lt;=설정!$B$11),"포함","기간 밖"))</f>
        <v/>
      </c>
      <c r="BB823" s="2">
        <f>IF($AS823="","",IF(OR($AT823&lt;0,AND($I$6&lt;&gt;"",ISNUMBER(FIND("수정",INDEX($A:$AP,ROW(),IF($I$6="",1,$I$6))&amp;"")))),"수정","일반"))</f>
        <v/>
      </c>
      <c r="BC823" s="2">
        <f>IF($AS823="","",MID(IF($BA823="기간 밖"," / 기간 밖(신고기간 아님)","")&amp;IF(AND($AW823&lt;&gt;"",COUNTIF($AW$8:$AW$1007,$AW823)&gt;1)," / 승인번호 중복(두 번 붙여넣기?)","")&amp;IF(ABS($AU823-ROUND($AT823*0.1,0))&gt;설정!$B$8,IF($AU823=0," / 세액 0원(영세율·면세 여부 확인)"," / 세액이 공급가액 10%와 다름"),"")&amp;IF($BB823="수정"," / 수정세금계산서(합계에서 자동 가감)",""),4,200))</f>
        <v/>
      </c>
      <c r="BD823" s="2">
        <f>IF($BA823&lt;&gt;"포함","",IF(COUNTIFS($AX$8:$AX823,$AX823,$BA$8:$BA823,"포함")=1,MAX($BD$7:BD822)+1,""))</f>
        <v/>
      </c>
      <c r="BE823" s="2">
        <f>IF($BC823="","",MAX($BE$7:BE822)+1)</f>
        <v/>
      </c>
    </row>
    <row r="824">
      <c r="AR824" s="2">
        <f>IF(OR($A$5="",$B$6="",ROW()&lt;$A$5),"",IF(INDEX($A:$AP,ROW(),$B$6)="","",INDEX($A:$AP,ROW(),$B$6)))</f>
        <v/>
      </c>
      <c r="AS824" s="22">
        <f>IF($AR824="","",IF(ISNUMBER($AR824),IF($AR824&gt;=10000000,IFERROR(DATE(INT($AR824/10000),MOD(INT($AR824/100),100),MOD($AR824,100)),""),INT($AR824)),IFERROR(DATE(--LEFT(LEFT(SUBSTITUTE(SUBSTITUTE(SUBSTITUTE(SUBSTITUTE(TRIM($AR824),"-",""),".",""),"/","")," ",""),8),4),--MID(LEFT(SUBSTITUTE(SUBSTITUTE(SUBSTITUTE(SUBSTITUTE(TRIM($AR824),"-",""),".",""),"/","")," ",""),8),5,2),--MID(LEFT(SUBSTITUTE(SUBSTITUTE(SUBSTITUTE(SUBSTITUTE(TRIM($AR824),"-",""),".",""),"/","")," ",""),8),7,2)),"")))</f>
        <v/>
      </c>
      <c r="AT824" s="23">
        <f>IF($AS824="","",IF($F$6="",0,IF(ISNUMBER(INDEX($A:$AP,ROW(),$F$6)),INDEX($A:$AP,ROW(),$F$6),IFERROR(--SUBSTITUTE(SUBSTITUTE(TRIM(INDEX($A:$AP,ROW(),$F$6)),",",""),"원",""),0))))</f>
        <v/>
      </c>
      <c r="AU824" s="23">
        <f>IF($AS824="","",IF($G$6="",0,IF(ISNUMBER(INDEX($A:$AP,ROW(),$G$6)),INDEX($A:$AP,ROW(),$G$6),IFERROR(--SUBSTITUTE(SUBSTITUTE(TRIM(INDEX($A:$AP,ROW(),$G$6)),",",""),"원",""),0))))</f>
        <v/>
      </c>
      <c r="AV824" s="23">
        <f>IF($AS824="","",IF($H$6="",$AT824+$AU824,IF($H$6="",0,IF(ISNUMBER(INDEX($A:$AP,ROW(),$H$6)),INDEX($A:$AP,ROW(),$H$6),IFERROR(--SUBSTITUTE(SUBSTITUTE(TRIM(INDEX($A:$AP,ROW(),$H$6)),",",""),"원",""),0)))))</f>
        <v/>
      </c>
      <c r="AW824" s="2">
        <f>IF(OR($AS824="",$C$6=""),"",TRIM(INDEX($A:$AP,ROW(),$C$6)&amp;""))</f>
        <v/>
      </c>
      <c r="AX824" s="2">
        <f>IF($AS824="","",IF($AZ824&lt;&gt;"",SUBSTITUTE(SUBSTITUTE($AZ824,"-","")," ",""),$AY824))</f>
        <v/>
      </c>
      <c r="AY824" s="2">
        <f>IF(OR($AS824="",$E$6=""),"",TRIM(INDEX($A:$AP,ROW(),$E$6)&amp;""))</f>
        <v/>
      </c>
      <c r="AZ824" s="2">
        <f>IF(OR($AS824="",$D$6=""),"",TRIM(INDEX($A:$AP,ROW(),$D$6)&amp;""))</f>
        <v/>
      </c>
      <c r="BA824" s="2">
        <f>IF($AS824="","",IF(AND($AS824&gt;=설정!$B$10,$AS824&lt;=설정!$B$11),"포함","기간 밖"))</f>
        <v/>
      </c>
      <c r="BB824" s="2">
        <f>IF($AS824="","",IF(OR($AT824&lt;0,AND($I$6&lt;&gt;"",ISNUMBER(FIND("수정",INDEX($A:$AP,ROW(),IF($I$6="",1,$I$6))&amp;"")))),"수정","일반"))</f>
        <v/>
      </c>
      <c r="BC824" s="2">
        <f>IF($AS824="","",MID(IF($BA824="기간 밖"," / 기간 밖(신고기간 아님)","")&amp;IF(AND($AW824&lt;&gt;"",COUNTIF($AW$8:$AW$1007,$AW824)&gt;1)," / 승인번호 중복(두 번 붙여넣기?)","")&amp;IF(ABS($AU824-ROUND($AT824*0.1,0))&gt;설정!$B$8,IF($AU824=0," / 세액 0원(영세율·면세 여부 확인)"," / 세액이 공급가액 10%와 다름"),"")&amp;IF($BB824="수정"," / 수정세금계산서(합계에서 자동 가감)",""),4,200))</f>
        <v/>
      </c>
      <c r="BD824" s="2">
        <f>IF($BA824&lt;&gt;"포함","",IF(COUNTIFS($AX$8:$AX824,$AX824,$BA$8:$BA824,"포함")=1,MAX($BD$7:BD823)+1,""))</f>
        <v/>
      </c>
      <c r="BE824" s="2">
        <f>IF($BC824="","",MAX($BE$7:BE823)+1)</f>
        <v/>
      </c>
    </row>
    <row r="825">
      <c r="AR825" s="2">
        <f>IF(OR($A$5="",$B$6="",ROW()&lt;$A$5),"",IF(INDEX($A:$AP,ROW(),$B$6)="","",INDEX($A:$AP,ROW(),$B$6)))</f>
        <v/>
      </c>
      <c r="AS825" s="22">
        <f>IF($AR825="","",IF(ISNUMBER($AR825),IF($AR825&gt;=10000000,IFERROR(DATE(INT($AR825/10000),MOD(INT($AR825/100),100),MOD($AR825,100)),""),INT($AR825)),IFERROR(DATE(--LEFT(LEFT(SUBSTITUTE(SUBSTITUTE(SUBSTITUTE(SUBSTITUTE(TRIM($AR825),"-",""),".",""),"/","")," ",""),8),4),--MID(LEFT(SUBSTITUTE(SUBSTITUTE(SUBSTITUTE(SUBSTITUTE(TRIM($AR825),"-",""),".",""),"/","")," ",""),8),5,2),--MID(LEFT(SUBSTITUTE(SUBSTITUTE(SUBSTITUTE(SUBSTITUTE(TRIM($AR825),"-",""),".",""),"/","")," ",""),8),7,2)),"")))</f>
        <v/>
      </c>
      <c r="AT825" s="23">
        <f>IF($AS825="","",IF($F$6="",0,IF(ISNUMBER(INDEX($A:$AP,ROW(),$F$6)),INDEX($A:$AP,ROW(),$F$6),IFERROR(--SUBSTITUTE(SUBSTITUTE(TRIM(INDEX($A:$AP,ROW(),$F$6)),",",""),"원",""),0))))</f>
        <v/>
      </c>
      <c r="AU825" s="23">
        <f>IF($AS825="","",IF($G$6="",0,IF(ISNUMBER(INDEX($A:$AP,ROW(),$G$6)),INDEX($A:$AP,ROW(),$G$6),IFERROR(--SUBSTITUTE(SUBSTITUTE(TRIM(INDEX($A:$AP,ROW(),$G$6)),",",""),"원",""),0))))</f>
        <v/>
      </c>
      <c r="AV825" s="23">
        <f>IF($AS825="","",IF($H$6="",$AT825+$AU825,IF($H$6="",0,IF(ISNUMBER(INDEX($A:$AP,ROW(),$H$6)),INDEX($A:$AP,ROW(),$H$6),IFERROR(--SUBSTITUTE(SUBSTITUTE(TRIM(INDEX($A:$AP,ROW(),$H$6)),",",""),"원",""),0)))))</f>
        <v/>
      </c>
      <c r="AW825" s="2">
        <f>IF(OR($AS825="",$C$6=""),"",TRIM(INDEX($A:$AP,ROW(),$C$6)&amp;""))</f>
        <v/>
      </c>
      <c r="AX825" s="2">
        <f>IF($AS825="","",IF($AZ825&lt;&gt;"",SUBSTITUTE(SUBSTITUTE($AZ825,"-","")," ",""),$AY825))</f>
        <v/>
      </c>
      <c r="AY825" s="2">
        <f>IF(OR($AS825="",$E$6=""),"",TRIM(INDEX($A:$AP,ROW(),$E$6)&amp;""))</f>
        <v/>
      </c>
      <c r="AZ825" s="2">
        <f>IF(OR($AS825="",$D$6=""),"",TRIM(INDEX($A:$AP,ROW(),$D$6)&amp;""))</f>
        <v/>
      </c>
      <c r="BA825" s="2">
        <f>IF($AS825="","",IF(AND($AS825&gt;=설정!$B$10,$AS825&lt;=설정!$B$11),"포함","기간 밖"))</f>
        <v/>
      </c>
      <c r="BB825" s="2">
        <f>IF($AS825="","",IF(OR($AT825&lt;0,AND($I$6&lt;&gt;"",ISNUMBER(FIND("수정",INDEX($A:$AP,ROW(),IF($I$6="",1,$I$6))&amp;"")))),"수정","일반"))</f>
        <v/>
      </c>
      <c r="BC825" s="2">
        <f>IF($AS825="","",MID(IF($BA825="기간 밖"," / 기간 밖(신고기간 아님)","")&amp;IF(AND($AW825&lt;&gt;"",COUNTIF($AW$8:$AW$1007,$AW825)&gt;1)," / 승인번호 중복(두 번 붙여넣기?)","")&amp;IF(ABS($AU825-ROUND($AT825*0.1,0))&gt;설정!$B$8,IF($AU825=0," / 세액 0원(영세율·면세 여부 확인)"," / 세액이 공급가액 10%와 다름"),"")&amp;IF($BB825="수정"," / 수정세금계산서(합계에서 자동 가감)",""),4,200))</f>
        <v/>
      </c>
      <c r="BD825" s="2">
        <f>IF($BA825&lt;&gt;"포함","",IF(COUNTIFS($AX$8:$AX825,$AX825,$BA$8:$BA825,"포함")=1,MAX($BD$7:BD824)+1,""))</f>
        <v/>
      </c>
      <c r="BE825" s="2">
        <f>IF($BC825="","",MAX($BE$7:BE824)+1)</f>
        <v/>
      </c>
    </row>
    <row r="826">
      <c r="AR826" s="2">
        <f>IF(OR($A$5="",$B$6="",ROW()&lt;$A$5),"",IF(INDEX($A:$AP,ROW(),$B$6)="","",INDEX($A:$AP,ROW(),$B$6)))</f>
        <v/>
      </c>
      <c r="AS826" s="22">
        <f>IF($AR826="","",IF(ISNUMBER($AR826),IF($AR826&gt;=10000000,IFERROR(DATE(INT($AR826/10000),MOD(INT($AR826/100),100),MOD($AR826,100)),""),INT($AR826)),IFERROR(DATE(--LEFT(LEFT(SUBSTITUTE(SUBSTITUTE(SUBSTITUTE(SUBSTITUTE(TRIM($AR826),"-",""),".",""),"/","")," ",""),8),4),--MID(LEFT(SUBSTITUTE(SUBSTITUTE(SUBSTITUTE(SUBSTITUTE(TRIM($AR826),"-",""),".",""),"/","")," ",""),8),5,2),--MID(LEFT(SUBSTITUTE(SUBSTITUTE(SUBSTITUTE(SUBSTITUTE(TRIM($AR826),"-",""),".",""),"/","")," ",""),8),7,2)),"")))</f>
        <v/>
      </c>
      <c r="AT826" s="23">
        <f>IF($AS826="","",IF($F$6="",0,IF(ISNUMBER(INDEX($A:$AP,ROW(),$F$6)),INDEX($A:$AP,ROW(),$F$6),IFERROR(--SUBSTITUTE(SUBSTITUTE(TRIM(INDEX($A:$AP,ROW(),$F$6)),",",""),"원",""),0))))</f>
        <v/>
      </c>
      <c r="AU826" s="23">
        <f>IF($AS826="","",IF($G$6="",0,IF(ISNUMBER(INDEX($A:$AP,ROW(),$G$6)),INDEX($A:$AP,ROW(),$G$6),IFERROR(--SUBSTITUTE(SUBSTITUTE(TRIM(INDEX($A:$AP,ROW(),$G$6)),",",""),"원",""),0))))</f>
        <v/>
      </c>
      <c r="AV826" s="23">
        <f>IF($AS826="","",IF($H$6="",$AT826+$AU826,IF($H$6="",0,IF(ISNUMBER(INDEX($A:$AP,ROW(),$H$6)),INDEX($A:$AP,ROW(),$H$6),IFERROR(--SUBSTITUTE(SUBSTITUTE(TRIM(INDEX($A:$AP,ROW(),$H$6)),",",""),"원",""),0)))))</f>
        <v/>
      </c>
      <c r="AW826" s="2">
        <f>IF(OR($AS826="",$C$6=""),"",TRIM(INDEX($A:$AP,ROW(),$C$6)&amp;""))</f>
        <v/>
      </c>
      <c r="AX826" s="2">
        <f>IF($AS826="","",IF($AZ826&lt;&gt;"",SUBSTITUTE(SUBSTITUTE($AZ826,"-","")," ",""),$AY826))</f>
        <v/>
      </c>
      <c r="AY826" s="2">
        <f>IF(OR($AS826="",$E$6=""),"",TRIM(INDEX($A:$AP,ROW(),$E$6)&amp;""))</f>
        <v/>
      </c>
      <c r="AZ826" s="2">
        <f>IF(OR($AS826="",$D$6=""),"",TRIM(INDEX($A:$AP,ROW(),$D$6)&amp;""))</f>
        <v/>
      </c>
      <c r="BA826" s="2">
        <f>IF($AS826="","",IF(AND($AS826&gt;=설정!$B$10,$AS826&lt;=설정!$B$11),"포함","기간 밖"))</f>
        <v/>
      </c>
      <c r="BB826" s="2">
        <f>IF($AS826="","",IF(OR($AT826&lt;0,AND($I$6&lt;&gt;"",ISNUMBER(FIND("수정",INDEX($A:$AP,ROW(),IF($I$6="",1,$I$6))&amp;"")))),"수정","일반"))</f>
        <v/>
      </c>
      <c r="BC826" s="2">
        <f>IF($AS826="","",MID(IF($BA826="기간 밖"," / 기간 밖(신고기간 아님)","")&amp;IF(AND($AW826&lt;&gt;"",COUNTIF($AW$8:$AW$1007,$AW826)&gt;1)," / 승인번호 중복(두 번 붙여넣기?)","")&amp;IF(ABS($AU826-ROUND($AT826*0.1,0))&gt;설정!$B$8,IF($AU826=0," / 세액 0원(영세율·면세 여부 확인)"," / 세액이 공급가액 10%와 다름"),"")&amp;IF($BB826="수정"," / 수정세금계산서(합계에서 자동 가감)",""),4,200))</f>
        <v/>
      </c>
      <c r="BD826" s="2">
        <f>IF($BA826&lt;&gt;"포함","",IF(COUNTIFS($AX$8:$AX826,$AX826,$BA$8:$BA826,"포함")=1,MAX($BD$7:BD825)+1,""))</f>
        <v/>
      </c>
      <c r="BE826" s="2">
        <f>IF($BC826="","",MAX($BE$7:BE825)+1)</f>
        <v/>
      </c>
    </row>
    <row r="827">
      <c r="AR827" s="2">
        <f>IF(OR($A$5="",$B$6="",ROW()&lt;$A$5),"",IF(INDEX($A:$AP,ROW(),$B$6)="","",INDEX($A:$AP,ROW(),$B$6)))</f>
        <v/>
      </c>
      <c r="AS827" s="22">
        <f>IF($AR827="","",IF(ISNUMBER($AR827),IF($AR827&gt;=10000000,IFERROR(DATE(INT($AR827/10000),MOD(INT($AR827/100),100),MOD($AR827,100)),""),INT($AR827)),IFERROR(DATE(--LEFT(LEFT(SUBSTITUTE(SUBSTITUTE(SUBSTITUTE(SUBSTITUTE(TRIM($AR827),"-",""),".",""),"/","")," ",""),8),4),--MID(LEFT(SUBSTITUTE(SUBSTITUTE(SUBSTITUTE(SUBSTITUTE(TRIM($AR827),"-",""),".",""),"/","")," ",""),8),5,2),--MID(LEFT(SUBSTITUTE(SUBSTITUTE(SUBSTITUTE(SUBSTITUTE(TRIM($AR827),"-",""),".",""),"/","")," ",""),8),7,2)),"")))</f>
        <v/>
      </c>
      <c r="AT827" s="23">
        <f>IF($AS827="","",IF($F$6="",0,IF(ISNUMBER(INDEX($A:$AP,ROW(),$F$6)),INDEX($A:$AP,ROW(),$F$6),IFERROR(--SUBSTITUTE(SUBSTITUTE(TRIM(INDEX($A:$AP,ROW(),$F$6)),",",""),"원",""),0))))</f>
        <v/>
      </c>
      <c r="AU827" s="23">
        <f>IF($AS827="","",IF($G$6="",0,IF(ISNUMBER(INDEX($A:$AP,ROW(),$G$6)),INDEX($A:$AP,ROW(),$G$6),IFERROR(--SUBSTITUTE(SUBSTITUTE(TRIM(INDEX($A:$AP,ROW(),$G$6)),",",""),"원",""),0))))</f>
        <v/>
      </c>
      <c r="AV827" s="23">
        <f>IF($AS827="","",IF($H$6="",$AT827+$AU827,IF($H$6="",0,IF(ISNUMBER(INDEX($A:$AP,ROW(),$H$6)),INDEX($A:$AP,ROW(),$H$6),IFERROR(--SUBSTITUTE(SUBSTITUTE(TRIM(INDEX($A:$AP,ROW(),$H$6)),",",""),"원",""),0)))))</f>
        <v/>
      </c>
      <c r="AW827" s="2">
        <f>IF(OR($AS827="",$C$6=""),"",TRIM(INDEX($A:$AP,ROW(),$C$6)&amp;""))</f>
        <v/>
      </c>
      <c r="AX827" s="2">
        <f>IF($AS827="","",IF($AZ827&lt;&gt;"",SUBSTITUTE(SUBSTITUTE($AZ827,"-","")," ",""),$AY827))</f>
        <v/>
      </c>
      <c r="AY827" s="2">
        <f>IF(OR($AS827="",$E$6=""),"",TRIM(INDEX($A:$AP,ROW(),$E$6)&amp;""))</f>
        <v/>
      </c>
      <c r="AZ827" s="2">
        <f>IF(OR($AS827="",$D$6=""),"",TRIM(INDEX($A:$AP,ROW(),$D$6)&amp;""))</f>
        <v/>
      </c>
      <c r="BA827" s="2">
        <f>IF($AS827="","",IF(AND($AS827&gt;=설정!$B$10,$AS827&lt;=설정!$B$11),"포함","기간 밖"))</f>
        <v/>
      </c>
      <c r="BB827" s="2">
        <f>IF($AS827="","",IF(OR($AT827&lt;0,AND($I$6&lt;&gt;"",ISNUMBER(FIND("수정",INDEX($A:$AP,ROW(),IF($I$6="",1,$I$6))&amp;"")))),"수정","일반"))</f>
        <v/>
      </c>
      <c r="BC827" s="2">
        <f>IF($AS827="","",MID(IF($BA827="기간 밖"," / 기간 밖(신고기간 아님)","")&amp;IF(AND($AW827&lt;&gt;"",COUNTIF($AW$8:$AW$1007,$AW827)&gt;1)," / 승인번호 중복(두 번 붙여넣기?)","")&amp;IF(ABS($AU827-ROUND($AT827*0.1,0))&gt;설정!$B$8,IF($AU827=0," / 세액 0원(영세율·면세 여부 확인)"," / 세액이 공급가액 10%와 다름"),"")&amp;IF($BB827="수정"," / 수정세금계산서(합계에서 자동 가감)",""),4,200))</f>
        <v/>
      </c>
      <c r="BD827" s="2">
        <f>IF($BA827&lt;&gt;"포함","",IF(COUNTIFS($AX$8:$AX827,$AX827,$BA$8:$BA827,"포함")=1,MAX($BD$7:BD826)+1,""))</f>
        <v/>
      </c>
      <c r="BE827" s="2">
        <f>IF($BC827="","",MAX($BE$7:BE826)+1)</f>
        <v/>
      </c>
    </row>
    <row r="828">
      <c r="AR828" s="2">
        <f>IF(OR($A$5="",$B$6="",ROW()&lt;$A$5),"",IF(INDEX($A:$AP,ROW(),$B$6)="","",INDEX($A:$AP,ROW(),$B$6)))</f>
        <v/>
      </c>
      <c r="AS828" s="22">
        <f>IF($AR828="","",IF(ISNUMBER($AR828),IF($AR828&gt;=10000000,IFERROR(DATE(INT($AR828/10000),MOD(INT($AR828/100),100),MOD($AR828,100)),""),INT($AR828)),IFERROR(DATE(--LEFT(LEFT(SUBSTITUTE(SUBSTITUTE(SUBSTITUTE(SUBSTITUTE(TRIM($AR828),"-",""),".",""),"/","")," ",""),8),4),--MID(LEFT(SUBSTITUTE(SUBSTITUTE(SUBSTITUTE(SUBSTITUTE(TRIM($AR828),"-",""),".",""),"/","")," ",""),8),5,2),--MID(LEFT(SUBSTITUTE(SUBSTITUTE(SUBSTITUTE(SUBSTITUTE(TRIM($AR828),"-",""),".",""),"/","")," ",""),8),7,2)),"")))</f>
        <v/>
      </c>
      <c r="AT828" s="23">
        <f>IF($AS828="","",IF($F$6="",0,IF(ISNUMBER(INDEX($A:$AP,ROW(),$F$6)),INDEX($A:$AP,ROW(),$F$6),IFERROR(--SUBSTITUTE(SUBSTITUTE(TRIM(INDEX($A:$AP,ROW(),$F$6)),",",""),"원",""),0))))</f>
        <v/>
      </c>
      <c r="AU828" s="23">
        <f>IF($AS828="","",IF($G$6="",0,IF(ISNUMBER(INDEX($A:$AP,ROW(),$G$6)),INDEX($A:$AP,ROW(),$G$6),IFERROR(--SUBSTITUTE(SUBSTITUTE(TRIM(INDEX($A:$AP,ROW(),$G$6)),",",""),"원",""),0))))</f>
        <v/>
      </c>
      <c r="AV828" s="23">
        <f>IF($AS828="","",IF($H$6="",$AT828+$AU828,IF($H$6="",0,IF(ISNUMBER(INDEX($A:$AP,ROW(),$H$6)),INDEX($A:$AP,ROW(),$H$6),IFERROR(--SUBSTITUTE(SUBSTITUTE(TRIM(INDEX($A:$AP,ROW(),$H$6)),",",""),"원",""),0)))))</f>
        <v/>
      </c>
      <c r="AW828" s="2">
        <f>IF(OR($AS828="",$C$6=""),"",TRIM(INDEX($A:$AP,ROW(),$C$6)&amp;""))</f>
        <v/>
      </c>
      <c r="AX828" s="2">
        <f>IF($AS828="","",IF($AZ828&lt;&gt;"",SUBSTITUTE(SUBSTITUTE($AZ828,"-","")," ",""),$AY828))</f>
        <v/>
      </c>
      <c r="AY828" s="2">
        <f>IF(OR($AS828="",$E$6=""),"",TRIM(INDEX($A:$AP,ROW(),$E$6)&amp;""))</f>
        <v/>
      </c>
      <c r="AZ828" s="2">
        <f>IF(OR($AS828="",$D$6=""),"",TRIM(INDEX($A:$AP,ROW(),$D$6)&amp;""))</f>
        <v/>
      </c>
      <c r="BA828" s="2">
        <f>IF($AS828="","",IF(AND($AS828&gt;=설정!$B$10,$AS828&lt;=설정!$B$11),"포함","기간 밖"))</f>
        <v/>
      </c>
      <c r="BB828" s="2">
        <f>IF($AS828="","",IF(OR($AT828&lt;0,AND($I$6&lt;&gt;"",ISNUMBER(FIND("수정",INDEX($A:$AP,ROW(),IF($I$6="",1,$I$6))&amp;"")))),"수정","일반"))</f>
        <v/>
      </c>
      <c r="BC828" s="2">
        <f>IF($AS828="","",MID(IF($BA828="기간 밖"," / 기간 밖(신고기간 아님)","")&amp;IF(AND($AW828&lt;&gt;"",COUNTIF($AW$8:$AW$1007,$AW828)&gt;1)," / 승인번호 중복(두 번 붙여넣기?)","")&amp;IF(ABS($AU828-ROUND($AT828*0.1,0))&gt;설정!$B$8,IF($AU828=0," / 세액 0원(영세율·면세 여부 확인)"," / 세액이 공급가액 10%와 다름"),"")&amp;IF($BB828="수정"," / 수정세금계산서(합계에서 자동 가감)",""),4,200))</f>
        <v/>
      </c>
      <c r="BD828" s="2">
        <f>IF($BA828&lt;&gt;"포함","",IF(COUNTIFS($AX$8:$AX828,$AX828,$BA$8:$BA828,"포함")=1,MAX($BD$7:BD827)+1,""))</f>
        <v/>
      </c>
      <c r="BE828" s="2">
        <f>IF($BC828="","",MAX($BE$7:BE827)+1)</f>
        <v/>
      </c>
    </row>
    <row r="829">
      <c r="AR829" s="2">
        <f>IF(OR($A$5="",$B$6="",ROW()&lt;$A$5),"",IF(INDEX($A:$AP,ROW(),$B$6)="","",INDEX($A:$AP,ROW(),$B$6)))</f>
        <v/>
      </c>
      <c r="AS829" s="22">
        <f>IF($AR829="","",IF(ISNUMBER($AR829),IF($AR829&gt;=10000000,IFERROR(DATE(INT($AR829/10000),MOD(INT($AR829/100),100),MOD($AR829,100)),""),INT($AR829)),IFERROR(DATE(--LEFT(LEFT(SUBSTITUTE(SUBSTITUTE(SUBSTITUTE(SUBSTITUTE(TRIM($AR829),"-",""),".",""),"/","")," ",""),8),4),--MID(LEFT(SUBSTITUTE(SUBSTITUTE(SUBSTITUTE(SUBSTITUTE(TRIM($AR829),"-",""),".",""),"/","")," ",""),8),5,2),--MID(LEFT(SUBSTITUTE(SUBSTITUTE(SUBSTITUTE(SUBSTITUTE(TRIM($AR829),"-",""),".",""),"/","")," ",""),8),7,2)),"")))</f>
        <v/>
      </c>
      <c r="AT829" s="23">
        <f>IF($AS829="","",IF($F$6="",0,IF(ISNUMBER(INDEX($A:$AP,ROW(),$F$6)),INDEX($A:$AP,ROW(),$F$6),IFERROR(--SUBSTITUTE(SUBSTITUTE(TRIM(INDEX($A:$AP,ROW(),$F$6)),",",""),"원",""),0))))</f>
        <v/>
      </c>
      <c r="AU829" s="23">
        <f>IF($AS829="","",IF($G$6="",0,IF(ISNUMBER(INDEX($A:$AP,ROW(),$G$6)),INDEX($A:$AP,ROW(),$G$6),IFERROR(--SUBSTITUTE(SUBSTITUTE(TRIM(INDEX($A:$AP,ROW(),$G$6)),",",""),"원",""),0))))</f>
        <v/>
      </c>
      <c r="AV829" s="23">
        <f>IF($AS829="","",IF($H$6="",$AT829+$AU829,IF($H$6="",0,IF(ISNUMBER(INDEX($A:$AP,ROW(),$H$6)),INDEX($A:$AP,ROW(),$H$6),IFERROR(--SUBSTITUTE(SUBSTITUTE(TRIM(INDEX($A:$AP,ROW(),$H$6)),",",""),"원",""),0)))))</f>
        <v/>
      </c>
      <c r="AW829" s="2">
        <f>IF(OR($AS829="",$C$6=""),"",TRIM(INDEX($A:$AP,ROW(),$C$6)&amp;""))</f>
        <v/>
      </c>
      <c r="AX829" s="2">
        <f>IF($AS829="","",IF($AZ829&lt;&gt;"",SUBSTITUTE(SUBSTITUTE($AZ829,"-","")," ",""),$AY829))</f>
        <v/>
      </c>
      <c r="AY829" s="2">
        <f>IF(OR($AS829="",$E$6=""),"",TRIM(INDEX($A:$AP,ROW(),$E$6)&amp;""))</f>
        <v/>
      </c>
      <c r="AZ829" s="2">
        <f>IF(OR($AS829="",$D$6=""),"",TRIM(INDEX($A:$AP,ROW(),$D$6)&amp;""))</f>
        <v/>
      </c>
      <c r="BA829" s="2">
        <f>IF($AS829="","",IF(AND($AS829&gt;=설정!$B$10,$AS829&lt;=설정!$B$11),"포함","기간 밖"))</f>
        <v/>
      </c>
      <c r="BB829" s="2">
        <f>IF($AS829="","",IF(OR($AT829&lt;0,AND($I$6&lt;&gt;"",ISNUMBER(FIND("수정",INDEX($A:$AP,ROW(),IF($I$6="",1,$I$6))&amp;"")))),"수정","일반"))</f>
        <v/>
      </c>
      <c r="BC829" s="2">
        <f>IF($AS829="","",MID(IF($BA829="기간 밖"," / 기간 밖(신고기간 아님)","")&amp;IF(AND($AW829&lt;&gt;"",COUNTIF($AW$8:$AW$1007,$AW829)&gt;1)," / 승인번호 중복(두 번 붙여넣기?)","")&amp;IF(ABS($AU829-ROUND($AT829*0.1,0))&gt;설정!$B$8,IF($AU829=0," / 세액 0원(영세율·면세 여부 확인)"," / 세액이 공급가액 10%와 다름"),"")&amp;IF($BB829="수정"," / 수정세금계산서(합계에서 자동 가감)",""),4,200))</f>
        <v/>
      </c>
      <c r="BD829" s="2">
        <f>IF($BA829&lt;&gt;"포함","",IF(COUNTIFS($AX$8:$AX829,$AX829,$BA$8:$BA829,"포함")=1,MAX($BD$7:BD828)+1,""))</f>
        <v/>
      </c>
      <c r="BE829" s="2">
        <f>IF($BC829="","",MAX($BE$7:BE828)+1)</f>
        <v/>
      </c>
    </row>
    <row r="830">
      <c r="AR830" s="2">
        <f>IF(OR($A$5="",$B$6="",ROW()&lt;$A$5),"",IF(INDEX($A:$AP,ROW(),$B$6)="","",INDEX($A:$AP,ROW(),$B$6)))</f>
        <v/>
      </c>
      <c r="AS830" s="22">
        <f>IF($AR830="","",IF(ISNUMBER($AR830),IF($AR830&gt;=10000000,IFERROR(DATE(INT($AR830/10000),MOD(INT($AR830/100),100),MOD($AR830,100)),""),INT($AR830)),IFERROR(DATE(--LEFT(LEFT(SUBSTITUTE(SUBSTITUTE(SUBSTITUTE(SUBSTITUTE(TRIM($AR830),"-",""),".",""),"/","")," ",""),8),4),--MID(LEFT(SUBSTITUTE(SUBSTITUTE(SUBSTITUTE(SUBSTITUTE(TRIM($AR830),"-",""),".",""),"/","")," ",""),8),5,2),--MID(LEFT(SUBSTITUTE(SUBSTITUTE(SUBSTITUTE(SUBSTITUTE(TRIM($AR830),"-",""),".",""),"/","")," ",""),8),7,2)),"")))</f>
        <v/>
      </c>
      <c r="AT830" s="23">
        <f>IF($AS830="","",IF($F$6="",0,IF(ISNUMBER(INDEX($A:$AP,ROW(),$F$6)),INDEX($A:$AP,ROW(),$F$6),IFERROR(--SUBSTITUTE(SUBSTITUTE(TRIM(INDEX($A:$AP,ROW(),$F$6)),",",""),"원",""),0))))</f>
        <v/>
      </c>
      <c r="AU830" s="23">
        <f>IF($AS830="","",IF($G$6="",0,IF(ISNUMBER(INDEX($A:$AP,ROW(),$G$6)),INDEX($A:$AP,ROW(),$G$6),IFERROR(--SUBSTITUTE(SUBSTITUTE(TRIM(INDEX($A:$AP,ROW(),$G$6)),",",""),"원",""),0))))</f>
        <v/>
      </c>
      <c r="AV830" s="23">
        <f>IF($AS830="","",IF($H$6="",$AT830+$AU830,IF($H$6="",0,IF(ISNUMBER(INDEX($A:$AP,ROW(),$H$6)),INDEX($A:$AP,ROW(),$H$6),IFERROR(--SUBSTITUTE(SUBSTITUTE(TRIM(INDEX($A:$AP,ROW(),$H$6)),",",""),"원",""),0)))))</f>
        <v/>
      </c>
      <c r="AW830" s="2">
        <f>IF(OR($AS830="",$C$6=""),"",TRIM(INDEX($A:$AP,ROW(),$C$6)&amp;""))</f>
        <v/>
      </c>
      <c r="AX830" s="2">
        <f>IF($AS830="","",IF($AZ830&lt;&gt;"",SUBSTITUTE(SUBSTITUTE($AZ830,"-","")," ",""),$AY830))</f>
        <v/>
      </c>
      <c r="AY830" s="2">
        <f>IF(OR($AS830="",$E$6=""),"",TRIM(INDEX($A:$AP,ROW(),$E$6)&amp;""))</f>
        <v/>
      </c>
      <c r="AZ830" s="2">
        <f>IF(OR($AS830="",$D$6=""),"",TRIM(INDEX($A:$AP,ROW(),$D$6)&amp;""))</f>
        <v/>
      </c>
      <c r="BA830" s="2">
        <f>IF($AS830="","",IF(AND($AS830&gt;=설정!$B$10,$AS830&lt;=설정!$B$11),"포함","기간 밖"))</f>
        <v/>
      </c>
      <c r="BB830" s="2">
        <f>IF($AS830="","",IF(OR($AT830&lt;0,AND($I$6&lt;&gt;"",ISNUMBER(FIND("수정",INDEX($A:$AP,ROW(),IF($I$6="",1,$I$6))&amp;"")))),"수정","일반"))</f>
        <v/>
      </c>
      <c r="BC830" s="2">
        <f>IF($AS830="","",MID(IF($BA830="기간 밖"," / 기간 밖(신고기간 아님)","")&amp;IF(AND($AW830&lt;&gt;"",COUNTIF($AW$8:$AW$1007,$AW830)&gt;1)," / 승인번호 중복(두 번 붙여넣기?)","")&amp;IF(ABS($AU830-ROUND($AT830*0.1,0))&gt;설정!$B$8,IF($AU830=0," / 세액 0원(영세율·면세 여부 확인)"," / 세액이 공급가액 10%와 다름"),"")&amp;IF($BB830="수정"," / 수정세금계산서(합계에서 자동 가감)",""),4,200))</f>
        <v/>
      </c>
      <c r="BD830" s="2">
        <f>IF($BA830&lt;&gt;"포함","",IF(COUNTIFS($AX$8:$AX830,$AX830,$BA$8:$BA830,"포함")=1,MAX($BD$7:BD829)+1,""))</f>
        <v/>
      </c>
      <c r="BE830" s="2">
        <f>IF($BC830="","",MAX($BE$7:BE829)+1)</f>
        <v/>
      </c>
    </row>
    <row r="831">
      <c r="AR831" s="2">
        <f>IF(OR($A$5="",$B$6="",ROW()&lt;$A$5),"",IF(INDEX($A:$AP,ROW(),$B$6)="","",INDEX($A:$AP,ROW(),$B$6)))</f>
        <v/>
      </c>
      <c r="AS831" s="22">
        <f>IF($AR831="","",IF(ISNUMBER($AR831),IF($AR831&gt;=10000000,IFERROR(DATE(INT($AR831/10000),MOD(INT($AR831/100),100),MOD($AR831,100)),""),INT($AR831)),IFERROR(DATE(--LEFT(LEFT(SUBSTITUTE(SUBSTITUTE(SUBSTITUTE(SUBSTITUTE(TRIM($AR831),"-",""),".",""),"/","")," ",""),8),4),--MID(LEFT(SUBSTITUTE(SUBSTITUTE(SUBSTITUTE(SUBSTITUTE(TRIM($AR831),"-",""),".",""),"/","")," ",""),8),5,2),--MID(LEFT(SUBSTITUTE(SUBSTITUTE(SUBSTITUTE(SUBSTITUTE(TRIM($AR831),"-",""),".",""),"/","")," ",""),8),7,2)),"")))</f>
        <v/>
      </c>
      <c r="AT831" s="23">
        <f>IF($AS831="","",IF($F$6="",0,IF(ISNUMBER(INDEX($A:$AP,ROW(),$F$6)),INDEX($A:$AP,ROW(),$F$6),IFERROR(--SUBSTITUTE(SUBSTITUTE(TRIM(INDEX($A:$AP,ROW(),$F$6)),",",""),"원",""),0))))</f>
        <v/>
      </c>
      <c r="AU831" s="23">
        <f>IF($AS831="","",IF($G$6="",0,IF(ISNUMBER(INDEX($A:$AP,ROW(),$G$6)),INDEX($A:$AP,ROW(),$G$6),IFERROR(--SUBSTITUTE(SUBSTITUTE(TRIM(INDEX($A:$AP,ROW(),$G$6)),",",""),"원",""),0))))</f>
        <v/>
      </c>
      <c r="AV831" s="23">
        <f>IF($AS831="","",IF($H$6="",$AT831+$AU831,IF($H$6="",0,IF(ISNUMBER(INDEX($A:$AP,ROW(),$H$6)),INDEX($A:$AP,ROW(),$H$6),IFERROR(--SUBSTITUTE(SUBSTITUTE(TRIM(INDEX($A:$AP,ROW(),$H$6)),",",""),"원",""),0)))))</f>
        <v/>
      </c>
      <c r="AW831" s="2">
        <f>IF(OR($AS831="",$C$6=""),"",TRIM(INDEX($A:$AP,ROW(),$C$6)&amp;""))</f>
        <v/>
      </c>
      <c r="AX831" s="2">
        <f>IF($AS831="","",IF($AZ831&lt;&gt;"",SUBSTITUTE(SUBSTITUTE($AZ831,"-","")," ",""),$AY831))</f>
        <v/>
      </c>
      <c r="AY831" s="2">
        <f>IF(OR($AS831="",$E$6=""),"",TRIM(INDEX($A:$AP,ROW(),$E$6)&amp;""))</f>
        <v/>
      </c>
      <c r="AZ831" s="2">
        <f>IF(OR($AS831="",$D$6=""),"",TRIM(INDEX($A:$AP,ROW(),$D$6)&amp;""))</f>
        <v/>
      </c>
      <c r="BA831" s="2">
        <f>IF($AS831="","",IF(AND($AS831&gt;=설정!$B$10,$AS831&lt;=설정!$B$11),"포함","기간 밖"))</f>
        <v/>
      </c>
      <c r="BB831" s="2">
        <f>IF($AS831="","",IF(OR($AT831&lt;0,AND($I$6&lt;&gt;"",ISNUMBER(FIND("수정",INDEX($A:$AP,ROW(),IF($I$6="",1,$I$6))&amp;"")))),"수정","일반"))</f>
        <v/>
      </c>
      <c r="BC831" s="2">
        <f>IF($AS831="","",MID(IF($BA831="기간 밖"," / 기간 밖(신고기간 아님)","")&amp;IF(AND($AW831&lt;&gt;"",COUNTIF($AW$8:$AW$1007,$AW831)&gt;1)," / 승인번호 중복(두 번 붙여넣기?)","")&amp;IF(ABS($AU831-ROUND($AT831*0.1,0))&gt;설정!$B$8,IF($AU831=0," / 세액 0원(영세율·면세 여부 확인)"," / 세액이 공급가액 10%와 다름"),"")&amp;IF($BB831="수정"," / 수정세금계산서(합계에서 자동 가감)",""),4,200))</f>
        <v/>
      </c>
      <c r="BD831" s="2">
        <f>IF($BA831&lt;&gt;"포함","",IF(COUNTIFS($AX$8:$AX831,$AX831,$BA$8:$BA831,"포함")=1,MAX($BD$7:BD830)+1,""))</f>
        <v/>
      </c>
      <c r="BE831" s="2">
        <f>IF($BC831="","",MAX($BE$7:BE830)+1)</f>
        <v/>
      </c>
    </row>
    <row r="832">
      <c r="AR832" s="2">
        <f>IF(OR($A$5="",$B$6="",ROW()&lt;$A$5),"",IF(INDEX($A:$AP,ROW(),$B$6)="","",INDEX($A:$AP,ROW(),$B$6)))</f>
        <v/>
      </c>
      <c r="AS832" s="22">
        <f>IF($AR832="","",IF(ISNUMBER($AR832),IF($AR832&gt;=10000000,IFERROR(DATE(INT($AR832/10000),MOD(INT($AR832/100),100),MOD($AR832,100)),""),INT($AR832)),IFERROR(DATE(--LEFT(LEFT(SUBSTITUTE(SUBSTITUTE(SUBSTITUTE(SUBSTITUTE(TRIM($AR832),"-",""),".",""),"/","")," ",""),8),4),--MID(LEFT(SUBSTITUTE(SUBSTITUTE(SUBSTITUTE(SUBSTITUTE(TRIM($AR832),"-",""),".",""),"/","")," ",""),8),5,2),--MID(LEFT(SUBSTITUTE(SUBSTITUTE(SUBSTITUTE(SUBSTITUTE(TRIM($AR832),"-",""),".",""),"/","")," ",""),8),7,2)),"")))</f>
        <v/>
      </c>
      <c r="AT832" s="23">
        <f>IF($AS832="","",IF($F$6="",0,IF(ISNUMBER(INDEX($A:$AP,ROW(),$F$6)),INDEX($A:$AP,ROW(),$F$6),IFERROR(--SUBSTITUTE(SUBSTITUTE(TRIM(INDEX($A:$AP,ROW(),$F$6)),",",""),"원",""),0))))</f>
        <v/>
      </c>
      <c r="AU832" s="23">
        <f>IF($AS832="","",IF($G$6="",0,IF(ISNUMBER(INDEX($A:$AP,ROW(),$G$6)),INDEX($A:$AP,ROW(),$G$6),IFERROR(--SUBSTITUTE(SUBSTITUTE(TRIM(INDEX($A:$AP,ROW(),$G$6)),",",""),"원",""),0))))</f>
        <v/>
      </c>
      <c r="AV832" s="23">
        <f>IF($AS832="","",IF($H$6="",$AT832+$AU832,IF($H$6="",0,IF(ISNUMBER(INDEX($A:$AP,ROW(),$H$6)),INDEX($A:$AP,ROW(),$H$6),IFERROR(--SUBSTITUTE(SUBSTITUTE(TRIM(INDEX($A:$AP,ROW(),$H$6)),",",""),"원",""),0)))))</f>
        <v/>
      </c>
      <c r="AW832" s="2">
        <f>IF(OR($AS832="",$C$6=""),"",TRIM(INDEX($A:$AP,ROW(),$C$6)&amp;""))</f>
        <v/>
      </c>
      <c r="AX832" s="2">
        <f>IF($AS832="","",IF($AZ832&lt;&gt;"",SUBSTITUTE(SUBSTITUTE($AZ832,"-","")," ",""),$AY832))</f>
        <v/>
      </c>
      <c r="AY832" s="2">
        <f>IF(OR($AS832="",$E$6=""),"",TRIM(INDEX($A:$AP,ROW(),$E$6)&amp;""))</f>
        <v/>
      </c>
      <c r="AZ832" s="2">
        <f>IF(OR($AS832="",$D$6=""),"",TRIM(INDEX($A:$AP,ROW(),$D$6)&amp;""))</f>
        <v/>
      </c>
      <c r="BA832" s="2">
        <f>IF($AS832="","",IF(AND($AS832&gt;=설정!$B$10,$AS832&lt;=설정!$B$11),"포함","기간 밖"))</f>
        <v/>
      </c>
      <c r="BB832" s="2">
        <f>IF($AS832="","",IF(OR($AT832&lt;0,AND($I$6&lt;&gt;"",ISNUMBER(FIND("수정",INDEX($A:$AP,ROW(),IF($I$6="",1,$I$6))&amp;"")))),"수정","일반"))</f>
        <v/>
      </c>
      <c r="BC832" s="2">
        <f>IF($AS832="","",MID(IF($BA832="기간 밖"," / 기간 밖(신고기간 아님)","")&amp;IF(AND($AW832&lt;&gt;"",COUNTIF($AW$8:$AW$1007,$AW832)&gt;1)," / 승인번호 중복(두 번 붙여넣기?)","")&amp;IF(ABS($AU832-ROUND($AT832*0.1,0))&gt;설정!$B$8,IF($AU832=0," / 세액 0원(영세율·면세 여부 확인)"," / 세액이 공급가액 10%와 다름"),"")&amp;IF($BB832="수정"," / 수정세금계산서(합계에서 자동 가감)",""),4,200))</f>
        <v/>
      </c>
      <c r="BD832" s="2">
        <f>IF($BA832&lt;&gt;"포함","",IF(COUNTIFS($AX$8:$AX832,$AX832,$BA$8:$BA832,"포함")=1,MAX($BD$7:BD831)+1,""))</f>
        <v/>
      </c>
      <c r="BE832" s="2">
        <f>IF($BC832="","",MAX($BE$7:BE831)+1)</f>
        <v/>
      </c>
    </row>
    <row r="833">
      <c r="AR833" s="2">
        <f>IF(OR($A$5="",$B$6="",ROW()&lt;$A$5),"",IF(INDEX($A:$AP,ROW(),$B$6)="","",INDEX($A:$AP,ROW(),$B$6)))</f>
        <v/>
      </c>
      <c r="AS833" s="22">
        <f>IF($AR833="","",IF(ISNUMBER($AR833),IF($AR833&gt;=10000000,IFERROR(DATE(INT($AR833/10000),MOD(INT($AR833/100),100),MOD($AR833,100)),""),INT($AR833)),IFERROR(DATE(--LEFT(LEFT(SUBSTITUTE(SUBSTITUTE(SUBSTITUTE(SUBSTITUTE(TRIM($AR833),"-",""),".",""),"/","")," ",""),8),4),--MID(LEFT(SUBSTITUTE(SUBSTITUTE(SUBSTITUTE(SUBSTITUTE(TRIM($AR833),"-",""),".",""),"/","")," ",""),8),5,2),--MID(LEFT(SUBSTITUTE(SUBSTITUTE(SUBSTITUTE(SUBSTITUTE(TRIM($AR833),"-",""),".",""),"/","")," ",""),8),7,2)),"")))</f>
        <v/>
      </c>
      <c r="AT833" s="23">
        <f>IF($AS833="","",IF($F$6="",0,IF(ISNUMBER(INDEX($A:$AP,ROW(),$F$6)),INDEX($A:$AP,ROW(),$F$6),IFERROR(--SUBSTITUTE(SUBSTITUTE(TRIM(INDEX($A:$AP,ROW(),$F$6)),",",""),"원",""),0))))</f>
        <v/>
      </c>
      <c r="AU833" s="23">
        <f>IF($AS833="","",IF($G$6="",0,IF(ISNUMBER(INDEX($A:$AP,ROW(),$G$6)),INDEX($A:$AP,ROW(),$G$6),IFERROR(--SUBSTITUTE(SUBSTITUTE(TRIM(INDEX($A:$AP,ROW(),$G$6)),",",""),"원",""),0))))</f>
        <v/>
      </c>
      <c r="AV833" s="23">
        <f>IF($AS833="","",IF($H$6="",$AT833+$AU833,IF($H$6="",0,IF(ISNUMBER(INDEX($A:$AP,ROW(),$H$6)),INDEX($A:$AP,ROW(),$H$6),IFERROR(--SUBSTITUTE(SUBSTITUTE(TRIM(INDEX($A:$AP,ROW(),$H$6)),",",""),"원",""),0)))))</f>
        <v/>
      </c>
      <c r="AW833" s="2">
        <f>IF(OR($AS833="",$C$6=""),"",TRIM(INDEX($A:$AP,ROW(),$C$6)&amp;""))</f>
        <v/>
      </c>
      <c r="AX833" s="2">
        <f>IF($AS833="","",IF($AZ833&lt;&gt;"",SUBSTITUTE(SUBSTITUTE($AZ833,"-","")," ",""),$AY833))</f>
        <v/>
      </c>
      <c r="AY833" s="2">
        <f>IF(OR($AS833="",$E$6=""),"",TRIM(INDEX($A:$AP,ROW(),$E$6)&amp;""))</f>
        <v/>
      </c>
      <c r="AZ833" s="2">
        <f>IF(OR($AS833="",$D$6=""),"",TRIM(INDEX($A:$AP,ROW(),$D$6)&amp;""))</f>
        <v/>
      </c>
      <c r="BA833" s="2">
        <f>IF($AS833="","",IF(AND($AS833&gt;=설정!$B$10,$AS833&lt;=설정!$B$11),"포함","기간 밖"))</f>
        <v/>
      </c>
      <c r="BB833" s="2">
        <f>IF($AS833="","",IF(OR($AT833&lt;0,AND($I$6&lt;&gt;"",ISNUMBER(FIND("수정",INDEX($A:$AP,ROW(),IF($I$6="",1,$I$6))&amp;"")))),"수정","일반"))</f>
        <v/>
      </c>
      <c r="BC833" s="2">
        <f>IF($AS833="","",MID(IF($BA833="기간 밖"," / 기간 밖(신고기간 아님)","")&amp;IF(AND($AW833&lt;&gt;"",COUNTIF($AW$8:$AW$1007,$AW833)&gt;1)," / 승인번호 중복(두 번 붙여넣기?)","")&amp;IF(ABS($AU833-ROUND($AT833*0.1,0))&gt;설정!$B$8,IF($AU833=0," / 세액 0원(영세율·면세 여부 확인)"," / 세액이 공급가액 10%와 다름"),"")&amp;IF($BB833="수정"," / 수정세금계산서(합계에서 자동 가감)",""),4,200))</f>
        <v/>
      </c>
      <c r="BD833" s="2">
        <f>IF($BA833&lt;&gt;"포함","",IF(COUNTIFS($AX$8:$AX833,$AX833,$BA$8:$BA833,"포함")=1,MAX($BD$7:BD832)+1,""))</f>
        <v/>
      </c>
      <c r="BE833" s="2">
        <f>IF($BC833="","",MAX($BE$7:BE832)+1)</f>
        <v/>
      </c>
    </row>
    <row r="834">
      <c r="AR834" s="2">
        <f>IF(OR($A$5="",$B$6="",ROW()&lt;$A$5),"",IF(INDEX($A:$AP,ROW(),$B$6)="","",INDEX($A:$AP,ROW(),$B$6)))</f>
        <v/>
      </c>
      <c r="AS834" s="22">
        <f>IF($AR834="","",IF(ISNUMBER($AR834),IF($AR834&gt;=10000000,IFERROR(DATE(INT($AR834/10000),MOD(INT($AR834/100),100),MOD($AR834,100)),""),INT($AR834)),IFERROR(DATE(--LEFT(LEFT(SUBSTITUTE(SUBSTITUTE(SUBSTITUTE(SUBSTITUTE(TRIM($AR834),"-",""),".",""),"/","")," ",""),8),4),--MID(LEFT(SUBSTITUTE(SUBSTITUTE(SUBSTITUTE(SUBSTITUTE(TRIM($AR834),"-",""),".",""),"/","")," ",""),8),5,2),--MID(LEFT(SUBSTITUTE(SUBSTITUTE(SUBSTITUTE(SUBSTITUTE(TRIM($AR834),"-",""),".",""),"/","")," ",""),8),7,2)),"")))</f>
        <v/>
      </c>
      <c r="AT834" s="23">
        <f>IF($AS834="","",IF($F$6="",0,IF(ISNUMBER(INDEX($A:$AP,ROW(),$F$6)),INDEX($A:$AP,ROW(),$F$6),IFERROR(--SUBSTITUTE(SUBSTITUTE(TRIM(INDEX($A:$AP,ROW(),$F$6)),",",""),"원",""),0))))</f>
        <v/>
      </c>
      <c r="AU834" s="23">
        <f>IF($AS834="","",IF($G$6="",0,IF(ISNUMBER(INDEX($A:$AP,ROW(),$G$6)),INDEX($A:$AP,ROW(),$G$6),IFERROR(--SUBSTITUTE(SUBSTITUTE(TRIM(INDEX($A:$AP,ROW(),$G$6)),",",""),"원",""),0))))</f>
        <v/>
      </c>
      <c r="AV834" s="23">
        <f>IF($AS834="","",IF($H$6="",$AT834+$AU834,IF($H$6="",0,IF(ISNUMBER(INDEX($A:$AP,ROW(),$H$6)),INDEX($A:$AP,ROW(),$H$6),IFERROR(--SUBSTITUTE(SUBSTITUTE(TRIM(INDEX($A:$AP,ROW(),$H$6)),",",""),"원",""),0)))))</f>
        <v/>
      </c>
      <c r="AW834" s="2">
        <f>IF(OR($AS834="",$C$6=""),"",TRIM(INDEX($A:$AP,ROW(),$C$6)&amp;""))</f>
        <v/>
      </c>
      <c r="AX834" s="2">
        <f>IF($AS834="","",IF($AZ834&lt;&gt;"",SUBSTITUTE(SUBSTITUTE($AZ834,"-","")," ",""),$AY834))</f>
        <v/>
      </c>
      <c r="AY834" s="2">
        <f>IF(OR($AS834="",$E$6=""),"",TRIM(INDEX($A:$AP,ROW(),$E$6)&amp;""))</f>
        <v/>
      </c>
      <c r="AZ834" s="2">
        <f>IF(OR($AS834="",$D$6=""),"",TRIM(INDEX($A:$AP,ROW(),$D$6)&amp;""))</f>
        <v/>
      </c>
      <c r="BA834" s="2">
        <f>IF($AS834="","",IF(AND($AS834&gt;=설정!$B$10,$AS834&lt;=설정!$B$11),"포함","기간 밖"))</f>
        <v/>
      </c>
      <c r="BB834" s="2">
        <f>IF($AS834="","",IF(OR($AT834&lt;0,AND($I$6&lt;&gt;"",ISNUMBER(FIND("수정",INDEX($A:$AP,ROW(),IF($I$6="",1,$I$6))&amp;"")))),"수정","일반"))</f>
        <v/>
      </c>
      <c r="BC834" s="2">
        <f>IF($AS834="","",MID(IF($BA834="기간 밖"," / 기간 밖(신고기간 아님)","")&amp;IF(AND($AW834&lt;&gt;"",COUNTIF($AW$8:$AW$1007,$AW834)&gt;1)," / 승인번호 중복(두 번 붙여넣기?)","")&amp;IF(ABS($AU834-ROUND($AT834*0.1,0))&gt;설정!$B$8,IF($AU834=0," / 세액 0원(영세율·면세 여부 확인)"," / 세액이 공급가액 10%와 다름"),"")&amp;IF($BB834="수정"," / 수정세금계산서(합계에서 자동 가감)",""),4,200))</f>
        <v/>
      </c>
      <c r="BD834" s="2">
        <f>IF($BA834&lt;&gt;"포함","",IF(COUNTIFS($AX$8:$AX834,$AX834,$BA$8:$BA834,"포함")=1,MAX($BD$7:BD833)+1,""))</f>
        <v/>
      </c>
      <c r="BE834" s="2">
        <f>IF($BC834="","",MAX($BE$7:BE833)+1)</f>
        <v/>
      </c>
    </row>
    <row r="835">
      <c r="AR835" s="2">
        <f>IF(OR($A$5="",$B$6="",ROW()&lt;$A$5),"",IF(INDEX($A:$AP,ROW(),$B$6)="","",INDEX($A:$AP,ROW(),$B$6)))</f>
        <v/>
      </c>
      <c r="AS835" s="22">
        <f>IF($AR835="","",IF(ISNUMBER($AR835),IF($AR835&gt;=10000000,IFERROR(DATE(INT($AR835/10000),MOD(INT($AR835/100),100),MOD($AR835,100)),""),INT($AR835)),IFERROR(DATE(--LEFT(LEFT(SUBSTITUTE(SUBSTITUTE(SUBSTITUTE(SUBSTITUTE(TRIM($AR835),"-",""),".",""),"/","")," ",""),8),4),--MID(LEFT(SUBSTITUTE(SUBSTITUTE(SUBSTITUTE(SUBSTITUTE(TRIM($AR835),"-",""),".",""),"/","")," ",""),8),5,2),--MID(LEFT(SUBSTITUTE(SUBSTITUTE(SUBSTITUTE(SUBSTITUTE(TRIM($AR835),"-",""),".",""),"/","")," ",""),8),7,2)),"")))</f>
        <v/>
      </c>
      <c r="AT835" s="23">
        <f>IF($AS835="","",IF($F$6="",0,IF(ISNUMBER(INDEX($A:$AP,ROW(),$F$6)),INDEX($A:$AP,ROW(),$F$6),IFERROR(--SUBSTITUTE(SUBSTITUTE(TRIM(INDEX($A:$AP,ROW(),$F$6)),",",""),"원",""),0))))</f>
        <v/>
      </c>
      <c r="AU835" s="23">
        <f>IF($AS835="","",IF($G$6="",0,IF(ISNUMBER(INDEX($A:$AP,ROW(),$G$6)),INDEX($A:$AP,ROW(),$G$6),IFERROR(--SUBSTITUTE(SUBSTITUTE(TRIM(INDEX($A:$AP,ROW(),$G$6)),",",""),"원",""),0))))</f>
        <v/>
      </c>
      <c r="AV835" s="23">
        <f>IF($AS835="","",IF($H$6="",$AT835+$AU835,IF($H$6="",0,IF(ISNUMBER(INDEX($A:$AP,ROW(),$H$6)),INDEX($A:$AP,ROW(),$H$6),IFERROR(--SUBSTITUTE(SUBSTITUTE(TRIM(INDEX($A:$AP,ROW(),$H$6)),",",""),"원",""),0)))))</f>
        <v/>
      </c>
      <c r="AW835" s="2">
        <f>IF(OR($AS835="",$C$6=""),"",TRIM(INDEX($A:$AP,ROW(),$C$6)&amp;""))</f>
        <v/>
      </c>
      <c r="AX835" s="2">
        <f>IF($AS835="","",IF($AZ835&lt;&gt;"",SUBSTITUTE(SUBSTITUTE($AZ835,"-","")," ",""),$AY835))</f>
        <v/>
      </c>
      <c r="AY835" s="2">
        <f>IF(OR($AS835="",$E$6=""),"",TRIM(INDEX($A:$AP,ROW(),$E$6)&amp;""))</f>
        <v/>
      </c>
      <c r="AZ835" s="2">
        <f>IF(OR($AS835="",$D$6=""),"",TRIM(INDEX($A:$AP,ROW(),$D$6)&amp;""))</f>
        <v/>
      </c>
      <c r="BA835" s="2">
        <f>IF($AS835="","",IF(AND($AS835&gt;=설정!$B$10,$AS835&lt;=설정!$B$11),"포함","기간 밖"))</f>
        <v/>
      </c>
      <c r="BB835" s="2">
        <f>IF($AS835="","",IF(OR($AT835&lt;0,AND($I$6&lt;&gt;"",ISNUMBER(FIND("수정",INDEX($A:$AP,ROW(),IF($I$6="",1,$I$6))&amp;"")))),"수정","일반"))</f>
        <v/>
      </c>
      <c r="BC835" s="2">
        <f>IF($AS835="","",MID(IF($BA835="기간 밖"," / 기간 밖(신고기간 아님)","")&amp;IF(AND($AW835&lt;&gt;"",COUNTIF($AW$8:$AW$1007,$AW835)&gt;1)," / 승인번호 중복(두 번 붙여넣기?)","")&amp;IF(ABS($AU835-ROUND($AT835*0.1,0))&gt;설정!$B$8,IF($AU835=0," / 세액 0원(영세율·면세 여부 확인)"," / 세액이 공급가액 10%와 다름"),"")&amp;IF($BB835="수정"," / 수정세금계산서(합계에서 자동 가감)",""),4,200))</f>
        <v/>
      </c>
      <c r="BD835" s="2">
        <f>IF($BA835&lt;&gt;"포함","",IF(COUNTIFS($AX$8:$AX835,$AX835,$BA$8:$BA835,"포함")=1,MAX($BD$7:BD834)+1,""))</f>
        <v/>
      </c>
      <c r="BE835" s="2">
        <f>IF($BC835="","",MAX($BE$7:BE834)+1)</f>
        <v/>
      </c>
    </row>
    <row r="836">
      <c r="AR836" s="2">
        <f>IF(OR($A$5="",$B$6="",ROW()&lt;$A$5),"",IF(INDEX($A:$AP,ROW(),$B$6)="","",INDEX($A:$AP,ROW(),$B$6)))</f>
        <v/>
      </c>
      <c r="AS836" s="22">
        <f>IF($AR836="","",IF(ISNUMBER($AR836),IF($AR836&gt;=10000000,IFERROR(DATE(INT($AR836/10000),MOD(INT($AR836/100),100),MOD($AR836,100)),""),INT($AR836)),IFERROR(DATE(--LEFT(LEFT(SUBSTITUTE(SUBSTITUTE(SUBSTITUTE(SUBSTITUTE(TRIM($AR836),"-",""),".",""),"/","")," ",""),8),4),--MID(LEFT(SUBSTITUTE(SUBSTITUTE(SUBSTITUTE(SUBSTITUTE(TRIM($AR836),"-",""),".",""),"/","")," ",""),8),5,2),--MID(LEFT(SUBSTITUTE(SUBSTITUTE(SUBSTITUTE(SUBSTITUTE(TRIM($AR836),"-",""),".",""),"/","")," ",""),8),7,2)),"")))</f>
        <v/>
      </c>
      <c r="AT836" s="23">
        <f>IF($AS836="","",IF($F$6="",0,IF(ISNUMBER(INDEX($A:$AP,ROW(),$F$6)),INDEX($A:$AP,ROW(),$F$6),IFERROR(--SUBSTITUTE(SUBSTITUTE(TRIM(INDEX($A:$AP,ROW(),$F$6)),",",""),"원",""),0))))</f>
        <v/>
      </c>
      <c r="AU836" s="23">
        <f>IF($AS836="","",IF($G$6="",0,IF(ISNUMBER(INDEX($A:$AP,ROW(),$G$6)),INDEX($A:$AP,ROW(),$G$6),IFERROR(--SUBSTITUTE(SUBSTITUTE(TRIM(INDEX($A:$AP,ROW(),$G$6)),",",""),"원",""),0))))</f>
        <v/>
      </c>
      <c r="AV836" s="23">
        <f>IF($AS836="","",IF($H$6="",$AT836+$AU836,IF($H$6="",0,IF(ISNUMBER(INDEX($A:$AP,ROW(),$H$6)),INDEX($A:$AP,ROW(),$H$6),IFERROR(--SUBSTITUTE(SUBSTITUTE(TRIM(INDEX($A:$AP,ROW(),$H$6)),",",""),"원",""),0)))))</f>
        <v/>
      </c>
      <c r="AW836" s="2">
        <f>IF(OR($AS836="",$C$6=""),"",TRIM(INDEX($A:$AP,ROW(),$C$6)&amp;""))</f>
        <v/>
      </c>
      <c r="AX836" s="2">
        <f>IF($AS836="","",IF($AZ836&lt;&gt;"",SUBSTITUTE(SUBSTITUTE($AZ836,"-","")," ",""),$AY836))</f>
        <v/>
      </c>
      <c r="AY836" s="2">
        <f>IF(OR($AS836="",$E$6=""),"",TRIM(INDEX($A:$AP,ROW(),$E$6)&amp;""))</f>
        <v/>
      </c>
      <c r="AZ836" s="2">
        <f>IF(OR($AS836="",$D$6=""),"",TRIM(INDEX($A:$AP,ROW(),$D$6)&amp;""))</f>
        <v/>
      </c>
      <c r="BA836" s="2">
        <f>IF($AS836="","",IF(AND($AS836&gt;=설정!$B$10,$AS836&lt;=설정!$B$11),"포함","기간 밖"))</f>
        <v/>
      </c>
      <c r="BB836" s="2">
        <f>IF($AS836="","",IF(OR($AT836&lt;0,AND($I$6&lt;&gt;"",ISNUMBER(FIND("수정",INDEX($A:$AP,ROW(),IF($I$6="",1,$I$6))&amp;"")))),"수정","일반"))</f>
        <v/>
      </c>
      <c r="BC836" s="2">
        <f>IF($AS836="","",MID(IF($BA836="기간 밖"," / 기간 밖(신고기간 아님)","")&amp;IF(AND($AW836&lt;&gt;"",COUNTIF($AW$8:$AW$1007,$AW836)&gt;1)," / 승인번호 중복(두 번 붙여넣기?)","")&amp;IF(ABS($AU836-ROUND($AT836*0.1,0))&gt;설정!$B$8,IF($AU836=0," / 세액 0원(영세율·면세 여부 확인)"," / 세액이 공급가액 10%와 다름"),"")&amp;IF($BB836="수정"," / 수정세금계산서(합계에서 자동 가감)",""),4,200))</f>
        <v/>
      </c>
      <c r="BD836" s="2">
        <f>IF($BA836&lt;&gt;"포함","",IF(COUNTIFS($AX$8:$AX836,$AX836,$BA$8:$BA836,"포함")=1,MAX($BD$7:BD835)+1,""))</f>
        <v/>
      </c>
      <c r="BE836" s="2">
        <f>IF($BC836="","",MAX($BE$7:BE835)+1)</f>
        <v/>
      </c>
    </row>
    <row r="837">
      <c r="AR837" s="2">
        <f>IF(OR($A$5="",$B$6="",ROW()&lt;$A$5),"",IF(INDEX($A:$AP,ROW(),$B$6)="","",INDEX($A:$AP,ROW(),$B$6)))</f>
        <v/>
      </c>
      <c r="AS837" s="22">
        <f>IF($AR837="","",IF(ISNUMBER($AR837),IF($AR837&gt;=10000000,IFERROR(DATE(INT($AR837/10000),MOD(INT($AR837/100),100),MOD($AR837,100)),""),INT($AR837)),IFERROR(DATE(--LEFT(LEFT(SUBSTITUTE(SUBSTITUTE(SUBSTITUTE(SUBSTITUTE(TRIM($AR837),"-",""),".",""),"/","")," ",""),8),4),--MID(LEFT(SUBSTITUTE(SUBSTITUTE(SUBSTITUTE(SUBSTITUTE(TRIM($AR837),"-",""),".",""),"/","")," ",""),8),5,2),--MID(LEFT(SUBSTITUTE(SUBSTITUTE(SUBSTITUTE(SUBSTITUTE(TRIM($AR837),"-",""),".",""),"/","")," ",""),8),7,2)),"")))</f>
        <v/>
      </c>
      <c r="AT837" s="23">
        <f>IF($AS837="","",IF($F$6="",0,IF(ISNUMBER(INDEX($A:$AP,ROW(),$F$6)),INDEX($A:$AP,ROW(),$F$6),IFERROR(--SUBSTITUTE(SUBSTITUTE(TRIM(INDEX($A:$AP,ROW(),$F$6)),",",""),"원",""),0))))</f>
        <v/>
      </c>
      <c r="AU837" s="23">
        <f>IF($AS837="","",IF($G$6="",0,IF(ISNUMBER(INDEX($A:$AP,ROW(),$G$6)),INDEX($A:$AP,ROW(),$G$6),IFERROR(--SUBSTITUTE(SUBSTITUTE(TRIM(INDEX($A:$AP,ROW(),$G$6)),",",""),"원",""),0))))</f>
        <v/>
      </c>
      <c r="AV837" s="23">
        <f>IF($AS837="","",IF($H$6="",$AT837+$AU837,IF($H$6="",0,IF(ISNUMBER(INDEX($A:$AP,ROW(),$H$6)),INDEX($A:$AP,ROW(),$H$6),IFERROR(--SUBSTITUTE(SUBSTITUTE(TRIM(INDEX($A:$AP,ROW(),$H$6)),",",""),"원",""),0)))))</f>
        <v/>
      </c>
      <c r="AW837" s="2">
        <f>IF(OR($AS837="",$C$6=""),"",TRIM(INDEX($A:$AP,ROW(),$C$6)&amp;""))</f>
        <v/>
      </c>
      <c r="AX837" s="2">
        <f>IF($AS837="","",IF($AZ837&lt;&gt;"",SUBSTITUTE(SUBSTITUTE($AZ837,"-","")," ",""),$AY837))</f>
        <v/>
      </c>
      <c r="AY837" s="2">
        <f>IF(OR($AS837="",$E$6=""),"",TRIM(INDEX($A:$AP,ROW(),$E$6)&amp;""))</f>
        <v/>
      </c>
      <c r="AZ837" s="2">
        <f>IF(OR($AS837="",$D$6=""),"",TRIM(INDEX($A:$AP,ROW(),$D$6)&amp;""))</f>
        <v/>
      </c>
      <c r="BA837" s="2">
        <f>IF($AS837="","",IF(AND($AS837&gt;=설정!$B$10,$AS837&lt;=설정!$B$11),"포함","기간 밖"))</f>
        <v/>
      </c>
      <c r="BB837" s="2">
        <f>IF($AS837="","",IF(OR($AT837&lt;0,AND($I$6&lt;&gt;"",ISNUMBER(FIND("수정",INDEX($A:$AP,ROW(),IF($I$6="",1,$I$6))&amp;"")))),"수정","일반"))</f>
        <v/>
      </c>
      <c r="BC837" s="2">
        <f>IF($AS837="","",MID(IF($BA837="기간 밖"," / 기간 밖(신고기간 아님)","")&amp;IF(AND($AW837&lt;&gt;"",COUNTIF($AW$8:$AW$1007,$AW837)&gt;1)," / 승인번호 중복(두 번 붙여넣기?)","")&amp;IF(ABS($AU837-ROUND($AT837*0.1,0))&gt;설정!$B$8,IF($AU837=0," / 세액 0원(영세율·면세 여부 확인)"," / 세액이 공급가액 10%와 다름"),"")&amp;IF($BB837="수정"," / 수정세금계산서(합계에서 자동 가감)",""),4,200))</f>
        <v/>
      </c>
      <c r="BD837" s="2">
        <f>IF($BA837&lt;&gt;"포함","",IF(COUNTIFS($AX$8:$AX837,$AX837,$BA$8:$BA837,"포함")=1,MAX($BD$7:BD836)+1,""))</f>
        <v/>
      </c>
      <c r="BE837" s="2">
        <f>IF($BC837="","",MAX($BE$7:BE836)+1)</f>
        <v/>
      </c>
    </row>
    <row r="838">
      <c r="AR838" s="2">
        <f>IF(OR($A$5="",$B$6="",ROW()&lt;$A$5),"",IF(INDEX($A:$AP,ROW(),$B$6)="","",INDEX($A:$AP,ROW(),$B$6)))</f>
        <v/>
      </c>
      <c r="AS838" s="22">
        <f>IF($AR838="","",IF(ISNUMBER($AR838),IF($AR838&gt;=10000000,IFERROR(DATE(INT($AR838/10000),MOD(INT($AR838/100),100),MOD($AR838,100)),""),INT($AR838)),IFERROR(DATE(--LEFT(LEFT(SUBSTITUTE(SUBSTITUTE(SUBSTITUTE(SUBSTITUTE(TRIM($AR838),"-",""),".",""),"/","")," ",""),8),4),--MID(LEFT(SUBSTITUTE(SUBSTITUTE(SUBSTITUTE(SUBSTITUTE(TRIM($AR838),"-",""),".",""),"/","")," ",""),8),5,2),--MID(LEFT(SUBSTITUTE(SUBSTITUTE(SUBSTITUTE(SUBSTITUTE(TRIM($AR838),"-",""),".",""),"/","")," ",""),8),7,2)),"")))</f>
        <v/>
      </c>
      <c r="AT838" s="23">
        <f>IF($AS838="","",IF($F$6="",0,IF(ISNUMBER(INDEX($A:$AP,ROW(),$F$6)),INDEX($A:$AP,ROW(),$F$6),IFERROR(--SUBSTITUTE(SUBSTITUTE(TRIM(INDEX($A:$AP,ROW(),$F$6)),",",""),"원",""),0))))</f>
        <v/>
      </c>
      <c r="AU838" s="23">
        <f>IF($AS838="","",IF($G$6="",0,IF(ISNUMBER(INDEX($A:$AP,ROW(),$G$6)),INDEX($A:$AP,ROW(),$G$6),IFERROR(--SUBSTITUTE(SUBSTITUTE(TRIM(INDEX($A:$AP,ROW(),$G$6)),",",""),"원",""),0))))</f>
        <v/>
      </c>
      <c r="AV838" s="23">
        <f>IF($AS838="","",IF($H$6="",$AT838+$AU838,IF($H$6="",0,IF(ISNUMBER(INDEX($A:$AP,ROW(),$H$6)),INDEX($A:$AP,ROW(),$H$6),IFERROR(--SUBSTITUTE(SUBSTITUTE(TRIM(INDEX($A:$AP,ROW(),$H$6)),",",""),"원",""),0)))))</f>
        <v/>
      </c>
      <c r="AW838" s="2">
        <f>IF(OR($AS838="",$C$6=""),"",TRIM(INDEX($A:$AP,ROW(),$C$6)&amp;""))</f>
        <v/>
      </c>
      <c r="AX838" s="2">
        <f>IF($AS838="","",IF($AZ838&lt;&gt;"",SUBSTITUTE(SUBSTITUTE($AZ838,"-","")," ",""),$AY838))</f>
        <v/>
      </c>
      <c r="AY838" s="2">
        <f>IF(OR($AS838="",$E$6=""),"",TRIM(INDEX($A:$AP,ROW(),$E$6)&amp;""))</f>
        <v/>
      </c>
      <c r="AZ838" s="2">
        <f>IF(OR($AS838="",$D$6=""),"",TRIM(INDEX($A:$AP,ROW(),$D$6)&amp;""))</f>
        <v/>
      </c>
      <c r="BA838" s="2">
        <f>IF($AS838="","",IF(AND($AS838&gt;=설정!$B$10,$AS838&lt;=설정!$B$11),"포함","기간 밖"))</f>
        <v/>
      </c>
      <c r="BB838" s="2">
        <f>IF($AS838="","",IF(OR($AT838&lt;0,AND($I$6&lt;&gt;"",ISNUMBER(FIND("수정",INDEX($A:$AP,ROW(),IF($I$6="",1,$I$6))&amp;"")))),"수정","일반"))</f>
        <v/>
      </c>
      <c r="BC838" s="2">
        <f>IF($AS838="","",MID(IF($BA838="기간 밖"," / 기간 밖(신고기간 아님)","")&amp;IF(AND($AW838&lt;&gt;"",COUNTIF($AW$8:$AW$1007,$AW838)&gt;1)," / 승인번호 중복(두 번 붙여넣기?)","")&amp;IF(ABS($AU838-ROUND($AT838*0.1,0))&gt;설정!$B$8,IF($AU838=0," / 세액 0원(영세율·면세 여부 확인)"," / 세액이 공급가액 10%와 다름"),"")&amp;IF($BB838="수정"," / 수정세금계산서(합계에서 자동 가감)",""),4,200))</f>
        <v/>
      </c>
      <c r="BD838" s="2">
        <f>IF($BA838&lt;&gt;"포함","",IF(COUNTIFS($AX$8:$AX838,$AX838,$BA$8:$BA838,"포함")=1,MAX($BD$7:BD837)+1,""))</f>
        <v/>
      </c>
      <c r="BE838" s="2">
        <f>IF($BC838="","",MAX($BE$7:BE837)+1)</f>
        <v/>
      </c>
    </row>
    <row r="839">
      <c r="AR839" s="2">
        <f>IF(OR($A$5="",$B$6="",ROW()&lt;$A$5),"",IF(INDEX($A:$AP,ROW(),$B$6)="","",INDEX($A:$AP,ROW(),$B$6)))</f>
        <v/>
      </c>
      <c r="AS839" s="22">
        <f>IF($AR839="","",IF(ISNUMBER($AR839),IF($AR839&gt;=10000000,IFERROR(DATE(INT($AR839/10000),MOD(INT($AR839/100),100),MOD($AR839,100)),""),INT($AR839)),IFERROR(DATE(--LEFT(LEFT(SUBSTITUTE(SUBSTITUTE(SUBSTITUTE(SUBSTITUTE(TRIM($AR839),"-",""),".",""),"/","")," ",""),8),4),--MID(LEFT(SUBSTITUTE(SUBSTITUTE(SUBSTITUTE(SUBSTITUTE(TRIM($AR839),"-",""),".",""),"/","")," ",""),8),5,2),--MID(LEFT(SUBSTITUTE(SUBSTITUTE(SUBSTITUTE(SUBSTITUTE(TRIM($AR839),"-",""),".",""),"/","")," ",""),8),7,2)),"")))</f>
        <v/>
      </c>
      <c r="AT839" s="23">
        <f>IF($AS839="","",IF($F$6="",0,IF(ISNUMBER(INDEX($A:$AP,ROW(),$F$6)),INDEX($A:$AP,ROW(),$F$6),IFERROR(--SUBSTITUTE(SUBSTITUTE(TRIM(INDEX($A:$AP,ROW(),$F$6)),",",""),"원",""),0))))</f>
        <v/>
      </c>
      <c r="AU839" s="23">
        <f>IF($AS839="","",IF($G$6="",0,IF(ISNUMBER(INDEX($A:$AP,ROW(),$G$6)),INDEX($A:$AP,ROW(),$G$6),IFERROR(--SUBSTITUTE(SUBSTITUTE(TRIM(INDEX($A:$AP,ROW(),$G$6)),",",""),"원",""),0))))</f>
        <v/>
      </c>
      <c r="AV839" s="23">
        <f>IF($AS839="","",IF($H$6="",$AT839+$AU839,IF($H$6="",0,IF(ISNUMBER(INDEX($A:$AP,ROW(),$H$6)),INDEX($A:$AP,ROW(),$H$6),IFERROR(--SUBSTITUTE(SUBSTITUTE(TRIM(INDEX($A:$AP,ROW(),$H$6)),",",""),"원",""),0)))))</f>
        <v/>
      </c>
      <c r="AW839" s="2">
        <f>IF(OR($AS839="",$C$6=""),"",TRIM(INDEX($A:$AP,ROW(),$C$6)&amp;""))</f>
        <v/>
      </c>
      <c r="AX839" s="2">
        <f>IF($AS839="","",IF($AZ839&lt;&gt;"",SUBSTITUTE(SUBSTITUTE($AZ839,"-","")," ",""),$AY839))</f>
        <v/>
      </c>
      <c r="AY839" s="2">
        <f>IF(OR($AS839="",$E$6=""),"",TRIM(INDEX($A:$AP,ROW(),$E$6)&amp;""))</f>
        <v/>
      </c>
      <c r="AZ839" s="2">
        <f>IF(OR($AS839="",$D$6=""),"",TRIM(INDEX($A:$AP,ROW(),$D$6)&amp;""))</f>
        <v/>
      </c>
      <c r="BA839" s="2">
        <f>IF($AS839="","",IF(AND($AS839&gt;=설정!$B$10,$AS839&lt;=설정!$B$11),"포함","기간 밖"))</f>
        <v/>
      </c>
      <c r="BB839" s="2">
        <f>IF($AS839="","",IF(OR($AT839&lt;0,AND($I$6&lt;&gt;"",ISNUMBER(FIND("수정",INDEX($A:$AP,ROW(),IF($I$6="",1,$I$6))&amp;"")))),"수정","일반"))</f>
        <v/>
      </c>
      <c r="BC839" s="2">
        <f>IF($AS839="","",MID(IF($BA839="기간 밖"," / 기간 밖(신고기간 아님)","")&amp;IF(AND($AW839&lt;&gt;"",COUNTIF($AW$8:$AW$1007,$AW839)&gt;1)," / 승인번호 중복(두 번 붙여넣기?)","")&amp;IF(ABS($AU839-ROUND($AT839*0.1,0))&gt;설정!$B$8,IF($AU839=0," / 세액 0원(영세율·면세 여부 확인)"," / 세액이 공급가액 10%와 다름"),"")&amp;IF($BB839="수정"," / 수정세금계산서(합계에서 자동 가감)",""),4,200))</f>
        <v/>
      </c>
      <c r="BD839" s="2">
        <f>IF($BA839&lt;&gt;"포함","",IF(COUNTIFS($AX$8:$AX839,$AX839,$BA$8:$BA839,"포함")=1,MAX($BD$7:BD838)+1,""))</f>
        <v/>
      </c>
      <c r="BE839" s="2">
        <f>IF($BC839="","",MAX($BE$7:BE838)+1)</f>
        <v/>
      </c>
    </row>
    <row r="840">
      <c r="AR840" s="2">
        <f>IF(OR($A$5="",$B$6="",ROW()&lt;$A$5),"",IF(INDEX($A:$AP,ROW(),$B$6)="","",INDEX($A:$AP,ROW(),$B$6)))</f>
        <v/>
      </c>
      <c r="AS840" s="22">
        <f>IF($AR840="","",IF(ISNUMBER($AR840),IF($AR840&gt;=10000000,IFERROR(DATE(INT($AR840/10000),MOD(INT($AR840/100),100),MOD($AR840,100)),""),INT($AR840)),IFERROR(DATE(--LEFT(LEFT(SUBSTITUTE(SUBSTITUTE(SUBSTITUTE(SUBSTITUTE(TRIM($AR840),"-",""),".",""),"/","")," ",""),8),4),--MID(LEFT(SUBSTITUTE(SUBSTITUTE(SUBSTITUTE(SUBSTITUTE(TRIM($AR840),"-",""),".",""),"/","")," ",""),8),5,2),--MID(LEFT(SUBSTITUTE(SUBSTITUTE(SUBSTITUTE(SUBSTITUTE(TRIM($AR840),"-",""),".",""),"/","")," ",""),8),7,2)),"")))</f>
        <v/>
      </c>
      <c r="AT840" s="23">
        <f>IF($AS840="","",IF($F$6="",0,IF(ISNUMBER(INDEX($A:$AP,ROW(),$F$6)),INDEX($A:$AP,ROW(),$F$6),IFERROR(--SUBSTITUTE(SUBSTITUTE(TRIM(INDEX($A:$AP,ROW(),$F$6)),",",""),"원",""),0))))</f>
        <v/>
      </c>
      <c r="AU840" s="23">
        <f>IF($AS840="","",IF($G$6="",0,IF(ISNUMBER(INDEX($A:$AP,ROW(),$G$6)),INDEX($A:$AP,ROW(),$G$6),IFERROR(--SUBSTITUTE(SUBSTITUTE(TRIM(INDEX($A:$AP,ROW(),$G$6)),",",""),"원",""),0))))</f>
        <v/>
      </c>
      <c r="AV840" s="23">
        <f>IF($AS840="","",IF($H$6="",$AT840+$AU840,IF($H$6="",0,IF(ISNUMBER(INDEX($A:$AP,ROW(),$H$6)),INDEX($A:$AP,ROW(),$H$6),IFERROR(--SUBSTITUTE(SUBSTITUTE(TRIM(INDEX($A:$AP,ROW(),$H$6)),",",""),"원",""),0)))))</f>
        <v/>
      </c>
      <c r="AW840" s="2">
        <f>IF(OR($AS840="",$C$6=""),"",TRIM(INDEX($A:$AP,ROW(),$C$6)&amp;""))</f>
        <v/>
      </c>
      <c r="AX840" s="2">
        <f>IF($AS840="","",IF($AZ840&lt;&gt;"",SUBSTITUTE(SUBSTITUTE($AZ840,"-","")," ",""),$AY840))</f>
        <v/>
      </c>
      <c r="AY840" s="2">
        <f>IF(OR($AS840="",$E$6=""),"",TRIM(INDEX($A:$AP,ROW(),$E$6)&amp;""))</f>
        <v/>
      </c>
      <c r="AZ840" s="2">
        <f>IF(OR($AS840="",$D$6=""),"",TRIM(INDEX($A:$AP,ROW(),$D$6)&amp;""))</f>
        <v/>
      </c>
      <c r="BA840" s="2">
        <f>IF($AS840="","",IF(AND($AS840&gt;=설정!$B$10,$AS840&lt;=설정!$B$11),"포함","기간 밖"))</f>
        <v/>
      </c>
      <c r="BB840" s="2">
        <f>IF($AS840="","",IF(OR($AT840&lt;0,AND($I$6&lt;&gt;"",ISNUMBER(FIND("수정",INDEX($A:$AP,ROW(),IF($I$6="",1,$I$6))&amp;"")))),"수정","일반"))</f>
        <v/>
      </c>
      <c r="BC840" s="2">
        <f>IF($AS840="","",MID(IF($BA840="기간 밖"," / 기간 밖(신고기간 아님)","")&amp;IF(AND($AW840&lt;&gt;"",COUNTIF($AW$8:$AW$1007,$AW840)&gt;1)," / 승인번호 중복(두 번 붙여넣기?)","")&amp;IF(ABS($AU840-ROUND($AT840*0.1,0))&gt;설정!$B$8,IF($AU840=0," / 세액 0원(영세율·면세 여부 확인)"," / 세액이 공급가액 10%와 다름"),"")&amp;IF($BB840="수정"," / 수정세금계산서(합계에서 자동 가감)",""),4,200))</f>
        <v/>
      </c>
      <c r="BD840" s="2">
        <f>IF($BA840&lt;&gt;"포함","",IF(COUNTIFS($AX$8:$AX840,$AX840,$BA$8:$BA840,"포함")=1,MAX($BD$7:BD839)+1,""))</f>
        <v/>
      </c>
      <c r="BE840" s="2">
        <f>IF($BC840="","",MAX($BE$7:BE839)+1)</f>
        <v/>
      </c>
    </row>
    <row r="841">
      <c r="AR841" s="2">
        <f>IF(OR($A$5="",$B$6="",ROW()&lt;$A$5),"",IF(INDEX($A:$AP,ROW(),$B$6)="","",INDEX($A:$AP,ROW(),$B$6)))</f>
        <v/>
      </c>
      <c r="AS841" s="22">
        <f>IF($AR841="","",IF(ISNUMBER($AR841),IF($AR841&gt;=10000000,IFERROR(DATE(INT($AR841/10000),MOD(INT($AR841/100),100),MOD($AR841,100)),""),INT($AR841)),IFERROR(DATE(--LEFT(LEFT(SUBSTITUTE(SUBSTITUTE(SUBSTITUTE(SUBSTITUTE(TRIM($AR841),"-",""),".",""),"/","")," ",""),8),4),--MID(LEFT(SUBSTITUTE(SUBSTITUTE(SUBSTITUTE(SUBSTITUTE(TRIM($AR841),"-",""),".",""),"/","")," ",""),8),5,2),--MID(LEFT(SUBSTITUTE(SUBSTITUTE(SUBSTITUTE(SUBSTITUTE(TRIM($AR841),"-",""),".",""),"/","")," ",""),8),7,2)),"")))</f>
        <v/>
      </c>
      <c r="AT841" s="23">
        <f>IF($AS841="","",IF($F$6="",0,IF(ISNUMBER(INDEX($A:$AP,ROW(),$F$6)),INDEX($A:$AP,ROW(),$F$6),IFERROR(--SUBSTITUTE(SUBSTITUTE(TRIM(INDEX($A:$AP,ROW(),$F$6)),",",""),"원",""),0))))</f>
        <v/>
      </c>
      <c r="AU841" s="23">
        <f>IF($AS841="","",IF($G$6="",0,IF(ISNUMBER(INDEX($A:$AP,ROW(),$G$6)),INDEX($A:$AP,ROW(),$G$6),IFERROR(--SUBSTITUTE(SUBSTITUTE(TRIM(INDEX($A:$AP,ROW(),$G$6)),",",""),"원",""),0))))</f>
        <v/>
      </c>
      <c r="AV841" s="23">
        <f>IF($AS841="","",IF($H$6="",$AT841+$AU841,IF($H$6="",0,IF(ISNUMBER(INDEX($A:$AP,ROW(),$H$6)),INDEX($A:$AP,ROW(),$H$6),IFERROR(--SUBSTITUTE(SUBSTITUTE(TRIM(INDEX($A:$AP,ROW(),$H$6)),",",""),"원",""),0)))))</f>
        <v/>
      </c>
      <c r="AW841" s="2">
        <f>IF(OR($AS841="",$C$6=""),"",TRIM(INDEX($A:$AP,ROW(),$C$6)&amp;""))</f>
        <v/>
      </c>
      <c r="AX841" s="2">
        <f>IF($AS841="","",IF($AZ841&lt;&gt;"",SUBSTITUTE(SUBSTITUTE($AZ841,"-","")," ",""),$AY841))</f>
        <v/>
      </c>
      <c r="AY841" s="2">
        <f>IF(OR($AS841="",$E$6=""),"",TRIM(INDEX($A:$AP,ROW(),$E$6)&amp;""))</f>
        <v/>
      </c>
      <c r="AZ841" s="2">
        <f>IF(OR($AS841="",$D$6=""),"",TRIM(INDEX($A:$AP,ROW(),$D$6)&amp;""))</f>
        <v/>
      </c>
      <c r="BA841" s="2">
        <f>IF($AS841="","",IF(AND($AS841&gt;=설정!$B$10,$AS841&lt;=설정!$B$11),"포함","기간 밖"))</f>
        <v/>
      </c>
      <c r="BB841" s="2">
        <f>IF($AS841="","",IF(OR($AT841&lt;0,AND($I$6&lt;&gt;"",ISNUMBER(FIND("수정",INDEX($A:$AP,ROW(),IF($I$6="",1,$I$6))&amp;"")))),"수정","일반"))</f>
        <v/>
      </c>
      <c r="BC841" s="2">
        <f>IF($AS841="","",MID(IF($BA841="기간 밖"," / 기간 밖(신고기간 아님)","")&amp;IF(AND($AW841&lt;&gt;"",COUNTIF($AW$8:$AW$1007,$AW841)&gt;1)," / 승인번호 중복(두 번 붙여넣기?)","")&amp;IF(ABS($AU841-ROUND($AT841*0.1,0))&gt;설정!$B$8,IF($AU841=0," / 세액 0원(영세율·면세 여부 확인)"," / 세액이 공급가액 10%와 다름"),"")&amp;IF($BB841="수정"," / 수정세금계산서(합계에서 자동 가감)",""),4,200))</f>
        <v/>
      </c>
      <c r="BD841" s="2">
        <f>IF($BA841&lt;&gt;"포함","",IF(COUNTIFS($AX$8:$AX841,$AX841,$BA$8:$BA841,"포함")=1,MAX($BD$7:BD840)+1,""))</f>
        <v/>
      </c>
      <c r="BE841" s="2">
        <f>IF($BC841="","",MAX($BE$7:BE840)+1)</f>
        <v/>
      </c>
    </row>
    <row r="842">
      <c r="AR842" s="2">
        <f>IF(OR($A$5="",$B$6="",ROW()&lt;$A$5),"",IF(INDEX($A:$AP,ROW(),$B$6)="","",INDEX($A:$AP,ROW(),$B$6)))</f>
        <v/>
      </c>
      <c r="AS842" s="22">
        <f>IF($AR842="","",IF(ISNUMBER($AR842),IF($AR842&gt;=10000000,IFERROR(DATE(INT($AR842/10000),MOD(INT($AR842/100),100),MOD($AR842,100)),""),INT($AR842)),IFERROR(DATE(--LEFT(LEFT(SUBSTITUTE(SUBSTITUTE(SUBSTITUTE(SUBSTITUTE(TRIM($AR842),"-",""),".",""),"/","")," ",""),8),4),--MID(LEFT(SUBSTITUTE(SUBSTITUTE(SUBSTITUTE(SUBSTITUTE(TRIM($AR842),"-",""),".",""),"/","")," ",""),8),5,2),--MID(LEFT(SUBSTITUTE(SUBSTITUTE(SUBSTITUTE(SUBSTITUTE(TRIM($AR842),"-",""),".",""),"/","")," ",""),8),7,2)),"")))</f>
        <v/>
      </c>
      <c r="AT842" s="23">
        <f>IF($AS842="","",IF($F$6="",0,IF(ISNUMBER(INDEX($A:$AP,ROW(),$F$6)),INDEX($A:$AP,ROW(),$F$6),IFERROR(--SUBSTITUTE(SUBSTITUTE(TRIM(INDEX($A:$AP,ROW(),$F$6)),",",""),"원",""),0))))</f>
        <v/>
      </c>
      <c r="AU842" s="23">
        <f>IF($AS842="","",IF($G$6="",0,IF(ISNUMBER(INDEX($A:$AP,ROW(),$G$6)),INDEX($A:$AP,ROW(),$G$6),IFERROR(--SUBSTITUTE(SUBSTITUTE(TRIM(INDEX($A:$AP,ROW(),$G$6)),",",""),"원",""),0))))</f>
        <v/>
      </c>
      <c r="AV842" s="23">
        <f>IF($AS842="","",IF($H$6="",$AT842+$AU842,IF($H$6="",0,IF(ISNUMBER(INDEX($A:$AP,ROW(),$H$6)),INDEX($A:$AP,ROW(),$H$6),IFERROR(--SUBSTITUTE(SUBSTITUTE(TRIM(INDEX($A:$AP,ROW(),$H$6)),",",""),"원",""),0)))))</f>
        <v/>
      </c>
      <c r="AW842" s="2">
        <f>IF(OR($AS842="",$C$6=""),"",TRIM(INDEX($A:$AP,ROW(),$C$6)&amp;""))</f>
        <v/>
      </c>
      <c r="AX842" s="2">
        <f>IF($AS842="","",IF($AZ842&lt;&gt;"",SUBSTITUTE(SUBSTITUTE($AZ842,"-","")," ",""),$AY842))</f>
        <v/>
      </c>
      <c r="AY842" s="2">
        <f>IF(OR($AS842="",$E$6=""),"",TRIM(INDEX($A:$AP,ROW(),$E$6)&amp;""))</f>
        <v/>
      </c>
      <c r="AZ842" s="2">
        <f>IF(OR($AS842="",$D$6=""),"",TRIM(INDEX($A:$AP,ROW(),$D$6)&amp;""))</f>
        <v/>
      </c>
      <c r="BA842" s="2">
        <f>IF($AS842="","",IF(AND($AS842&gt;=설정!$B$10,$AS842&lt;=설정!$B$11),"포함","기간 밖"))</f>
        <v/>
      </c>
      <c r="BB842" s="2">
        <f>IF($AS842="","",IF(OR($AT842&lt;0,AND($I$6&lt;&gt;"",ISNUMBER(FIND("수정",INDEX($A:$AP,ROW(),IF($I$6="",1,$I$6))&amp;"")))),"수정","일반"))</f>
        <v/>
      </c>
      <c r="BC842" s="2">
        <f>IF($AS842="","",MID(IF($BA842="기간 밖"," / 기간 밖(신고기간 아님)","")&amp;IF(AND($AW842&lt;&gt;"",COUNTIF($AW$8:$AW$1007,$AW842)&gt;1)," / 승인번호 중복(두 번 붙여넣기?)","")&amp;IF(ABS($AU842-ROUND($AT842*0.1,0))&gt;설정!$B$8,IF($AU842=0," / 세액 0원(영세율·면세 여부 확인)"," / 세액이 공급가액 10%와 다름"),"")&amp;IF($BB842="수정"," / 수정세금계산서(합계에서 자동 가감)",""),4,200))</f>
        <v/>
      </c>
      <c r="BD842" s="2">
        <f>IF($BA842&lt;&gt;"포함","",IF(COUNTIFS($AX$8:$AX842,$AX842,$BA$8:$BA842,"포함")=1,MAX($BD$7:BD841)+1,""))</f>
        <v/>
      </c>
      <c r="BE842" s="2">
        <f>IF($BC842="","",MAX($BE$7:BE841)+1)</f>
        <v/>
      </c>
    </row>
    <row r="843">
      <c r="AR843" s="2">
        <f>IF(OR($A$5="",$B$6="",ROW()&lt;$A$5),"",IF(INDEX($A:$AP,ROW(),$B$6)="","",INDEX($A:$AP,ROW(),$B$6)))</f>
        <v/>
      </c>
      <c r="AS843" s="22">
        <f>IF($AR843="","",IF(ISNUMBER($AR843),IF($AR843&gt;=10000000,IFERROR(DATE(INT($AR843/10000),MOD(INT($AR843/100),100),MOD($AR843,100)),""),INT($AR843)),IFERROR(DATE(--LEFT(LEFT(SUBSTITUTE(SUBSTITUTE(SUBSTITUTE(SUBSTITUTE(TRIM($AR843),"-",""),".",""),"/","")," ",""),8),4),--MID(LEFT(SUBSTITUTE(SUBSTITUTE(SUBSTITUTE(SUBSTITUTE(TRIM($AR843),"-",""),".",""),"/","")," ",""),8),5,2),--MID(LEFT(SUBSTITUTE(SUBSTITUTE(SUBSTITUTE(SUBSTITUTE(TRIM($AR843),"-",""),".",""),"/","")," ",""),8),7,2)),"")))</f>
        <v/>
      </c>
      <c r="AT843" s="23">
        <f>IF($AS843="","",IF($F$6="",0,IF(ISNUMBER(INDEX($A:$AP,ROW(),$F$6)),INDEX($A:$AP,ROW(),$F$6),IFERROR(--SUBSTITUTE(SUBSTITUTE(TRIM(INDEX($A:$AP,ROW(),$F$6)),",",""),"원",""),0))))</f>
        <v/>
      </c>
      <c r="AU843" s="23">
        <f>IF($AS843="","",IF($G$6="",0,IF(ISNUMBER(INDEX($A:$AP,ROW(),$G$6)),INDEX($A:$AP,ROW(),$G$6),IFERROR(--SUBSTITUTE(SUBSTITUTE(TRIM(INDEX($A:$AP,ROW(),$G$6)),",",""),"원",""),0))))</f>
        <v/>
      </c>
      <c r="AV843" s="23">
        <f>IF($AS843="","",IF($H$6="",$AT843+$AU843,IF($H$6="",0,IF(ISNUMBER(INDEX($A:$AP,ROW(),$H$6)),INDEX($A:$AP,ROW(),$H$6),IFERROR(--SUBSTITUTE(SUBSTITUTE(TRIM(INDEX($A:$AP,ROW(),$H$6)),",",""),"원",""),0)))))</f>
        <v/>
      </c>
      <c r="AW843" s="2">
        <f>IF(OR($AS843="",$C$6=""),"",TRIM(INDEX($A:$AP,ROW(),$C$6)&amp;""))</f>
        <v/>
      </c>
      <c r="AX843" s="2">
        <f>IF($AS843="","",IF($AZ843&lt;&gt;"",SUBSTITUTE(SUBSTITUTE($AZ843,"-","")," ",""),$AY843))</f>
        <v/>
      </c>
      <c r="AY843" s="2">
        <f>IF(OR($AS843="",$E$6=""),"",TRIM(INDEX($A:$AP,ROW(),$E$6)&amp;""))</f>
        <v/>
      </c>
      <c r="AZ843" s="2">
        <f>IF(OR($AS843="",$D$6=""),"",TRIM(INDEX($A:$AP,ROW(),$D$6)&amp;""))</f>
        <v/>
      </c>
      <c r="BA843" s="2">
        <f>IF($AS843="","",IF(AND($AS843&gt;=설정!$B$10,$AS843&lt;=설정!$B$11),"포함","기간 밖"))</f>
        <v/>
      </c>
      <c r="BB843" s="2">
        <f>IF($AS843="","",IF(OR($AT843&lt;0,AND($I$6&lt;&gt;"",ISNUMBER(FIND("수정",INDEX($A:$AP,ROW(),IF($I$6="",1,$I$6))&amp;"")))),"수정","일반"))</f>
        <v/>
      </c>
      <c r="BC843" s="2">
        <f>IF($AS843="","",MID(IF($BA843="기간 밖"," / 기간 밖(신고기간 아님)","")&amp;IF(AND($AW843&lt;&gt;"",COUNTIF($AW$8:$AW$1007,$AW843)&gt;1)," / 승인번호 중복(두 번 붙여넣기?)","")&amp;IF(ABS($AU843-ROUND($AT843*0.1,0))&gt;설정!$B$8,IF($AU843=0," / 세액 0원(영세율·면세 여부 확인)"," / 세액이 공급가액 10%와 다름"),"")&amp;IF($BB843="수정"," / 수정세금계산서(합계에서 자동 가감)",""),4,200))</f>
        <v/>
      </c>
      <c r="BD843" s="2">
        <f>IF($BA843&lt;&gt;"포함","",IF(COUNTIFS($AX$8:$AX843,$AX843,$BA$8:$BA843,"포함")=1,MAX($BD$7:BD842)+1,""))</f>
        <v/>
      </c>
      <c r="BE843" s="2">
        <f>IF($BC843="","",MAX($BE$7:BE842)+1)</f>
        <v/>
      </c>
    </row>
    <row r="844">
      <c r="AR844" s="2">
        <f>IF(OR($A$5="",$B$6="",ROW()&lt;$A$5),"",IF(INDEX($A:$AP,ROW(),$B$6)="","",INDEX($A:$AP,ROW(),$B$6)))</f>
        <v/>
      </c>
      <c r="AS844" s="22">
        <f>IF($AR844="","",IF(ISNUMBER($AR844),IF($AR844&gt;=10000000,IFERROR(DATE(INT($AR844/10000),MOD(INT($AR844/100),100),MOD($AR844,100)),""),INT($AR844)),IFERROR(DATE(--LEFT(LEFT(SUBSTITUTE(SUBSTITUTE(SUBSTITUTE(SUBSTITUTE(TRIM($AR844),"-",""),".",""),"/","")," ",""),8),4),--MID(LEFT(SUBSTITUTE(SUBSTITUTE(SUBSTITUTE(SUBSTITUTE(TRIM($AR844),"-",""),".",""),"/","")," ",""),8),5,2),--MID(LEFT(SUBSTITUTE(SUBSTITUTE(SUBSTITUTE(SUBSTITUTE(TRIM($AR844),"-",""),".",""),"/","")," ",""),8),7,2)),"")))</f>
        <v/>
      </c>
      <c r="AT844" s="23">
        <f>IF($AS844="","",IF($F$6="",0,IF(ISNUMBER(INDEX($A:$AP,ROW(),$F$6)),INDEX($A:$AP,ROW(),$F$6),IFERROR(--SUBSTITUTE(SUBSTITUTE(TRIM(INDEX($A:$AP,ROW(),$F$6)),",",""),"원",""),0))))</f>
        <v/>
      </c>
      <c r="AU844" s="23">
        <f>IF($AS844="","",IF($G$6="",0,IF(ISNUMBER(INDEX($A:$AP,ROW(),$G$6)),INDEX($A:$AP,ROW(),$G$6),IFERROR(--SUBSTITUTE(SUBSTITUTE(TRIM(INDEX($A:$AP,ROW(),$G$6)),",",""),"원",""),0))))</f>
        <v/>
      </c>
      <c r="AV844" s="23">
        <f>IF($AS844="","",IF($H$6="",$AT844+$AU844,IF($H$6="",0,IF(ISNUMBER(INDEX($A:$AP,ROW(),$H$6)),INDEX($A:$AP,ROW(),$H$6),IFERROR(--SUBSTITUTE(SUBSTITUTE(TRIM(INDEX($A:$AP,ROW(),$H$6)),",",""),"원",""),0)))))</f>
        <v/>
      </c>
      <c r="AW844" s="2">
        <f>IF(OR($AS844="",$C$6=""),"",TRIM(INDEX($A:$AP,ROW(),$C$6)&amp;""))</f>
        <v/>
      </c>
      <c r="AX844" s="2">
        <f>IF($AS844="","",IF($AZ844&lt;&gt;"",SUBSTITUTE(SUBSTITUTE($AZ844,"-","")," ",""),$AY844))</f>
        <v/>
      </c>
      <c r="AY844" s="2">
        <f>IF(OR($AS844="",$E$6=""),"",TRIM(INDEX($A:$AP,ROW(),$E$6)&amp;""))</f>
        <v/>
      </c>
      <c r="AZ844" s="2">
        <f>IF(OR($AS844="",$D$6=""),"",TRIM(INDEX($A:$AP,ROW(),$D$6)&amp;""))</f>
        <v/>
      </c>
      <c r="BA844" s="2">
        <f>IF($AS844="","",IF(AND($AS844&gt;=설정!$B$10,$AS844&lt;=설정!$B$11),"포함","기간 밖"))</f>
        <v/>
      </c>
      <c r="BB844" s="2">
        <f>IF($AS844="","",IF(OR($AT844&lt;0,AND($I$6&lt;&gt;"",ISNUMBER(FIND("수정",INDEX($A:$AP,ROW(),IF($I$6="",1,$I$6))&amp;"")))),"수정","일반"))</f>
        <v/>
      </c>
      <c r="BC844" s="2">
        <f>IF($AS844="","",MID(IF($BA844="기간 밖"," / 기간 밖(신고기간 아님)","")&amp;IF(AND($AW844&lt;&gt;"",COUNTIF($AW$8:$AW$1007,$AW844)&gt;1)," / 승인번호 중복(두 번 붙여넣기?)","")&amp;IF(ABS($AU844-ROUND($AT844*0.1,0))&gt;설정!$B$8,IF($AU844=0," / 세액 0원(영세율·면세 여부 확인)"," / 세액이 공급가액 10%와 다름"),"")&amp;IF($BB844="수정"," / 수정세금계산서(합계에서 자동 가감)",""),4,200))</f>
        <v/>
      </c>
      <c r="BD844" s="2">
        <f>IF($BA844&lt;&gt;"포함","",IF(COUNTIFS($AX$8:$AX844,$AX844,$BA$8:$BA844,"포함")=1,MAX($BD$7:BD843)+1,""))</f>
        <v/>
      </c>
      <c r="BE844" s="2">
        <f>IF($BC844="","",MAX($BE$7:BE843)+1)</f>
        <v/>
      </c>
    </row>
    <row r="845">
      <c r="AR845" s="2">
        <f>IF(OR($A$5="",$B$6="",ROW()&lt;$A$5),"",IF(INDEX($A:$AP,ROW(),$B$6)="","",INDEX($A:$AP,ROW(),$B$6)))</f>
        <v/>
      </c>
      <c r="AS845" s="22">
        <f>IF($AR845="","",IF(ISNUMBER($AR845),IF($AR845&gt;=10000000,IFERROR(DATE(INT($AR845/10000),MOD(INT($AR845/100),100),MOD($AR845,100)),""),INT($AR845)),IFERROR(DATE(--LEFT(LEFT(SUBSTITUTE(SUBSTITUTE(SUBSTITUTE(SUBSTITUTE(TRIM($AR845),"-",""),".",""),"/","")," ",""),8),4),--MID(LEFT(SUBSTITUTE(SUBSTITUTE(SUBSTITUTE(SUBSTITUTE(TRIM($AR845),"-",""),".",""),"/","")," ",""),8),5,2),--MID(LEFT(SUBSTITUTE(SUBSTITUTE(SUBSTITUTE(SUBSTITUTE(TRIM($AR845),"-",""),".",""),"/","")," ",""),8),7,2)),"")))</f>
        <v/>
      </c>
      <c r="AT845" s="23">
        <f>IF($AS845="","",IF($F$6="",0,IF(ISNUMBER(INDEX($A:$AP,ROW(),$F$6)),INDEX($A:$AP,ROW(),$F$6),IFERROR(--SUBSTITUTE(SUBSTITUTE(TRIM(INDEX($A:$AP,ROW(),$F$6)),",",""),"원",""),0))))</f>
        <v/>
      </c>
      <c r="AU845" s="23">
        <f>IF($AS845="","",IF($G$6="",0,IF(ISNUMBER(INDEX($A:$AP,ROW(),$G$6)),INDEX($A:$AP,ROW(),$G$6),IFERROR(--SUBSTITUTE(SUBSTITUTE(TRIM(INDEX($A:$AP,ROW(),$G$6)),",",""),"원",""),0))))</f>
        <v/>
      </c>
      <c r="AV845" s="23">
        <f>IF($AS845="","",IF($H$6="",$AT845+$AU845,IF($H$6="",0,IF(ISNUMBER(INDEX($A:$AP,ROW(),$H$6)),INDEX($A:$AP,ROW(),$H$6),IFERROR(--SUBSTITUTE(SUBSTITUTE(TRIM(INDEX($A:$AP,ROW(),$H$6)),",",""),"원",""),0)))))</f>
        <v/>
      </c>
      <c r="AW845" s="2">
        <f>IF(OR($AS845="",$C$6=""),"",TRIM(INDEX($A:$AP,ROW(),$C$6)&amp;""))</f>
        <v/>
      </c>
      <c r="AX845" s="2">
        <f>IF($AS845="","",IF($AZ845&lt;&gt;"",SUBSTITUTE(SUBSTITUTE($AZ845,"-","")," ",""),$AY845))</f>
        <v/>
      </c>
      <c r="AY845" s="2">
        <f>IF(OR($AS845="",$E$6=""),"",TRIM(INDEX($A:$AP,ROW(),$E$6)&amp;""))</f>
        <v/>
      </c>
      <c r="AZ845" s="2">
        <f>IF(OR($AS845="",$D$6=""),"",TRIM(INDEX($A:$AP,ROW(),$D$6)&amp;""))</f>
        <v/>
      </c>
      <c r="BA845" s="2">
        <f>IF($AS845="","",IF(AND($AS845&gt;=설정!$B$10,$AS845&lt;=설정!$B$11),"포함","기간 밖"))</f>
        <v/>
      </c>
      <c r="BB845" s="2">
        <f>IF($AS845="","",IF(OR($AT845&lt;0,AND($I$6&lt;&gt;"",ISNUMBER(FIND("수정",INDEX($A:$AP,ROW(),IF($I$6="",1,$I$6))&amp;"")))),"수정","일반"))</f>
        <v/>
      </c>
      <c r="BC845" s="2">
        <f>IF($AS845="","",MID(IF($BA845="기간 밖"," / 기간 밖(신고기간 아님)","")&amp;IF(AND($AW845&lt;&gt;"",COUNTIF($AW$8:$AW$1007,$AW845)&gt;1)," / 승인번호 중복(두 번 붙여넣기?)","")&amp;IF(ABS($AU845-ROUND($AT845*0.1,0))&gt;설정!$B$8,IF($AU845=0," / 세액 0원(영세율·면세 여부 확인)"," / 세액이 공급가액 10%와 다름"),"")&amp;IF($BB845="수정"," / 수정세금계산서(합계에서 자동 가감)",""),4,200))</f>
        <v/>
      </c>
      <c r="BD845" s="2">
        <f>IF($BA845&lt;&gt;"포함","",IF(COUNTIFS($AX$8:$AX845,$AX845,$BA$8:$BA845,"포함")=1,MAX($BD$7:BD844)+1,""))</f>
        <v/>
      </c>
      <c r="BE845" s="2">
        <f>IF($BC845="","",MAX($BE$7:BE844)+1)</f>
        <v/>
      </c>
    </row>
    <row r="846">
      <c r="AR846" s="2">
        <f>IF(OR($A$5="",$B$6="",ROW()&lt;$A$5),"",IF(INDEX($A:$AP,ROW(),$B$6)="","",INDEX($A:$AP,ROW(),$B$6)))</f>
        <v/>
      </c>
      <c r="AS846" s="22">
        <f>IF($AR846="","",IF(ISNUMBER($AR846),IF($AR846&gt;=10000000,IFERROR(DATE(INT($AR846/10000),MOD(INT($AR846/100),100),MOD($AR846,100)),""),INT($AR846)),IFERROR(DATE(--LEFT(LEFT(SUBSTITUTE(SUBSTITUTE(SUBSTITUTE(SUBSTITUTE(TRIM($AR846),"-",""),".",""),"/","")," ",""),8),4),--MID(LEFT(SUBSTITUTE(SUBSTITUTE(SUBSTITUTE(SUBSTITUTE(TRIM($AR846),"-",""),".",""),"/","")," ",""),8),5,2),--MID(LEFT(SUBSTITUTE(SUBSTITUTE(SUBSTITUTE(SUBSTITUTE(TRIM($AR846),"-",""),".",""),"/","")," ",""),8),7,2)),"")))</f>
        <v/>
      </c>
      <c r="AT846" s="23">
        <f>IF($AS846="","",IF($F$6="",0,IF(ISNUMBER(INDEX($A:$AP,ROW(),$F$6)),INDEX($A:$AP,ROW(),$F$6),IFERROR(--SUBSTITUTE(SUBSTITUTE(TRIM(INDEX($A:$AP,ROW(),$F$6)),",",""),"원",""),0))))</f>
        <v/>
      </c>
      <c r="AU846" s="23">
        <f>IF($AS846="","",IF($G$6="",0,IF(ISNUMBER(INDEX($A:$AP,ROW(),$G$6)),INDEX($A:$AP,ROW(),$G$6),IFERROR(--SUBSTITUTE(SUBSTITUTE(TRIM(INDEX($A:$AP,ROW(),$G$6)),",",""),"원",""),0))))</f>
        <v/>
      </c>
      <c r="AV846" s="23">
        <f>IF($AS846="","",IF($H$6="",$AT846+$AU846,IF($H$6="",0,IF(ISNUMBER(INDEX($A:$AP,ROW(),$H$6)),INDEX($A:$AP,ROW(),$H$6),IFERROR(--SUBSTITUTE(SUBSTITUTE(TRIM(INDEX($A:$AP,ROW(),$H$6)),",",""),"원",""),0)))))</f>
        <v/>
      </c>
      <c r="AW846" s="2">
        <f>IF(OR($AS846="",$C$6=""),"",TRIM(INDEX($A:$AP,ROW(),$C$6)&amp;""))</f>
        <v/>
      </c>
      <c r="AX846" s="2">
        <f>IF($AS846="","",IF($AZ846&lt;&gt;"",SUBSTITUTE(SUBSTITUTE($AZ846,"-","")," ",""),$AY846))</f>
        <v/>
      </c>
      <c r="AY846" s="2">
        <f>IF(OR($AS846="",$E$6=""),"",TRIM(INDEX($A:$AP,ROW(),$E$6)&amp;""))</f>
        <v/>
      </c>
      <c r="AZ846" s="2">
        <f>IF(OR($AS846="",$D$6=""),"",TRIM(INDEX($A:$AP,ROW(),$D$6)&amp;""))</f>
        <v/>
      </c>
      <c r="BA846" s="2">
        <f>IF($AS846="","",IF(AND($AS846&gt;=설정!$B$10,$AS846&lt;=설정!$B$11),"포함","기간 밖"))</f>
        <v/>
      </c>
      <c r="BB846" s="2">
        <f>IF($AS846="","",IF(OR($AT846&lt;0,AND($I$6&lt;&gt;"",ISNUMBER(FIND("수정",INDEX($A:$AP,ROW(),IF($I$6="",1,$I$6))&amp;"")))),"수정","일반"))</f>
        <v/>
      </c>
      <c r="BC846" s="2">
        <f>IF($AS846="","",MID(IF($BA846="기간 밖"," / 기간 밖(신고기간 아님)","")&amp;IF(AND($AW846&lt;&gt;"",COUNTIF($AW$8:$AW$1007,$AW846)&gt;1)," / 승인번호 중복(두 번 붙여넣기?)","")&amp;IF(ABS($AU846-ROUND($AT846*0.1,0))&gt;설정!$B$8,IF($AU846=0," / 세액 0원(영세율·면세 여부 확인)"," / 세액이 공급가액 10%와 다름"),"")&amp;IF($BB846="수정"," / 수정세금계산서(합계에서 자동 가감)",""),4,200))</f>
        <v/>
      </c>
      <c r="BD846" s="2">
        <f>IF($BA846&lt;&gt;"포함","",IF(COUNTIFS($AX$8:$AX846,$AX846,$BA$8:$BA846,"포함")=1,MAX($BD$7:BD845)+1,""))</f>
        <v/>
      </c>
      <c r="BE846" s="2">
        <f>IF($BC846="","",MAX($BE$7:BE845)+1)</f>
        <v/>
      </c>
    </row>
    <row r="847">
      <c r="AR847" s="2">
        <f>IF(OR($A$5="",$B$6="",ROW()&lt;$A$5),"",IF(INDEX($A:$AP,ROW(),$B$6)="","",INDEX($A:$AP,ROW(),$B$6)))</f>
        <v/>
      </c>
      <c r="AS847" s="22">
        <f>IF($AR847="","",IF(ISNUMBER($AR847),IF($AR847&gt;=10000000,IFERROR(DATE(INT($AR847/10000),MOD(INT($AR847/100),100),MOD($AR847,100)),""),INT($AR847)),IFERROR(DATE(--LEFT(LEFT(SUBSTITUTE(SUBSTITUTE(SUBSTITUTE(SUBSTITUTE(TRIM($AR847),"-",""),".",""),"/","")," ",""),8),4),--MID(LEFT(SUBSTITUTE(SUBSTITUTE(SUBSTITUTE(SUBSTITUTE(TRIM($AR847),"-",""),".",""),"/","")," ",""),8),5,2),--MID(LEFT(SUBSTITUTE(SUBSTITUTE(SUBSTITUTE(SUBSTITUTE(TRIM($AR847),"-",""),".",""),"/","")," ",""),8),7,2)),"")))</f>
        <v/>
      </c>
      <c r="AT847" s="23">
        <f>IF($AS847="","",IF($F$6="",0,IF(ISNUMBER(INDEX($A:$AP,ROW(),$F$6)),INDEX($A:$AP,ROW(),$F$6),IFERROR(--SUBSTITUTE(SUBSTITUTE(TRIM(INDEX($A:$AP,ROW(),$F$6)),",",""),"원",""),0))))</f>
        <v/>
      </c>
      <c r="AU847" s="23">
        <f>IF($AS847="","",IF($G$6="",0,IF(ISNUMBER(INDEX($A:$AP,ROW(),$G$6)),INDEX($A:$AP,ROW(),$G$6),IFERROR(--SUBSTITUTE(SUBSTITUTE(TRIM(INDEX($A:$AP,ROW(),$G$6)),",",""),"원",""),0))))</f>
        <v/>
      </c>
      <c r="AV847" s="23">
        <f>IF($AS847="","",IF($H$6="",$AT847+$AU847,IF($H$6="",0,IF(ISNUMBER(INDEX($A:$AP,ROW(),$H$6)),INDEX($A:$AP,ROW(),$H$6),IFERROR(--SUBSTITUTE(SUBSTITUTE(TRIM(INDEX($A:$AP,ROW(),$H$6)),",",""),"원",""),0)))))</f>
        <v/>
      </c>
      <c r="AW847" s="2">
        <f>IF(OR($AS847="",$C$6=""),"",TRIM(INDEX($A:$AP,ROW(),$C$6)&amp;""))</f>
        <v/>
      </c>
      <c r="AX847" s="2">
        <f>IF($AS847="","",IF($AZ847&lt;&gt;"",SUBSTITUTE(SUBSTITUTE($AZ847,"-","")," ",""),$AY847))</f>
        <v/>
      </c>
      <c r="AY847" s="2">
        <f>IF(OR($AS847="",$E$6=""),"",TRIM(INDEX($A:$AP,ROW(),$E$6)&amp;""))</f>
        <v/>
      </c>
      <c r="AZ847" s="2">
        <f>IF(OR($AS847="",$D$6=""),"",TRIM(INDEX($A:$AP,ROW(),$D$6)&amp;""))</f>
        <v/>
      </c>
      <c r="BA847" s="2">
        <f>IF($AS847="","",IF(AND($AS847&gt;=설정!$B$10,$AS847&lt;=설정!$B$11),"포함","기간 밖"))</f>
        <v/>
      </c>
      <c r="BB847" s="2">
        <f>IF($AS847="","",IF(OR($AT847&lt;0,AND($I$6&lt;&gt;"",ISNUMBER(FIND("수정",INDEX($A:$AP,ROW(),IF($I$6="",1,$I$6))&amp;"")))),"수정","일반"))</f>
        <v/>
      </c>
      <c r="BC847" s="2">
        <f>IF($AS847="","",MID(IF($BA847="기간 밖"," / 기간 밖(신고기간 아님)","")&amp;IF(AND($AW847&lt;&gt;"",COUNTIF($AW$8:$AW$1007,$AW847)&gt;1)," / 승인번호 중복(두 번 붙여넣기?)","")&amp;IF(ABS($AU847-ROUND($AT847*0.1,0))&gt;설정!$B$8,IF($AU847=0," / 세액 0원(영세율·면세 여부 확인)"," / 세액이 공급가액 10%와 다름"),"")&amp;IF($BB847="수정"," / 수정세금계산서(합계에서 자동 가감)",""),4,200))</f>
        <v/>
      </c>
      <c r="BD847" s="2">
        <f>IF($BA847&lt;&gt;"포함","",IF(COUNTIFS($AX$8:$AX847,$AX847,$BA$8:$BA847,"포함")=1,MAX($BD$7:BD846)+1,""))</f>
        <v/>
      </c>
      <c r="BE847" s="2">
        <f>IF($BC847="","",MAX($BE$7:BE846)+1)</f>
        <v/>
      </c>
    </row>
    <row r="848">
      <c r="AR848" s="2">
        <f>IF(OR($A$5="",$B$6="",ROW()&lt;$A$5),"",IF(INDEX($A:$AP,ROW(),$B$6)="","",INDEX($A:$AP,ROW(),$B$6)))</f>
        <v/>
      </c>
      <c r="AS848" s="22">
        <f>IF($AR848="","",IF(ISNUMBER($AR848),IF($AR848&gt;=10000000,IFERROR(DATE(INT($AR848/10000),MOD(INT($AR848/100),100),MOD($AR848,100)),""),INT($AR848)),IFERROR(DATE(--LEFT(LEFT(SUBSTITUTE(SUBSTITUTE(SUBSTITUTE(SUBSTITUTE(TRIM($AR848),"-",""),".",""),"/","")," ",""),8),4),--MID(LEFT(SUBSTITUTE(SUBSTITUTE(SUBSTITUTE(SUBSTITUTE(TRIM($AR848),"-",""),".",""),"/","")," ",""),8),5,2),--MID(LEFT(SUBSTITUTE(SUBSTITUTE(SUBSTITUTE(SUBSTITUTE(TRIM($AR848),"-",""),".",""),"/","")," ",""),8),7,2)),"")))</f>
        <v/>
      </c>
      <c r="AT848" s="23">
        <f>IF($AS848="","",IF($F$6="",0,IF(ISNUMBER(INDEX($A:$AP,ROW(),$F$6)),INDEX($A:$AP,ROW(),$F$6),IFERROR(--SUBSTITUTE(SUBSTITUTE(TRIM(INDEX($A:$AP,ROW(),$F$6)),",",""),"원",""),0))))</f>
        <v/>
      </c>
      <c r="AU848" s="23">
        <f>IF($AS848="","",IF($G$6="",0,IF(ISNUMBER(INDEX($A:$AP,ROW(),$G$6)),INDEX($A:$AP,ROW(),$G$6),IFERROR(--SUBSTITUTE(SUBSTITUTE(TRIM(INDEX($A:$AP,ROW(),$G$6)),",",""),"원",""),0))))</f>
        <v/>
      </c>
      <c r="AV848" s="23">
        <f>IF($AS848="","",IF($H$6="",$AT848+$AU848,IF($H$6="",0,IF(ISNUMBER(INDEX($A:$AP,ROW(),$H$6)),INDEX($A:$AP,ROW(),$H$6),IFERROR(--SUBSTITUTE(SUBSTITUTE(TRIM(INDEX($A:$AP,ROW(),$H$6)),",",""),"원",""),0)))))</f>
        <v/>
      </c>
      <c r="AW848" s="2">
        <f>IF(OR($AS848="",$C$6=""),"",TRIM(INDEX($A:$AP,ROW(),$C$6)&amp;""))</f>
        <v/>
      </c>
      <c r="AX848" s="2">
        <f>IF($AS848="","",IF($AZ848&lt;&gt;"",SUBSTITUTE(SUBSTITUTE($AZ848,"-","")," ",""),$AY848))</f>
        <v/>
      </c>
      <c r="AY848" s="2">
        <f>IF(OR($AS848="",$E$6=""),"",TRIM(INDEX($A:$AP,ROW(),$E$6)&amp;""))</f>
        <v/>
      </c>
      <c r="AZ848" s="2">
        <f>IF(OR($AS848="",$D$6=""),"",TRIM(INDEX($A:$AP,ROW(),$D$6)&amp;""))</f>
        <v/>
      </c>
      <c r="BA848" s="2">
        <f>IF($AS848="","",IF(AND($AS848&gt;=설정!$B$10,$AS848&lt;=설정!$B$11),"포함","기간 밖"))</f>
        <v/>
      </c>
      <c r="BB848" s="2">
        <f>IF($AS848="","",IF(OR($AT848&lt;0,AND($I$6&lt;&gt;"",ISNUMBER(FIND("수정",INDEX($A:$AP,ROW(),IF($I$6="",1,$I$6))&amp;"")))),"수정","일반"))</f>
        <v/>
      </c>
      <c r="BC848" s="2">
        <f>IF($AS848="","",MID(IF($BA848="기간 밖"," / 기간 밖(신고기간 아님)","")&amp;IF(AND($AW848&lt;&gt;"",COUNTIF($AW$8:$AW$1007,$AW848)&gt;1)," / 승인번호 중복(두 번 붙여넣기?)","")&amp;IF(ABS($AU848-ROUND($AT848*0.1,0))&gt;설정!$B$8,IF($AU848=0," / 세액 0원(영세율·면세 여부 확인)"," / 세액이 공급가액 10%와 다름"),"")&amp;IF($BB848="수정"," / 수정세금계산서(합계에서 자동 가감)",""),4,200))</f>
        <v/>
      </c>
      <c r="BD848" s="2">
        <f>IF($BA848&lt;&gt;"포함","",IF(COUNTIFS($AX$8:$AX848,$AX848,$BA$8:$BA848,"포함")=1,MAX($BD$7:BD847)+1,""))</f>
        <v/>
      </c>
      <c r="BE848" s="2">
        <f>IF($BC848="","",MAX($BE$7:BE847)+1)</f>
        <v/>
      </c>
    </row>
    <row r="849">
      <c r="AR849" s="2">
        <f>IF(OR($A$5="",$B$6="",ROW()&lt;$A$5),"",IF(INDEX($A:$AP,ROW(),$B$6)="","",INDEX($A:$AP,ROW(),$B$6)))</f>
        <v/>
      </c>
      <c r="AS849" s="22">
        <f>IF($AR849="","",IF(ISNUMBER($AR849),IF($AR849&gt;=10000000,IFERROR(DATE(INT($AR849/10000),MOD(INT($AR849/100),100),MOD($AR849,100)),""),INT($AR849)),IFERROR(DATE(--LEFT(LEFT(SUBSTITUTE(SUBSTITUTE(SUBSTITUTE(SUBSTITUTE(TRIM($AR849),"-",""),".",""),"/","")," ",""),8),4),--MID(LEFT(SUBSTITUTE(SUBSTITUTE(SUBSTITUTE(SUBSTITUTE(TRIM($AR849),"-",""),".",""),"/","")," ",""),8),5,2),--MID(LEFT(SUBSTITUTE(SUBSTITUTE(SUBSTITUTE(SUBSTITUTE(TRIM($AR849),"-",""),".",""),"/","")," ",""),8),7,2)),"")))</f>
        <v/>
      </c>
      <c r="AT849" s="23">
        <f>IF($AS849="","",IF($F$6="",0,IF(ISNUMBER(INDEX($A:$AP,ROW(),$F$6)),INDEX($A:$AP,ROW(),$F$6),IFERROR(--SUBSTITUTE(SUBSTITUTE(TRIM(INDEX($A:$AP,ROW(),$F$6)),",",""),"원",""),0))))</f>
        <v/>
      </c>
      <c r="AU849" s="23">
        <f>IF($AS849="","",IF($G$6="",0,IF(ISNUMBER(INDEX($A:$AP,ROW(),$G$6)),INDEX($A:$AP,ROW(),$G$6),IFERROR(--SUBSTITUTE(SUBSTITUTE(TRIM(INDEX($A:$AP,ROW(),$G$6)),",",""),"원",""),0))))</f>
        <v/>
      </c>
      <c r="AV849" s="23">
        <f>IF($AS849="","",IF($H$6="",$AT849+$AU849,IF($H$6="",0,IF(ISNUMBER(INDEX($A:$AP,ROW(),$H$6)),INDEX($A:$AP,ROW(),$H$6),IFERROR(--SUBSTITUTE(SUBSTITUTE(TRIM(INDEX($A:$AP,ROW(),$H$6)),",",""),"원",""),0)))))</f>
        <v/>
      </c>
      <c r="AW849" s="2">
        <f>IF(OR($AS849="",$C$6=""),"",TRIM(INDEX($A:$AP,ROW(),$C$6)&amp;""))</f>
        <v/>
      </c>
      <c r="AX849" s="2">
        <f>IF($AS849="","",IF($AZ849&lt;&gt;"",SUBSTITUTE(SUBSTITUTE($AZ849,"-","")," ",""),$AY849))</f>
        <v/>
      </c>
      <c r="AY849" s="2">
        <f>IF(OR($AS849="",$E$6=""),"",TRIM(INDEX($A:$AP,ROW(),$E$6)&amp;""))</f>
        <v/>
      </c>
      <c r="AZ849" s="2">
        <f>IF(OR($AS849="",$D$6=""),"",TRIM(INDEX($A:$AP,ROW(),$D$6)&amp;""))</f>
        <v/>
      </c>
      <c r="BA849" s="2">
        <f>IF($AS849="","",IF(AND($AS849&gt;=설정!$B$10,$AS849&lt;=설정!$B$11),"포함","기간 밖"))</f>
        <v/>
      </c>
      <c r="BB849" s="2">
        <f>IF($AS849="","",IF(OR($AT849&lt;0,AND($I$6&lt;&gt;"",ISNUMBER(FIND("수정",INDEX($A:$AP,ROW(),IF($I$6="",1,$I$6))&amp;"")))),"수정","일반"))</f>
        <v/>
      </c>
      <c r="BC849" s="2">
        <f>IF($AS849="","",MID(IF($BA849="기간 밖"," / 기간 밖(신고기간 아님)","")&amp;IF(AND($AW849&lt;&gt;"",COUNTIF($AW$8:$AW$1007,$AW849)&gt;1)," / 승인번호 중복(두 번 붙여넣기?)","")&amp;IF(ABS($AU849-ROUND($AT849*0.1,0))&gt;설정!$B$8,IF($AU849=0," / 세액 0원(영세율·면세 여부 확인)"," / 세액이 공급가액 10%와 다름"),"")&amp;IF($BB849="수정"," / 수정세금계산서(합계에서 자동 가감)",""),4,200))</f>
        <v/>
      </c>
      <c r="BD849" s="2">
        <f>IF($BA849&lt;&gt;"포함","",IF(COUNTIFS($AX$8:$AX849,$AX849,$BA$8:$BA849,"포함")=1,MAX($BD$7:BD848)+1,""))</f>
        <v/>
      </c>
      <c r="BE849" s="2">
        <f>IF($BC849="","",MAX($BE$7:BE848)+1)</f>
        <v/>
      </c>
    </row>
    <row r="850">
      <c r="AR850" s="2">
        <f>IF(OR($A$5="",$B$6="",ROW()&lt;$A$5),"",IF(INDEX($A:$AP,ROW(),$B$6)="","",INDEX($A:$AP,ROW(),$B$6)))</f>
        <v/>
      </c>
      <c r="AS850" s="22">
        <f>IF($AR850="","",IF(ISNUMBER($AR850),IF($AR850&gt;=10000000,IFERROR(DATE(INT($AR850/10000),MOD(INT($AR850/100),100),MOD($AR850,100)),""),INT($AR850)),IFERROR(DATE(--LEFT(LEFT(SUBSTITUTE(SUBSTITUTE(SUBSTITUTE(SUBSTITUTE(TRIM($AR850),"-",""),".",""),"/","")," ",""),8),4),--MID(LEFT(SUBSTITUTE(SUBSTITUTE(SUBSTITUTE(SUBSTITUTE(TRIM($AR850),"-",""),".",""),"/","")," ",""),8),5,2),--MID(LEFT(SUBSTITUTE(SUBSTITUTE(SUBSTITUTE(SUBSTITUTE(TRIM($AR850),"-",""),".",""),"/","")," ",""),8),7,2)),"")))</f>
        <v/>
      </c>
      <c r="AT850" s="23">
        <f>IF($AS850="","",IF($F$6="",0,IF(ISNUMBER(INDEX($A:$AP,ROW(),$F$6)),INDEX($A:$AP,ROW(),$F$6),IFERROR(--SUBSTITUTE(SUBSTITUTE(TRIM(INDEX($A:$AP,ROW(),$F$6)),",",""),"원",""),0))))</f>
        <v/>
      </c>
      <c r="AU850" s="23">
        <f>IF($AS850="","",IF($G$6="",0,IF(ISNUMBER(INDEX($A:$AP,ROW(),$G$6)),INDEX($A:$AP,ROW(),$G$6),IFERROR(--SUBSTITUTE(SUBSTITUTE(TRIM(INDEX($A:$AP,ROW(),$G$6)),",",""),"원",""),0))))</f>
        <v/>
      </c>
      <c r="AV850" s="23">
        <f>IF($AS850="","",IF($H$6="",$AT850+$AU850,IF($H$6="",0,IF(ISNUMBER(INDEX($A:$AP,ROW(),$H$6)),INDEX($A:$AP,ROW(),$H$6),IFERROR(--SUBSTITUTE(SUBSTITUTE(TRIM(INDEX($A:$AP,ROW(),$H$6)),",",""),"원",""),0)))))</f>
        <v/>
      </c>
      <c r="AW850" s="2">
        <f>IF(OR($AS850="",$C$6=""),"",TRIM(INDEX($A:$AP,ROW(),$C$6)&amp;""))</f>
        <v/>
      </c>
      <c r="AX850" s="2">
        <f>IF($AS850="","",IF($AZ850&lt;&gt;"",SUBSTITUTE(SUBSTITUTE($AZ850,"-","")," ",""),$AY850))</f>
        <v/>
      </c>
      <c r="AY850" s="2">
        <f>IF(OR($AS850="",$E$6=""),"",TRIM(INDEX($A:$AP,ROW(),$E$6)&amp;""))</f>
        <v/>
      </c>
      <c r="AZ850" s="2">
        <f>IF(OR($AS850="",$D$6=""),"",TRIM(INDEX($A:$AP,ROW(),$D$6)&amp;""))</f>
        <v/>
      </c>
      <c r="BA850" s="2">
        <f>IF($AS850="","",IF(AND($AS850&gt;=설정!$B$10,$AS850&lt;=설정!$B$11),"포함","기간 밖"))</f>
        <v/>
      </c>
      <c r="BB850" s="2">
        <f>IF($AS850="","",IF(OR($AT850&lt;0,AND($I$6&lt;&gt;"",ISNUMBER(FIND("수정",INDEX($A:$AP,ROW(),IF($I$6="",1,$I$6))&amp;"")))),"수정","일반"))</f>
        <v/>
      </c>
      <c r="BC850" s="2">
        <f>IF($AS850="","",MID(IF($BA850="기간 밖"," / 기간 밖(신고기간 아님)","")&amp;IF(AND($AW850&lt;&gt;"",COUNTIF($AW$8:$AW$1007,$AW850)&gt;1)," / 승인번호 중복(두 번 붙여넣기?)","")&amp;IF(ABS($AU850-ROUND($AT850*0.1,0))&gt;설정!$B$8,IF($AU850=0," / 세액 0원(영세율·면세 여부 확인)"," / 세액이 공급가액 10%와 다름"),"")&amp;IF($BB850="수정"," / 수정세금계산서(합계에서 자동 가감)",""),4,200))</f>
        <v/>
      </c>
      <c r="BD850" s="2">
        <f>IF($BA850&lt;&gt;"포함","",IF(COUNTIFS($AX$8:$AX850,$AX850,$BA$8:$BA850,"포함")=1,MAX($BD$7:BD849)+1,""))</f>
        <v/>
      </c>
      <c r="BE850" s="2">
        <f>IF($BC850="","",MAX($BE$7:BE849)+1)</f>
        <v/>
      </c>
    </row>
    <row r="851">
      <c r="AR851" s="2">
        <f>IF(OR($A$5="",$B$6="",ROW()&lt;$A$5),"",IF(INDEX($A:$AP,ROW(),$B$6)="","",INDEX($A:$AP,ROW(),$B$6)))</f>
        <v/>
      </c>
      <c r="AS851" s="22">
        <f>IF($AR851="","",IF(ISNUMBER($AR851),IF($AR851&gt;=10000000,IFERROR(DATE(INT($AR851/10000),MOD(INT($AR851/100),100),MOD($AR851,100)),""),INT($AR851)),IFERROR(DATE(--LEFT(LEFT(SUBSTITUTE(SUBSTITUTE(SUBSTITUTE(SUBSTITUTE(TRIM($AR851),"-",""),".",""),"/","")," ",""),8),4),--MID(LEFT(SUBSTITUTE(SUBSTITUTE(SUBSTITUTE(SUBSTITUTE(TRIM($AR851),"-",""),".",""),"/","")," ",""),8),5,2),--MID(LEFT(SUBSTITUTE(SUBSTITUTE(SUBSTITUTE(SUBSTITUTE(TRIM($AR851),"-",""),".",""),"/","")," ",""),8),7,2)),"")))</f>
        <v/>
      </c>
      <c r="AT851" s="23">
        <f>IF($AS851="","",IF($F$6="",0,IF(ISNUMBER(INDEX($A:$AP,ROW(),$F$6)),INDEX($A:$AP,ROW(),$F$6),IFERROR(--SUBSTITUTE(SUBSTITUTE(TRIM(INDEX($A:$AP,ROW(),$F$6)),",",""),"원",""),0))))</f>
        <v/>
      </c>
      <c r="AU851" s="23">
        <f>IF($AS851="","",IF($G$6="",0,IF(ISNUMBER(INDEX($A:$AP,ROW(),$G$6)),INDEX($A:$AP,ROW(),$G$6),IFERROR(--SUBSTITUTE(SUBSTITUTE(TRIM(INDEX($A:$AP,ROW(),$G$6)),",",""),"원",""),0))))</f>
        <v/>
      </c>
      <c r="AV851" s="23">
        <f>IF($AS851="","",IF($H$6="",$AT851+$AU851,IF($H$6="",0,IF(ISNUMBER(INDEX($A:$AP,ROW(),$H$6)),INDEX($A:$AP,ROW(),$H$6),IFERROR(--SUBSTITUTE(SUBSTITUTE(TRIM(INDEX($A:$AP,ROW(),$H$6)),",",""),"원",""),0)))))</f>
        <v/>
      </c>
      <c r="AW851" s="2">
        <f>IF(OR($AS851="",$C$6=""),"",TRIM(INDEX($A:$AP,ROW(),$C$6)&amp;""))</f>
        <v/>
      </c>
      <c r="AX851" s="2">
        <f>IF($AS851="","",IF($AZ851&lt;&gt;"",SUBSTITUTE(SUBSTITUTE($AZ851,"-","")," ",""),$AY851))</f>
        <v/>
      </c>
      <c r="AY851" s="2">
        <f>IF(OR($AS851="",$E$6=""),"",TRIM(INDEX($A:$AP,ROW(),$E$6)&amp;""))</f>
        <v/>
      </c>
      <c r="AZ851" s="2">
        <f>IF(OR($AS851="",$D$6=""),"",TRIM(INDEX($A:$AP,ROW(),$D$6)&amp;""))</f>
        <v/>
      </c>
      <c r="BA851" s="2">
        <f>IF($AS851="","",IF(AND($AS851&gt;=설정!$B$10,$AS851&lt;=설정!$B$11),"포함","기간 밖"))</f>
        <v/>
      </c>
      <c r="BB851" s="2">
        <f>IF($AS851="","",IF(OR($AT851&lt;0,AND($I$6&lt;&gt;"",ISNUMBER(FIND("수정",INDEX($A:$AP,ROW(),IF($I$6="",1,$I$6))&amp;"")))),"수정","일반"))</f>
        <v/>
      </c>
      <c r="BC851" s="2">
        <f>IF($AS851="","",MID(IF($BA851="기간 밖"," / 기간 밖(신고기간 아님)","")&amp;IF(AND($AW851&lt;&gt;"",COUNTIF($AW$8:$AW$1007,$AW851)&gt;1)," / 승인번호 중복(두 번 붙여넣기?)","")&amp;IF(ABS($AU851-ROUND($AT851*0.1,0))&gt;설정!$B$8,IF($AU851=0," / 세액 0원(영세율·면세 여부 확인)"," / 세액이 공급가액 10%와 다름"),"")&amp;IF($BB851="수정"," / 수정세금계산서(합계에서 자동 가감)",""),4,200))</f>
        <v/>
      </c>
      <c r="BD851" s="2">
        <f>IF($BA851&lt;&gt;"포함","",IF(COUNTIFS($AX$8:$AX851,$AX851,$BA$8:$BA851,"포함")=1,MAX($BD$7:BD850)+1,""))</f>
        <v/>
      </c>
      <c r="BE851" s="2">
        <f>IF($BC851="","",MAX($BE$7:BE850)+1)</f>
        <v/>
      </c>
    </row>
    <row r="852">
      <c r="AR852" s="2">
        <f>IF(OR($A$5="",$B$6="",ROW()&lt;$A$5),"",IF(INDEX($A:$AP,ROW(),$B$6)="","",INDEX($A:$AP,ROW(),$B$6)))</f>
        <v/>
      </c>
      <c r="AS852" s="22">
        <f>IF($AR852="","",IF(ISNUMBER($AR852),IF($AR852&gt;=10000000,IFERROR(DATE(INT($AR852/10000),MOD(INT($AR852/100),100),MOD($AR852,100)),""),INT($AR852)),IFERROR(DATE(--LEFT(LEFT(SUBSTITUTE(SUBSTITUTE(SUBSTITUTE(SUBSTITUTE(TRIM($AR852),"-",""),".",""),"/","")," ",""),8),4),--MID(LEFT(SUBSTITUTE(SUBSTITUTE(SUBSTITUTE(SUBSTITUTE(TRIM($AR852),"-",""),".",""),"/","")," ",""),8),5,2),--MID(LEFT(SUBSTITUTE(SUBSTITUTE(SUBSTITUTE(SUBSTITUTE(TRIM($AR852),"-",""),".",""),"/","")," ",""),8),7,2)),"")))</f>
        <v/>
      </c>
      <c r="AT852" s="23">
        <f>IF($AS852="","",IF($F$6="",0,IF(ISNUMBER(INDEX($A:$AP,ROW(),$F$6)),INDEX($A:$AP,ROW(),$F$6),IFERROR(--SUBSTITUTE(SUBSTITUTE(TRIM(INDEX($A:$AP,ROW(),$F$6)),",",""),"원",""),0))))</f>
        <v/>
      </c>
      <c r="AU852" s="23">
        <f>IF($AS852="","",IF($G$6="",0,IF(ISNUMBER(INDEX($A:$AP,ROW(),$G$6)),INDEX($A:$AP,ROW(),$G$6),IFERROR(--SUBSTITUTE(SUBSTITUTE(TRIM(INDEX($A:$AP,ROW(),$G$6)),",",""),"원",""),0))))</f>
        <v/>
      </c>
      <c r="AV852" s="23">
        <f>IF($AS852="","",IF($H$6="",$AT852+$AU852,IF($H$6="",0,IF(ISNUMBER(INDEX($A:$AP,ROW(),$H$6)),INDEX($A:$AP,ROW(),$H$6),IFERROR(--SUBSTITUTE(SUBSTITUTE(TRIM(INDEX($A:$AP,ROW(),$H$6)),",",""),"원",""),0)))))</f>
        <v/>
      </c>
      <c r="AW852" s="2">
        <f>IF(OR($AS852="",$C$6=""),"",TRIM(INDEX($A:$AP,ROW(),$C$6)&amp;""))</f>
        <v/>
      </c>
      <c r="AX852" s="2">
        <f>IF($AS852="","",IF($AZ852&lt;&gt;"",SUBSTITUTE(SUBSTITUTE($AZ852,"-","")," ",""),$AY852))</f>
        <v/>
      </c>
      <c r="AY852" s="2">
        <f>IF(OR($AS852="",$E$6=""),"",TRIM(INDEX($A:$AP,ROW(),$E$6)&amp;""))</f>
        <v/>
      </c>
      <c r="AZ852" s="2">
        <f>IF(OR($AS852="",$D$6=""),"",TRIM(INDEX($A:$AP,ROW(),$D$6)&amp;""))</f>
        <v/>
      </c>
      <c r="BA852" s="2">
        <f>IF($AS852="","",IF(AND($AS852&gt;=설정!$B$10,$AS852&lt;=설정!$B$11),"포함","기간 밖"))</f>
        <v/>
      </c>
      <c r="BB852" s="2">
        <f>IF($AS852="","",IF(OR($AT852&lt;0,AND($I$6&lt;&gt;"",ISNUMBER(FIND("수정",INDEX($A:$AP,ROW(),IF($I$6="",1,$I$6))&amp;"")))),"수정","일반"))</f>
        <v/>
      </c>
      <c r="BC852" s="2">
        <f>IF($AS852="","",MID(IF($BA852="기간 밖"," / 기간 밖(신고기간 아님)","")&amp;IF(AND($AW852&lt;&gt;"",COUNTIF($AW$8:$AW$1007,$AW852)&gt;1)," / 승인번호 중복(두 번 붙여넣기?)","")&amp;IF(ABS($AU852-ROUND($AT852*0.1,0))&gt;설정!$B$8,IF($AU852=0," / 세액 0원(영세율·면세 여부 확인)"," / 세액이 공급가액 10%와 다름"),"")&amp;IF($BB852="수정"," / 수정세금계산서(합계에서 자동 가감)",""),4,200))</f>
        <v/>
      </c>
      <c r="BD852" s="2">
        <f>IF($BA852&lt;&gt;"포함","",IF(COUNTIFS($AX$8:$AX852,$AX852,$BA$8:$BA852,"포함")=1,MAX($BD$7:BD851)+1,""))</f>
        <v/>
      </c>
      <c r="BE852" s="2">
        <f>IF($BC852="","",MAX($BE$7:BE851)+1)</f>
        <v/>
      </c>
    </row>
    <row r="853">
      <c r="AR853" s="2">
        <f>IF(OR($A$5="",$B$6="",ROW()&lt;$A$5),"",IF(INDEX($A:$AP,ROW(),$B$6)="","",INDEX($A:$AP,ROW(),$B$6)))</f>
        <v/>
      </c>
      <c r="AS853" s="22">
        <f>IF($AR853="","",IF(ISNUMBER($AR853),IF($AR853&gt;=10000000,IFERROR(DATE(INT($AR853/10000),MOD(INT($AR853/100),100),MOD($AR853,100)),""),INT($AR853)),IFERROR(DATE(--LEFT(LEFT(SUBSTITUTE(SUBSTITUTE(SUBSTITUTE(SUBSTITUTE(TRIM($AR853),"-",""),".",""),"/","")," ",""),8),4),--MID(LEFT(SUBSTITUTE(SUBSTITUTE(SUBSTITUTE(SUBSTITUTE(TRIM($AR853),"-",""),".",""),"/","")," ",""),8),5,2),--MID(LEFT(SUBSTITUTE(SUBSTITUTE(SUBSTITUTE(SUBSTITUTE(TRIM($AR853),"-",""),".",""),"/","")," ",""),8),7,2)),"")))</f>
        <v/>
      </c>
      <c r="AT853" s="23">
        <f>IF($AS853="","",IF($F$6="",0,IF(ISNUMBER(INDEX($A:$AP,ROW(),$F$6)),INDEX($A:$AP,ROW(),$F$6),IFERROR(--SUBSTITUTE(SUBSTITUTE(TRIM(INDEX($A:$AP,ROW(),$F$6)),",",""),"원",""),0))))</f>
        <v/>
      </c>
      <c r="AU853" s="23">
        <f>IF($AS853="","",IF($G$6="",0,IF(ISNUMBER(INDEX($A:$AP,ROW(),$G$6)),INDEX($A:$AP,ROW(),$G$6),IFERROR(--SUBSTITUTE(SUBSTITUTE(TRIM(INDEX($A:$AP,ROW(),$G$6)),",",""),"원",""),0))))</f>
        <v/>
      </c>
      <c r="AV853" s="23">
        <f>IF($AS853="","",IF($H$6="",$AT853+$AU853,IF($H$6="",0,IF(ISNUMBER(INDEX($A:$AP,ROW(),$H$6)),INDEX($A:$AP,ROW(),$H$6),IFERROR(--SUBSTITUTE(SUBSTITUTE(TRIM(INDEX($A:$AP,ROW(),$H$6)),",",""),"원",""),0)))))</f>
        <v/>
      </c>
      <c r="AW853" s="2">
        <f>IF(OR($AS853="",$C$6=""),"",TRIM(INDEX($A:$AP,ROW(),$C$6)&amp;""))</f>
        <v/>
      </c>
      <c r="AX853" s="2">
        <f>IF($AS853="","",IF($AZ853&lt;&gt;"",SUBSTITUTE(SUBSTITUTE($AZ853,"-","")," ",""),$AY853))</f>
        <v/>
      </c>
      <c r="AY853" s="2">
        <f>IF(OR($AS853="",$E$6=""),"",TRIM(INDEX($A:$AP,ROW(),$E$6)&amp;""))</f>
        <v/>
      </c>
      <c r="AZ853" s="2">
        <f>IF(OR($AS853="",$D$6=""),"",TRIM(INDEX($A:$AP,ROW(),$D$6)&amp;""))</f>
        <v/>
      </c>
      <c r="BA853" s="2">
        <f>IF($AS853="","",IF(AND($AS853&gt;=설정!$B$10,$AS853&lt;=설정!$B$11),"포함","기간 밖"))</f>
        <v/>
      </c>
      <c r="BB853" s="2">
        <f>IF($AS853="","",IF(OR($AT853&lt;0,AND($I$6&lt;&gt;"",ISNUMBER(FIND("수정",INDEX($A:$AP,ROW(),IF($I$6="",1,$I$6))&amp;"")))),"수정","일반"))</f>
        <v/>
      </c>
      <c r="BC853" s="2">
        <f>IF($AS853="","",MID(IF($BA853="기간 밖"," / 기간 밖(신고기간 아님)","")&amp;IF(AND($AW853&lt;&gt;"",COUNTIF($AW$8:$AW$1007,$AW853)&gt;1)," / 승인번호 중복(두 번 붙여넣기?)","")&amp;IF(ABS($AU853-ROUND($AT853*0.1,0))&gt;설정!$B$8,IF($AU853=0," / 세액 0원(영세율·면세 여부 확인)"," / 세액이 공급가액 10%와 다름"),"")&amp;IF($BB853="수정"," / 수정세금계산서(합계에서 자동 가감)",""),4,200))</f>
        <v/>
      </c>
      <c r="BD853" s="2">
        <f>IF($BA853&lt;&gt;"포함","",IF(COUNTIFS($AX$8:$AX853,$AX853,$BA$8:$BA853,"포함")=1,MAX($BD$7:BD852)+1,""))</f>
        <v/>
      </c>
      <c r="BE853" s="2">
        <f>IF($BC853="","",MAX($BE$7:BE852)+1)</f>
        <v/>
      </c>
    </row>
    <row r="854">
      <c r="AR854" s="2">
        <f>IF(OR($A$5="",$B$6="",ROW()&lt;$A$5),"",IF(INDEX($A:$AP,ROW(),$B$6)="","",INDEX($A:$AP,ROW(),$B$6)))</f>
        <v/>
      </c>
      <c r="AS854" s="22">
        <f>IF($AR854="","",IF(ISNUMBER($AR854),IF($AR854&gt;=10000000,IFERROR(DATE(INT($AR854/10000),MOD(INT($AR854/100),100),MOD($AR854,100)),""),INT($AR854)),IFERROR(DATE(--LEFT(LEFT(SUBSTITUTE(SUBSTITUTE(SUBSTITUTE(SUBSTITUTE(TRIM($AR854),"-",""),".",""),"/","")," ",""),8),4),--MID(LEFT(SUBSTITUTE(SUBSTITUTE(SUBSTITUTE(SUBSTITUTE(TRIM($AR854),"-",""),".",""),"/","")," ",""),8),5,2),--MID(LEFT(SUBSTITUTE(SUBSTITUTE(SUBSTITUTE(SUBSTITUTE(TRIM($AR854),"-",""),".",""),"/","")," ",""),8),7,2)),"")))</f>
        <v/>
      </c>
      <c r="AT854" s="23">
        <f>IF($AS854="","",IF($F$6="",0,IF(ISNUMBER(INDEX($A:$AP,ROW(),$F$6)),INDEX($A:$AP,ROW(),$F$6),IFERROR(--SUBSTITUTE(SUBSTITUTE(TRIM(INDEX($A:$AP,ROW(),$F$6)),",",""),"원",""),0))))</f>
        <v/>
      </c>
      <c r="AU854" s="23">
        <f>IF($AS854="","",IF($G$6="",0,IF(ISNUMBER(INDEX($A:$AP,ROW(),$G$6)),INDEX($A:$AP,ROW(),$G$6),IFERROR(--SUBSTITUTE(SUBSTITUTE(TRIM(INDEX($A:$AP,ROW(),$G$6)),",",""),"원",""),0))))</f>
        <v/>
      </c>
      <c r="AV854" s="23">
        <f>IF($AS854="","",IF($H$6="",$AT854+$AU854,IF($H$6="",0,IF(ISNUMBER(INDEX($A:$AP,ROW(),$H$6)),INDEX($A:$AP,ROW(),$H$6),IFERROR(--SUBSTITUTE(SUBSTITUTE(TRIM(INDEX($A:$AP,ROW(),$H$6)),",",""),"원",""),0)))))</f>
        <v/>
      </c>
      <c r="AW854" s="2">
        <f>IF(OR($AS854="",$C$6=""),"",TRIM(INDEX($A:$AP,ROW(),$C$6)&amp;""))</f>
        <v/>
      </c>
      <c r="AX854" s="2">
        <f>IF($AS854="","",IF($AZ854&lt;&gt;"",SUBSTITUTE(SUBSTITUTE($AZ854,"-","")," ",""),$AY854))</f>
        <v/>
      </c>
      <c r="AY854" s="2">
        <f>IF(OR($AS854="",$E$6=""),"",TRIM(INDEX($A:$AP,ROW(),$E$6)&amp;""))</f>
        <v/>
      </c>
      <c r="AZ854" s="2">
        <f>IF(OR($AS854="",$D$6=""),"",TRIM(INDEX($A:$AP,ROW(),$D$6)&amp;""))</f>
        <v/>
      </c>
      <c r="BA854" s="2">
        <f>IF($AS854="","",IF(AND($AS854&gt;=설정!$B$10,$AS854&lt;=설정!$B$11),"포함","기간 밖"))</f>
        <v/>
      </c>
      <c r="BB854" s="2">
        <f>IF($AS854="","",IF(OR($AT854&lt;0,AND($I$6&lt;&gt;"",ISNUMBER(FIND("수정",INDEX($A:$AP,ROW(),IF($I$6="",1,$I$6))&amp;"")))),"수정","일반"))</f>
        <v/>
      </c>
      <c r="BC854" s="2">
        <f>IF($AS854="","",MID(IF($BA854="기간 밖"," / 기간 밖(신고기간 아님)","")&amp;IF(AND($AW854&lt;&gt;"",COUNTIF($AW$8:$AW$1007,$AW854)&gt;1)," / 승인번호 중복(두 번 붙여넣기?)","")&amp;IF(ABS($AU854-ROUND($AT854*0.1,0))&gt;설정!$B$8,IF($AU854=0," / 세액 0원(영세율·면세 여부 확인)"," / 세액이 공급가액 10%와 다름"),"")&amp;IF($BB854="수정"," / 수정세금계산서(합계에서 자동 가감)",""),4,200))</f>
        <v/>
      </c>
      <c r="BD854" s="2">
        <f>IF($BA854&lt;&gt;"포함","",IF(COUNTIFS($AX$8:$AX854,$AX854,$BA$8:$BA854,"포함")=1,MAX($BD$7:BD853)+1,""))</f>
        <v/>
      </c>
      <c r="BE854" s="2">
        <f>IF($BC854="","",MAX($BE$7:BE853)+1)</f>
        <v/>
      </c>
    </row>
    <row r="855">
      <c r="AR855" s="2">
        <f>IF(OR($A$5="",$B$6="",ROW()&lt;$A$5),"",IF(INDEX($A:$AP,ROW(),$B$6)="","",INDEX($A:$AP,ROW(),$B$6)))</f>
        <v/>
      </c>
      <c r="AS855" s="22">
        <f>IF($AR855="","",IF(ISNUMBER($AR855),IF($AR855&gt;=10000000,IFERROR(DATE(INT($AR855/10000),MOD(INT($AR855/100),100),MOD($AR855,100)),""),INT($AR855)),IFERROR(DATE(--LEFT(LEFT(SUBSTITUTE(SUBSTITUTE(SUBSTITUTE(SUBSTITUTE(TRIM($AR855),"-",""),".",""),"/","")," ",""),8),4),--MID(LEFT(SUBSTITUTE(SUBSTITUTE(SUBSTITUTE(SUBSTITUTE(TRIM($AR855),"-",""),".",""),"/","")," ",""),8),5,2),--MID(LEFT(SUBSTITUTE(SUBSTITUTE(SUBSTITUTE(SUBSTITUTE(TRIM($AR855),"-",""),".",""),"/","")," ",""),8),7,2)),"")))</f>
        <v/>
      </c>
      <c r="AT855" s="23">
        <f>IF($AS855="","",IF($F$6="",0,IF(ISNUMBER(INDEX($A:$AP,ROW(),$F$6)),INDEX($A:$AP,ROW(),$F$6),IFERROR(--SUBSTITUTE(SUBSTITUTE(TRIM(INDEX($A:$AP,ROW(),$F$6)),",",""),"원",""),0))))</f>
        <v/>
      </c>
      <c r="AU855" s="23">
        <f>IF($AS855="","",IF($G$6="",0,IF(ISNUMBER(INDEX($A:$AP,ROW(),$G$6)),INDEX($A:$AP,ROW(),$G$6),IFERROR(--SUBSTITUTE(SUBSTITUTE(TRIM(INDEX($A:$AP,ROW(),$G$6)),",",""),"원",""),0))))</f>
        <v/>
      </c>
      <c r="AV855" s="23">
        <f>IF($AS855="","",IF($H$6="",$AT855+$AU855,IF($H$6="",0,IF(ISNUMBER(INDEX($A:$AP,ROW(),$H$6)),INDEX($A:$AP,ROW(),$H$6),IFERROR(--SUBSTITUTE(SUBSTITUTE(TRIM(INDEX($A:$AP,ROW(),$H$6)),",",""),"원",""),0)))))</f>
        <v/>
      </c>
      <c r="AW855" s="2">
        <f>IF(OR($AS855="",$C$6=""),"",TRIM(INDEX($A:$AP,ROW(),$C$6)&amp;""))</f>
        <v/>
      </c>
      <c r="AX855" s="2">
        <f>IF($AS855="","",IF($AZ855&lt;&gt;"",SUBSTITUTE(SUBSTITUTE($AZ855,"-","")," ",""),$AY855))</f>
        <v/>
      </c>
      <c r="AY855" s="2">
        <f>IF(OR($AS855="",$E$6=""),"",TRIM(INDEX($A:$AP,ROW(),$E$6)&amp;""))</f>
        <v/>
      </c>
      <c r="AZ855" s="2">
        <f>IF(OR($AS855="",$D$6=""),"",TRIM(INDEX($A:$AP,ROW(),$D$6)&amp;""))</f>
        <v/>
      </c>
      <c r="BA855" s="2">
        <f>IF($AS855="","",IF(AND($AS855&gt;=설정!$B$10,$AS855&lt;=설정!$B$11),"포함","기간 밖"))</f>
        <v/>
      </c>
      <c r="BB855" s="2">
        <f>IF($AS855="","",IF(OR($AT855&lt;0,AND($I$6&lt;&gt;"",ISNUMBER(FIND("수정",INDEX($A:$AP,ROW(),IF($I$6="",1,$I$6))&amp;"")))),"수정","일반"))</f>
        <v/>
      </c>
      <c r="BC855" s="2">
        <f>IF($AS855="","",MID(IF($BA855="기간 밖"," / 기간 밖(신고기간 아님)","")&amp;IF(AND($AW855&lt;&gt;"",COUNTIF($AW$8:$AW$1007,$AW855)&gt;1)," / 승인번호 중복(두 번 붙여넣기?)","")&amp;IF(ABS($AU855-ROUND($AT855*0.1,0))&gt;설정!$B$8,IF($AU855=0," / 세액 0원(영세율·면세 여부 확인)"," / 세액이 공급가액 10%와 다름"),"")&amp;IF($BB855="수정"," / 수정세금계산서(합계에서 자동 가감)",""),4,200))</f>
        <v/>
      </c>
      <c r="BD855" s="2">
        <f>IF($BA855&lt;&gt;"포함","",IF(COUNTIFS($AX$8:$AX855,$AX855,$BA$8:$BA855,"포함")=1,MAX($BD$7:BD854)+1,""))</f>
        <v/>
      </c>
      <c r="BE855" s="2">
        <f>IF($BC855="","",MAX($BE$7:BE854)+1)</f>
        <v/>
      </c>
    </row>
    <row r="856">
      <c r="AR856" s="2">
        <f>IF(OR($A$5="",$B$6="",ROW()&lt;$A$5),"",IF(INDEX($A:$AP,ROW(),$B$6)="","",INDEX($A:$AP,ROW(),$B$6)))</f>
        <v/>
      </c>
      <c r="AS856" s="22">
        <f>IF($AR856="","",IF(ISNUMBER($AR856),IF($AR856&gt;=10000000,IFERROR(DATE(INT($AR856/10000),MOD(INT($AR856/100),100),MOD($AR856,100)),""),INT($AR856)),IFERROR(DATE(--LEFT(LEFT(SUBSTITUTE(SUBSTITUTE(SUBSTITUTE(SUBSTITUTE(TRIM($AR856),"-",""),".",""),"/","")," ",""),8),4),--MID(LEFT(SUBSTITUTE(SUBSTITUTE(SUBSTITUTE(SUBSTITUTE(TRIM($AR856),"-",""),".",""),"/","")," ",""),8),5,2),--MID(LEFT(SUBSTITUTE(SUBSTITUTE(SUBSTITUTE(SUBSTITUTE(TRIM($AR856),"-",""),".",""),"/","")," ",""),8),7,2)),"")))</f>
        <v/>
      </c>
      <c r="AT856" s="23">
        <f>IF($AS856="","",IF($F$6="",0,IF(ISNUMBER(INDEX($A:$AP,ROW(),$F$6)),INDEX($A:$AP,ROW(),$F$6),IFERROR(--SUBSTITUTE(SUBSTITUTE(TRIM(INDEX($A:$AP,ROW(),$F$6)),",",""),"원",""),0))))</f>
        <v/>
      </c>
      <c r="AU856" s="23">
        <f>IF($AS856="","",IF($G$6="",0,IF(ISNUMBER(INDEX($A:$AP,ROW(),$G$6)),INDEX($A:$AP,ROW(),$G$6),IFERROR(--SUBSTITUTE(SUBSTITUTE(TRIM(INDEX($A:$AP,ROW(),$G$6)),",",""),"원",""),0))))</f>
        <v/>
      </c>
      <c r="AV856" s="23">
        <f>IF($AS856="","",IF($H$6="",$AT856+$AU856,IF($H$6="",0,IF(ISNUMBER(INDEX($A:$AP,ROW(),$H$6)),INDEX($A:$AP,ROW(),$H$6),IFERROR(--SUBSTITUTE(SUBSTITUTE(TRIM(INDEX($A:$AP,ROW(),$H$6)),",",""),"원",""),0)))))</f>
        <v/>
      </c>
      <c r="AW856" s="2">
        <f>IF(OR($AS856="",$C$6=""),"",TRIM(INDEX($A:$AP,ROW(),$C$6)&amp;""))</f>
        <v/>
      </c>
      <c r="AX856" s="2">
        <f>IF($AS856="","",IF($AZ856&lt;&gt;"",SUBSTITUTE(SUBSTITUTE($AZ856,"-","")," ",""),$AY856))</f>
        <v/>
      </c>
      <c r="AY856" s="2">
        <f>IF(OR($AS856="",$E$6=""),"",TRIM(INDEX($A:$AP,ROW(),$E$6)&amp;""))</f>
        <v/>
      </c>
      <c r="AZ856" s="2">
        <f>IF(OR($AS856="",$D$6=""),"",TRIM(INDEX($A:$AP,ROW(),$D$6)&amp;""))</f>
        <v/>
      </c>
      <c r="BA856" s="2">
        <f>IF($AS856="","",IF(AND($AS856&gt;=설정!$B$10,$AS856&lt;=설정!$B$11),"포함","기간 밖"))</f>
        <v/>
      </c>
      <c r="BB856" s="2">
        <f>IF($AS856="","",IF(OR($AT856&lt;0,AND($I$6&lt;&gt;"",ISNUMBER(FIND("수정",INDEX($A:$AP,ROW(),IF($I$6="",1,$I$6))&amp;"")))),"수정","일반"))</f>
        <v/>
      </c>
      <c r="BC856" s="2">
        <f>IF($AS856="","",MID(IF($BA856="기간 밖"," / 기간 밖(신고기간 아님)","")&amp;IF(AND($AW856&lt;&gt;"",COUNTIF($AW$8:$AW$1007,$AW856)&gt;1)," / 승인번호 중복(두 번 붙여넣기?)","")&amp;IF(ABS($AU856-ROUND($AT856*0.1,0))&gt;설정!$B$8,IF($AU856=0," / 세액 0원(영세율·면세 여부 확인)"," / 세액이 공급가액 10%와 다름"),"")&amp;IF($BB856="수정"," / 수정세금계산서(합계에서 자동 가감)",""),4,200))</f>
        <v/>
      </c>
      <c r="BD856" s="2">
        <f>IF($BA856&lt;&gt;"포함","",IF(COUNTIFS($AX$8:$AX856,$AX856,$BA$8:$BA856,"포함")=1,MAX($BD$7:BD855)+1,""))</f>
        <v/>
      </c>
      <c r="BE856" s="2">
        <f>IF($BC856="","",MAX($BE$7:BE855)+1)</f>
        <v/>
      </c>
    </row>
    <row r="857">
      <c r="AR857" s="2">
        <f>IF(OR($A$5="",$B$6="",ROW()&lt;$A$5),"",IF(INDEX($A:$AP,ROW(),$B$6)="","",INDEX($A:$AP,ROW(),$B$6)))</f>
        <v/>
      </c>
      <c r="AS857" s="22">
        <f>IF($AR857="","",IF(ISNUMBER($AR857),IF($AR857&gt;=10000000,IFERROR(DATE(INT($AR857/10000),MOD(INT($AR857/100),100),MOD($AR857,100)),""),INT($AR857)),IFERROR(DATE(--LEFT(LEFT(SUBSTITUTE(SUBSTITUTE(SUBSTITUTE(SUBSTITUTE(TRIM($AR857),"-",""),".",""),"/","")," ",""),8),4),--MID(LEFT(SUBSTITUTE(SUBSTITUTE(SUBSTITUTE(SUBSTITUTE(TRIM($AR857),"-",""),".",""),"/","")," ",""),8),5,2),--MID(LEFT(SUBSTITUTE(SUBSTITUTE(SUBSTITUTE(SUBSTITUTE(TRIM($AR857),"-",""),".",""),"/","")," ",""),8),7,2)),"")))</f>
        <v/>
      </c>
      <c r="AT857" s="23">
        <f>IF($AS857="","",IF($F$6="",0,IF(ISNUMBER(INDEX($A:$AP,ROW(),$F$6)),INDEX($A:$AP,ROW(),$F$6),IFERROR(--SUBSTITUTE(SUBSTITUTE(TRIM(INDEX($A:$AP,ROW(),$F$6)),",",""),"원",""),0))))</f>
        <v/>
      </c>
      <c r="AU857" s="23">
        <f>IF($AS857="","",IF($G$6="",0,IF(ISNUMBER(INDEX($A:$AP,ROW(),$G$6)),INDEX($A:$AP,ROW(),$G$6),IFERROR(--SUBSTITUTE(SUBSTITUTE(TRIM(INDEX($A:$AP,ROW(),$G$6)),",",""),"원",""),0))))</f>
        <v/>
      </c>
      <c r="AV857" s="23">
        <f>IF($AS857="","",IF($H$6="",$AT857+$AU857,IF($H$6="",0,IF(ISNUMBER(INDEX($A:$AP,ROW(),$H$6)),INDEX($A:$AP,ROW(),$H$6),IFERROR(--SUBSTITUTE(SUBSTITUTE(TRIM(INDEX($A:$AP,ROW(),$H$6)),",",""),"원",""),0)))))</f>
        <v/>
      </c>
      <c r="AW857" s="2">
        <f>IF(OR($AS857="",$C$6=""),"",TRIM(INDEX($A:$AP,ROW(),$C$6)&amp;""))</f>
        <v/>
      </c>
      <c r="AX857" s="2">
        <f>IF($AS857="","",IF($AZ857&lt;&gt;"",SUBSTITUTE(SUBSTITUTE($AZ857,"-","")," ",""),$AY857))</f>
        <v/>
      </c>
      <c r="AY857" s="2">
        <f>IF(OR($AS857="",$E$6=""),"",TRIM(INDEX($A:$AP,ROW(),$E$6)&amp;""))</f>
        <v/>
      </c>
      <c r="AZ857" s="2">
        <f>IF(OR($AS857="",$D$6=""),"",TRIM(INDEX($A:$AP,ROW(),$D$6)&amp;""))</f>
        <v/>
      </c>
      <c r="BA857" s="2">
        <f>IF($AS857="","",IF(AND($AS857&gt;=설정!$B$10,$AS857&lt;=설정!$B$11),"포함","기간 밖"))</f>
        <v/>
      </c>
      <c r="BB857" s="2">
        <f>IF($AS857="","",IF(OR($AT857&lt;0,AND($I$6&lt;&gt;"",ISNUMBER(FIND("수정",INDEX($A:$AP,ROW(),IF($I$6="",1,$I$6))&amp;"")))),"수정","일반"))</f>
        <v/>
      </c>
      <c r="BC857" s="2">
        <f>IF($AS857="","",MID(IF($BA857="기간 밖"," / 기간 밖(신고기간 아님)","")&amp;IF(AND($AW857&lt;&gt;"",COUNTIF($AW$8:$AW$1007,$AW857)&gt;1)," / 승인번호 중복(두 번 붙여넣기?)","")&amp;IF(ABS($AU857-ROUND($AT857*0.1,0))&gt;설정!$B$8,IF($AU857=0," / 세액 0원(영세율·면세 여부 확인)"," / 세액이 공급가액 10%와 다름"),"")&amp;IF($BB857="수정"," / 수정세금계산서(합계에서 자동 가감)",""),4,200))</f>
        <v/>
      </c>
      <c r="BD857" s="2">
        <f>IF($BA857&lt;&gt;"포함","",IF(COUNTIFS($AX$8:$AX857,$AX857,$BA$8:$BA857,"포함")=1,MAX($BD$7:BD856)+1,""))</f>
        <v/>
      </c>
      <c r="BE857" s="2">
        <f>IF($BC857="","",MAX($BE$7:BE856)+1)</f>
        <v/>
      </c>
    </row>
    <row r="858">
      <c r="AR858" s="2">
        <f>IF(OR($A$5="",$B$6="",ROW()&lt;$A$5),"",IF(INDEX($A:$AP,ROW(),$B$6)="","",INDEX($A:$AP,ROW(),$B$6)))</f>
        <v/>
      </c>
      <c r="AS858" s="22">
        <f>IF($AR858="","",IF(ISNUMBER($AR858),IF($AR858&gt;=10000000,IFERROR(DATE(INT($AR858/10000),MOD(INT($AR858/100),100),MOD($AR858,100)),""),INT($AR858)),IFERROR(DATE(--LEFT(LEFT(SUBSTITUTE(SUBSTITUTE(SUBSTITUTE(SUBSTITUTE(TRIM($AR858),"-",""),".",""),"/","")," ",""),8),4),--MID(LEFT(SUBSTITUTE(SUBSTITUTE(SUBSTITUTE(SUBSTITUTE(TRIM($AR858),"-",""),".",""),"/","")," ",""),8),5,2),--MID(LEFT(SUBSTITUTE(SUBSTITUTE(SUBSTITUTE(SUBSTITUTE(TRIM($AR858),"-",""),".",""),"/","")," ",""),8),7,2)),"")))</f>
        <v/>
      </c>
      <c r="AT858" s="23">
        <f>IF($AS858="","",IF($F$6="",0,IF(ISNUMBER(INDEX($A:$AP,ROW(),$F$6)),INDEX($A:$AP,ROW(),$F$6),IFERROR(--SUBSTITUTE(SUBSTITUTE(TRIM(INDEX($A:$AP,ROW(),$F$6)),",",""),"원",""),0))))</f>
        <v/>
      </c>
      <c r="AU858" s="23">
        <f>IF($AS858="","",IF($G$6="",0,IF(ISNUMBER(INDEX($A:$AP,ROW(),$G$6)),INDEX($A:$AP,ROW(),$G$6),IFERROR(--SUBSTITUTE(SUBSTITUTE(TRIM(INDEX($A:$AP,ROW(),$G$6)),",",""),"원",""),0))))</f>
        <v/>
      </c>
      <c r="AV858" s="23">
        <f>IF($AS858="","",IF($H$6="",$AT858+$AU858,IF($H$6="",0,IF(ISNUMBER(INDEX($A:$AP,ROW(),$H$6)),INDEX($A:$AP,ROW(),$H$6),IFERROR(--SUBSTITUTE(SUBSTITUTE(TRIM(INDEX($A:$AP,ROW(),$H$6)),",",""),"원",""),0)))))</f>
        <v/>
      </c>
      <c r="AW858" s="2">
        <f>IF(OR($AS858="",$C$6=""),"",TRIM(INDEX($A:$AP,ROW(),$C$6)&amp;""))</f>
        <v/>
      </c>
      <c r="AX858" s="2">
        <f>IF($AS858="","",IF($AZ858&lt;&gt;"",SUBSTITUTE(SUBSTITUTE($AZ858,"-","")," ",""),$AY858))</f>
        <v/>
      </c>
      <c r="AY858" s="2">
        <f>IF(OR($AS858="",$E$6=""),"",TRIM(INDEX($A:$AP,ROW(),$E$6)&amp;""))</f>
        <v/>
      </c>
      <c r="AZ858" s="2">
        <f>IF(OR($AS858="",$D$6=""),"",TRIM(INDEX($A:$AP,ROW(),$D$6)&amp;""))</f>
        <v/>
      </c>
      <c r="BA858" s="2">
        <f>IF($AS858="","",IF(AND($AS858&gt;=설정!$B$10,$AS858&lt;=설정!$B$11),"포함","기간 밖"))</f>
        <v/>
      </c>
      <c r="BB858" s="2">
        <f>IF($AS858="","",IF(OR($AT858&lt;0,AND($I$6&lt;&gt;"",ISNUMBER(FIND("수정",INDEX($A:$AP,ROW(),IF($I$6="",1,$I$6))&amp;"")))),"수정","일반"))</f>
        <v/>
      </c>
      <c r="BC858" s="2">
        <f>IF($AS858="","",MID(IF($BA858="기간 밖"," / 기간 밖(신고기간 아님)","")&amp;IF(AND($AW858&lt;&gt;"",COUNTIF($AW$8:$AW$1007,$AW858)&gt;1)," / 승인번호 중복(두 번 붙여넣기?)","")&amp;IF(ABS($AU858-ROUND($AT858*0.1,0))&gt;설정!$B$8,IF($AU858=0," / 세액 0원(영세율·면세 여부 확인)"," / 세액이 공급가액 10%와 다름"),"")&amp;IF($BB858="수정"," / 수정세금계산서(합계에서 자동 가감)",""),4,200))</f>
        <v/>
      </c>
      <c r="BD858" s="2">
        <f>IF($BA858&lt;&gt;"포함","",IF(COUNTIFS($AX$8:$AX858,$AX858,$BA$8:$BA858,"포함")=1,MAX($BD$7:BD857)+1,""))</f>
        <v/>
      </c>
      <c r="BE858" s="2">
        <f>IF($BC858="","",MAX($BE$7:BE857)+1)</f>
        <v/>
      </c>
    </row>
    <row r="859">
      <c r="AR859" s="2">
        <f>IF(OR($A$5="",$B$6="",ROW()&lt;$A$5),"",IF(INDEX($A:$AP,ROW(),$B$6)="","",INDEX($A:$AP,ROW(),$B$6)))</f>
        <v/>
      </c>
      <c r="AS859" s="22">
        <f>IF($AR859="","",IF(ISNUMBER($AR859),IF($AR859&gt;=10000000,IFERROR(DATE(INT($AR859/10000),MOD(INT($AR859/100),100),MOD($AR859,100)),""),INT($AR859)),IFERROR(DATE(--LEFT(LEFT(SUBSTITUTE(SUBSTITUTE(SUBSTITUTE(SUBSTITUTE(TRIM($AR859),"-",""),".",""),"/","")," ",""),8),4),--MID(LEFT(SUBSTITUTE(SUBSTITUTE(SUBSTITUTE(SUBSTITUTE(TRIM($AR859),"-",""),".",""),"/","")," ",""),8),5,2),--MID(LEFT(SUBSTITUTE(SUBSTITUTE(SUBSTITUTE(SUBSTITUTE(TRIM($AR859),"-",""),".",""),"/","")," ",""),8),7,2)),"")))</f>
        <v/>
      </c>
      <c r="AT859" s="23">
        <f>IF($AS859="","",IF($F$6="",0,IF(ISNUMBER(INDEX($A:$AP,ROW(),$F$6)),INDEX($A:$AP,ROW(),$F$6),IFERROR(--SUBSTITUTE(SUBSTITUTE(TRIM(INDEX($A:$AP,ROW(),$F$6)),",",""),"원",""),0))))</f>
        <v/>
      </c>
      <c r="AU859" s="23">
        <f>IF($AS859="","",IF($G$6="",0,IF(ISNUMBER(INDEX($A:$AP,ROW(),$G$6)),INDEX($A:$AP,ROW(),$G$6),IFERROR(--SUBSTITUTE(SUBSTITUTE(TRIM(INDEX($A:$AP,ROW(),$G$6)),",",""),"원",""),0))))</f>
        <v/>
      </c>
      <c r="AV859" s="23">
        <f>IF($AS859="","",IF($H$6="",$AT859+$AU859,IF($H$6="",0,IF(ISNUMBER(INDEX($A:$AP,ROW(),$H$6)),INDEX($A:$AP,ROW(),$H$6),IFERROR(--SUBSTITUTE(SUBSTITUTE(TRIM(INDEX($A:$AP,ROW(),$H$6)),",",""),"원",""),0)))))</f>
        <v/>
      </c>
      <c r="AW859" s="2">
        <f>IF(OR($AS859="",$C$6=""),"",TRIM(INDEX($A:$AP,ROW(),$C$6)&amp;""))</f>
        <v/>
      </c>
      <c r="AX859" s="2">
        <f>IF($AS859="","",IF($AZ859&lt;&gt;"",SUBSTITUTE(SUBSTITUTE($AZ859,"-","")," ",""),$AY859))</f>
        <v/>
      </c>
      <c r="AY859" s="2">
        <f>IF(OR($AS859="",$E$6=""),"",TRIM(INDEX($A:$AP,ROW(),$E$6)&amp;""))</f>
        <v/>
      </c>
      <c r="AZ859" s="2">
        <f>IF(OR($AS859="",$D$6=""),"",TRIM(INDEX($A:$AP,ROW(),$D$6)&amp;""))</f>
        <v/>
      </c>
      <c r="BA859" s="2">
        <f>IF($AS859="","",IF(AND($AS859&gt;=설정!$B$10,$AS859&lt;=설정!$B$11),"포함","기간 밖"))</f>
        <v/>
      </c>
      <c r="BB859" s="2">
        <f>IF($AS859="","",IF(OR($AT859&lt;0,AND($I$6&lt;&gt;"",ISNUMBER(FIND("수정",INDEX($A:$AP,ROW(),IF($I$6="",1,$I$6))&amp;"")))),"수정","일반"))</f>
        <v/>
      </c>
      <c r="BC859" s="2">
        <f>IF($AS859="","",MID(IF($BA859="기간 밖"," / 기간 밖(신고기간 아님)","")&amp;IF(AND($AW859&lt;&gt;"",COUNTIF($AW$8:$AW$1007,$AW859)&gt;1)," / 승인번호 중복(두 번 붙여넣기?)","")&amp;IF(ABS($AU859-ROUND($AT859*0.1,0))&gt;설정!$B$8,IF($AU859=0," / 세액 0원(영세율·면세 여부 확인)"," / 세액이 공급가액 10%와 다름"),"")&amp;IF($BB859="수정"," / 수정세금계산서(합계에서 자동 가감)",""),4,200))</f>
        <v/>
      </c>
      <c r="BD859" s="2">
        <f>IF($BA859&lt;&gt;"포함","",IF(COUNTIFS($AX$8:$AX859,$AX859,$BA$8:$BA859,"포함")=1,MAX($BD$7:BD858)+1,""))</f>
        <v/>
      </c>
      <c r="BE859" s="2">
        <f>IF($BC859="","",MAX($BE$7:BE858)+1)</f>
        <v/>
      </c>
    </row>
    <row r="860">
      <c r="AR860" s="2">
        <f>IF(OR($A$5="",$B$6="",ROW()&lt;$A$5),"",IF(INDEX($A:$AP,ROW(),$B$6)="","",INDEX($A:$AP,ROW(),$B$6)))</f>
        <v/>
      </c>
      <c r="AS860" s="22">
        <f>IF($AR860="","",IF(ISNUMBER($AR860),IF($AR860&gt;=10000000,IFERROR(DATE(INT($AR860/10000),MOD(INT($AR860/100),100),MOD($AR860,100)),""),INT($AR860)),IFERROR(DATE(--LEFT(LEFT(SUBSTITUTE(SUBSTITUTE(SUBSTITUTE(SUBSTITUTE(TRIM($AR860),"-",""),".",""),"/","")," ",""),8),4),--MID(LEFT(SUBSTITUTE(SUBSTITUTE(SUBSTITUTE(SUBSTITUTE(TRIM($AR860),"-",""),".",""),"/","")," ",""),8),5,2),--MID(LEFT(SUBSTITUTE(SUBSTITUTE(SUBSTITUTE(SUBSTITUTE(TRIM($AR860),"-",""),".",""),"/","")," ",""),8),7,2)),"")))</f>
        <v/>
      </c>
      <c r="AT860" s="23">
        <f>IF($AS860="","",IF($F$6="",0,IF(ISNUMBER(INDEX($A:$AP,ROW(),$F$6)),INDEX($A:$AP,ROW(),$F$6),IFERROR(--SUBSTITUTE(SUBSTITUTE(TRIM(INDEX($A:$AP,ROW(),$F$6)),",",""),"원",""),0))))</f>
        <v/>
      </c>
      <c r="AU860" s="23">
        <f>IF($AS860="","",IF($G$6="",0,IF(ISNUMBER(INDEX($A:$AP,ROW(),$G$6)),INDEX($A:$AP,ROW(),$G$6),IFERROR(--SUBSTITUTE(SUBSTITUTE(TRIM(INDEX($A:$AP,ROW(),$G$6)),",",""),"원",""),0))))</f>
        <v/>
      </c>
      <c r="AV860" s="23">
        <f>IF($AS860="","",IF($H$6="",$AT860+$AU860,IF($H$6="",0,IF(ISNUMBER(INDEX($A:$AP,ROW(),$H$6)),INDEX($A:$AP,ROW(),$H$6),IFERROR(--SUBSTITUTE(SUBSTITUTE(TRIM(INDEX($A:$AP,ROW(),$H$6)),",",""),"원",""),0)))))</f>
        <v/>
      </c>
      <c r="AW860" s="2">
        <f>IF(OR($AS860="",$C$6=""),"",TRIM(INDEX($A:$AP,ROW(),$C$6)&amp;""))</f>
        <v/>
      </c>
      <c r="AX860" s="2">
        <f>IF($AS860="","",IF($AZ860&lt;&gt;"",SUBSTITUTE(SUBSTITUTE($AZ860,"-","")," ",""),$AY860))</f>
        <v/>
      </c>
      <c r="AY860" s="2">
        <f>IF(OR($AS860="",$E$6=""),"",TRIM(INDEX($A:$AP,ROW(),$E$6)&amp;""))</f>
        <v/>
      </c>
      <c r="AZ860" s="2">
        <f>IF(OR($AS860="",$D$6=""),"",TRIM(INDEX($A:$AP,ROW(),$D$6)&amp;""))</f>
        <v/>
      </c>
      <c r="BA860" s="2">
        <f>IF($AS860="","",IF(AND($AS860&gt;=설정!$B$10,$AS860&lt;=설정!$B$11),"포함","기간 밖"))</f>
        <v/>
      </c>
      <c r="BB860" s="2">
        <f>IF($AS860="","",IF(OR($AT860&lt;0,AND($I$6&lt;&gt;"",ISNUMBER(FIND("수정",INDEX($A:$AP,ROW(),IF($I$6="",1,$I$6))&amp;"")))),"수정","일반"))</f>
        <v/>
      </c>
      <c r="BC860" s="2">
        <f>IF($AS860="","",MID(IF($BA860="기간 밖"," / 기간 밖(신고기간 아님)","")&amp;IF(AND($AW860&lt;&gt;"",COUNTIF($AW$8:$AW$1007,$AW860)&gt;1)," / 승인번호 중복(두 번 붙여넣기?)","")&amp;IF(ABS($AU860-ROUND($AT860*0.1,0))&gt;설정!$B$8,IF($AU860=0," / 세액 0원(영세율·면세 여부 확인)"," / 세액이 공급가액 10%와 다름"),"")&amp;IF($BB860="수정"," / 수정세금계산서(합계에서 자동 가감)",""),4,200))</f>
        <v/>
      </c>
      <c r="BD860" s="2">
        <f>IF($BA860&lt;&gt;"포함","",IF(COUNTIFS($AX$8:$AX860,$AX860,$BA$8:$BA860,"포함")=1,MAX($BD$7:BD859)+1,""))</f>
        <v/>
      </c>
      <c r="BE860" s="2">
        <f>IF($BC860="","",MAX($BE$7:BE859)+1)</f>
        <v/>
      </c>
    </row>
    <row r="861">
      <c r="AR861" s="2">
        <f>IF(OR($A$5="",$B$6="",ROW()&lt;$A$5),"",IF(INDEX($A:$AP,ROW(),$B$6)="","",INDEX($A:$AP,ROW(),$B$6)))</f>
        <v/>
      </c>
      <c r="AS861" s="22">
        <f>IF($AR861="","",IF(ISNUMBER($AR861),IF($AR861&gt;=10000000,IFERROR(DATE(INT($AR861/10000),MOD(INT($AR861/100),100),MOD($AR861,100)),""),INT($AR861)),IFERROR(DATE(--LEFT(LEFT(SUBSTITUTE(SUBSTITUTE(SUBSTITUTE(SUBSTITUTE(TRIM($AR861),"-",""),".",""),"/","")," ",""),8),4),--MID(LEFT(SUBSTITUTE(SUBSTITUTE(SUBSTITUTE(SUBSTITUTE(TRIM($AR861),"-",""),".",""),"/","")," ",""),8),5,2),--MID(LEFT(SUBSTITUTE(SUBSTITUTE(SUBSTITUTE(SUBSTITUTE(TRIM($AR861),"-",""),".",""),"/","")," ",""),8),7,2)),"")))</f>
        <v/>
      </c>
      <c r="AT861" s="23">
        <f>IF($AS861="","",IF($F$6="",0,IF(ISNUMBER(INDEX($A:$AP,ROW(),$F$6)),INDEX($A:$AP,ROW(),$F$6),IFERROR(--SUBSTITUTE(SUBSTITUTE(TRIM(INDEX($A:$AP,ROW(),$F$6)),",",""),"원",""),0))))</f>
        <v/>
      </c>
      <c r="AU861" s="23">
        <f>IF($AS861="","",IF($G$6="",0,IF(ISNUMBER(INDEX($A:$AP,ROW(),$G$6)),INDEX($A:$AP,ROW(),$G$6),IFERROR(--SUBSTITUTE(SUBSTITUTE(TRIM(INDEX($A:$AP,ROW(),$G$6)),",",""),"원",""),0))))</f>
        <v/>
      </c>
      <c r="AV861" s="23">
        <f>IF($AS861="","",IF($H$6="",$AT861+$AU861,IF($H$6="",0,IF(ISNUMBER(INDEX($A:$AP,ROW(),$H$6)),INDEX($A:$AP,ROW(),$H$6),IFERROR(--SUBSTITUTE(SUBSTITUTE(TRIM(INDEX($A:$AP,ROW(),$H$6)),",",""),"원",""),0)))))</f>
        <v/>
      </c>
      <c r="AW861" s="2">
        <f>IF(OR($AS861="",$C$6=""),"",TRIM(INDEX($A:$AP,ROW(),$C$6)&amp;""))</f>
        <v/>
      </c>
      <c r="AX861" s="2">
        <f>IF($AS861="","",IF($AZ861&lt;&gt;"",SUBSTITUTE(SUBSTITUTE($AZ861,"-","")," ",""),$AY861))</f>
        <v/>
      </c>
      <c r="AY861" s="2">
        <f>IF(OR($AS861="",$E$6=""),"",TRIM(INDEX($A:$AP,ROW(),$E$6)&amp;""))</f>
        <v/>
      </c>
      <c r="AZ861" s="2">
        <f>IF(OR($AS861="",$D$6=""),"",TRIM(INDEX($A:$AP,ROW(),$D$6)&amp;""))</f>
        <v/>
      </c>
      <c r="BA861" s="2">
        <f>IF($AS861="","",IF(AND($AS861&gt;=설정!$B$10,$AS861&lt;=설정!$B$11),"포함","기간 밖"))</f>
        <v/>
      </c>
      <c r="BB861" s="2">
        <f>IF($AS861="","",IF(OR($AT861&lt;0,AND($I$6&lt;&gt;"",ISNUMBER(FIND("수정",INDEX($A:$AP,ROW(),IF($I$6="",1,$I$6))&amp;"")))),"수정","일반"))</f>
        <v/>
      </c>
      <c r="BC861" s="2">
        <f>IF($AS861="","",MID(IF($BA861="기간 밖"," / 기간 밖(신고기간 아님)","")&amp;IF(AND($AW861&lt;&gt;"",COUNTIF($AW$8:$AW$1007,$AW861)&gt;1)," / 승인번호 중복(두 번 붙여넣기?)","")&amp;IF(ABS($AU861-ROUND($AT861*0.1,0))&gt;설정!$B$8,IF($AU861=0," / 세액 0원(영세율·면세 여부 확인)"," / 세액이 공급가액 10%와 다름"),"")&amp;IF($BB861="수정"," / 수정세금계산서(합계에서 자동 가감)",""),4,200))</f>
        <v/>
      </c>
      <c r="BD861" s="2">
        <f>IF($BA861&lt;&gt;"포함","",IF(COUNTIFS($AX$8:$AX861,$AX861,$BA$8:$BA861,"포함")=1,MAX($BD$7:BD860)+1,""))</f>
        <v/>
      </c>
      <c r="BE861" s="2">
        <f>IF($BC861="","",MAX($BE$7:BE860)+1)</f>
        <v/>
      </c>
    </row>
    <row r="862">
      <c r="AR862" s="2">
        <f>IF(OR($A$5="",$B$6="",ROW()&lt;$A$5),"",IF(INDEX($A:$AP,ROW(),$B$6)="","",INDEX($A:$AP,ROW(),$B$6)))</f>
        <v/>
      </c>
      <c r="AS862" s="22">
        <f>IF($AR862="","",IF(ISNUMBER($AR862),IF($AR862&gt;=10000000,IFERROR(DATE(INT($AR862/10000),MOD(INT($AR862/100),100),MOD($AR862,100)),""),INT($AR862)),IFERROR(DATE(--LEFT(LEFT(SUBSTITUTE(SUBSTITUTE(SUBSTITUTE(SUBSTITUTE(TRIM($AR862),"-",""),".",""),"/","")," ",""),8),4),--MID(LEFT(SUBSTITUTE(SUBSTITUTE(SUBSTITUTE(SUBSTITUTE(TRIM($AR862),"-",""),".",""),"/","")," ",""),8),5,2),--MID(LEFT(SUBSTITUTE(SUBSTITUTE(SUBSTITUTE(SUBSTITUTE(TRIM($AR862),"-",""),".",""),"/","")," ",""),8),7,2)),"")))</f>
        <v/>
      </c>
      <c r="AT862" s="23">
        <f>IF($AS862="","",IF($F$6="",0,IF(ISNUMBER(INDEX($A:$AP,ROW(),$F$6)),INDEX($A:$AP,ROW(),$F$6),IFERROR(--SUBSTITUTE(SUBSTITUTE(TRIM(INDEX($A:$AP,ROW(),$F$6)),",",""),"원",""),0))))</f>
        <v/>
      </c>
      <c r="AU862" s="23">
        <f>IF($AS862="","",IF($G$6="",0,IF(ISNUMBER(INDEX($A:$AP,ROW(),$G$6)),INDEX($A:$AP,ROW(),$G$6),IFERROR(--SUBSTITUTE(SUBSTITUTE(TRIM(INDEX($A:$AP,ROW(),$G$6)),",",""),"원",""),0))))</f>
        <v/>
      </c>
      <c r="AV862" s="23">
        <f>IF($AS862="","",IF($H$6="",$AT862+$AU862,IF($H$6="",0,IF(ISNUMBER(INDEX($A:$AP,ROW(),$H$6)),INDEX($A:$AP,ROW(),$H$6),IFERROR(--SUBSTITUTE(SUBSTITUTE(TRIM(INDEX($A:$AP,ROW(),$H$6)),",",""),"원",""),0)))))</f>
        <v/>
      </c>
      <c r="AW862" s="2">
        <f>IF(OR($AS862="",$C$6=""),"",TRIM(INDEX($A:$AP,ROW(),$C$6)&amp;""))</f>
        <v/>
      </c>
      <c r="AX862" s="2">
        <f>IF($AS862="","",IF($AZ862&lt;&gt;"",SUBSTITUTE(SUBSTITUTE($AZ862,"-","")," ",""),$AY862))</f>
        <v/>
      </c>
      <c r="AY862" s="2">
        <f>IF(OR($AS862="",$E$6=""),"",TRIM(INDEX($A:$AP,ROW(),$E$6)&amp;""))</f>
        <v/>
      </c>
      <c r="AZ862" s="2">
        <f>IF(OR($AS862="",$D$6=""),"",TRIM(INDEX($A:$AP,ROW(),$D$6)&amp;""))</f>
        <v/>
      </c>
      <c r="BA862" s="2">
        <f>IF($AS862="","",IF(AND($AS862&gt;=설정!$B$10,$AS862&lt;=설정!$B$11),"포함","기간 밖"))</f>
        <v/>
      </c>
      <c r="BB862" s="2">
        <f>IF($AS862="","",IF(OR($AT862&lt;0,AND($I$6&lt;&gt;"",ISNUMBER(FIND("수정",INDEX($A:$AP,ROW(),IF($I$6="",1,$I$6))&amp;"")))),"수정","일반"))</f>
        <v/>
      </c>
      <c r="BC862" s="2">
        <f>IF($AS862="","",MID(IF($BA862="기간 밖"," / 기간 밖(신고기간 아님)","")&amp;IF(AND($AW862&lt;&gt;"",COUNTIF($AW$8:$AW$1007,$AW862)&gt;1)," / 승인번호 중복(두 번 붙여넣기?)","")&amp;IF(ABS($AU862-ROUND($AT862*0.1,0))&gt;설정!$B$8,IF($AU862=0," / 세액 0원(영세율·면세 여부 확인)"," / 세액이 공급가액 10%와 다름"),"")&amp;IF($BB862="수정"," / 수정세금계산서(합계에서 자동 가감)",""),4,200))</f>
        <v/>
      </c>
      <c r="BD862" s="2">
        <f>IF($BA862&lt;&gt;"포함","",IF(COUNTIFS($AX$8:$AX862,$AX862,$BA$8:$BA862,"포함")=1,MAX($BD$7:BD861)+1,""))</f>
        <v/>
      </c>
      <c r="BE862" s="2">
        <f>IF($BC862="","",MAX($BE$7:BE861)+1)</f>
        <v/>
      </c>
    </row>
    <row r="863">
      <c r="AR863" s="2">
        <f>IF(OR($A$5="",$B$6="",ROW()&lt;$A$5),"",IF(INDEX($A:$AP,ROW(),$B$6)="","",INDEX($A:$AP,ROW(),$B$6)))</f>
        <v/>
      </c>
      <c r="AS863" s="22">
        <f>IF($AR863="","",IF(ISNUMBER($AR863),IF($AR863&gt;=10000000,IFERROR(DATE(INT($AR863/10000),MOD(INT($AR863/100),100),MOD($AR863,100)),""),INT($AR863)),IFERROR(DATE(--LEFT(LEFT(SUBSTITUTE(SUBSTITUTE(SUBSTITUTE(SUBSTITUTE(TRIM($AR863),"-",""),".",""),"/","")," ",""),8),4),--MID(LEFT(SUBSTITUTE(SUBSTITUTE(SUBSTITUTE(SUBSTITUTE(TRIM($AR863),"-",""),".",""),"/","")," ",""),8),5,2),--MID(LEFT(SUBSTITUTE(SUBSTITUTE(SUBSTITUTE(SUBSTITUTE(TRIM($AR863),"-",""),".",""),"/","")," ",""),8),7,2)),"")))</f>
        <v/>
      </c>
      <c r="AT863" s="23">
        <f>IF($AS863="","",IF($F$6="",0,IF(ISNUMBER(INDEX($A:$AP,ROW(),$F$6)),INDEX($A:$AP,ROW(),$F$6),IFERROR(--SUBSTITUTE(SUBSTITUTE(TRIM(INDEX($A:$AP,ROW(),$F$6)),",",""),"원",""),0))))</f>
        <v/>
      </c>
      <c r="AU863" s="23">
        <f>IF($AS863="","",IF($G$6="",0,IF(ISNUMBER(INDEX($A:$AP,ROW(),$G$6)),INDEX($A:$AP,ROW(),$G$6),IFERROR(--SUBSTITUTE(SUBSTITUTE(TRIM(INDEX($A:$AP,ROW(),$G$6)),",",""),"원",""),0))))</f>
        <v/>
      </c>
      <c r="AV863" s="23">
        <f>IF($AS863="","",IF($H$6="",$AT863+$AU863,IF($H$6="",0,IF(ISNUMBER(INDEX($A:$AP,ROW(),$H$6)),INDEX($A:$AP,ROW(),$H$6),IFERROR(--SUBSTITUTE(SUBSTITUTE(TRIM(INDEX($A:$AP,ROW(),$H$6)),",",""),"원",""),0)))))</f>
        <v/>
      </c>
      <c r="AW863" s="2">
        <f>IF(OR($AS863="",$C$6=""),"",TRIM(INDEX($A:$AP,ROW(),$C$6)&amp;""))</f>
        <v/>
      </c>
      <c r="AX863" s="2">
        <f>IF($AS863="","",IF($AZ863&lt;&gt;"",SUBSTITUTE(SUBSTITUTE($AZ863,"-","")," ",""),$AY863))</f>
        <v/>
      </c>
      <c r="AY863" s="2">
        <f>IF(OR($AS863="",$E$6=""),"",TRIM(INDEX($A:$AP,ROW(),$E$6)&amp;""))</f>
        <v/>
      </c>
      <c r="AZ863" s="2">
        <f>IF(OR($AS863="",$D$6=""),"",TRIM(INDEX($A:$AP,ROW(),$D$6)&amp;""))</f>
        <v/>
      </c>
      <c r="BA863" s="2">
        <f>IF($AS863="","",IF(AND($AS863&gt;=설정!$B$10,$AS863&lt;=설정!$B$11),"포함","기간 밖"))</f>
        <v/>
      </c>
      <c r="BB863" s="2">
        <f>IF($AS863="","",IF(OR($AT863&lt;0,AND($I$6&lt;&gt;"",ISNUMBER(FIND("수정",INDEX($A:$AP,ROW(),IF($I$6="",1,$I$6))&amp;"")))),"수정","일반"))</f>
        <v/>
      </c>
      <c r="BC863" s="2">
        <f>IF($AS863="","",MID(IF($BA863="기간 밖"," / 기간 밖(신고기간 아님)","")&amp;IF(AND($AW863&lt;&gt;"",COUNTIF($AW$8:$AW$1007,$AW863)&gt;1)," / 승인번호 중복(두 번 붙여넣기?)","")&amp;IF(ABS($AU863-ROUND($AT863*0.1,0))&gt;설정!$B$8,IF($AU863=0," / 세액 0원(영세율·면세 여부 확인)"," / 세액이 공급가액 10%와 다름"),"")&amp;IF($BB863="수정"," / 수정세금계산서(합계에서 자동 가감)",""),4,200))</f>
        <v/>
      </c>
      <c r="BD863" s="2">
        <f>IF($BA863&lt;&gt;"포함","",IF(COUNTIFS($AX$8:$AX863,$AX863,$BA$8:$BA863,"포함")=1,MAX($BD$7:BD862)+1,""))</f>
        <v/>
      </c>
      <c r="BE863" s="2">
        <f>IF($BC863="","",MAX($BE$7:BE862)+1)</f>
        <v/>
      </c>
    </row>
    <row r="864">
      <c r="AR864" s="2">
        <f>IF(OR($A$5="",$B$6="",ROW()&lt;$A$5),"",IF(INDEX($A:$AP,ROW(),$B$6)="","",INDEX($A:$AP,ROW(),$B$6)))</f>
        <v/>
      </c>
      <c r="AS864" s="22">
        <f>IF($AR864="","",IF(ISNUMBER($AR864),IF($AR864&gt;=10000000,IFERROR(DATE(INT($AR864/10000),MOD(INT($AR864/100),100),MOD($AR864,100)),""),INT($AR864)),IFERROR(DATE(--LEFT(LEFT(SUBSTITUTE(SUBSTITUTE(SUBSTITUTE(SUBSTITUTE(TRIM($AR864),"-",""),".",""),"/","")," ",""),8),4),--MID(LEFT(SUBSTITUTE(SUBSTITUTE(SUBSTITUTE(SUBSTITUTE(TRIM($AR864),"-",""),".",""),"/","")," ",""),8),5,2),--MID(LEFT(SUBSTITUTE(SUBSTITUTE(SUBSTITUTE(SUBSTITUTE(TRIM($AR864),"-",""),".",""),"/","")," ",""),8),7,2)),"")))</f>
        <v/>
      </c>
      <c r="AT864" s="23">
        <f>IF($AS864="","",IF($F$6="",0,IF(ISNUMBER(INDEX($A:$AP,ROW(),$F$6)),INDEX($A:$AP,ROW(),$F$6),IFERROR(--SUBSTITUTE(SUBSTITUTE(TRIM(INDEX($A:$AP,ROW(),$F$6)),",",""),"원",""),0))))</f>
        <v/>
      </c>
      <c r="AU864" s="23">
        <f>IF($AS864="","",IF($G$6="",0,IF(ISNUMBER(INDEX($A:$AP,ROW(),$G$6)),INDEX($A:$AP,ROW(),$G$6),IFERROR(--SUBSTITUTE(SUBSTITUTE(TRIM(INDEX($A:$AP,ROW(),$G$6)),",",""),"원",""),0))))</f>
        <v/>
      </c>
      <c r="AV864" s="23">
        <f>IF($AS864="","",IF($H$6="",$AT864+$AU864,IF($H$6="",0,IF(ISNUMBER(INDEX($A:$AP,ROW(),$H$6)),INDEX($A:$AP,ROW(),$H$6),IFERROR(--SUBSTITUTE(SUBSTITUTE(TRIM(INDEX($A:$AP,ROW(),$H$6)),",",""),"원",""),0)))))</f>
        <v/>
      </c>
      <c r="AW864" s="2">
        <f>IF(OR($AS864="",$C$6=""),"",TRIM(INDEX($A:$AP,ROW(),$C$6)&amp;""))</f>
        <v/>
      </c>
      <c r="AX864" s="2">
        <f>IF($AS864="","",IF($AZ864&lt;&gt;"",SUBSTITUTE(SUBSTITUTE($AZ864,"-","")," ",""),$AY864))</f>
        <v/>
      </c>
      <c r="AY864" s="2">
        <f>IF(OR($AS864="",$E$6=""),"",TRIM(INDEX($A:$AP,ROW(),$E$6)&amp;""))</f>
        <v/>
      </c>
      <c r="AZ864" s="2">
        <f>IF(OR($AS864="",$D$6=""),"",TRIM(INDEX($A:$AP,ROW(),$D$6)&amp;""))</f>
        <v/>
      </c>
      <c r="BA864" s="2">
        <f>IF($AS864="","",IF(AND($AS864&gt;=설정!$B$10,$AS864&lt;=설정!$B$11),"포함","기간 밖"))</f>
        <v/>
      </c>
      <c r="BB864" s="2">
        <f>IF($AS864="","",IF(OR($AT864&lt;0,AND($I$6&lt;&gt;"",ISNUMBER(FIND("수정",INDEX($A:$AP,ROW(),IF($I$6="",1,$I$6))&amp;"")))),"수정","일반"))</f>
        <v/>
      </c>
      <c r="BC864" s="2">
        <f>IF($AS864="","",MID(IF($BA864="기간 밖"," / 기간 밖(신고기간 아님)","")&amp;IF(AND($AW864&lt;&gt;"",COUNTIF($AW$8:$AW$1007,$AW864)&gt;1)," / 승인번호 중복(두 번 붙여넣기?)","")&amp;IF(ABS($AU864-ROUND($AT864*0.1,0))&gt;설정!$B$8,IF($AU864=0," / 세액 0원(영세율·면세 여부 확인)"," / 세액이 공급가액 10%와 다름"),"")&amp;IF($BB864="수정"," / 수정세금계산서(합계에서 자동 가감)",""),4,200))</f>
        <v/>
      </c>
      <c r="BD864" s="2">
        <f>IF($BA864&lt;&gt;"포함","",IF(COUNTIFS($AX$8:$AX864,$AX864,$BA$8:$BA864,"포함")=1,MAX($BD$7:BD863)+1,""))</f>
        <v/>
      </c>
      <c r="BE864" s="2">
        <f>IF($BC864="","",MAX($BE$7:BE863)+1)</f>
        <v/>
      </c>
    </row>
    <row r="865">
      <c r="AR865" s="2">
        <f>IF(OR($A$5="",$B$6="",ROW()&lt;$A$5),"",IF(INDEX($A:$AP,ROW(),$B$6)="","",INDEX($A:$AP,ROW(),$B$6)))</f>
        <v/>
      </c>
      <c r="AS865" s="22">
        <f>IF($AR865="","",IF(ISNUMBER($AR865),IF($AR865&gt;=10000000,IFERROR(DATE(INT($AR865/10000),MOD(INT($AR865/100),100),MOD($AR865,100)),""),INT($AR865)),IFERROR(DATE(--LEFT(LEFT(SUBSTITUTE(SUBSTITUTE(SUBSTITUTE(SUBSTITUTE(TRIM($AR865),"-",""),".",""),"/","")," ",""),8),4),--MID(LEFT(SUBSTITUTE(SUBSTITUTE(SUBSTITUTE(SUBSTITUTE(TRIM($AR865),"-",""),".",""),"/","")," ",""),8),5,2),--MID(LEFT(SUBSTITUTE(SUBSTITUTE(SUBSTITUTE(SUBSTITUTE(TRIM($AR865),"-",""),".",""),"/","")," ",""),8),7,2)),"")))</f>
        <v/>
      </c>
      <c r="AT865" s="23">
        <f>IF($AS865="","",IF($F$6="",0,IF(ISNUMBER(INDEX($A:$AP,ROW(),$F$6)),INDEX($A:$AP,ROW(),$F$6),IFERROR(--SUBSTITUTE(SUBSTITUTE(TRIM(INDEX($A:$AP,ROW(),$F$6)),",",""),"원",""),0))))</f>
        <v/>
      </c>
      <c r="AU865" s="23">
        <f>IF($AS865="","",IF($G$6="",0,IF(ISNUMBER(INDEX($A:$AP,ROW(),$G$6)),INDEX($A:$AP,ROW(),$G$6),IFERROR(--SUBSTITUTE(SUBSTITUTE(TRIM(INDEX($A:$AP,ROW(),$G$6)),",",""),"원",""),0))))</f>
        <v/>
      </c>
      <c r="AV865" s="23">
        <f>IF($AS865="","",IF($H$6="",$AT865+$AU865,IF($H$6="",0,IF(ISNUMBER(INDEX($A:$AP,ROW(),$H$6)),INDEX($A:$AP,ROW(),$H$6),IFERROR(--SUBSTITUTE(SUBSTITUTE(TRIM(INDEX($A:$AP,ROW(),$H$6)),",",""),"원",""),0)))))</f>
        <v/>
      </c>
      <c r="AW865" s="2">
        <f>IF(OR($AS865="",$C$6=""),"",TRIM(INDEX($A:$AP,ROW(),$C$6)&amp;""))</f>
        <v/>
      </c>
      <c r="AX865" s="2">
        <f>IF($AS865="","",IF($AZ865&lt;&gt;"",SUBSTITUTE(SUBSTITUTE($AZ865,"-","")," ",""),$AY865))</f>
        <v/>
      </c>
      <c r="AY865" s="2">
        <f>IF(OR($AS865="",$E$6=""),"",TRIM(INDEX($A:$AP,ROW(),$E$6)&amp;""))</f>
        <v/>
      </c>
      <c r="AZ865" s="2">
        <f>IF(OR($AS865="",$D$6=""),"",TRIM(INDEX($A:$AP,ROW(),$D$6)&amp;""))</f>
        <v/>
      </c>
      <c r="BA865" s="2">
        <f>IF($AS865="","",IF(AND($AS865&gt;=설정!$B$10,$AS865&lt;=설정!$B$11),"포함","기간 밖"))</f>
        <v/>
      </c>
      <c r="BB865" s="2">
        <f>IF($AS865="","",IF(OR($AT865&lt;0,AND($I$6&lt;&gt;"",ISNUMBER(FIND("수정",INDEX($A:$AP,ROW(),IF($I$6="",1,$I$6))&amp;"")))),"수정","일반"))</f>
        <v/>
      </c>
      <c r="BC865" s="2">
        <f>IF($AS865="","",MID(IF($BA865="기간 밖"," / 기간 밖(신고기간 아님)","")&amp;IF(AND($AW865&lt;&gt;"",COUNTIF($AW$8:$AW$1007,$AW865)&gt;1)," / 승인번호 중복(두 번 붙여넣기?)","")&amp;IF(ABS($AU865-ROUND($AT865*0.1,0))&gt;설정!$B$8,IF($AU865=0," / 세액 0원(영세율·면세 여부 확인)"," / 세액이 공급가액 10%와 다름"),"")&amp;IF($BB865="수정"," / 수정세금계산서(합계에서 자동 가감)",""),4,200))</f>
        <v/>
      </c>
      <c r="BD865" s="2">
        <f>IF($BA865&lt;&gt;"포함","",IF(COUNTIFS($AX$8:$AX865,$AX865,$BA$8:$BA865,"포함")=1,MAX($BD$7:BD864)+1,""))</f>
        <v/>
      </c>
      <c r="BE865" s="2">
        <f>IF($BC865="","",MAX($BE$7:BE864)+1)</f>
        <v/>
      </c>
    </row>
    <row r="866">
      <c r="AR866" s="2">
        <f>IF(OR($A$5="",$B$6="",ROW()&lt;$A$5),"",IF(INDEX($A:$AP,ROW(),$B$6)="","",INDEX($A:$AP,ROW(),$B$6)))</f>
        <v/>
      </c>
      <c r="AS866" s="22">
        <f>IF($AR866="","",IF(ISNUMBER($AR866),IF($AR866&gt;=10000000,IFERROR(DATE(INT($AR866/10000),MOD(INT($AR866/100),100),MOD($AR866,100)),""),INT($AR866)),IFERROR(DATE(--LEFT(LEFT(SUBSTITUTE(SUBSTITUTE(SUBSTITUTE(SUBSTITUTE(TRIM($AR866),"-",""),".",""),"/","")," ",""),8),4),--MID(LEFT(SUBSTITUTE(SUBSTITUTE(SUBSTITUTE(SUBSTITUTE(TRIM($AR866),"-",""),".",""),"/","")," ",""),8),5,2),--MID(LEFT(SUBSTITUTE(SUBSTITUTE(SUBSTITUTE(SUBSTITUTE(TRIM($AR866),"-",""),".",""),"/","")," ",""),8),7,2)),"")))</f>
        <v/>
      </c>
      <c r="AT866" s="23">
        <f>IF($AS866="","",IF($F$6="",0,IF(ISNUMBER(INDEX($A:$AP,ROW(),$F$6)),INDEX($A:$AP,ROW(),$F$6),IFERROR(--SUBSTITUTE(SUBSTITUTE(TRIM(INDEX($A:$AP,ROW(),$F$6)),",",""),"원",""),0))))</f>
        <v/>
      </c>
      <c r="AU866" s="23">
        <f>IF($AS866="","",IF($G$6="",0,IF(ISNUMBER(INDEX($A:$AP,ROW(),$G$6)),INDEX($A:$AP,ROW(),$G$6),IFERROR(--SUBSTITUTE(SUBSTITUTE(TRIM(INDEX($A:$AP,ROW(),$G$6)),",",""),"원",""),0))))</f>
        <v/>
      </c>
      <c r="AV866" s="23">
        <f>IF($AS866="","",IF($H$6="",$AT866+$AU866,IF($H$6="",0,IF(ISNUMBER(INDEX($A:$AP,ROW(),$H$6)),INDEX($A:$AP,ROW(),$H$6),IFERROR(--SUBSTITUTE(SUBSTITUTE(TRIM(INDEX($A:$AP,ROW(),$H$6)),",",""),"원",""),0)))))</f>
        <v/>
      </c>
      <c r="AW866" s="2">
        <f>IF(OR($AS866="",$C$6=""),"",TRIM(INDEX($A:$AP,ROW(),$C$6)&amp;""))</f>
        <v/>
      </c>
      <c r="AX866" s="2">
        <f>IF($AS866="","",IF($AZ866&lt;&gt;"",SUBSTITUTE(SUBSTITUTE($AZ866,"-","")," ",""),$AY866))</f>
        <v/>
      </c>
      <c r="AY866" s="2">
        <f>IF(OR($AS866="",$E$6=""),"",TRIM(INDEX($A:$AP,ROW(),$E$6)&amp;""))</f>
        <v/>
      </c>
      <c r="AZ866" s="2">
        <f>IF(OR($AS866="",$D$6=""),"",TRIM(INDEX($A:$AP,ROW(),$D$6)&amp;""))</f>
        <v/>
      </c>
      <c r="BA866" s="2">
        <f>IF($AS866="","",IF(AND($AS866&gt;=설정!$B$10,$AS866&lt;=설정!$B$11),"포함","기간 밖"))</f>
        <v/>
      </c>
      <c r="BB866" s="2">
        <f>IF($AS866="","",IF(OR($AT866&lt;0,AND($I$6&lt;&gt;"",ISNUMBER(FIND("수정",INDEX($A:$AP,ROW(),IF($I$6="",1,$I$6))&amp;"")))),"수정","일반"))</f>
        <v/>
      </c>
      <c r="BC866" s="2">
        <f>IF($AS866="","",MID(IF($BA866="기간 밖"," / 기간 밖(신고기간 아님)","")&amp;IF(AND($AW866&lt;&gt;"",COUNTIF($AW$8:$AW$1007,$AW866)&gt;1)," / 승인번호 중복(두 번 붙여넣기?)","")&amp;IF(ABS($AU866-ROUND($AT866*0.1,0))&gt;설정!$B$8,IF($AU866=0," / 세액 0원(영세율·면세 여부 확인)"," / 세액이 공급가액 10%와 다름"),"")&amp;IF($BB866="수정"," / 수정세금계산서(합계에서 자동 가감)",""),4,200))</f>
        <v/>
      </c>
      <c r="BD866" s="2">
        <f>IF($BA866&lt;&gt;"포함","",IF(COUNTIFS($AX$8:$AX866,$AX866,$BA$8:$BA866,"포함")=1,MAX($BD$7:BD865)+1,""))</f>
        <v/>
      </c>
      <c r="BE866" s="2">
        <f>IF($BC866="","",MAX($BE$7:BE865)+1)</f>
        <v/>
      </c>
    </row>
    <row r="867">
      <c r="AR867" s="2">
        <f>IF(OR($A$5="",$B$6="",ROW()&lt;$A$5),"",IF(INDEX($A:$AP,ROW(),$B$6)="","",INDEX($A:$AP,ROW(),$B$6)))</f>
        <v/>
      </c>
      <c r="AS867" s="22">
        <f>IF($AR867="","",IF(ISNUMBER($AR867),IF($AR867&gt;=10000000,IFERROR(DATE(INT($AR867/10000),MOD(INT($AR867/100),100),MOD($AR867,100)),""),INT($AR867)),IFERROR(DATE(--LEFT(LEFT(SUBSTITUTE(SUBSTITUTE(SUBSTITUTE(SUBSTITUTE(TRIM($AR867),"-",""),".",""),"/","")," ",""),8),4),--MID(LEFT(SUBSTITUTE(SUBSTITUTE(SUBSTITUTE(SUBSTITUTE(TRIM($AR867),"-",""),".",""),"/","")," ",""),8),5,2),--MID(LEFT(SUBSTITUTE(SUBSTITUTE(SUBSTITUTE(SUBSTITUTE(TRIM($AR867),"-",""),".",""),"/","")," ",""),8),7,2)),"")))</f>
        <v/>
      </c>
      <c r="AT867" s="23">
        <f>IF($AS867="","",IF($F$6="",0,IF(ISNUMBER(INDEX($A:$AP,ROW(),$F$6)),INDEX($A:$AP,ROW(),$F$6),IFERROR(--SUBSTITUTE(SUBSTITUTE(TRIM(INDEX($A:$AP,ROW(),$F$6)),",",""),"원",""),0))))</f>
        <v/>
      </c>
      <c r="AU867" s="23">
        <f>IF($AS867="","",IF($G$6="",0,IF(ISNUMBER(INDEX($A:$AP,ROW(),$G$6)),INDEX($A:$AP,ROW(),$G$6),IFERROR(--SUBSTITUTE(SUBSTITUTE(TRIM(INDEX($A:$AP,ROW(),$G$6)),",",""),"원",""),0))))</f>
        <v/>
      </c>
      <c r="AV867" s="23">
        <f>IF($AS867="","",IF($H$6="",$AT867+$AU867,IF($H$6="",0,IF(ISNUMBER(INDEX($A:$AP,ROW(),$H$6)),INDEX($A:$AP,ROW(),$H$6),IFERROR(--SUBSTITUTE(SUBSTITUTE(TRIM(INDEX($A:$AP,ROW(),$H$6)),",",""),"원",""),0)))))</f>
        <v/>
      </c>
      <c r="AW867" s="2">
        <f>IF(OR($AS867="",$C$6=""),"",TRIM(INDEX($A:$AP,ROW(),$C$6)&amp;""))</f>
        <v/>
      </c>
      <c r="AX867" s="2">
        <f>IF($AS867="","",IF($AZ867&lt;&gt;"",SUBSTITUTE(SUBSTITUTE($AZ867,"-","")," ",""),$AY867))</f>
        <v/>
      </c>
      <c r="AY867" s="2">
        <f>IF(OR($AS867="",$E$6=""),"",TRIM(INDEX($A:$AP,ROW(),$E$6)&amp;""))</f>
        <v/>
      </c>
      <c r="AZ867" s="2">
        <f>IF(OR($AS867="",$D$6=""),"",TRIM(INDEX($A:$AP,ROW(),$D$6)&amp;""))</f>
        <v/>
      </c>
      <c r="BA867" s="2">
        <f>IF($AS867="","",IF(AND($AS867&gt;=설정!$B$10,$AS867&lt;=설정!$B$11),"포함","기간 밖"))</f>
        <v/>
      </c>
      <c r="BB867" s="2">
        <f>IF($AS867="","",IF(OR($AT867&lt;0,AND($I$6&lt;&gt;"",ISNUMBER(FIND("수정",INDEX($A:$AP,ROW(),IF($I$6="",1,$I$6))&amp;"")))),"수정","일반"))</f>
        <v/>
      </c>
      <c r="BC867" s="2">
        <f>IF($AS867="","",MID(IF($BA867="기간 밖"," / 기간 밖(신고기간 아님)","")&amp;IF(AND($AW867&lt;&gt;"",COUNTIF($AW$8:$AW$1007,$AW867)&gt;1)," / 승인번호 중복(두 번 붙여넣기?)","")&amp;IF(ABS($AU867-ROUND($AT867*0.1,0))&gt;설정!$B$8,IF($AU867=0," / 세액 0원(영세율·면세 여부 확인)"," / 세액이 공급가액 10%와 다름"),"")&amp;IF($BB867="수정"," / 수정세금계산서(합계에서 자동 가감)",""),4,200))</f>
        <v/>
      </c>
      <c r="BD867" s="2">
        <f>IF($BA867&lt;&gt;"포함","",IF(COUNTIFS($AX$8:$AX867,$AX867,$BA$8:$BA867,"포함")=1,MAX($BD$7:BD866)+1,""))</f>
        <v/>
      </c>
      <c r="BE867" s="2">
        <f>IF($BC867="","",MAX($BE$7:BE866)+1)</f>
        <v/>
      </c>
    </row>
    <row r="868">
      <c r="AR868" s="2">
        <f>IF(OR($A$5="",$B$6="",ROW()&lt;$A$5),"",IF(INDEX($A:$AP,ROW(),$B$6)="","",INDEX($A:$AP,ROW(),$B$6)))</f>
        <v/>
      </c>
      <c r="AS868" s="22">
        <f>IF($AR868="","",IF(ISNUMBER($AR868),IF($AR868&gt;=10000000,IFERROR(DATE(INT($AR868/10000),MOD(INT($AR868/100),100),MOD($AR868,100)),""),INT($AR868)),IFERROR(DATE(--LEFT(LEFT(SUBSTITUTE(SUBSTITUTE(SUBSTITUTE(SUBSTITUTE(TRIM($AR868),"-",""),".",""),"/","")," ",""),8),4),--MID(LEFT(SUBSTITUTE(SUBSTITUTE(SUBSTITUTE(SUBSTITUTE(TRIM($AR868),"-",""),".",""),"/","")," ",""),8),5,2),--MID(LEFT(SUBSTITUTE(SUBSTITUTE(SUBSTITUTE(SUBSTITUTE(TRIM($AR868),"-",""),".",""),"/","")," ",""),8),7,2)),"")))</f>
        <v/>
      </c>
      <c r="AT868" s="23">
        <f>IF($AS868="","",IF($F$6="",0,IF(ISNUMBER(INDEX($A:$AP,ROW(),$F$6)),INDEX($A:$AP,ROW(),$F$6),IFERROR(--SUBSTITUTE(SUBSTITUTE(TRIM(INDEX($A:$AP,ROW(),$F$6)),",",""),"원",""),0))))</f>
        <v/>
      </c>
      <c r="AU868" s="23">
        <f>IF($AS868="","",IF($G$6="",0,IF(ISNUMBER(INDEX($A:$AP,ROW(),$G$6)),INDEX($A:$AP,ROW(),$G$6),IFERROR(--SUBSTITUTE(SUBSTITUTE(TRIM(INDEX($A:$AP,ROW(),$G$6)),",",""),"원",""),0))))</f>
        <v/>
      </c>
      <c r="AV868" s="23">
        <f>IF($AS868="","",IF($H$6="",$AT868+$AU868,IF($H$6="",0,IF(ISNUMBER(INDEX($A:$AP,ROW(),$H$6)),INDEX($A:$AP,ROW(),$H$6),IFERROR(--SUBSTITUTE(SUBSTITUTE(TRIM(INDEX($A:$AP,ROW(),$H$6)),",",""),"원",""),0)))))</f>
        <v/>
      </c>
      <c r="AW868" s="2">
        <f>IF(OR($AS868="",$C$6=""),"",TRIM(INDEX($A:$AP,ROW(),$C$6)&amp;""))</f>
        <v/>
      </c>
      <c r="AX868" s="2">
        <f>IF($AS868="","",IF($AZ868&lt;&gt;"",SUBSTITUTE(SUBSTITUTE($AZ868,"-","")," ",""),$AY868))</f>
        <v/>
      </c>
      <c r="AY868" s="2">
        <f>IF(OR($AS868="",$E$6=""),"",TRIM(INDEX($A:$AP,ROW(),$E$6)&amp;""))</f>
        <v/>
      </c>
      <c r="AZ868" s="2">
        <f>IF(OR($AS868="",$D$6=""),"",TRIM(INDEX($A:$AP,ROW(),$D$6)&amp;""))</f>
        <v/>
      </c>
      <c r="BA868" s="2">
        <f>IF($AS868="","",IF(AND($AS868&gt;=설정!$B$10,$AS868&lt;=설정!$B$11),"포함","기간 밖"))</f>
        <v/>
      </c>
      <c r="BB868" s="2">
        <f>IF($AS868="","",IF(OR($AT868&lt;0,AND($I$6&lt;&gt;"",ISNUMBER(FIND("수정",INDEX($A:$AP,ROW(),IF($I$6="",1,$I$6))&amp;"")))),"수정","일반"))</f>
        <v/>
      </c>
      <c r="BC868" s="2">
        <f>IF($AS868="","",MID(IF($BA868="기간 밖"," / 기간 밖(신고기간 아님)","")&amp;IF(AND($AW868&lt;&gt;"",COUNTIF($AW$8:$AW$1007,$AW868)&gt;1)," / 승인번호 중복(두 번 붙여넣기?)","")&amp;IF(ABS($AU868-ROUND($AT868*0.1,0))&gt;설정!$B$8,IF($AU868=0," / 세액 0원(영세율·면세 여부 확인)"," / 세액이 공급가액 10%와 다름"),"")&amp;IF($BB868="수정"," / 수정세금계산서(합계에서 자동 가감)",""),4,200))</f>
        <v/>
      </c>
      <c r="BD868" s="2">
        <f>IF($BA868&lt;&gt;"포함","",IF(COUNTIFS($AX$8:$AX868,$AX868,$BA$8:$BA868,"포함")=1,MAX($BD$7:BD867)+1,""))</f>
        <v/>
      </c>
      <c r="BE868" s="2">
        <f>IF($BC868="","",MAX($BE$7:BE867)+1)</f>
        <v/>
      </c>
    </row>
    <row r="869">
      <c r="AR869" s="2">
        <f>IF(OR($A$5="",$B$6="",ROW()&lt;$A$5),"",IF(INDEX($A:$AP,ROW(),$B$6)="","",INDEX($A:$AP,ROW(),$B$6)))</f>
        <v/>
      </c>
      <c r="AS869" s="22">
        <f>IF($AR869="","",IF(ISNUMBER($AR869),IF($AR869&gt;=10000000,IFERROR(DATE(INT($AR869/10000),MOD(INT($AR869/100),100),MOD($AR869,100)),""),INT($AR869)),IFERROR(DATE(--LEFT(LEFT(SUBSTITUTE(SUBSTITUTE(SUBSTITUTE(SUBSTITUTE(TRIM($AR869),"-",""),".",""),"/","")," ",""),8),4),--MID(LEFT(SUBSTITUTE(SUBSTITUTE(SUBSTITUTE(SUBSTITUTE(TRIM($AR869),"-",""),".",""),"/","")," ",""),8),5,2),--MID(LEFT(SUBSTITUTE(SUBSTITUTE(SUBSTITUTE(SUBSTITUTE(TRIM($AR869),"-",""),".",""),"/","")," ",""),8),7,2)),"")))</f>
        <v/>
      </c>
      <c r="AT869" s="23">
        <f>IF($AS869="","",IF($F$6="",0,IF(ISNUMBER(INDEX($A:$AP,ROW(),$F$6)),INDEX($A:$AP,ROW(),$F$6),IFERROR(--SUBSTITUTE(SUBSTITUTE(TRIM(INDEX($A:$AP,ROW(),$F$6)),",",""),"원",""),0))))</f>
        <v/>
      </c>
      <c r="AU869" s="23">
        <f>IF($AS869="","",IF($G$6="",0,IF(ISNUMBER(INDEX($A:$AP,ROW(),$G$6)),INDEX($A:$AP,ROW(),$G$6),IFERROR(--SUBSTITUTE(SUBSTITUTE(TRIM(INDEX($A:$AP,ROW(),$G$6)),",",""),"원",""),0))))</f>
        <v/>
      </c>
      <c r="AV869" s="23">
        <f>IF($AS869="","",IF($H$6="",$AT869+$AU869,IF($H$6="",0,IF(ISNUMBER(INDEX($A:$AP,ROW(),$H$6)),INDEX($A:$AP,ROW(),$H$6),IFERROR(--SUBSTITUTE(SUBSTITUTE(TRIM(INDEX($A:$AP,ROW(),$H$6)),",",""),"원",""),0)))))</f>
        <v/>
      </c>
      <c r="AW869" s="2">
        <f>IF(OR($AS869="",$C$6=""),"",TRIM(INDEX($A:$AP,ROW(),$C$6)&amp;""))</f>
        <v/>
      </c>
      <c r="AX869" s="2">
        <f>IF($AS869="","",IF($AZ869&lt;&gt;"",SUBSTITUTE(SUBSTITUTE($AZ869,"-","")," ",""),$AY869))</f>
        <v/>
      </c>
      <c r="AY869" s="2">
        <f>IF(OR($AS869="",$E$6=""),"",TRIM(INDEX($A:$AP,ROW(),$E$6)&amp;""))</f>
        <v/>
      </c>
      <c r="AZ869" s="2">
        <f>IF(OR($AS869="",$D$6=""),"",TRIM(INDEX($A:$AP,ROW(),$D$6)&amp;""))</f>
        <v/>
      </c>
      <c r="BA869" s="2">
        <f>IF($AS869="","",IF(AND($AS869&gt;=설정!$B$10,$AS869&lt;=설정!$B$11),"포함","기간 밖"))</f>
        <v/>
      </c>
      <c r="BB869" s="2">
        <f>IF($AS869="","",IF(OR($AT869&lt;0,AND($I$6&lt;&gt;"",ISNUMBER(FIND("수정",INDEX($A:$AP,ROW(),IF($I$6="",1,$I$6))&amp;"")))),"수정","일반"))</f>
        <v/>
      </c>
      <c r="BC869" s="2">
        <f>IF($AS869="","",MID(IF($BA869="기간 밖"," / 기간 밖(신고기간 아님)","")&amp;IF(AND($AW869&lt;&gt;"",COUNTIF($AW$8:$AW$1007,$AW869)&gt;1)," / 승인번호 중복(두 번 붙여넣기?)","")&amp;IF(ABS($AU869-ROUND($AT869*0.1,0))&gt;설정!$B$8,IF($AU869=0," / 세액 0원(영세율·면세 여부 확인)"," / 세액이 공급가액 10%와 다름"),"")&amp;IF($BB869="수정"," / 수정세금계산서(합계에서 자동 가감)",""),4,200))</f>
        <v/>
      </c>
      <c r="BD869" s="2">
        <f>IF($BA869&lt;&gt;"포함","",IF(COUNTIFS($AX$8:$AX869,$AX869,$BA$8:$BA869,"포함")=1,MAX($BD$7:BD868)+1,""))</f>
        <v/>
      </c>
      <c r="BE869" s="2">
        <f>IF($BC869="","",MAX($BE$7:BE868)+1)</f>
        <v/>
      </c>
    </row>
    <row r="870">
      <c r="AR870" s="2">
        <f>IF(OR($A$5="",$B$6="",ROW()&lt;$A$5),"",IF(INDEX($A:$AP,ROW(),$B$6)="","",INDEX($A:$AP,ROW(),$B$6)))</f>
        <v/>
      </c>
      <c r="AS870" s="22">
        <f>IF($AR870="","",IF(ISNUMBER($AR870),IF($AR870&gt;=10000000,IFERROR(DATE(INT($AR870/10000),MOD(INT($AR870/100),100),MOD($AR870,100)),""),INT($AR870)),IFERROR(DATE(--LEFT(LEFT(SUBSTITUTE(SUBSTITUTE(SUBSTITUTE(SUBSTITUTE(TRIM($AR870),"-",""),".",""),"/","")," ",""),8),4),--MID(LEFT(SUBSTITUTE(SUBSTITUTE(SUBSTITUTE(SUBSTITUTE(TRIM($AR870),"-",""),".",""),"/","")," ",""),8),5,2),--MID(LEFT(SUBSTITUTE(SUBSTITUTE(SUBSTITUTE(SUBSTITUTE(TRIM($AR870),"-",""),".",""),"/","")," ",""),8),7,2)),"")))</f>
        <v/>
      </c>
      <c r="AT870" s="23">
        <f>IF($AS870="","",IF($F$6="",0,IF(ISNUMBER(INDEX($A:$AP,ROW(),$F$6)),INDEX($A:$AP,ROW(),$F$6),IFERROR(--SUBSTITUTE(SUBSTITUTE(TRIM(INDEX($A:$AP,ROW(),$F$6)),",",""),"원",""),0))))</f>
        <v/>
      </c>
      <c r="AU870" s="23">
        <f>IF($AS870="","",IF($G$6="",0,IF(ISNUMBER(INDEX($A:$AP,ROW(),$G$6)),INDEX($A:$AP,ROW(),$G$6),IFERROR(--SUBSTITUTE(SUBSTITUTE(TRIM(INDEX($A:$AP,ROW(),$G$6)),",",""),"원",""),0))))</f>
        <v/>
      </c>
      <c r="AV870" s="23">
        <f>IF($AS870="","",IF($H$6="",$AT870+$AU870,IF($H$6="",0,IF(ISNUMBER(INDEX($A:$AP,ROW(),$H$6)),INDEX($A:$AP,ROW(),$H$6),IFERROR(--SUBSTITUTE(SUBSTITUTE(TRIM(INDEX($A:$AP,ROW(),$H$6)),",",""),"원",""),0)))))</f>
        <v/>
      </c>
      <c r="AW870" s="2">
        <f>IF(OR($AS870="",$C$6=""),"",TRIM(INDEX($A:$AP,ROW(),$C$6)&amp;""))</f>
        <v/>
      </c>
      <c r="AX870" s="2">
        <f>IF($AS870="","",IF($AZ870&lt;&gt;"",SUBSTITUTE(SUBSTITUTE($AZ870,"-","")," ",""),$AY870))</f>
        <v/>
      </c>
      <c r="AY870" s="2">
        <f>IF(OR($AS870="",$E$6=""),"",TRIM(INDEX($A:$AP,ROW(),$E$6)&amp;""))</f>
        <v/>
      </c>
      <c r="AZ870" s="2">
        <f>IF(OR($AS870="",$D$6=""),"",TRIM(INDEX($A:$AP,ROW(),$D$6)&amp;""))</f>
        <v/>
      </c>
      <c r="BA870" s="2">
        <f>IF($AS870="","",IF(AND($AS870&gt;=설정!$B$10,$AS870&lt;=설정!$B$11),"포함","기간 밖"))</f>
        <v/>
      </c>
      <c r="BB870" s="2">
        <f>IF($AS870="","",IF(OR($AT870&lt;0,AND($I$6&lt;&gt;"",ISNUMBER(FIND("수정",INDEX($A:$AP,ROW(),IF($I$6="",1,$I$6))&amp;"")))),"수정","일반"))</f>
        <v/>
      </c>
      <c r="BC870" s="2">
        <f>IF($AS870="","",MID(IF($BA870="기간 밖"," / 기간 밖(신고기간 아님)","")&amp;IF(AND($AW870&lt;&gt;"",COUNTIF($AW$8:$AW$1007,$AW870)&gt;1)," / 승인번호 중복(두 번 붙여넣기?)","")&amp;IF(ABS($AU870-ROUND($AT870*0.1,0))&gt;설정!$B$8,IF($AU870=0," / 세액 0원(영세율·면세 여부 확인)"," / 세액이 공급가액 10%와 다름"),"")&amp;IF($BB870="수정"," / 수정세금계산서(합계에서 자동 가감)",""),4,200))</f>
        <v/>
      </c>
      <c r="BD870" s="2">
        <f>IF($BA870&lt;&gt;"포함","",IF(COUNTIFS($AX$8:$AX870,$AX870,$BA$8:$BA870,"포함")=1,MAX($BD$7:BD869)+1,""))</f>
        <v/>
      </c>
      <c r="BE870" s="2">
        <f>IF($BC870="","",MAX($BE$7:BE869)+1)</f>
        <v/>
      </c>
    </row>
    <row r="871">
      <c r="AR871" s="2">
        <f>IF(OR($A$5="",$B$6="",ROW()&lt;$A$5),"",IF(INDEX($A:$AP,ROW(),$B$6)="","",INDEX($A:$AP,ROW(),$B$6)))</f>
        <v/>
      </c>
      <c r="AS871" s="22">
        <f>IF($AR871="","",IF(ISNUMBER($AR871),IF($AR871&gt;=10000000,IFERROR(DATE(INT($AR871/10000),MOD(INT($AR871/100),100),MOD($AR871,100)),""),INT($AR871)),IFERROR(DATE(--LEFT(LEFT(SUBSTITUTE(SUBSTITUTE(SUBSTITUTE(SUBSTITUTE(TRIM($AR871),"-",""),".",""),"/","")," ",""),8),4),--MID(LEFT(SUBSTITUTE(SUBSTITUTE(SUBSTITUTE(SUBSTITUTE(TRIM($AR871),"-",""),".",""),"/","")," ",""),8),5,2),--MID(LEFT(SUBSTITUTE(SUBSTITUTE(SUBSTITUTE(SUBSTITUTE(TRIM($AR871),"-",""),".",""),"/","")," ",""),8),7,2)),"")))</f>
        <v/>
      </c>
      <c r="AT871" s="23">
        <f>IF($AS871="","",IF($F$6="",0,IF(ISNUMBER(INDEX($A:$AP,ROW(),$F$6)),INDEX($A:$AP,ROW(),$F$6),IFERROR(--SUBSTITUTE(SUBSTITUTE(TRIM(INDEX($A:$AP,ROW(),$F$6)),",",""),"원",""),0))))</f>
        <v/>
      </c>
      <c r="AU871" s="23">
        <f>IF($AS871="","",IF($G$6="",0,IF(ISNUMBER(INDEX($A:$AP,ROW(),$G$6)),INDEX($A:$AP,ROW(),$G$6),IFERROR(--SUBSTITUTE(SUBSTITUTE(TRIM(INDEX($A:$AP,ROW(),$G$6)),",",""),"원",""),0))))</f>
        <v/>
      </c>
      <c r="AV871" s="23">
        <f>IF($AS871="","",IF($H$6="",$AT871+$AU871,IF($H$6="",0,IF(ISNUMBER(INDEX($A:$AP,ROW(),$H$6)),INDEX($A:$AP,ROW(),$H$6),IFERROR(--SUBSTITUTE(SUBSTITUTE(TRIM(INDEX($A:$AP,ROW(),$H$6)),",",""),"원",""),0)))))</f>
        <v/>
      </c>
      <c r="AW871" s="2">
        <f>IF(OR($AS871="",$C$6=""),"",TRIM(INDEX($A:$AP,ROW(),$C$6)&amp;""))</f>
        <v/>
      </c>
      <c r="AX871" s="2">
        <f>IF($AS871="","",IF($AZ871&lt;&gt;"",SUBSTITUTE(SUBSTITUTE($AZ871,"-","")," ",""),$AY871))</f>
        <v/>
      </c>
      <c r="AY871" s="2">
        <f>IF(OR($AS871="",$E$6=""),"",TRIM(INDEX($A:$AP,ROW(),$E$6)&amp;""))</f>
        <v/>
      </c>
      <c r="AZ871" s="2">
        <f>IF(OR($AS871="",$D$6=""),"",TRIM(INDEX($A:$AP,ROW(),$D$6)&amp;""))</f>
        <v/>
      </c>
      <c r="BA871" s="2">
        <f>IF($AS871="","",IF(AND($AS871&gt;=설정!$B$10,$AS871&lt;=설정!$B$11),"포함","기간 밖"))</f>
        <v/>
      </c>
      <c r="BB871" s="2">
        <f>IF($AS871="","",IF(OR($AT871&lt;0,AND($I$6&lt;&gt;"",ISNUMBER(FIND("수정",INDEX($A:$AP,ROW(),IF($I$6="",1,$I$6))&amp;"")))),"수정","일반"))</f>
        <v/>
      </c>
      <c r="BC871" s="2">
        <f>IF($AS871="","",MID(IF($BA871="기간 밖"," / 기간 밖(신고기간 아님)","")&amp;IF(AND($AW871&lt;&gt;"",COUNTIF($AW$8:$AW$1007,$AW871)&gt;1)," / 승인번호 중복(두 번 붙여넣기?)","")&amp;IF(ABS($AU871-ROUND($AT871*0.1,0))&gt;설정!$B$8,IF($AU871=0," / 세액 0원(영세율·면세 여부 확인)"," / 세액이 공급가액 10%와 다름"),"")&amp;IF($BB871="수정"," / 수정세금계산서(합계에서 자동 가감)",""),4,200))</f>
        <v/>
      </c>
      <c r="BD871" s="2">
        <f>IF($BA871&lt;&gt;"포함","",IF(COUNTIFS($AX$8:$AX871,$AX871,$BA$8:$BA871,"포함")=1,MAX($BD$7:BD870)+1,""))</f>
        <v/>
      </c>
      <c r="BE871" s="2">
        <f>IF($BC871="","",MAX($BE$7:BE870)+1)</f>
        <v/>
      </c>
    </row>
    <row r="872">
      <c r="AR872" s="2">
        <f>IF(OR($A$5="",$B$6="",ROW()&lt;$A$5),"",IF(INDEX($A:$AP,ROW(),$B$6)="","",INDEX($A:$AP,ROW(),$B$6)))</f>
        <v/>
      </c>
      <c r="AS872" s="22">
        <f>IF($AR872="","",IF(ISNUMBER($AR872),IF($AR872&gt;=10000000,IFERROR(DATE(INT($AR872/10000),MOD(INT($AR872/100),100),MOD($AR872,100)),""),INT($AR872)),IFERROR(DATE(--LEFT(LEFT(SUBSTITUTE(SUBSTITUTE(SUBSTITUTE(SUBSTITUTE(TRIM($AR872),"-",""),".",""),"/","")," ",""),8),4),--MID(LEFT(SUBSTITUTE(SUBSTITUTE(SUBSTITUTE(SUBSTITUTE(TRIM($AR872),"-",""),".",""),"/","")," ",""),8),5,2),--MID(LEFT(SUBSTITUTE(SUBSTITUTE(SUBSTITUTE(SUBSTITUTE(TRIM($AR872),"-",""),".",""),"/","")," ",""),8),7,2)),"")))</f>
        <v/>
      </c>
      <c r="AT872" s="23">
        <f>IF($AS872="","",IF($F$6="",0,IF(ISNUMBER(INDEX($A:$AP,ROW(),$F$6)),INDEX($A:$AP,ROW(),$F$6),IFERROR(--SUBSTITUTE(SUBSTITUTE(TRIM(INDEX($A:$AP,ROW(),$F$6)),",",""),"원",""),0))))</f>
        <v/>
      </c>
      <c r="AU872" s="23">
        <f>IF($AS872="","",IF($G$6="",0,IF(ISNUMBER(INDEX($A:$AP,ROW(),$G$6)),INDEX($A:$AP,ROW(),$G$6),IFERROR(--SUBSTITUTE(SUBSTITUTE(TRIM(INDEX($A:$AP,ROW(),$G$6)),",",""),"원",""),0))))</f>
        <v/>
      </c>
      <c r="AV872" s="23">
        <f>IF($AS872="","",IF($H$6="",$AT872+$AU872,IF($H$6="",0,IF(ISNUMBER(INDEX($A:$AP,ROW(),$H$6)),INDEX($A:$AP,ROW(),$H$6),IFERROR(--SUBSTITUTE(SUBSTITUTE(TRIM(INDEX($A:$AP,ROW(),$H$6)),",",""),"원",""),0)))))</f>
        <v/>
      </c>
      <c r="AW872" s="2">
        <f>IF(OR($AS872="",$C$6=""),"",TRIM(INDEX($A:$AP,ROW(),$C$6)&amp;""))</f>
        <v/>
      </c>
      <c r="AX872" s="2">
        <f>IF($AS872="","",IF($AZ872&lt;&gt;"",SUBSTITUTE(SUBSTITUTE($AZ872,"-","")," ",""),$AY872))</f>
        <v/>
      </c>
      <c r="AY872" s="2">
        <f>IF(OR($AS872="",$E$6=""),"",TRIM(INDEX($A:$AP,ROW(),$E$6)&amp;""))</f>
        <v/>
      </c>
      <c r="AZ872" s="2">
        <f>IF(OR($AS872="",$D$6=""),"",TRIM(INDEX($A:$AP,ROW(),$D$6)&amp;""))</f>
        <v/>
      </c>
      <c r="BA872" s="2">
        <f>IF($AS872="","",IF(AND($AS872&gt;=설정!$B$10,$AS872&lt;=설정!$B$11),"포함","기간 밖"))</f>
        <v/>
      </c>
      <c r="BB872" s="2">
        <f>IF($AS872="","",IF(OR($AT872&lt;0,AND($I$6&lt;&gt;"",ISNUMBER(FIND("수정",INDEX($A:$AP,ROW(),IF($I$6="",1,$I$6))&amp;"")))),"수정","일반"))</f>
        <v/>
      </c>
      <c r="BC872" s="2">
        <f>IF($AS872="","",MID(IF($BA872="기간 밖"," / 기간 밖(신고기간 아님)","")&amp;IF(AND($AW872&lt;&gt;"",COUNTIF($AW$8:$AW$1007,$AW872)&gt;1)," / 승인번호 중복(두 번 붙여넣기?)","")&amp;IF(ABS($AU872-ROUND($AT872*0.1,0))&gt;설정!$B$8,IF($AU872=0," / 세액 0원(영세율·면세 여부 확인)"," / 세액이 공급가액 10%와 다름"),"")&amp;IF($BB872="수정"," / 수정세금계산서(합계에서 자동 가감)",""),4,200))</f>
        <v/>
      </c>
      <c r="BD872" s="2">
        <f>IF($BA872&lt;&gt;"포함","",IF(COUNTIFS($AX$8:$AX872,$AX872,$BA$8:$BA872,"포함")=1,MAX($BD$7:BD871)+1,""))</f>
        <v/>
      </c>
      <c r="BE872" s="2">
        <f>IF($BC872="","",MAX($BE$7:BE871)+1)</f>
        <v/>
      </c>
    </row>
    <row r="873">
      <c r="AR873" s="2">
        <f>IF(OR($A$5="",$B$6="",ROW()&lt;$A$5),"",IF(INDEX($A:$AP,ROW(),$B$6)="","",INDEX($A:$AP,ROW(),$B$6)))</f>
        <v/>
      </c>
      <c r="AS873" s="22">
        <f>IF($AR873="","",IF(ISNUMBER($AR873),IF($AR873&gt;=10000000,IFERROR(DATE(INT($AR873/10000),MOD(INT($AR873/100),100),MOD($AR873,100)),""),INT($AR873)),IFERROR(DATE(--LEFT(LEFT(SUBSTITUTE(SUBSTITUTE(SUBSTITUTE(SUBSTITUTE(TRIM($AR873),"-",""),".",""),"/","")," ",""),8),4),--MID(LEFT(SUBSTITUTE(SUBSTITUTE(SUBSTITUTE(SUBSTITUTE(TRIM($AR873),"-",""),".",""),"/","")," ",""),8),5,2),--MID(LEFT(SUBSTITUTE(SUBSTITUTE(SUBSTITUTE(SUBSTITUTE(TRIM($AR873),"-",""),".",""),"/","")," ",""),8),7,2)),"")))</f>
        <v/>
      </c>
      <c r="AT873" s="23">
        <f>IF($AS873="","",IF($F$6="",0,IF(ISNUMBER(INDEX($A:$AP,ROW(),$F$6)),INDEX($A:$AP,ROW(),$F$6),IFERROR(--SUBSTITUTE(SUBSTITUTE(TRIM(INDEX($A:$AP,ROW(),$F$6)),",",""),"원",""),0))))</f>
        <v/>
      </c>
      <c r="AU873" s="23">
        <f>IF($AS873="","",IF($G$6="",0,IF(ISNUMBER(INDEX($A:$AP,ROW(),$G$6)),INDEX($A:$AP,ROW(),$G$6),IFERROR(--SUBSTITUTE(SUBSTITUTE(TRIM(INDEX($A:$AP,ROW(),$G$6)),",",""),"원",""),0))))</f>
        <v/>
      </c>
      <c r="AV873" s="23">
        <f>IF($AS873="","",IF($H$6="",$AT873+$AU873,IF($H$6="",0,IF(ISNUMBER(INDEX($A:$AP,ROW(),$H$6)),INDEX($A:$AP,ROW(),$H$6),IFERROR(--SUBSTITUTE(SUBSTITUTE(TRIM(INDEX($A:$AP,ROW(),$H$6)),",",""),"원",""),0)))))</f>
        <v/>
      </c>
      <c r="AW873" s="2">
        <f>IF(OR($AS873="",$C$6=""),"",TRIM(INDEX($A:$AP,ROW(),$C$6)&amp;""))</f>
        <v/>
      </c>
      <c r="AX873" s="2">
        <f>IF($AS873="","",IF($AZ873&lt;&gt;"",SUBSTITUTE(SUBSTITUTE($AZ873,"-","")," ",""),$AY873))</f>
        <v/>
      </c>
      <c r="AY873" s="2">
        <f>IF(OR($AS873="",$E$6=""),"",TRIM(INDEX($A:$AP,ROW(),$E$6)&amp;""))</f>
        <v/>
      </c>
      <c r="AZ873" s="2">
        <f>IF(OR($AS873="",$D$6=""),"",TRIM(INDEX($A:$AP,ROW(),$D$6)&amp;""))</f>
        <v/>
      </c>
      <c r="BA873" s="2">
        <f>IF($AS873="","",IF(AND($AS873&gt;=설정!$B$10,$AS873&lt;=설정!$B$11),"포함","기간 밖"))</f>
        <v/>
      </c>
      <c r="BB873" s="2">
        <f>IF($AS873="","",IF(OR($AT873&lt;0,AND($I$6&lt;&gt;"",ISNUMBER(FIND("수정",INDEX($A:$AP,ROW(),IF($I$6="",1,$I$6))&amp;"")))),"수정","일반"))</f>
        <v/>
      </c>
      <c r="BC873" s="2">
        <f>IF($AS873="","",MID(IF($BA873="기간 밖"," / 기간 밖(신고기간 아님)","")&amp;IF(AND($AW873&lt;&gt;"",COUNTIF($AW$8:$AW$1007,$AW873)&gt;1)," / 승인번호 중복(두 번 붙여넣기?)","")&amp;IF(ABS($AU873-ROUND($AT873*0.1,0))&gt;설정!$B$8,IF($AU873=0," / 세액 0원(영세율·면세 여부 확인)"," / 세액이 공급가액 10%와 다름"),"")&amp;IF($BB873="수정"," / 수정세금계산서(합계에서 자동 가감)",""),4,200))</f>
        <v/>
      </c>
      <c r="BD873" s="2">
        <f>IF($BA873&lt;&gt;"포함","",IF(COUNTIFS($AX$8:$AX873,$AX873,$BA$8:$BA873,"포함")=1,MAX($BD$7:BD872)+1,""))</f>
        <v/>
      </c>
      <c r="BE873" s="2">
        <f>IF($BC873="","",MAX($BE$7:BE872)+1)</f>
        <v/>
      </c>
    </row>
    <row r="874">
      <c r="AR874" s="2">
        <f>IF(OR($A$5="",$B$6="",ROW()&lt;$A$5),"",IF(INDEX($A:$AP,ROW(),$B$6)="","",INDEX($A:$AP,ROW(),$B$6)))</f>
        <v/>
      </c>
      <c r="AS874" s="22">
        <f>IF($AR874="","",IF(ISNUMBER($AR874),IF($AR874&gt;=10000000,IFERROR(DATE(INT($AR874/10000),MOD(INT($AR874/100),100),MOD($AR874,100)),""),INT($AR874)),IFERROR(DATE(--LEFT(LEFT(SUBSTITUTE(SUBSTITUTE(SUBSTITUTE(SUBSTITUTE(TRIM($AR874),"-",""),".",""),"/","")," ",""),8),4),--MID(LEFT(SUBSTITUTE(SUBSTITUTE(SUBSTITUTE(SUBSTITUTE(TRIM($AR874),"-",""),".",""),"/","")," ",""),8),5,2),--MID(LEFT(SUBSTITUTE(SUBSTITUTE(SUBSTITUTE(SUBSTITUTE(TRIM($AR874),"-",""),".",""),"/","")," ",""),8),7,2)),"")))</f>
        <v/>
      </c>
      <c r="AT874" s="23">
        <f>IF($AS874="","",IF($F$6="",0,IF(ISNUMBER(INDEX($A:$AP,ROW(),$F$6)),INDEX($A:$AP,ROW(),$F$6),IFERROR(--SUBSTITUTE(SUBSTITUTE(TRIM(INDEX($A:$AP,ROW(),$F$6)),",",""),"원",""),0))))</f>
        <v/>
      </c>
      <c r="AU874" s="23">
        <f>IF($AS874="","",IF($G$6="",0,IF(ISNUMBER(INDEX($A:$AP,ROW(),$G$6)),INDEX($A:$AP,ROW(),$G$6),IFERROR(--SUBSTITUTE(SUBSTITUTE(TRIM(INDEX($A:$AP,ROW(),$G$6)),",",""),"원",""),0))))</f>
        <v/>
      </c>
      <c r="AV874" s="23">
        <f>IF($AS874="","",IF($H$6="",$AT874+$AU874,IF($H$6="",0,IF(ISNUMBER(INDEX($A:$AP,ROW(),$H$6)),INDEX($A:$AP,ROW(),$H$6),IFERROR(--SUBSTITUTE(SUBSTITUTE(TRIM(INDEX($A:$AP,ROW(),$H$6)),",",""),"원",""),0)))))</f>
        <v/>
      </c>
      <c r="AW874" s="2">
        <f>IF(OR($AS874="",$C$6=""),"",TRIM(INDEX($A:$AP,ROW(),$C$6)&amp;""))</f>
        <v/>
      </c>
      <c r="AX874" s="2">
        <f>IF($AS874="","",IF($AZ874&lt;&gt;"",SUBSTITUTE(SUBSTITUTE($AZ874,"-","")," ",""),$AY874))</f>
        <v/>
      </c>
      <c r="AY874" s="2">
        <f>IF(OR($AS874="",$E$6=""),"",TRIM(INDEX($A:$AP,ROW(),$E$6)&amp;""))</f>
        <v/>
      </c>
      <c r="AZ874" s="2">
        <f>IF(OR($AS874="",$D$6=""),"",TRIM(INDEX($A:$AP,ROW(),$D$6)&amp;""))</f>
        <v/>
      </c>
      <c r="BA874" s="2">
        <f>IF($AS874="","",IF(AND($AS874&gt;=설정!$B$10,$AS874&lt;=설정!$B$11),"포함","기간 밖"))</f>
        <v/>
      </c>
      <c r="BB874" s="2">
        <f>IF($AS874="","",IF(OR($AT874&lt;0,AND($I$6&lt;&gt;"",ISNUMBER(FIND("수정",INDEX($A:$AP,ROW(),IF($I$6="",1,$I$6))&amp;"")))),"수정","일반"))</f>
        <v/>
      </c>
      <c r="BC874" s="2">
        <f>IF($AS874="","",MID(IF($BA874="기간 밖"," / 기간 밖(신고기간 아님)","")&amp;IF(AND($AW874&lt;&gt;"",COUNTIF($AW$8:$AW$1007,$AW874)&gt;1)," / 승인번호 중복(두 번 붙여넣기?)","")&amp;IF(ABS($AU874-ROUND($AT874*0.1,0))&gt;설정!$B$8,IF($AU874=0," / 세액 0원(영세율·면세 여부 확인)"," / 세액이 공급가액 10%와 다름"),"")&amp;IF($BB874="수정"," / 수정세금계산서(합계에서 자동 가감)",""),4,200))</f>
        <v/>
      </c>
      <c r="BD874" s="2">
        <f>IF($BA874&lt;&gt;"포함","",IF(COUNTIFS($AX$8:$AX874,$AX874,$BA$8:$BA874,"포함")=1,MAX($BD$7:BD873)+1,""))</f>
        <v/>
      </c>
      <c r="BE874" s="2">
        <f>IF($BC874="","",MAX($BE$7:BE873)+1)</f>
        <v/>
      </c>
    </row>
    <row r="875">
      <c r="AR875" s="2">
        <f>IF(OR($A$5="",$B$6="",ROW()&lt;$A$5),"",IF(INDEX($A:$AP,ROW(),$B$6)="","",INDEX($A:$AP,ROW(),$B$6)))</f>
        <v/>
      </c>
      <c r="AS875" s="22">
        <f>IF($AR875="","",IF(ISNUMBER($AR875),IF($AR875&gt;=10000000,IFERROR(DATE(INT($AR875/10000),MOD(INT($AR875/100),100),MOD($AR875,100)),""),INT($AR875)),IFERROR(DATE(--LEFT(LEFT(SUBSTITUTE(SUBSTITUTE(SUBSTITUTE(SUBSTITUTE(TRIM($AR875),"-",""),".",""),"/","")," ",""),8),4),--MID(LEFT(SUBSTITUTE(SUBSTITUTE(SUBSTITUTE(SUBSTITUTE(TRIM($AR875),"-",""),".",""),"/","")," ",""),8),5,2),--MID(LEFT(SUBSTITUTE(SUBSTITUTE(SUBSTITUTE(SUBSTITUTE(TRIM($AR875),"-",""),".",""),"/","")," ",""),8),7,2)),"")))</f>
        <v/>
      </c>
      <c r="AT875" s="23">
        <f>IF($AS875="","",IF($F$6="",0,IF(ISNUMBER(INDEX($A:$AP,ROW(),$F$6)),INDEX($A:$AP,ROW(),$F$6),IFERROR(--SUBSTITUTE(SUBSTITUTE(TRIM(INDEX($A:$AP,ROW(),$F$6)),",",""),"원",""),0))))</f>
        <v/>
      </c>
      <c r="AU875" s="23">
        <f>IF($AS875="","",IF($G$6="",0,IF(ISNUMBER(INDEX($A:$AP,ROW(),$G$6)),INDEX($A:$AP,ROW(),$G$6),IFERROR(--SUBSTITUTE(SUBSTITUTE(TRIM(INDEX($A:$AP,ROW(),$G$6)),",",""),"원",""),0))))</f>
        <v/>
      </c>
      <c r="AV875" s="23">
        <f>IF($AS875="","",IF($H$6="",$AT875+$AU875,IF($H$6="",0,IF(ISNUMBER(INDEX($A:$AP,ROW(),$H$6)),INDEX($A:$AP,ROW(),$H$6),IFERROR(--SUBSTITUTE(SUBSTITUTE(TRIM(INDEX($A:$AP,ROW(),$H$6)),",",""),"원",""),0)))))</f>
        <v/>
      </c>
      <c r="AW875" s="2">
        <f>IF(OR($AS875="",$C$6=""),"",TRIM(INDEX($A:$AP,ROW(),$C$6)&amp;""))</f>
        <v/>
      </c>
      <c r="AX875" s="2">
        <f>IF($AS875="","",IF($AZ875&lt;&gt;"",SUBSTITUTE(SUBSTITUTE($AZ875,"-","")," ",""),$AY875))</f>
        <v/>
      </c>
      <c r="AY875" s="2">
        <f>IF(OR($AS875="",$E$6=""),"",TRIM(INDEX($A:$AP,ROW(),$E$6)&amp;""))</f>
        <v/>
      </c>
      <c r="AZ875" s="2">
        <f>IF(OR($AS875="",$D$6=""),"",TRIM(INDEX($A:$AP,ROW(),$D$6)&amp;""))</f>
        <v/>
      </c>
      <c r="BA875" s="2">
        <f>IF($AS875="","",IF(AND($AS875&gt;=설정!$B$10,$AS875&lt;=설정!$B$11),"포함","기간 밖"))</f>
        <v/>
      </c>
      <c r="BB875" s="2">
        <f>IF($AS875="","",IF(OR($AT875&lt;0,AND($I$6&lt;&gt;"",ISNUMBER(FIND("수정",INDEX($A:$AP,ROW(),IF($I$6="",1,$I$6))&amp;"")))),"수정","일반"))</f>
        <v/>
      </c>
      <c r="BC875" s="2">
        <f>IF($AS875="","",MID(IF($BA875="기간 밖"," / 기간 밖(신고기간 아님)","")&amp;IF(AND($AW875&lt;&gt;"",COUNTIF($AW$8:$AW$1007,$AW875)&gt;1)," / 승인번호 중복(두 번 붙여넣기?)","")&amp;IF(ABS($AU875-ROUND($AT875*0.1,0))&gt;설정!$B$8,IF($AU875=0," / 세액 0원(영세율·면세 여부 확인)"," / 세액이 공급가액 10%와 다름"),"")&amp;IF($BB875="수정"," / 수정세금계산서(합계에서 자동 가감)",""),4,200))</f>
        <v/>
      </c>
      <c r="BD875" s="2">
        <f>IF($BA875&lt;&gt;"포함","",IF(COUNTIFS($AX$8:$AX875,$AX875,$BA$8:$BA875,"포함")=1,MAX($BD$7:BD874)+1,""))</f>
        <v/>
      </c>
      <c r="BE875" s="2">
        <f>IF($BC875="","",MAX($BE$7:BE874)+1)</f>
        <v/>
      </c>
    </row>
    <row r="876">
      <c r="AR876" s="2">
        <f>IF(OR($A$5="",$B$6="",ROW()&lt;$A$5),"",IF(INDEX($A:$AP,ROW(),$B$6)="","",INDEX($A:$AP,ROW(),$B$6)))</f>
        <v/>
      </c>
      <c r="AS876" s="22">
        <f>IF($AR876="","",IF(ISNUMBER($AR876),IF($AR876&gt;=10000000,IFERROR(DATE(INT($AR876/10000),MOD(INT($AR876/100),100),MOD($AR876,100)),""),INT($AR876)),IFERROR(DATE(--LEFT(LEFT(SUBSTITUTE(SUBSTITUTE(SUBSTITUTE(SUBSTITUTE(TRIM($AR876),"-",""),".",""),"/","")," ",""),8),4),--MID(LEFT(SUBSTITUTE(SUBSTITUTE(SUBSTITUTE(SUBSTITUTE(TRIM($AR876),"-",""),".",""),"/","")," ",""),8),5,2),--MID(LEFT(SUBSTITUTE(SUBSTITUTE(SUBSTITUTE(SUBSTITUTE(TRIM($AR876),"-",""),".",""),"/","")," ",""),8),7,2)),"")))</f>
        <v/>
      </c>
      <c r="AT876" s="23">
        <f>IF($AS876="","",IF($F$6="",0,IF(ISNUMBER(INDEX($A:$AP,ROW(),$F$6)),INDEX($A:$AP,ROW(),$F$6),IFERROR(--SUBSTITUTE(SUBSTITUTE(TRIM(INDEX($A:$AP,ROW(),$F$6)),",",""),"원",""),0))))</f>
        <v/>
      </c>
      <c r="AU876" s="23">
        <f>IF($AS876="","",IF($G$6="",0,IF(ISNUMBER(INDEX($A:$AP,ROW(),$G$6)),INDEX($A:$AP,ROW(),$G$6),IFERROR(--SUBSTITUTE(SUBSTITUTE(TRIM(INDEX($A:$AP,ROW(),$G$6)),",",""),"원",""),0))))</f>
        <v/>
      </c>
      <c r="AV876" s="23">
        <f>IF($AS876="","",IF($H$6="",$AT876+$AU876,IF($H$6="",0,IF(ISNUMBER(INDEX($A:$AP,ROW(),$H$6)),INDEX($A:$AP,ROW(),$H$6),IFERROR(--SUBSTITUTE(SUBSTITUTE(TRIM(INDEX($A:$AP,ROW(),$H$6)),",",""),"원",""),0)))))</f>
        <v/>
      </c>
      <c r="AW876" s="2">
        <f>IF(OR($AS876="",$C$6=""),"",TRIM(INDEX($A:$AP,ROW(),$C$6)&amp;""))</f>
        <v/>
      </c>
      <c r="AX876" s="2">
        <f>IF($AS876="","",IF($AZ876&lt;&gt;"",SUBSTITUTE(SUBSTITUTE($AZ876,"-","")," ",""),$AY876))</f>
        <v/>
      </c>
      <c r="AY876" s="2">
        <f>IF(OR($AS876="",$E$6=""),"",TRIM(INDEX($A:$AP,ROW(),$E$6)&amp;""))</f>
        <v/>
      </c>
      <c r="AZ876" s="2">
        <f>IF(OR($AS876="",$D$6=""),"",TRIM(INDEX($A:$AP,ROW(),$D$6)&amp;""))</f>
        <v/>
      </c>
      <c r="BA876" s="2">
        <f>IF($AS876="","",IF(AND($AS876&gt;=설정!$B$10,$AS876&lt;=설정!$B$11),"포함","기간 밖"))</f>
        <v/>
      </c>
      <c r="BB876" s="2">
        <f>IF($AS876="","",IF(OR($AT876&lt;0,AND($I$6&lt;&gt;"",ISNUMBER(FIND("수정",INDEX($A:$AP,ROW(),IF($I$6="",1,$I$6))&amp;"")))),"수정","일반"))</f>
        <v/>
      </c>
      <c r="BC876" s="2">
        <f>IF($AS876="","",MID(IF($BA876="기간 밖"," / 기간 밖(신고기간 아님)","")&amp;IF(AND($AW876&lt;&gt;"",COUNTIF($AW$8:$AW$1007,$AW876)&gt;1)," / 승인번호 중복(두 번 붙여넣기?)","")&amp;IF(ABS($AU876-ROUND($AT876*0.1,0))&gt;설정!$B$8,IF($AU876=0," / 세액 0원(영세율·면세 여부 확인)"," / 세액이 공급가액 10%와 다름"),"")&amp;IF($BB876="수정"," / 수정세금계산서(합계에서 자동 가감)",""),4,200))</f>
        <v/>
      </c>
      <c r="BD876" s="2">
        <f>IF($BA876&lt;&gt;"포함","",IF(COUNTIFS($AX$8:$AX876,$AX876,$BA$8:$BA876,"포함")=1,MAX($BD$7:BD875)+1,""))</f>
        <v/>
      </c>
      <c r="BE876" s="2">
        <f>IF($BC876="","",MAX($BE$7:BE875)+1)</f>
        <v/>
      </c>
    </row>
    <row r="877">
      <c r="AR877" s="2">
        <f>IF(OR($A$5="",$B$6="",ROW()&lt;$A$5),"",IF(INDEX($A:$AP,ROW(),$B$6)="","",INDEX($A:$AP,ROW(),$B$6)))</f>
        <v/>
      </c>
      <c r="AS877" s="22">
        <f>IF($AR877="","",IF(ISNUMBER($AR877),IF($AR877&gt;=10000000,IFERROR(DATE(INT($AR877/10000),MOD(INT($AR877/100),100),MOD($AR877,100)),""),INT($AR877)),IFERROR(DATE(--LEFT(LEFT(SUBSTITUTE(SUBSTITUTE(SUBSTITUTE(SUBSTITUTE(TRIM($AR877),"-",""),".",""),"/","")," ",""),8),4),--MID(LEFT(SUBSTITUTE(SUBSTITUTE(SUBSTITUTE(SUBSTITUTE(TRIM($AR877),"-",""),".",""),"/","")," ",""),8),5,2),--MID(LEFT(SUBSTITUTE(SUBSTITUTE(SUBSTITUTE(SUBSTITUTE(TRIM($AR877),"-",""),".",""),"/","")," ",""),8),7,2)),"")))</f>
        <v/>
      </c>
      <c r="AT877" s="23">
        <f>IF($AS877="","",IF($F$6="",0,IF(ISNUMBER(INDEX($A:$AP,ROW(),$F$6)),INDEX($A:$AP,ROW(),$F$6),IFERROR(--SUBSTITUTE(SUBSTITUTE(TRIM(INDEX($A:$AP,ROW(),$F$6)),",",""),"원",""),0))))</f>
        <v/>
      </c>
      <c r="AU877" s="23">
        <f>IF($AS877="","",IF($G$6="",0,IF(ISNUMBER(INDEX($A:$AP,ROW(),$G$6)),INDEX($A:$AP,ROW(),$G$6),IFERROR(--SUBSTITUTE(SUBSTITUTE(TRIM(INDEX($A:$AP,ROW(),$G$6)),",",""),"원",""),0))))</f>
        <v/>
      </c>
      <c r="AV877" s="23">
        <f>IF($AS877="","",IF($H$6="",$AT877+$AU877,IF($H$6="",0,IF(ISNUMBER(INDEX($A:$AP,ROW(),$H$6)),INDEX($A:$AP,ROW(),$H$6),IFERROR(--SUBSTITUTE(SUBSTITUTE(TRIM(INDEX($A:$AP,ROW(),$H$6)),",",""),"원",""),0)))))</f>
        <v/>
      </c>
      <c r="AW877" s="2">
        <f>IF(OR($AS877="",$C$6=""),"",TRIM(INDEX($A:$AP,ROW(),$C$6)&amp;""))</f>
        <v/>
      </c>
      <c r="AX877" s="2">
        <f>IF($AS877="","",IF($AZ877&lt;&gt;"",SUBSTITUTE(SUBSTITUTE($AZ877,"-","")," ",""),$AY877))</f>
        <v/>
      </c>
      <c r="AY877" s="2">
        <f>IF(OR($AS877="",$E$6=""),"",TRIM(INDEX($A:$AP,ROW(),$E$6)&amp;""))</f>
        <v/>
      </c>
      <c r="AZ877" s="2">
        <f>IF(OR($AS877="",$D$6=""),"",TRIM(INDEX($A:$AP,ROW(),$D$6)&amp;""))</f>
        <v/>
      </c>
      <c r="BA877" s="2">
        <f>IF($AS877="","",IF(AND($AS877&gt;=설정!$B$10,$AS877&lt;=설정!$B$11),"포함","기간 밖"))</f>
        <v/>
      </c>
      <c r="BB877" s="2">
        <f>IF($AS877="","",IF(OR($AT877&lt;0,AND($I$6&lt;&gt;"",ISNUMBER(FIND("수정",INDEX($A:$AP,ROW(),IF($I$6="",1,$I$6))&amp;"")))),"수정","일반"))</f>
        <v/>
      </c>
      <c r="BC877" s="2">
        <f>IF($AS877="","",MID(IF($BA877="기간 밖"," / 기간 밖(신고기간 아님)","")&amp;IF(AND($AW877&lt;&gt;"",COUNTIF($AW$8:$AW$1007,$AW877)&gt;1)," / 승인번호 중복(두 번 붙여넣기?)","")&amp;IF(ABS($AU877-ROUND($AT877*0.1,0))&gt;설정!$B$8,IF($AU877=0," / 세액 0원(영세율·면세 여부 확인)"," / 세액이 공급가액 10%와 다름"),"")&amp;IF($BB877="수정"," / 수정세금계산서(합계에서 자동 가감)",""),4,200))</f>
        <v/>
      </c>
      <c r="BD877" s="2">
        <f>IF($BA877&lt;&gt;"포함","",IF(COUNTIFS($AX$8:$AX877,$AX877,$BA$8:$BA877,"포함")=1,MAX($BD$7:BD876)+1,""))</f>
        <v/>
      </c>
      <c r="BE877" s="2">
        <f>IF($BC877="","",MAX($BE$7:BE876)+1)</f>
        <v/>
      </c>
    </row>
    <row r="878">
      <c r="AR878" s="2">
        <f>IF(OR($A$5="",$B$6="",ROW()&lt;$A$5),"",IF(INDEX($A:$AP,ROW(),$B$6)="","",INDEX($A:$AP,ROW(),$B$6)))</f>
        <v/>
      </c>
      <c r="AS878" s="22">
        <f>IF($AR878="","",IF(ISNUMBER($AR878),IF($AR878&gt;=10000000,IFERROR(DATE(INT($AR878/10000),MOD(INT($AR878/100),100),MOD($AR878,100)),""),INT($AR878)),IFERROR(DATE(--LEFT(LEFT(SUBSTITUTE(SUBSTITUTE(SUBSTITUTE(SUBSTITUTE(TRIM($AR878),"-",""),".",""),"/","")," ",""),8),4),--MID(LEFT(SUBSTITUTE(SUBSTITUTE(SUBSTITUTE(SUBSTITUTE(TRIM($AR878),"-",""),".",""),"/","")," ",""),8),5,2),--MID(LEFT(SUBSTITUTE(SUBSTITUTE(SUBSTITUTE(SUBSTITUTE(TRIM($AR878),"-",""),".",""),"/","")," ",""),8),7,2)),"")))</f>
        <v/>
      </c>
      <c r="AT878" s="23">
        <f>IF($AS878="","",IF($F$6="",0,IF(ISNUMBER(INDEX($A:$AP,ROW(),$F$6)),INDEX($A:$AP,ROW(),$F$6),IFERROR(--SUBSTITUTE(SUBSTITUTE(TRIM(INDEX($A:$AP,ROW(),$F$6)),",",""),"원",""),0))))</f>
        <v/>
      </c>
      <c r="AU878" s="23">
        <f>IF($AS878="","",IF($G$6="",0,IF(ISNUMBER(INDEX($A:$AP,ROW(),$G$6)),INDEX($A:$AP,ROW(),$G$6),IFERROR(--SUBSTITUTE(SUBSTITUTE(TRIM(INDEX($A:$AP,ROW(),$G$6)),",",""),"원",""),0))))</f>
        <v/>
      </c>
      <c r="AV878" s="23">
        <f>IF($AS878="","",IF($H$6="",$AT878+$AU878,IF($H$6="",0,IF(ISNUMBER(INDEX($A:$AP,ROW(),$H$6)),INDEX($A:$AP,ROW(),$H$6),IFERROR(--SUBSTITUTE(SUBSTITUTE(TRIM(INDEX($A:$AP,ROW(),$H$6)),",",""),"원",""),0)))))</f>
        <v/>
      </c>
      <c r="AW878" s="2">
        <f>IF(OR($AS878="",$C$6=""),"",TRIM(INDEX($A:$AP,ROW(),$C$6)&amp;""))</f>
        <v/>
      </c>
      <c r="AX878" s="2">
        <f>IF($AS878="","",IF($AZ878&lt;&gt;"",SUBSTITUTE(SUBSTITUTE($AZ878,"-","")," ",""),$AY878))</f>
        <v/>
      </c>
      <c r="AY878" s="2">
        <f>IF(OR($AS878="",$E$6=""),"",TRIM(INDEX($A:$AP,ROW(),$E$6)&amp;""))</f>
        <v/>
      </c>
      <c r="AZ878" s="2">
        <f>IF(OR($AS878="",$D$6=""),"",TRIM(INDEX($A:$AP,ROW(),$D$6)&amp;""))</f>
        <v/>
      </c>
      <c r="BA878" s="2">
        <f>IF($AS878="","",IF(AND($AS878&gt;=설정!$B$10,$AS878&lt;=설정!$B$11),"포함","기간 밖"))</f>
        <v/>
      </c>
      <c r="BB878" s="2">
        <f>IF($AS878="","",IF(OR($AT878&lt;0,AND($I$6&lt;&gt;"",ISNUMBER(FIND("수정",INDEX($A:$AP,ROW(),IF($I$6="",1,$I$6))&amp;"")))),"수정","일반"))</f>
        <v/>
      </c>
      <c r="BC878" s="2">
        <f>IF($AS878="","",MID(IF($BA878="기간 밖"," / 기간 밖(신고기간 아님)","")&amp;IF(AND($AW878&lt;&gt;"",COUNTIF($AW$8:$AW$1007,$AW878)&gt;1)," / 승인번호 중복(두 번 붙여넣기?)","")&amp;IF(ABS($AU878-ROUND($AT878*0.1,0))&gt;설정!$B$8,IF($AU878=0," / 세액 0원(영세율·면세 여부 확인)"," / 세액이 공급가액 10%와 다름"),"")&amp;IF($BB878="수정"," / 수정세금계산서(합계에서 자동 가감)",""),4,200))</f>
        <v/>
      </c>
      <c r="BD878" s="2">
        <f>IF($BA878&lt;&gt;"포함","",IF(COUNTIFS($AX$8:$AX878,$AX878,$BA$8:$BA878,"포함")=1,MAX($BD$7:BD877)+1,""))</f>
        <v/>
      </c>
      <c r="BE878" s="2">
        <f>IF($BC878="","",MAX($BE$7:BE877)+1)</f>
        <v/>
      </c>
    </row>
    <row r="879">
      <c r="AR879" s="2">
        <f>IF(OR($A$5="",$B$6="",ROW()&lt;$A$5),"",IF(INDEX($A:$AP,ROW(),$B$6)="","",INDEX($A:$AP,ROW(),$B$6)))</f>
        <v/>
      </c>
      <c r="AS879" s="22">
        <f>IF($AR879="","",IF(ISNUMBER($AR879),IF($AR879&gt;=10000000,IFERROR(DATE(INT($AR879/10000),MOD(INT($AR879/100),100),MOD($AR879,100)),""),INT($AR879)),IFERROR(DATE(--LEFT(LEFT(SUBSTITUTE(SUBSTITUTE(SUBSTITUTE(SUBSTITUTE(TRIM($AR879),"-",""),".",""),"/","")," ",""),8),4),--MID(LEFT(SUBSTITUTE(SUBSTITUTE(SUBSTITUTE(SUBSTITUTE(TRIM($AR879),"-",""),".",""),"/","")," ",""),8),5,2),--MID(LEFT(SUBSTITUTE(SUBSTITUTE(SUBSTITUTE(SUBSTITUTE(TRIM($AR879),"-",""),".",""),"/","")," ",""),8),7,2)),"")))</f>
        <v/>
      </c>
      <c r="AT879" s="23">
        <f>IF($AS879="","",IF($F$6="",0,IF(ISNUMBER(INDEX($A:$AP,ROW(),$F$6)),INDEX($A:$AP,ROW(),$F$6),IFERROR(--SUBSTITUTE(SUBSTITUTE(TRIM(INDEX($A:$AP,ROW(),$F$6)),",",""),"원",""),0))))</f>
        <v/>
      </c>
      <c r="AU879" s="23">
        <f>IF($AS879="","",IF($G$6="",0,IF(ISNUMBER(INDEX($A:$AP,ROW(),$G$6)),INDEX($A:$AP,ROW(),$G$6),IFERROR(--SUBSTITUTE(SUBSTITUTE(TRIM(INDEX($A:$AP,ROW(),$G$6)),",",""),"원",""),0))))</f>
        <v/>
      </c>
      <c r="AV879" s="23">
        <f>IF($AS879="","",IF($H$6="",$AT879+$AU879,IF($H$6="",0,IF(ISNUMBER(INDEX($A:$AP,ROW(),$H$6)),INDEX($A:$AP,ROW(),$H$6),IFERROR(--SUBSTITUTE(SUBSTITUTE(TRIM(INDEX($A:$AP,ROW(),$H$6)),",",""),"원",""),0)))))</f>
        <v/>
      </c>
      <c r="AW879" s="2">
        <f>IF(OR($AS879="",$C$6=""),"",TRIM(INDEX($A:$AP,ROW(),$C$6)&amp;""))</f>
        <v/>
      </c>
      <c r="AX879" s="2">
        <f>IF($AS879="","",IF($AZ879&lt;&gt;"",SUBSTITUTE(SUBSTITUTE($AZ879,"-","")," ",""),$AY879))</f>
        <v/>
      </c>
      <c r="AY879" s="2">
        <f>IF(OR($AS879="",$E$6=""),"",TRIM(INDEX($A:$AP,ROW(),$E$6)&amp;""))</f>
        <v/>
      </c>
      <c r="AZ879" s="2">
        <f>IF(OR($AS879="",$D$6=""),"",TRIM(INDEX($A:$AP,ROW(),$D$6)&amp;""))</f>
        <v/>
      </c>
      <c r="BA879" s="2">
        <f>IF($AS879="","",IF(AND($AS879&gt;=설정!$B$10,$AS879&lt;=설정!$B$11),"포함","기간 밖"))</f>
        <v/>
      </c>
      <c r="BB879" s="2">
        <f>IF($AS879="","",IF(OR($AT879&lt;0,AND($I$6&lt;&gt;"",ISNUMBER(FIND("수정",INDEX($A:$AP,ROW(),IF($I$6="",1,$I$6))&amp;"")))),"수정","일반"))</f>
        <v/>
      </c>
      <c r="BC879" s="2">
        <f>IF($AS879="","",MID(IF($BA879="기간 밖"," / 기간 밖(신고기간 아님)","")&amp;IF(AND($AW879&lt;&gt;"",COUNTIF($AW$8:$AW$1007,$AW879)&gt;1)," / 승인번호 중복(두 번 붙여넣기?)","")&amp;IF(ABS($AU879-ROUND($AT879*0.1,0))&gt;설정!$B$8,IF($AU879=0," / 세액 0원(영세율·면세 여부 확인)"," / 세액이 공급가액 10%와 다름"),"")&amp;IF($BB879="수정"," / 수정세금계산서(합계에서 자동 가감)",""),4,200))</f>
        <v/>
      </c>
      <c r="BD879" s="2">
        <f>IF($BA879&lt;&gt;"포함","",IF(COUNTIFS($AX$8:$AX879,$AX879,$BA$8:$BA879,"포함")=1,MAX($BD$7:BD878)+1,""))</f>
        <v/>
      </c>
      <c r="BE879" s="2">
        <f>IF($BC879="","",MAX($BE$7:BE878)+1)</f>
        <v/>
      </c>
    </row>
    <row r="880">
      <c r="AR880" s="2">
        <f>IF(OR($A$5="",$B$6="",ROW()&lt;$A$5),"",IF(INDEX($A:$AP,ROW(),$B$6)="","",INDEX($A:$AP,ROW(),$B$6)))</f>
        <v/>
      </c>
      <c r="AS880" s="22">
        <f>IF($AR880="","",IF(ISNUMBER($AR880),IF($AR880&gt;=10000000,IFERROR(DATE(INT($AR880/10000),MOD(INT($AR880/100),100),MOD($AR880,100)),""),INT($AR880)),IFERROR(DATE(--LEFT(LEFT(SUBSTITUTE(SUBSTITUTE(SUBSTITUTE(SUBSTITUTE(TRIM($AR880),"-",""),".",""),"/","")," ",""),8),4),--MID(LEFT(SUBSTITUTE(SUBSTITUTE(SUBSTITUTE(SUBSTITUTE(TRIM($AR880),"-",""),".",""),"/","")," ",""),8),5,2),--MID(LEFT(SUBSTITUTE(SUBSTITUTE(SUBSTITUTE(SUBSTITUTE(TRIM($AR880),"-",""),".",""),"/","")," ",""),8),7,2)),"")))</f>
        <v/>
      </c>
      <c r="AT880" s="23">
        <f>IF($AS880="","",IF($F$6="",0,IF(ISNUMBER(INDEX($A:$AP,ROW(),$F$6)),INDEX($A:$AP,ROW(),$F$6),IFERROR(--SUBSTITUTE(SUBSTITUTE(TRIM(INDEX($A:$AP,ROW(),$F$6)),",",""),"원",""),0))))</f>
        <v/>
      </c>
      <c r="AU880" s="23">
        <f>IF($AS880="","",IF($G$6="",0,IF(ISNUMBER(INDEX($A:$AP,ROW(),$G$6)),INDEX($A:$AP,ROW(),$G$6),IFERROR(--SUBSTITUTE(SUBSTITUTE(TRIM(INDEX($A:$AP,ROW(),$G$6)),",",""),"원",""),0))))</f>
        <v/>
      </c>
      <c r="AV880" s="23">
        <f>IF($AS880="","",IF($H$6="",$AT880+$AU880,IF($H$6="",0,IF(ISNUMBER(INDEX($A:$AP,ROW(),$H$6)),INDEX($A:$AP,ROW(),$H$6),IFERROR(--SUBSTITUTE(SUBSTITUTE(TRIM(INDEX($A:$AP,ROW(),$H$6)),",",""),"원",""),0)))))</f>
        <v/>
      </c>
      <c r="AW880" s="2">
        <f>IF(OR($AS880="",$C$6=""),"",TRIM(INDEX($A:$AP,ROW(),$C$6)&amp;""))</f>
        <v/>
      </c>
      <c r="AX880" s="2">
        <f>IF($AS880="","",IF($AZ880&lt;&gt;"",SUBSTITUTE(SUBSTITUTE($AZ880,"-","")," ",""),$AY880))</f>
        <v/>
      </c>
      <c r="AY880" s="2">
        <f>IF(OR($AS880="",$E$6=""),"",TRIM(INDEX($A:$AP,ROW(),$E$6)&amp;""))</f>
        <v/>
      </c>
      <c r="AZ880" s="2">
        <f>IF(OR($AS880="",$D$6=""),"",TRIM(INDEX($A:$AP,ROW(),$D$6)&amp;""))</f>
        <v/>
      </c>
      <c r="BA880" s="2">
        <f>IF($AS880="","",IF(AND($AS880&gt;=설정!$B$10,$AS880&lt;=설정!$B$11),"포함","기간 밖"))</f>
        <v/>
      </c>
      <c r="BB880" s="2">
        <f>IF($AS880="","",IF(OR($AT880&lt;0,AND($I$6&lt;&gt;"",ISNUMBER(FIND("수정",INDEX($A:$AP,ROW(),IF($I$6="",1,$I$6))&amp;"")))),"수정","일반"))</f>
        <v/>
      </c>
      <c r="BC880" s="2">
        <f>IF($AS880="","",MID(IF($BA880="기간 밖"," / 기간 밖(신고기간 아님)","")&amp;IF(AND($AW880&lt;&gt;"",COUNTIF($AW$8:$AW$1007,$AW880)&gt;1)," / 승인번호 중복(두 번 붙여넣기?)","")&amp;IF(ABS($AU880-ROUND($AT880*0.1,0))&gt;설정!$B$8,IF($AU880=0," / 세액 0원(영세율·면세 여부 확인)"," / 세액이 공급가액 10%와 다름"),"")&amp;IF($BB880="수정"," / 수정세금계산서(합계에서 자동 가감)",""),4,200))</f>
        <v/>
      </c>
      <c r="BD880" s="2">
        <f>IF($BA880&lt;&gt;"포함","",IF(COUNTIFS($AX$8:$AX880,$AX880,$BA$8:$BA880,"포함")=1,MAX($BD$7:BD879)+1,""))</f>
        <v/>
      </c>
      <c r="BE880" s="2">
        <f>IF($BC880="","",MAX($BE$7:BE879)+1)</f>
        <v/>
      </c>
    </row>
    <row r="881">
      <c r="AR881" s="2">
        <f>IF(OR($A$5="",$B$6="",ROW()&lt;$A$5),"",IF(INDEX($A:$AP,ROW(),$B$6)="","",INDEX($A:$AP,ROW(),$B$6)))</f>
        <v/>
      </c>
      <c r="AS881" s="22">
        <f>IF($AR881="","",IF(ISNUMBER($AR881),IF($AR881&gt;=10000000,IFERROR(DATE(INT($AR881/10000),MOD(INT($AR881/100),100),MOD($AR881,100)),""),INT($AR881)),IFERROR(DATE(--LEFT(LEFT(SUBSTITUTE(SUBSTITUTE(SUBSTITUTE(SUBSTITUTE(TRIM($AR881),"-",""),".",""),"/","")," ",""),8),4),--MID(LEFT(SUBSTITUTE(SUBSTITUTE(SUBSTITUTE(SUBSTITUTE(TRIM($AR881),"-",""),".",""),"/","")," ",""),8),5,2),--MID(LEFT(SUBSTITUTE(SUBSTITUTE(SUBSTITUTE(SUBSTITUTE(TRIM($AR881),"-",""),".",""),"/","")," ",""),8),7,2)),"")))</f>
        <v/>
      </c>
      <c r="AT881" s="23">
        <f>IF($AS881="","",IF($F$6="",0,IF(ISNUMBER(INDEX($A:$AP,ROW(),$F$6)),INDEX($A:$AP,ROW(),$F$6),IFERROR(--SUBSTITUTE(SUBSTITUTE(TRIM(INDEX($A:$AP,ROW(),$F$6)),",",""),"원",""),0))))</f>
        <v/>
      </c>
      <c r="AU881" s="23">
        <f>IF($AS881="","",IF($G$6="",0,IF(ISNUMBER(INDEX($A:$AP,ROW(),$G$6)),INDEX($A:$AP,ROW(),$G$6),IFERROR(--SUBSTITUTE(SUBSTITUTE(TRIM(INDEX($A:$AP,ROW(),$G$6)),",",""),"원",""),0))))</f>
        <v/>
      </c>
      <c r="AV881" s="23">
        <f>IF($AS881="","",IF($H$6="",$AT881+$AU881,IF($H$6="",0,IF(ISNUMBER(INDEX($A:$AP,ROW(),$H$6)),INDEX($A:$AP,ROW(),$H$6),IFERROR(--SUBSTITUTE(SUBSTITUTE(TRIM(INDEX($A:$AP,ROW(),$H$6)),",",""),"원",""),0)))))</f>
        <v/>
      </c>
      <c r="AW881" s="2">
        <f>IF(OR($AS881="",$C$6=""),"",TRIM(INDEX($A:$AP,ROW(),$C$6)&amp;""))</f>
        <v/>
      </c>
      <c r="AX881" s="2">
        <f>IF($AS881="","",IF($AZ881&lt;&gt;"",SUBSTITUTE(SUBSTITUTE($AZ881,"-","")," ",""),$AY881))</f>
        <v/>
      </c>
      <c r="AY881" s="2">
        <f>IF(OR($AS881="",$E$6=""),"",TRIM(INDEX($A:$AP,ROW(),$E$6)&amp;""))</f>
        <v/>
      </c>
      <c r="AZ881" s="2">
        <f>IF(OR($AS881="",$D$6=""),"",TRIM(INDEX($A:$AP,ROW(),$D$6)&amp;""))</f>
        <v/>
      </c>
      <c r="BA881" s="2">
        <f>IF($AS881="","",IF(AND($AS881&gt;=설정!$B$10,$AS881&lt;=설정!$B$11),"포함","기간 밖"))</f>
        <v/>
      </c>
      <c r="BB881" s="2">
        <f>IF($AS881="","",IF(OR($AT881&lt;0,AND($I$6&lt;&gt;"",ISNUMBER(FIND("수정",INDEX($A:$AP,ROW(),IF($I$6="",1,$I$6))&amp;"")))),"수정","일반"))</f>
        <v/>
      </c>
      <c r="BC881" s="2">
        <f>IF($AS881="","",MID(IF($BA881="기간 밖"," / 기간 밖(신고기간 아님)","")&amp;IF(AND($AW881&lt;&gt;"",COUNTIF($AW$8:$AW$1007,$AW881)&gt;1)," / 승인번호 중복(두 번 붙여넣기?)","")&amp;IF(ABS($AU881-ROUND($AT881*0.1,0))&gt;설정!$B$8,IF($AU881=0," / 세액 0원(영세율·면세 여부 확인)"," / 세액이 공급가액 10%와 다름"),"")&amp;IF($BB881="수정"," / 수정세금계산서(합계에서 자동 가감)",""),4,200))</f>
        <v/>
      </c>
      <c r="BD881" s="2">
        <f>IF($BA881&lt;&gt;"포함","",IF(COUNTIFS($AX$8:$AX881,$AX881,$BA$8:$BA881,"포함")=1,MAX($BD$7:BD880)+1,""))</f>
        <v/>
      </c>
      <c r="BE881" s="2">
        <f>IF($BC881="","",MAX($BE$7:BE880)+1)</f>
        <v/>
      </c>
    </row>
    <row r="882">
      <c r="AR882" s="2">
        <f>IF(OR($A$5="",$B$6="",ROW()&lt;$A$5),"",IF(INDEX($A:$AP,ROW(),$B$6)="","",INDEX($A:$AP,ROW(),$B$6)))</f>
        <v/>
      </c>
      <c r="AS882" s="22">
        <f>IF($AR882="","",IF(ISNUMBER($AR882),IF($AR882&gt;=10000000,IFERROR(DATE(INT($AR882/10000),MOD(INT($AR882/100),100),MOD($AR882,100)),""),INT($AR882)),IFERROR(DATE(--LEFT(LEFT(SUBSTITUTE(SUBSTITUTE(SUBSTITUTE(SUBSTITUTE(TRIM($AR882),"-",""),".",""),"/","")," ",""),8),4),--MID(LEFT(SUBSTITUTE(SUBSTITUTE(SUBSTITUTE(SUBSTITUTE(TRIM($AR882),"-",""),".",""),"/","")," ",""),8),5,2),--MID(LEFT(SUBSTITUTE(SUBSTITUTE(SUBSTITUTE(SUBSTITUTE(TRIM($AR882),"-",""),".",""),"/","")," ",""),8),7,2)),"")))</f>
        <v/>
      </c>
      <c r="AT882" s="23">
        <f>IF($AS882="","",IF($F$6="",0,IF(ISNUMBER(INDEX($A:$AP,ROW(),$F$6)),INDEX($A:$AP,ROW(),$F$6),IFERROR(--SUBSTITUTE(SUBSTITUTE(TRIM(INDEX($A:$AP,ROW(),$F$6)),",",""),"원",""),0))))</f>
        <v/>
      </c>
      <c r="AU882" s="23">
        <f>IF($AS882="","",IF($G$6="",0,IF(ISNUMBER(INDEX($A:$AP,ROW(),$G$6)),INDEX($A:$AP,ROW(),$G$6),IFERROR(--SUBSTITUTE(SUBSTITUTE(TRIM(INDEX($A:$AP,ROW(),$G$6)),",",""),"원",""),0))))</f>
        <v/>
      </c>
      <c r="AV882" s="23">
        <f>IF($AS882="","",IF($H$6="",$AT882+$AU882,IF($H$6="",0,IF(ISNUMBER(INDEX($A:$AP,ROW(),$H$6)),INDEX($A:$AP,ROW(),$H$6),IFERROR(--SUBSTITUTE(SUBSTITUTE(TRIM(INDEX($A:$AP,ROW(),$H$6)),",",""),"원",""),0)))))</f>
        <v/>
      </c>
      <c r="AW882" s="2">
        <f>IF(OR($AS882="",$C$6=""),"",TRIM(INDEX($A:$AP,ROW(),$C$6)&amp;""))</f>
        <v/>
      </c>
      <c r="AX882" s="2">
        <f>IF($AS882="","",IF($AZ882&lt;&gt;"",SUBSTITUTE(SUBSTITUTE($AZ882,"-","")," ",""),$AY882))</f>
        <v/>
      </c>
      <c r="AY882" s="2">
        <f>IF(OR($AS882="",$E$6=""),"",TRIM(INDEX($A:$AP,ROW(),$E$6)&amp;""))</f>
        <v/>
      </c>
      <c r="AZ882" s="2">
        <f>IF(OR($AS882="",$D$6=""),"",TRIM(INDEX($A:$AP,ROW(),$D$6)&amp;""))</f>
        <v/>
      </c>
      <c r="BA882" s="2">
        <f>IF($AS882="","",IF(AND($AS882&gt;=설정!$B$10,$AS882&lt;=설정!$B$11),"포함","기간 밖"))</f>
        <v/>
      </c>
      <c r="BB882" s="2">
        <f>IF($AS882="","",IF(OR($AT882&lt;0,AND($I$6&lt;&gt;"",ISNUMBER(FIND("수정",INDEX($A:$AP,ROW(),IF($I$6="",1,$I$6))&amp;"")))),"수정","일반"))</f>
        <v/>
      </c>
      <c r="BC882" s="2">
        <f>IF($AS882="","",MID(IF($BA882="기간 밖"," / 기간 밖(신고기간 아님)","")&amp;IF(AND($AW882&lt;&gt;"",COUNTIF($AW$8:$AW$1007,$AW882)&gt;1)," / 승인번호 중복(두 번 붙여넣기?)","")&amp;IF(ABS($AU882-ROUND($AT882*0.1,0))&gt;설정!$B$8,IF($AU882=0," / 세액 0원(영세율·면세 여부 확인)"," / 세액이 공급가액 10%와 다름"),"")&amp;IF($BB882="수정"," / 수정세금계산서(합계에서 자동 가감)",""),4,200))</f>
        <v/>
      </c>
      <c r="BD882" s="2">
        <f>IF($BA882&lt;&gt;"포함","",IF(COUNTIFS($AX$8:$AX882,$AX882,$BA$8:$BA882,"포함")=1,MAX($BD$7:BD881)+1,""))</f>
        <v/>
      </c>
      <c r="BE882" s="2">
        <f>IF($BC882="","",MAX($BE$7:BE881)+1)</f>
        <v/>
      </c>
    </row>
    <row r="883">
      <c r="AR883" s="2">
        <f>IF(OR($A$5="",$B$6="",ROW()&lt;$A$5),"",IF(INDEX($A:$AP,ROW(),$B$6)="","",INDEX($A:$AP,ROW(),$B$6)))</f>
        <v/>
      </c>
      <c r="AS883" s="22">
        <f>IF($AR883="","",IF(ISNUMBER($AR883),IF($AR883&gt;=10000000,IFERROR(DATE(INT($AR883/10000),MOD(INT($AR883/100),100),MOD($AR883,100)),""),INT($AR883)),IFERROR(DATE(--LEFT(LEFT(SUBSTITUTE(SUBSTITUTE(SUBSTITUTE(SUBSTITUTE(TRIM($AR883),"-",""),".",""),"/","")," ",""),8),4),--MID(LEFT(SUBSTITUTE(SUBSTITUTE(SUBSTITUTE(SUBSTITUTE(TRIM($AR883),"-",""),".",""),"/","")," ",""),8),5,2),--MID(LEFT(SUBSTITUTE(SUBSTITUTE(SUBSTITUTE(SUBSTITUTE(TRIM($AR883),"-",""),".",""),"/","")," ",""),8),7,2)),"")))</f>
        <v/>
      </c>
      <c r="AT883" s="23">
        <f>IF($AS883="","",IF($F$6="",0,IF(ISNUMBER(INDEX($A:$AP,ROW(),$F$6)),INDEX($A:$AP,ROW(),$F$6),IFERROR(--SUBSTITUTE(SUBSTITUTE(TRIM(INDEX($A:$AP,ROW(),$F$6)),",",""),"원",""),0))))</f>
        <v/>
      </c>
      <c r="AU883" s="23">
        <f>IF($AS883="","",IF($G$6="",0,IF(ISNUMBER(INDEX($A:$AP,ROW(),$G$6)),INDEX($A:$AP,ROW(),$G$6),IFERROR(--SUBSTITUTE(SUBSTITUTE(TRIM(INDEX($A:$AP,ROW(),$G$6)),",",""),"원",""),0))))</f>
        <v/>
      </c>
      <c r="AV883" s="23">
        <f>IF($AS883="","",IF($H$6="",$AT883+$AU883,IF($H$6="",0,IF(ISNUMBER(INDEX($A:$AP,ROW(),$H$6)),INDEX($A:$AP,ROW(),$H$6),IFERROR(--SUBSTITUTE(SUBSTITUTE(TRIM(INDEX($A:$AP,ROW(),$H$6)),",",""),"원",""),0)))))</f>
        <v/>
      </c>
      <c r="AW883" s="2">
        <f>IF(OR($AS883="",$C$6=""),"",TRIM(INDEX($A:$AP,ROW(),$C$6)&amp;""))</f>
        <v/>
      </c>
      <c r="AX883" s="2">
        <f>IF($AS883="","",IF($AZ883&lt;&gt;"",SUBSTITUTE(SUBSTITUTE($AZ883,"-","")," ",""),$AY883))</f>
        <v/>
      </c>
      <c r="AY883" s="2">
        <f>IF(OR($AS883="",$E$6=""),"",TRIM(INDEX($A:$AP,ROW(),$E$6)&amp;""))</f>
        <v/>
      </c>
      <c r="AZ883" s="2">
        <f>IF(OR($AS883="",$D$6=""),"",TRIM(INDEX($A:$AP,ROW(),$D$6)&amp;""))</f>
        <v/>
      </c>
      <c r="BA883" s="2">
        <f>IF($AS883="","",IF(AND($AS883&gt;=설정!$B$10,$AS883&lt;=설정!$B$11),"포함","기간 밖"))</f>
        <v/>
      </c>
      <c r="BB883" s="2">
        <f>IF($AS883="","",IF(OR($AT883&lt;0,AND($I$6&lt;&gt;"",ISNUMBER(FIND("수정",INDEX($A:$AP,ROW(),IF($I$6="",1,$I$6))&amp;"")))),"수정","일반"))</f>
        <v/>
      </c>
      <c r="BC883" s="2">
        <f>IF($AS883="","",MID(IF($BA883="기간 밖"," / 기간 밖(신고기간 아님)","")&amp;IF(AND($AW883&lt;&gt;"",COUNTIF($AW$8:$AW$1007,$AW883)&gt;1)," / 승인번호 중복(두 번 붙여넣기?)","")&amp;IF(ABS($AU883-ROUND($AT883*0.1,0))&gt;설정!$B$8,IF($AU883=0," / 세액 0원(영세율·면세 여부 확인)"," / 세액이 공급가액 10%와 다름"),"")&amp;IF($BB883="수정"," / 수정세금계산서(합계에서 자동 가감)",""),4,200))</f>
        <v/>
      </c>
      <c r="BD883" s="2">
        <f>IF($BA883&lt;&gt;"포함","",IF(COUNTIFS($AX$8:$AX883,$AX883,$BA$8:$BA883,"포함")=1,MAX($BD$7:BD882)+1,""))</f>
        <v/>
      </c>
      <c r="BE883" s="2">
        <f>IF($BC883="","",MAX($BE$7:BE882)+1)</f>
        <v/>
      </c>
    </row>
    <row r="884">
      <c r="AR884" s="2">
        <f>IF(OR($A$5="",$B$6="",ROW()&lt;$A$5),"",IF(INDEX($A:$AP,ROW(),$B$6)="","",INDEX($A:$AP,ROW(),$B$6)))</f>
        <v/>
      </c>
      <c r="AS884" s="22">
        <f>IF($AR884="","",IF(ISNUMBER($AR884),IF($AR884&gt;=10000000,IFERROR(DATE(INT($AR884/10000),MOD(INT($AR884/100),100),MOD($AR884,100)),""),INT($AR884)),IFERROR(DATE(--LEFT(LEFT(SUBSTITUTE(SUBSTITUTE(SUBSTITUTE(SUBSTITUTE(TRIM($AR884),"-",""),".",""),"/","")," ",""),8),4),--MID(LEFT(SUBSTITUTE(SUBSTITUTE(SUBSTITUTE(SUBSTITUTE(TRIM($AR884),"-",""),".",""),"/","")," ",""),8),5,2),--MID(LEFT(SUBSTITUTE(SUBSTITUTE(SUBSTITUTE(SUBSTITUTE(TRIM($AR884),"-",""),".",""),"/","")," ",""),8),7,2)),"")))</f>
        <v/>
      </c>
      <c r="AT884" s="23">
        <f>IF($AS884="","",IF($F$6="",0,IF(ISNUMBER(INDEX($A:$AP,ROW(),$F$6)),INDEX($A:$AP,ROW(),$F$6),IFERROR(--SUBSTITUTE(SUBSTITUTE(TRIM(INDEX($A:$AP,ROW(),$F$6)),",",""),"원",""),0))))</f>
        <v/>
      </c>
      <c r="AU884" s="23">
        <f>IF($AS884="","",IF($G$6="",0,IF(ISNUMBER(INDEX($A:$AP,ROW(),$G$6)),INDEX($A:$AP,ROW(),$G$6),IFERROR(--SUBSTITUTE(SUBSTITUTE(TRIM(INDEX($A:$AP,ROW(),$G$6)),",",""),"원",""),0))))</f>
        <v/>
      </c>
      <c r="AV884" s="23">
        <f>IF($AS884="","",IF($H$6="",$AT884+$AU884,IF($H$6="",0,IF(ISNUMBER(INDEX($A:$AP,ROW(),$H$6)),INDEX($A:$AP,ROW(),$H$6),IFERROR(--SUBSTITUTE(SUBSTITUTE(TRIM(INDEX($A:$AP,ROW(),$H$6)),",",""),"원",""),0)))))</f>
        <v/>
      </c>
      <c r="AW884" s="2">
        <f>IF(OR($AS884="",$C$6=""),"",TRIM(INDEX($A:$AP,ROW(),$C$6)&amp;""))</f>
        <v/>
      </c>
      <c r="AX884" s="2">
        <f>IF($AS884="","",IF($AZ884&lt;&gt;"",SUBSTITUTE(SUBSTITUTE($AZ884,"-","")," ",""),$AY884))</f>
        <v/>
      </c>
      <c r="AY884" s="2">
        <f>IF(OR($AS884="",$E$6=""),"",TRIM(INDEX($A:$AP,ROW(),$E$6)&amp;""))</f>
        <v/>
      </c>
      <c r="AZ884" s="2">
        <f>IF(OR($AS884="",$D$6=""),"",TRIM(INDEX($A:$AP,ROW(),$D$6)&amp;""))</f>
        <v/>
      </c>
      <c r="BA884" s="2">
        <f>IF($AS884="","",IF(AND($AS884&gt;=설정!$B$10,$AS884&lt;=설정!$B$11),"포함","기간 밖"))</f>
        <v/>
      </c>
      <c r="BB884" s="2">
        <f>IF($AS884="","",IF(OR($AT884&lt;0,AND($I$6&lt;&gt;"",ISNUMBER(FIND("수정",INDEX($A:$AP,ROW(),IF($I$6="",1,$I$6))&amp;"")))),"수정","일반"))</f>
        <v/>
      </c>
      <c r="BC884" s="2">
        <f>IF($AS884="","",MID(IF($BA884="기간 밖"," / 기간 밖(신고기간 아님)","")&amp;IF(AND($AW884&lt;&gt;"",COUNTIF($AW$8:$AW$1007,$AW884)&gt;1)," / 승인번호 중복(두 번 붙여넣기?)","")&amp;IF(ABS($AU884-ROUND($AT884*0.1,0))&gt;설정!$B$8,IF($AU884=0," / 세액 0원(영세율·면세 여부 확인)"," / 세액이 공급가액 10%와 다름"),"")&amp;IF($BB884="수정"," / 수정세금계산서(합계에서 자동 가감)",""),4,200))</f>
        <v/>
      </c>
      <c r="BD884" s="2">
        <f>IF($BA884&lt;&gt;"포함","",IF(COUNTIFS($AX$8:$AX884,$AX884,$BA$8:$BA884,"포함")=1,MAX($BD$7:BD883)+1,""))</f>
        <v/>
      </c>
      <c r="BE884" s="2">
        <f>IF($BC884="","",MAX($BE$7:BE883)+1)</f>
        <v/>
      </c>
    </row>
    <row r="885">
      <c r="AR885" s="2">
        <f>IF(OR($A$5="",$B$6="",ROW()&lt;$A$5),"",IF(INDEX($A:$AP,ROW(),$B$6)="","",INDEX($A:$AP,ROW(),$B$6)))</f>
        <v/>
      </c>
      <c r="AS885" s="22">
        <f>IF($AR885="","",IF(ISNUMBER($AR885),IF($AR885&gt;=10000000,IFERROR(DATE(INT($AR885/10000),MOD(INT($AR885/100),100),MOD($AR885,100)),""),INT($AR885)),IFERROR(DATE(--LEFT(LEFT(SUBSTITUTE(SUBSTITUTE(SUBSTITUTE(SUBSTITUTE(TRIM($AR885),"-",""),".",""),"/","")," ",""),8),4),--MID(LEFT(SUBSTITUTE(SUBSTITUTE(SUBSTITUTE(SUBSTITUTE(TRIM($AR885),"-",""),".",""),"/","")," ",""),8),5,2),--MID(LEFT(SUBSTITUTE(SUBSTITUTE(SUBSTITUTE(SUBSTITUTE(TRIM($AR885),"-",""),".",""),"/","")," ",""),8),7,2)),"")))</f>
        <v/>
      </c>
      <c r="AT885" s="23">
        <f>IF($AS885="","",IF($F$6="",0,IF(ISNUMBER(INDEX($A:$AP,ROW(),$F$6)),INDEX($A:$AP,ROW(),$F$6),IFERROR(--SUBSTITUTE(SUBSTITUTE(TRIM(INDEX($A:$AP,ROW(),$F$6)),",",""),"원",""),0))))</f>
        <v/>
      </c>
      <c r="AU885" s="23">
        <f>IF($AS885="","",IF($G$6="",0,IF(ISNUMBER(INDEX($A:$AP,ROW(),$G$6)),INDEX($A:$AP,ROW(),$G$6),IFERROR(--SUBSTITUTE(SUBSTITUTE(TRIM(INDEX($A:$AP,ROW(),$G$6)),",",""),"원",""),0))))</f>
        <v/>
      </c>
      <c r="AV885" s="23">
        <f>IF($AS885="","",IF($H$6="",$AT885+$AU885,IF($H$6="",0,IF(ISNUMBER(INDEX($A:$AP,ROW(),$H$6)),INDEX($A:$AP,ROW(),$H$6),IFERROR(--SUBSTITUTE(SUBSTITUTE(TRIM(INDEX($A:$AP,ROW(),$H$6)),",",""),"원",""),0)))))</f>
        <v/>
      </c>
      <c r="AW885" s="2">
        <f>IF(OR($AS885="",$C$6=""),"",TRIM(INDEX($A:$AP,ROW(),$C$6)&amp;""))</f>
        <v/>
      </c>
      <c r="AX885" s="2">
        <f>IF($AS885="","",IF($AZ885&lt;&gt;"",SUBSTITUTE(SUBSTITUTE($AZ885,"-","")," ",""),$AY885))</f>
        <v/>
      </c>
      <c r="AY885" s="2">
        <f>IF(OR($AS885="",$E$6=""),"",TRIM(INDEX($A:$AP,ROW(),$E$6)&amp;""))</f>
        <v/>
      </c>
      <c r="AZ885" s="2">
        <f>IF(OR($AS885="",$D$6=""),"",TRIM(INDEX($A:$AP,ROW(),$D$6)&amp;""))</f>
        <v/>
      </c>
      <c r="BA885" s="2">
        <f>IF($AS885="","",IF(AND($AS885&gt;=설정!$B$10,$AS885&lt;=설정!$B$11),"포함","기간 밖"))</f>
        <v/>
      </c>
      <c r="BB885" s="2">
        <f>IF($AS885="","",IF(OR($AT885&lt;0,AND($I$6&lt;&gt;"",ISNUMBER(FIND("수정",INDEX($A:$AP,ROW(),IF($I$6="",1,$I$6))&amp;"")))),"수정","일반"))</f>
        <v/>
      </c>
      <c r="BC885" s="2">
        <f>IF($AS885="","",MID(IF($BA885="기간 밖"," / 기간 밖(신고기간 아님)","")&amp;IF(AND($AW885&lt;&gt;"",COUNTIF($AW$8:$AW$1007,$AW885)&gt;1)," / 승인번호 중복(두 번 붙여넣기?)","")&amp;IF(ABS($AU885-ROUND($AT885*0.1,0))&gt;설정!$B$8,IF($AU885=0," / 세액 0원(영세율·면세 여부 확인)"," / 세액이 공급가액 10%와 다름"),"")&amp;IF($BB885="수정"," / 수정세금계산서(합계에서 자동 가감)",""),4,200))</f>
        <v/>
      </c>
      <c r="BD885" s="2">
        <f>IF($BA885&lt;&gt;"포함","",IF(COUNTIFS($AX$8:$AX885,$AX885,$BA$8:$BA885,"포함")=1,MAX($BD$7:BD884)+1,""))</f>
        <v/>
      </c>
      <c r="BE885" s="2">
        <f>IF($BC885="","",MAX($BE$7:BE884)+1)</f>
        <v/>
      </c>
    </row>
    <row r="886">
      <c r="AR886" s="2">
        <f>IF(OR($A$5="",$B$6="",ROW()&lt;$A$5),"",IF(INDEX($A:$AP,ROW(),$B$6)="","",INDEX($A:$AP,ROW(),$B$6)))</f>
        <v/>
      </c>
      <c r="AS886" s="22">
        <f>IF($AR886="","",IF(ISNUMBER($AR886),IF($AR886&gt;=10000000,IFERROR(DATE(INT($AR886/10000),MOD(INT($AR886/100),100),MOD($AR886,100)),""),INT($AR886)),IFERROR(DATE(--LEFT(LEFT(SUBSTITUTE(SUBSTITUTE(SUBSTITUTE(SUBSTITUTE(TRIM($AR886),"-",""),".",""),"/","")," ",""),8),4),--MID(LEFT(SUBSTITUTE(SUBSTITUTE(SUBSTITUTE(SUBSTITUTE(TRIM($AR886),"-",""),".",""),"/","")," ",""),8),5,2),--MID(LEFT(SUBSTITUTE(SUBSTITUTE(SUBSTITUTE(SUBSTITUTE(TRIM($AR886),"-",""),".",""),"/","")," ",""),8),7,2)),"")))</f>
        <v/>
      </c>
      <c r="AT886" s="23">
        <f>IF($AS886="","",IF($F$6="",0,IF(ISNUMBER(INDEX($A:$AP,ROW(),$F$6)),INDEX($A:$AP,ROW(),$F$6),IFERROR(--SUBSTITUTE(SUBSTITUTE(TRIM(INDEX($A:$AP,ROW(),$F$6)),",",""),"원",""),0))))</f>
        <v/>
      </c>
      <c r="AU886" s="23">
        <f>IF($AS886="","",IF($G$6="",0,IF(ISNUMBER(INDEX($A:$AP,ROW(),$G$6)),INDEX($A:$AP,ROW(),$G$6),IFERROR(--SUBSTITUTE(SUBSTITUTE(TRIM(INDEX($A:$AP,ROW(),$G$6)),",",""),"원",""),0))))</f>
        <v/>
      </c>
      <c r="AV886" s="23">
        <f>IF($AS886="","",IF($H$6="",$AT886+$AU886,IF($H$6="",0,IF(ISNUMBER(INDEX($A:$AP,ROW(),$H$6)),INDEX($A:$AP,ROW(),$H$6),IFERROR(--SUBSTITUTE(SUBSTITUTE(TRIM(INDEX($A:$AP,ROW(),$H$6)),",",""),"원",""),0)))))</f>
        <v/>
      </c>
      <c r="AW886" s="2">
        <f>IF(OR($AS886="",$C$6=""),"",TRIM(INDEX($A:$AP,ROW(),$C$6)&amp;""))</f>
        <v/>
      </c>
      <c r="AX886" s="2">
        <f>IF($AS886="","",IF($AZ886&lt;&gt;"",SUBSTITUTE(SUBSTITUTE($AZ886,"-","")," ",""),$AY886))</f>
        <v/>
      </c>
      <c r="AY886" s="2">
        <f>IF(OR($AS886="",$E$6=""),"",TRIM(INDEX($A:$AP,ROW(),$E$6)&amp;""))</f>
        <v/>
      </c>
      <c r="AZ886" s="2">
        <f>IF(OR($AS886="",$D$6=""),"",TRIM(INDEX($A:$AP,ROW(),$D$6)&amp;""))</f>
        <v/>
      </c>
      <c r="BA886" s="2">
        <f>IF($AS886="","",IF(AND($AS886&gt;=설정!$B$10,$AS886&lt;=설정!$B$11),"포함","기간 밖"))</f>
        <v/>
      </c>
      <c r="BB886" s="2">
        <f>IF($AS886="","",IF(OR($AT886&lt;0,AND($I$6&lt;&gt;"",ISNUMBER(FIND("수정",INDEX($A:$AP,ROW(),IF($I$6="",1,$I$6))&amp;"")))),"수정","일반"))</f>
        <v/>
      </c>
      <c r="BC886" s="2">
        <f>IF($AS886="","",MID(IF($BA886="기간 밖"," / 기간 밖(신고기간 아님)","")&amp;IF(AND($AW886&lt;&gt;"",COUNTIF($AW$8:$AW$1007,$AW886)&gt;1)," / 승인번호 중복(두 번 붙여넣기?)","")&amp;IF(ABS($AU886-ROUND($AT886*0.1,0))&gt;설정!$B$8,IF($AU886=0," / 세액 0원(영세율·면세 여부 확인)"," / 세액이 공급가액 10%와 다름"),"")&amp;IF($BB886="수정"," / 수정세금계산서(합계에서 자동 가감)",""),4,200))</f>
        <v/>
      </c>
      <c r="BD886" s="2">
        <f>IF($BA886&lt;&gt;"포함","",IF(COUNTIFS($AX$8:$AX886,$AX886,$BA$8:$BA886,"포함")=1,MAX($BD$7:BD885)+1,""))</f>
        <v/>
      </c>
      <c r="BE886" s="2">
        <f>IF($BC886="","",MAX($BE$7:BE885)+1)</f>
        <v/>
      </c>
    </row>
    <row r="887">
      <c r="AR887" s="2">
        <f>IF(OR($A$5="",$B$6="",ROW()&lt;$A$5),"",IF(INDEX($A:$AP,ROW(),$B$6)="","",INDEX($A:$AP,ROW(),$B$6)))</f>
        <v/>
      </c>
      <c r="AS887" s="22">
        <f>IF($AR887="","",IF(ISNUMBER($AR887),IF($AR887&gt;=10000000,IFERROR(DATE(INT($AR887/10000),MOD(INT($AR887/100),100),MOD($AR887,100)),""),INT($AR887)),IFERROR(DATE(--LEFT(LEFT(SUBSTITUTE(SUBSTITUTE(SUBSTITUTE(SUBSTITUTE(TRIM($AR887),"-",""),".",""),"/","")," ",""),8),4),--MID(LEFT(SUBSTITUTE(SUBSTITUTE(SUBSTITUTE(SUBSTITUTE(TRIM($AR887),"-",""),".",""),"/","")," ",""),8),5,2),--MID(LEFT(SUBSTITUTE(SUBSTITUTE(SUBSTITUTE(SUBSTITUTE(TRIM($AR887),"-",""),".",""),"/","")," ",""),8),7,2)),"")))</f>
        <v/>
      </c>
      <c r="AT887" s="23">
        <f>IF($AS887="","",IF($F$6="",0,IF(ISNUMBER(INDEX($A:$AP,ROW(),$F$6)),INDEX($A:$AP,ROW(),$F$6),IFERROR(--SUBSTITUTE(SUBSTITUTE(TRIM(INDEX($A:$AP,ROW(),$F$6)),",",""),"원",""),0))))</f>
        <v/>
      </c>
      <c r="AU887" s="23">
        <f>IF($AS887="","",IF($G$6="",0,IF(ISNUMBER(INDEX($A:$AP,ROW(),$G$6)),INDEX($A:$AP,ROW(),$G$6),IFERROR(--SUBSTITUTE(SUBSTITUTE(TRIM(INDEX($A:$AP,ROW(),$G$6)),",",""),"원",""),0))))</f>
        <v/>
      </c>
      <c r="AV887" s="23">
        <f>IF($AS887="","",IF($H$6="",$AT887+$AU887,IF($H$6="",0,IF(ISNUMBER(INDEX($A:$AP,ROW(),$H$6)),INDEX($A:$AP,ROW(),$H$6),IFERROR(--SUBSTITUTE(SUBSTITUTE(TRIM(INDEX($A:$AP,ROW(),$H$6)),",",""),"원",""),0)))))</f>
        <v/>
      </c>
      <c r="AW887" s="2">
        <f>IF(OR($AS887="",$C$6=""),"",TRIM(INDEX($A:$AP,ROW(),$C$6)&amp;""))</f>
        <v/>
      </c>
      <c r="AX887" s="2">
        <f>IF($AS887="","",IF($AZ887&lt;&gt;"",SUBSTITUTE(SUBSTITUTE($AZ887,"-","")," ",""),$AY887))</f>
        <v/>
      </c>
      <c r="AY887" s="2">
        <f>IF(OR($AS887="",$E$6=""),"",TRIM(INDEX($A:$AP,ROW(),$E$6)&amp;""))</f>
        <v/>
      </c>
      <c r="AZ887" s="2">
        <f>IF(OR($AS887="",$D$6=""),"",TRIM(INDEX($A:$AP,ROW(),$D$6)&amp;""))</f>
        <v/>
      </c>
      <c r="BA887" s="2">
        <f>IF($AS887="","",IF(AND($AS887&gt;=설정!$B$10,$AS887&lt;=설정!$B$11),"포함","기간 밖"))</f>
        <v/>
      </c>
      <c r="BB887" s="2">
        <f>IF($AS887="","",IF(OR($AT887&lt;0,AND($I$6&lt;&gt;"",ISNUMBER(FIND("수정",INDEX($A:$AP,ROW(),IF($I$6="",1,$I$6))&amp;"")))),"수정","일반"))</f>
        <v/>
      </c>
      <c r="BC887" s="2">
        <f>IF($AS887="","",MID(IF($BA887="기간 밖"," / 기간 밖(신고기간 아님)","")&amp;IF(AND($AW887&lt;&gt;"",COUNTIF($AW$8:$AW$1007,$AW887)&gt;1)," / 승인번호 중복(두 번 붙여넣기?)","")&amp;IF(ABS($AU887-ROUND($AT887*0.1,0))&gt;설정!$B$8,IF($AU887=0," / 세액 0원(영세율·면세 여부 확인)"," / 세액이 공급가액 10%와 다름"),"")&amp;IF($BB887="수정"," / 수정세금계산서(합계에서 자동 가감)",""),4,200))</f>
        <v/>
      </c>
      <c r="BD887" s="2">
        <f>IF($BA887&lt;&gt;"포함","",IF(COUNTIFS($AX$8:$AX887,$AX887,$BA$8:$BA887,"포함")=1,MAX($BD$7:BD886)+1,""))</f>
        <v/>
      </c>
      <c r="BE887" s="2">
        <f>IF($BC887="","",MAX($BE$7:BE886)+1)</f>
        <v/>
      </c>
    </row>
    <row r="888">
      <c r="AR888" s="2">
        <f>IF(OR($A$5="",$B$6="",ROW()&lt;$A$5),"",IF(INDEX($A:$AP,ROW(),$B$6)="","",INDEX($A:$AP,ROW(),$B$6)))</f>
        <v/>
      </c>
      <c r="AS888" s="22">
        <f>IF($AR888="","",IF(ISNUMBER($AR888),IF($AR888&gt;=10000000,IFERROR(DATE(INT($AR888/10000),MOD(INT($AR888/100),100),MOD($AR888,100)),""),INT($AR888)),IFERROR(DATE(--LEFT(LEFT(SUBSTITUTE(SUBSTITUTE(SUBSTITUTE(SUBSTITUTE(TRIM($AR888),"-",""),".",""),"/","")," ",""),8),4),--MID(LEFT(SUBSTITUTE(SUBSTITUTE(SUBSTITUTE(SUBSTITUTE(TRIM($AR888),"-",""),".",""),"/","")," ",""),8),5,2),--MID(LEFT(SUBSTITUTE(SUBSTITUTE(SUBSTITUTE(SUBSTITUTE(TRIM($AR888),"-",""),".",""),"/","")," ",""),8),7,2)),"")))</f>
        <v/>
      </c>
      <c r="AT888" s="23">
        <f>IF($AS888="","",IF($F$6="",0,IF(ISNUMBER(INDEX($A:$AP,ROW(),$F$6)),INDEX($A:$AP,ROW(),$F$6),IFERROR(--SUBSTITUTE(SUBSTITUTE(TRIM(INDEX($A:$AP,ROW(),$F$6)),",",""),"원",""),0))))</f>
        <v/>
      </c>
      <c r="AU888" s="23">
        <f>IF($AS888="","",IF($G$6="",0,IF(ISNUMBER(INDEX($A:$AP,ROW(),$G$6)),INDEX($A:$AP,ROW(),$G$6),IFERROR(--SUBSTITUTE(SUBSTITUTE(TRIM(INDEX($A:$AP,ROW(),$G$6)),",",""),"원",""),0))))</f>
        <v/>
      </c>
      <c r="AV888" s="23">
        <f>IF($AS888="","",IF($H$6="",$AT888+$AU888,IF($H$6="",0,IF(ISNUMBER(INDEX($A:$AP,ROW(),$H$6)),INDEX($A:$AP,ROW(),$H$6),IFERROR(--SUBSTITUTE(SUBSTITUTE(TRIM(INDEX($A:$AP,ROW(),$H$6)),",",""),"원",""),0)))))</f>
        <v/>
      </c>
      <c r="AW888" s="2">
        <f>IF(OR($AS888="",$C$6=""),"",TRIM(INDEX($A:$AP,ROW(),$C$6)&amp;""))</f>
        <v/>
      </c>
      <c r="AX888" s="2">
        <f>IF($AS888="","",IF($AZ888&lt;&gt;"",SUBSTITUTE(SUBSTITUTE($AZ888,"-","")," ",""),$AY888))</f>
        <v/>
      </c>
      <c r="AY888" s="2">
        <f>IF(OR($AS888="",$E$6=""),"",TRIM(INDEX($A:$AP,ROW(),$E$6)&amp;""))</f>
        <v/>
      </c>
      <c r="AZ888" s="2">
        <f>IF(OR($AS888="",$D$6=""),"",TRIM(INDEX($A:$AP,ROW(),$D$6)&amp;""))</f>
        <v/>
      </c>
      <c r="BA888" s="2">
        <f>IF($AS888="","",IF(AND($AS888&gt;=설정!$B$10,$AS888&lt;=설정!$B$11),"포함","기간 밖"))</f>
        <v/>
      </c>
      <c r="BB888" s="2">
        <f>IF($AS888="","",IF(OR($AT888&lt;0,AND($I$6&lt;&gt;"",ISNUMBER(FIND("수정",INDEX($A:$AP,ROW(),IF($I$6="",1,$I$6))&amp;"")))),"수정","일반"))</f>
        <v/>
      </c>
      <c r="BC888" s="2">
        <f>IF($AS888="","",MID(IF($BA888="기간 밖"," / 기간 밖(신고기간 아님)","")&amp;IF(AND($AW888&lt;&gt;"",COUNTIF($AW$8:$AW$1007,$AW888)&gt;1)," / 승인번호 중복(두 번 붙여넣기?)","")&amp;IF(ABS($AU888-ROUND($AT888*0.1,0))&gt;설정!$B$8,IF($AU888=0," / 세액 0원(영세율·면세 여부 확인)"," / 세액이 공급가액 10%와 다름"),"")&amp;IF($BB888="수정"," / 수정세금계산서(합계에서 자동 가감)",""),4,200))</f>
        <v/>
      </c>
      <c r="BD888" s="2">
        <f>IF($BA888&lt;&gt;"포함","",IF(COUNTIFS($AX$8:$AX888,$AX888,$BA$8:$BA888,"포함")=1,MAX($BD$7:BD887)+1,""))</f>
        <v/>
      </c>
      <c r="BE888" s="2">
        <f>IF($BC888="","",MAX($BE$7:BE887)+1)</f>
        <v/>
      </c>
    </row>
    <row r="889">
      <c r="AR889" s="2">
        <f>IF(OR($A$5="",$B$6="",ROW()&lt;$A$5),"",IF(INDEX($A:$AP,ROW(),$B$6)="","",INDEX($A:$AP,ROW(),$B$6)))</f>
        <v/>
      </c>
      <c r="AS889" s="22">
        <f>IF($AR889="","",IF(ISNUMBER($AR889),IF($AR889&gt;=10000000,IFERROR(DATE(INT($AR889/10000),MOD(INT($AR889/100),100),MOD($AR889,100)),""),INT($AR889)),IFERROR(DATE(--LEFT(LEFT(SUBSTITUTE(SUBSTITUTE(SUBSTITUTE(SUBSTITUTE(TRIM($AR889),"-",""),".",""),"/","")," ",""),8),4),--MID(LEFT(SUBSTITUTE(SUBSTITUTE(SUBSTITUTE(SUBSTITUTE(TRIM($AR889),"-",""),".",""),"/","")," ",""),8),5,2),--MID(LEFT(SUBSTITUTE(SUBSTITUTE(SUBSTITUTE(SUBSTITUTE(TRIM($AR889),"-",""),".",""),"/","")," ",""),8),7,2)),"")))</f>
        <v/>
      </c>
      <c r="AT889" s="23">
        <f>IF($AS889="","",IF($F$6="",0,IF(ISNUMBER(INDEX($A:$AP,ROW(),$F$6)),INDEX($A:$AP,ROW(),$F$6),IFERROR(--SUBSTITUTE(SUBSTITUTE(TRIM(INDEX($A:$AP,ROW(),$F$6)),",",""),"원",""),0))))</f>
        <v/>
      </c>
      <c r="AU889" s="23">
        <f>IF($AS889="","",IF($G$6="",0,IF(ISNUMBER(INDEX($A:$AP,ROW(),$G$6)),INDEX($A:$AP,ROW(),$G$6),IFERROR(--SUBSTITUTE(SUBSTITUTE(TRIM(INDEX($A:$AP,ROW(),$G$6)),",",""),"원",""),0))))</f>
        <v/>
      </c>
      <c r="AV889" s="23">
        <f>IF($AS889="","",IF($H$6="",$AT889+$AU889,IF($H$6="",0,IF(ISNUMBER(INDEX($A:$AP,ROW(),$H$6)),INDEX($A:$AP,ROW(),$H$6),IFERROR(--SUBSTITUTE(SUBSTITUTE(TRIM(INDEX($A:$AP,ROW(),$H$6)),",",""),"원",""),0)))))</f>
        <v/>
      </c>
      <c r="AW889" s="2">
        <f>IF(OR($AS889="",$C$6=""),"",TRIM(INDEX($A:$AP,ROW(),$C$6)&amp;""))</f>
        <v/>
      </c>
      <c r="AX889" s="2">
        <f>IF($AS889="","",IF($AZ889&lt;&gt;"",SUBSTITUTE(SUBSTITUTE($AZ889,"-","")," ",""),$AY889))</f>
        <v/>
      </c>
      <c r="AY889" s="2">
        <f>IF(OR($AS889="",$E$6=""),"",TRIM(INDEX($A:$AP,ROW(),$E$6)&amp;""))</f>
        <v/>
      </c>
      <c r="AZ889" s="2">
        <f>IF(OR($AS889="",$D$6=""),"",TRIM(INDEX($A:$AP,ROW(),$D$6)&amp;""))</f>
        <v/>
      </c>
      <c r="BA889" s="2">
        <f>IF($AS889="","",IF(AND($AS889&gt;=설정!$B$10,$AS889&lt;=설정!$B$11),"포함","기간 밖"))</f>
        <v/>
      </c>
      <c r="BB889" s="2">
        <f>IF($AS889="","",IF(OR($AT889&lt;0,AND($I$6&lt;&gt;"",ISNUMBER(FIND("수정",INDEX($A:$AP,ROW(),IF($I$6="",1,$I$6))&amp;"")))),"수정","일반"))</f>
        <v/>
      </c>
      <c r="BC889" s="2">
        <f>IF($AS889="","",MID(IF($BA889="기간 밖"," / 기간 밖(신고기간 아님)","")&amp;IF(AND($AW889&lt;&gt;"",COUNTIF($AW$8:$AW$1007,$AW889)&gt;1)," / 승인번호 중복(두 번 붙여넣기?)","")&amp;IF(ABS($AU889-ROUND($AT889*0.1,0))&gt;설정!$B$8,IF($AU889=0," / 세액 0원(영세율·면세 여부 확인)"," / 세액이 공급가액 10%와 다름"),"")&amp;IF($BB889="수정"," / 수정세금계산서(합계에서 자동 가감)",""),4,200))</f>
        <v/>
      </c>
      <c r="BD889" s="2">
        <f>IF($BA889&lt;&gt;"포함","",IF(COUNTIFS($AX$8:$AX889,$AX889,$BA$8:$BA889,"포함")=1,MAX($BD$7:BD888)+1,""))</f>
        <v/>
      </c>
      <c r="BE889" s="2">
        <f>IF($BC889="","",MAX($BE$7:BE888)+1)</f>
        <v/>
      </c>
    </row>
    <row r="890">
      <c r="AR890" s="2">
        <f>IF(OR($A$5="",$B$6="",ROW()&lt;$A$5),"",IF(INDEX($A:$AP,ROW(),$B$6)="","",INDEX($A:$AP,ROW(),$B$6)))</f>
        <v/>
      </c>
      <c r="AS890" s="22">
        <f>IF($AR890="","",IF(ISNUMBER($AR890),IF($AR890&gt;=10000000,IFERROR(DATE(INT($AR890/10000),MOD(INT($AR890/100),100),MOD($AR890,100)),""),INT($AR890)),IFERROR(DATE(--LEFT(LEFT(SUBSTITUTE(SUBSTITUTE(SUBSTITUTE(SUBSTITUTE(TRIM($AR890),"-",""),".",""),"/","")," ",""),8),4),--MID(LEFT(SUBSTITUTE(SUBSTITUTE(SUBSTITUTE(SUBSTITUTE(TRIM($AR890),"-",""),".",""),"/","")," ",""),8),5,2),--MID(LEFT(SUBSTITUTE(SUBSTITUTE(SUBSTITUTE(SUBSTITUTE(TRIM($AR890),"-",""),".",""),"/","")," ",""),8),7,2)),"")))</f>
        <v/>
      </c>
      <c r="AT890" s="23">
        <f>IF($AS890="","",IF($F$6="",0,IF(ISNUMBER(INDEX($A:$AP,ROW(),$F$6)),INDEX($A:$AP,ROW(),$F$6),IFERROR(--SUBSTITUTE(SUBSTITUTE(TRIM(INDEX($A:$AP,ROW(),$F$6)),",",""),"원",""),0))))</f>
        <v/>
      </c>
      <c r="AU890" s="23">
        <f>IF($AS890="","",IF($G$6="",0,IF(ISNUMBER(INDEX($A:$AP,ROW(),$G$6)),INDEX($A:$AP,ROW(),$G$6),IFERROR(--SUBSTITUTE(SUBSTITUTE(TRIM(INDEX($A:$AP,ROW(),$G$6)),",",""),"원",""),0))))</f>
        <v/>
      </c>
      <c r="AV890" s="23">
        <f>IF($AS890="","",IF($H$6="",$AT890+$AU890,IF($H$6="",0,IF(ISNUMBER(INDEX($A:$AP,ROW(),$H$6)),INDEX($A:$AP,ROW(),$H$6),IFERROR(--SUBSTITUTE(SUBSTITUTE(TRIM(INDEX($A:$AP,ROW(),$H$6)),",",""),"원",""),0)))))</f>
        <v/>
      </c>
      <c r="AW890" s="2">
        <f>IF(OR($AS890="",$C$6=""),"",TRIM(INDEX($A:$AP,ROW(),$C$6)&amp;""))</f>
        <v/>
      </c>
      <c r="AX890" s="2">
        <f>IF($AS890="","",IF($AZ890&lt;&gt;"",SUBSTITUTE(SUBSTITUTE($AZ890,"-","")," ",""),$AY890))</f>
        <v/>
      </c>
      <c r="AY890" s="2">
        <f>IF(OR($AS890="",$E$6=""),"",TRIM(INDEX($A:$AP,ROW(),$E$6)&amp;""))</f>
        <v/>
      </c>
      <c r="AZ890" s="2">
        <f>IF(OR($AS890="",$D$6=""),"",TRIM(INDEX($A:$AP,ROW(),$D$6)&amp;""))</f>
        <v/>
      </c>
      <c r="BA890" s="2">
        <f>IF($AS890="","",IF(AND($AS890&gt;=설정!$B$10,$AS890&lt;=설정!$B$11),"포함","기간 밖"))</f>
        <v/>
      </c>
      <c r="BB890" s="2">
        <f>IF($AS890="","",IF(OR($AT890&lt;0,AND($I$6&lt;&gt;"",ISNUMBER(FIND("수정",INDEX($A:$AP,ROW(),IF($I$6="",1,$I$6))&amp;"")))),"수정","일반"))</f>
        <v/>
      </c>
      <c r="BC890" s="2">
        <f>IF($AS890="","",MID(IF($BA890="기간 밖"," / 기간 밖(신고기간 아님)","")&amp;IF(AND($AW890&lt;&gt;"",COUNTIF($AW$8:$AW$1007,$AW890)&gt;1)," / 승인번호 중복(두 번 붙여넣기?)","")&amp;IF(ABS($AU890-ROUND($AT890*0.1,0))&gt;설정!$B$8,IF($AU890=0," / 세액 0원(영세율·면세 여부 확인)"," / 세액이 공급가액 10%와 다름"),"")&amp;IF($BB890="수정"," / 수정세금계산서(합계에서 자동 가감)",""),4,200))</f>
        <v/>
      </c>
      <c r="BD890" s="2">
        <f>IF($BA890&lt;&gt;"포함","",IF(COUNTIFS($AX$8:$AX890,$AX890,$BA$8:$BA890,"포함")=1,MAX($BD$7:BD889)+1,""))</f>
        <v/>
      </c>
      <c r="BE890" s="2">
        <f>IF($BC890="","",MAX($BE$7:BE889)+1)</f>
        <v/>
      </c>
    </row>
    <row r="891">
      <c r="AR891" s="2">
        <f>IF(OR($A$5="",$B$6="",ROW()&lt;$A$5),"",IF(INDEX($A:$AP,ROW(),$B$6)="","",INDEX($A:$AP,ROW(),$B$6)))</f>
        <v/>
      </c>
      <c r="AS891" s="22">
        <f>IF($AR891="","",IF(ISNUMBER($AR891),IF($AR891&gt;=10000000,IFERROR(DATE(INT($AR891/10000),MOD(INT($AR891/100),100),MOD($AR891,100)),""),INT($AR891)),IFERROR(DATE(--LEFT(LEFT(SUBSTITUTE(SUBSTITUTE(SUBSTITUTE(SUBSTITUTE(TRIM($AR891),"-",""),".",""),"/","")," ",""),8),4),--MID(LEFT(SUBSTITUTE(SUBSTITUTE(SUBSTITUTE(SUBSTITUTE(TRIM($AR891),"-",""),".",""),"/","")," ",""),8),5,2),--MID(LEFT(SUBSTITUTE(SUBSTITUTE(SUBSTITUTE(SUBSTITUTE(TRIM($AR891),"-",""),".",""),"/","")," ",""),8),7,2)),"")))</f>
        <v/>
      </c>
      <c r="AT891" s="23">
        <f>IF($AS891="","",IF($F$6="",0,IF(ISNUMBER(INDEX($A:$AP,ROW(),$F$6)),INDEX($A:$AP,ROW(),$F$6),IFERROR(--SUBSTITUTE(SUBSTITUTE(TRIM(INDEX($A:$AP,ROW(),$F$6)),",",""),"원",""),0))))</f>
        <v/>
      </c>
      <c r="AU891" s="23">
        <f>IF($AS891="","",IF($G$6="",0,IF(ISNUMBER(INDEX($A:$AP,ROW(),$G$6)),INDEX($A:$AP,ROW(),$G$6),IFERROR(--SUBSTITUTE(SUBSTITUTE(TRIM(INDEX($A:$AP,ROW(),$G$6)),",",""),"원",""),0))))</f>
        <v/>
      </c>
      <c r="AV891" s="23">
        <f>IF($AS891="","",IF($H$6="",$AT891+$AU891,IF($H$6="",0,IF(ISNUMBER(INDEX($A:$AP,ROW(),$H$6)),INDEX($A:$AP,ROW(),$H$6),IFERROR(--SUBSTITUTE(SUBSTITUTE(TRIM(INDEX($A:$AP,ROW(),$H$6)),",",""),"원",""),0)))))</f>
        <v/>
      </c>
      <c r="AW891" s="2">
        <f>IF(OR($AS891="",$C$6=""),"",TRIM(INDEX($A:$AP,ROW(),$C$6)&amp;""))</f>
        <v/>
      </c>
      <c r="AX891" s="2">
        <f>IF($AS891="","",IF($AZ891&lt;&gt;"",SUBSTITUTE(SUBSTITUTE($AZ891,"-","")," ",""),$AY891))</f>
        <v/>
      </c>
      <c r="AY891" s="2">
        <f>IF(OR($AS891="",$E$6=""),"",TRIM(INDEX($A:$AP,ROW(),$E$6)&amp;""))</f>
        <v/>
      </c>
      <c r="AZ891" s="2">
        <f>IF(OR($AS891="",$D$6=""),"",TRIM(INDEX($A:$AP,ROW(),$D$6)&amp;""))</f>
        <v/>
      </c>
      <c r="BA891" s="2">
        <f>IF($AS891="","",IF(AND($AS891&gt;=설정!$B$10,$AS891&lt;=설정!$B$11),"포함","기간 밖"))</f>
        <v/>
      </c>
      <c r="BB891" s="2">
        <f>IF($AS891="","",IF(OR($AT891&lt;0,AND($I$6&lt;&gt;"",ISNUMBER(FIND("수정",INDEX($A:$AP,ROW(),IF($I$6="",1,$I$6))&amp;"")))),"수정","일반"))</f>
        <v/>
      </c>
      <c r="BC891" s="2">
        <f>IF($AS891="","",MID(IF($BA891="기간 밖"," / 기간 밖(신고기간 아님)","")&amp;IF(AND($AW891&lt;&gt;"",COUNTIF($AW$8:$AW$1007,$AW891)&gt;1)," / 승인번호 중복(두 번 붙여넣기?)","")&amp;IF(ABS($AU891-ROUND($AT891*0.1,0))&gt;설정!$B$8,IF($AU891=0," / 세액 0원(영세율·면세 여부 확인)"," / 세액이 공급가액 10%와 다름"),"")&amp;IF($BB891="수정"," / 수정세금계산서(합계에서 자동 가감)",""),4,200))</f>
        <v/>
      </c>
      <c r="BD891" s="2">
        <f>IF($BA891&lt;&gt;"포함","",IF(COUNTIFS($AX$8:$AX891,$AX891,$BA$8:$BA891,"포함")=1,MAX($BD$7:BD890)+1,""))</f>
        <v/>
      </c>
      <c r="BE891" s="2">
        <f>IF($BC891="","",MAX($BE$7:BE890)+1)</f>
        <v/>
      </c>
    </row>
    <row r="892">
      <c r="AR892" s="2">
        <f>IF(OR($A$5="",$B$6="",ROW()&lt;$A$5),"",IF(INDEX($A:$AP,ROW(),$B$6)="","",INDEX($A:$AP,ROW(),$B$6)))</f>
        <v/>
      </c>
      <c r="AS892" s="22">
        <f>IF($AR892="","",IF(ISNUMBER($AR892),IF($AR892&gt;=10000000,IFERROR(DATE(INT($AR892/10000),MOD(INT($AR892/100),100),MOD($AR892,100)),""),INT($AR892)),IFERROR(DATE(--LEFT(LEFT(SUBSTITUTE(SUBSTITUTE(SUBSTITUTE(SUBSTITUTE(TRIM($AR892),"-",""),".",""),"/","")," ",""),8),4),--MID(LEFT(SUBSTITUTE(SUBSTITUTE(SUBSTITUTE(SUBSTITUTE(TRIM($AR892),"-",""),".",""),"/","")," ",""),8),5,2),--MID(LEFT(SUBSTITUTE(SUBSTITUTE(SUBSTITUTE(SUBSTITUTE(TRIM($AR892),"-",""),".",""),"/","")," ",""),8),7,2)),"")))</f>
        <v/>
      </c>
      <c r="AT892" s="23">
        <f>IF($AS892="","",IF($F$6="",0,IF(ISNUMBER(INDEX($A:$AP,ROW(),$F$6)),INDEX($A:$AP,ROW(),$F$6),IFERROR(--SUBSTITUTE(SUBSTITUTE(TRIM(INDEX($A:$AP,ROW(),$F$6)),",",""),"원",""),0))))</f>
        <v/>
      </c>
      <c r="AU892" s="23">
        <f>IF($AS892="","",IF($G$6="",0,IF(ISNUMBER(INDEX($A:$AP,ROW(),$G$6)),INDEX($A:$AP,ROW(),$G$6),IFERROR(--SUBSTITUTE(SUBSTITUTE(TRIM(INDEX($A:$AP,ROW(),$G$6)),",",""),"원",""),0))))</f>
        <v/>
      </c>
      <c r="AV892" s="23">
        <f>IF($AS892="","",IF($H$6="",$AT892+$AU892,IF($H$6="",0,IF(ISNUMBER(INDEX($A:$AP,ROW(),$H$6)),INDEX($A:$AP,ROW(),$H$6),IFERROR(--SUBSTITUTE(SUBSTITUTE(TRIM(INDEX($A:$AP,ROW(),$H$6)),",",""),"원",""),0)))))</f>
        <v/>
      </c>
      <c r="AW892" s="2">
        <f>IF(OR($AS892="",$C$6=""),"",TRIM(INDEX($A:$AP,ROW(),$C$6)&amp;""))</f>
        <v/>
      </c>
      <c r="AX892" s="2">
        <f>IF($AS892="","",IF($AZ892&lt;&gt;"",SUBSTITUTE(SUBSTITUTE($AZ892,"-","")," ",""),$AY892))</f>
        <v/>
      </c>
      <c r="AY892" s="2">
        <f>IF(OR($AS892="",$E$6=""),"",TRIM(INDEX($A:$AP,ROW(),$E$6)&amp;""))</f>
        <v/>
      </c>
      <c r="AZ892" s="2">
        <f>IF(OR($AS892="",$D$6=""),"",TRIM(INDEX($A:$AP,ROW(),$D$6)&amp;""))</f>
        <v/>
      </c>
      <c r="BA892" s="2">
        <f>IF($AS892="","",IF(AND($AS892&gt;=설정!$B$10,$AS892&lt;=설정!$B$11),"포함","기간 밖"))</f>
        <v/>
      </c>
      <c r="BB892" s="2">
        <f>IF($AS892="","",IF(OR($AT892&lt;0,AND($I$6&lt;&gt;"",ISNUMBER(FIND("수정",INDEX($A:$AP,ROW(),IF($I$6="",1,$I$6))&amp;"")))),"수정","일반"))</f>
        <v/>
      </c>
      <c r="BC892" s="2">
        <f>IF($AS892="","",MID(IF($BA892="기간 밖"," / 기간 밖(신고기간 아님)","")&amp;IF(AND($AW892&lt;&gt;"",COUNTIF($AW$8:$AW$1007,$AW892)&gt;1)," / 승인번호 중복(두 번 붙여넣기?)","")&amp;IF(ABS($AU892-ROUND($AT892*0.1,0))&gt;설정!$B$8,IF($AU892=0," / 세액 0원(영세율·면세 여부 확인)"," / 세액이 공급가액 10%와 다름"),"")&amp;IF($BB892="수정"," / 수정세금계산서(합계에서 자동 가감)",""),4,200))</f>
        <v/>
      </c>
      <c r="BD892" s="2">
        <f>IF($BA892&lt;&gt;"포함","",IF(COUNTIFS($AX$8:$AX892,$AX892,$BA$8:$BA892,"포함")=1,MAX($BD$7:BD891)+1,""))</f>
        <v/>
      </c>
      <c r="BE892" s="2">
        <f>IF($BC892="","",MAX($BE$7:BE891)+1)</f>
        <v/>
      </c>
    </row>
    <row r="893">
      <c r="AR893" s="2">
        <f>IF(OR($A$5="",$B$6="",ROW()&lt;$A$5),"",IF(INDEX($A:$AP,ROW(),$B$6)="","",INDEX($A:$AP,ROW(),$B$6)))</f>
        <v/>
      </c>
      <c r="AS893" s="22">
        <f>IF($AR893="","",IF(ISNUMBER($AR893),IF($AR893&gt;=10000000,IFERROR(DATE(INT($AR893/10000),MOD(INT($AR893/100),100),MOD($AR893,100)),""),INT($AR893)),IFERROR(DATE(--LEFT(LEFT(SUBSTITUTE(SUBSTITUTE(SUBSTITUTE(SUBSTITUTE(TRIM($AR893),"-",""),".",""),"/","")," ",""),8),4),--MID(LEFT(SUBSTITUTE(SUBSTITUTE(SUBSTITUTE(SUBSTITUTE(TRIM($AR893),"-",""),".",""),"/","")," ",""),8),5,2),--MID(LEFT(SUBSTITUTE(SUBSTITUTE(SUBSTITUTE(SUBSTITUTE(TRIM($AR893),"-",""),".",""),"/","")," ",""),8),7,2)),"")))</f>
        <v/>
      </c>
      <c r="AT893" s="23">
        <f>IF($AS893="","",IF($F$6="",0,IF(ISNUMBER(INDEX($A:$AP,ROW(),$F$6)),INDEX($A:$AP,ROW(),$F$6),IFERROR(--SUBSTITUTE(SUBSTITUTE(TRIM(INDEX($A:$AP,ROW(),$F$6)),",",""),"원",""),0))))</f>
        <v/>
      </c>
      <c r="AU893" s="23">
        <f>IF($AS893="","",IF($G$6="",0,IF(ISNUMBER(INDEX($A:$AP,ROW(),$G$6)),INDEX($A:$AP,ROW(),$G$6),IFERROR(--SUBSTITUTE(SUBSTITUTE(TRIM(INDEX($A:$AP,ROW(),$G$6)),",",""),"원",""),0))))</f>
        <v/>
      </c>
      <c r="AV893" s="23">
        <f>IF($AS893="","",IF($H$6="",$AT893+$AU893,IF($H$6="",0,IF(ISNUMBER(INDEX($A:$AP,ROW(),$H$6)),INDEX($A:$AP,ROW(),$H$6),IFERROR(--SUBSTITUTE(SUBSTITUTE(TRIM(INDEX($A:$AP,ROW(),$H$6)),",",""),"원",""),0)))))</f>
        <v/>
      </c>
      <c r="AW893" s="2">
        <f>IF(OR($AS893="",$C$6=""),"",TRIM(INDEX($A:$AP,ROW(),$C$6)&amp;""))</f>
        <v/>
      </c>
      <c r="AX893" s="2">
        <f>IF($AS893="","",IF($AZ893&lt;&gt;"",SUBSTITUTE(SUBSTITUTE($AZ893,"-","")," ",""),$AY893))</f>
        <v/>
      </c>
      <c r="AY893" s="2">
        <f>IF(OR($AS893="",$E$6=""),"",TRIM(INDEX($A:$AP,ROW(),$E$6)&amp;""))</f>
        <v/>
      </c>
      <c r="AZ893" s="2">
        <f>IF(OR($AS893="",$D$6=""),"",TRIM(INDEX($A:$AP,ROW(),$D$6)&amp;""))</f>
        <v/>
      </c>
      <c r="BA893" s="2">
        <f>IF($AS893="","",IF(AND($AS893&gt;=설정!$B$10,$AS893&lt;=설정!$B$11),"포함","기간 밖"))</f>
        <v/>
      </c>
      <c r="BB893" s="2">
        <f>IF($AS893="","",IF(OR($AT893&lt;0,AND($I$6&lt;&gt;"",ISNUMBER(FIND("수정",INDEX($A:$AP,ROW(),IF($I$6="",1,$I$6))&amp;"")))),"수정","일반"))</f>
        <v/>
      </c>
      <c r="BC893" s="2">
        <f>IF($AS893="","",MID(IF($BA893="기간 밖"," / 기간 밖(신고기간 아님)","")&amp;IF(AND($AW893&lt;&gt;"",COUNTIF($AW$8:$AW$1007,$AW893)&gt;1)," / 승인번호 중복(두 번 붙여넣기?)","")&amp;IF(ABS($AU893-ROUND($AT893*0.1,0))&gt;설정!$B$8,IF($AU893=0," / 세액 0원(영세율·면세 여부 확인)"," / 세액이 공급가액 10%와 다름"),"")&amp;IF($BB893="수정"," / 수정세금계산서(합계에서 자동 가감)",""),4,200))</f>
        <v/>
      </c>
      <c r="BD893" s="2">
        <f>IF($BA893&lt;&gt;"포함","",IF(COUNTIFS($AX$8:$AX893,$AX893,$BA$8:$BA893,"포함")=1,MAX($BD$7:BD892)+1,""))</f>
        <v/>
      </c>
      <c r="BE893" s="2">
        <f>IF($BC893="","",MAX($BE$7:BE892)+1)</f>
        <v/>
      </c>
    </row>
    <row r="894">
      <c r="AR894" s="2">
        <f>IF(OR($A$5="",$B$6="",ROW()&lt;$A$5),"",IF(INDEX($A:$AP,ROW(),$B$6)="","",INDEX($A:$AP,ROW(),$B$6)))</f>
        <v/>
      </c>
      <c r="AS894" s="22">
        <f>IF($AR894="","",IF(ISNUMBER($AR894),IF($AR894&gt;=10000000,IFERROR(DATE(INT($AR894/10000),MOD(INT($AR894/100),100),MOD($AR894,100)),""),INT($AR894)),IFERROR(DATE(--LEFT(LEFT(SUBSTITUTE(SUBSTITUTE(SUBSTITUTE(SUBSTITUTE(TRIM($AR894),"-",""),".",""),"/","")," ",""),8),4),--MID(LEFT(SUBSTITUTE(SUBSTITUTE(SUBSTITUTE(SUBSTITUTE(TRIM($AR894),"-",""),".",""),"/","")," ",""),8),5,2),--MID(LEFT(SUBSTITUTE(SUBSTITUTE(SUBSTITUTE(SUBSTITUTE(TRIM($AR894),"-",""),".",""),"/","")," ",""),8),7,2)),"")))</f>
        <v/>
      </c>
      <c r="AT894" s="23">
        <f>IF($AS894="","",IF($F$6="",0,IF(ISNUMBER(INDEX($A:$AP,ROW(),$F$6)),INDEX($A:$AP,ROW(),$F$6),IFERROR(--SUBSTITUTE(SUBSTITUTE(TRIM(INDEX($A:$AP,ROW(),$F$6)),",",""),"원",""),0))))</f>
        <v/>
      </c>
      <c r="AU894" s="23">
        <f>IF($AS894="","",IF($G$6="",0,IF(ISNUMBER(INDEX($A:$AP,ROW(),$G$6)),INDEX($A:$AP,ROW(),$G$6),IFERROR(--SUBSTITUTE(SUBSTITUTE(TRIM(INDEX($A:$AP,ROW(),$G$6)),",",""),"원",""),0))))</f>
        <v/>
      </c>
      <c r="AV894" s="23">
        <f>IF($AS894="","",IF($H$6="",$AT894+$AU894,IF($H$6="",0,IF(ISNUMBER(INDEX($A:$AP,ROW(),$H$6)),INDEX($A:$AP,ROW(),$H$6),IFERROR(--SUBSTITUTE(SUBSTITUTE(TRIM(INDEX($A:$AP,ROW(),$H$6)),",",""),"원",""),0)))))</f>
        <v/>
      </c>
      <c r="AW894" s="2">
        <f>IF(OR($AS894="",$C$6=""),"",TRIM(INDEX($A:$AP,ROW(),$C$6)&amp;""))</f>
        <v/>
      </c>
      <c r="AX894" s="2">
        <f>IF($AS894="","",IF($AZ894&lt;&gt;"",SUBSTITUTE(SUBSTITUTE($AZ894,"-","")," ",""),$AY894))</f>
        <v/>
      </c>
      <c r="AY894" s="2">
        <f>IF(OR($AS894="",$E$6=""),"",TRIM(INDEX($A:$AP,ROW(),$E$6)&amp;""))</f>
        <v/>
      </c>
      <c r="AZ894" s="2">
        <f>IF(OR($AS894="",$D$6=""),"",TRIM(INDEX($A:$AP,ROW(),$D$6)&amp;""))</f>
        <v/>
      </c>
      <c r="BA894" s="2">
        <f>IF($AS894="","",IF(AND($AS894&gt;=설정!$B$10,$AS894&lt;=설정!$B$11),"포함","기간 밖"))</f>
        <v/>
      </c>
      <c r="BB894" s="2">
        <f>IF($AS894="","",IF(OR($AT894&lt;0,AND($I$6&lt;&gt;"",ISNUMBER(FIND("수정",INDEX($A:$AP,ROW(),IF($I$6="",1,$I$6))&amp;"")))),"수정","일반"))</f>
        <v/>
      </c>
      <c r="BC894" s="2">
        <f>IF($AS894="","",MID(IF($BA894="기간 밖"," / 기간 밖(신고기간 아님)","")&amp;IF(AND($AW894&lt;&gt;"",COUNTIF($AW$8:$AW$1007,$AW894)&gt;1)," / 승인번호 중복(두 번 붙여넣기?)","")&amp;IF(ABS($AU894-ROUND($AT894*0.1,0))&gt;설정!$B$8,IF($AU894=0," / 세액 0원(영세율·면세 여부 확인)"," / 세액이 공급가액 10%와 다름"),"")&amp;IF($BB894="수정"," / 수정세금계산서(합계에서 자동 가감)",""),4,200))</f>
        <v/>
      </c>
      <c r="BD894" s="2">
        <f>IF($BA894&lt;&gt;"포함","",IF(COUNTIFS($AX$8:$AX894,$AX894,$BA$8:$BA894,"포함")=1,MAX($BD$7:BD893)+1,""))</f>
        <v/>
      </c>
      <c r="BE894" s="2">
        <f>IF($BC894="","",MAX($BE$7:BE893)+1)</f>
        <v/>
      </c>
    </row>
    <row r="895">
      <c r="AR895" s="2">
        <f>IF(OR($A$5="",$B$6="",ROW()&lt;$A$5),"",IF(INDEX($A:$AP,ROW(),$B$6)="","",INDEX($A:$AP,ROW(),$B$6)))</f>
        <v/>
      </c>
      <c r="AS895" s="22">
        <f>IF($AR895="","",IF(ISNUMBER($AR895),IF($AR895&gt;=10000000,IFERROR(DATE(INT($AR895/10000),MOD(INT($AR895/100),100),MOD($AR895,100)),""),INT($AR895)),IFERROR(DATE(--LEFT(LEFT(SUBSTITUTE(SUBSTITUTE(SUBSTITUTE(SUBSTITUTE(TRIM($AR895),"-",""),".",""),"/","")," ",""),8),4),--MID(LEFT(SUBSTITUTE(SUBSTITUTE(SUBSTITUTE(SUBSTITUTE(TRIM($AR895),"-",""),".",""),"/","")," ",""),8),5,2),--MID(LEFT(SUBSTITUTE(SUBSTITUTE(SUBSTITUTE(SUBSTITUTE(TRIM($AR895),"-",""),".",""),"/","")," ",""),8),7,2)),"")))</f>
        <v/>
      </c>
      <c r="AT895" s="23">
        <f>IF($AS895="","",IF($F$6="",0,IF(ISNUMBER(INDEX($A:$AP,ROW(),$F$6)),INDEX($A:$AP,ROW(),$F$6),IFERROR(--SUBSTITUTE(SUBSTITUTE(TRIM(INDEX($A:$AP,ROW(),$F$6)),",",""),"원",""),0))))</f>
        <v/>
      </c>
      <c r="AU895" s="23">
        <f>IF($AS895="","",IF($G$6="",0,IF(ISNUMBER(INDEX($A:$AP,ROW(),$G$6)),INDEX($A:$AP,ROW(),$G$6),IFERROR(--SUBSTITUTE(SUBSTITUTE(TRIM(INDEX($A:$AP,ROW(),$G$6)),",",""),"원",""),0))))</f>
        <v/>
      </c>
      <c r="AV895" s="23">
        <f>IF($AS895="","",IF($H$6="",$AT895+$AU895,IF($H$6="",0,IF(ISNUMBER(INDEX($A:$AP,ROW(),$H$6)),INDEX($A:$AP,ROW(),$H$6),IFERROR(--SUBSTITUTE(SUBSTITUTE(TRIM(INDEX($A:$AP,ROW(),$H$6)),",",""),"원",""),0)))))</f>
        <v/>
      </c>
      <c r="AW895" s="2">
        <f>IF(OR($AS895="",$C$6=""),"",TRIM(INDEX($A:$AP,ROW(),$C$6)&amp;""))</f>
        <v/>
      </c>
      <c r="AX895" s="2">
        <f>IF($AS895="","",IF($AZ895&lt;&gt;"",SUBSTITUTE(SUBSTITUTE($AZ895,"-","")," ",""),$AY895))</f>
        <v/>
      </c>
      <c r="AY895" s="2">
        <f>IF(OR($AS895="",$E$6=""),"",TRIM(INDEX($A:$AP,ROW(),$E$6)&amp;""))</f>
        <v/>
      </c>
      <c r="AZ895" s="2">
        <f>IF(OR($AS895="",$D$6=""),"",TRIM(INDEX($A:$AP,ROW(),$D$6)&amp;""))</f>
        <v/>
      </c>
      <c r="BA895" s="2">
        <f>IF($AS895="","",IF(AND($AS895&gt;=설정!$B$10,$AS895&lt;=설정!$B$11),"포함","기간 밖"))</f>
        <v/>
      </c>
      <c r="BB895" s="2">
        <f>IF($AS895="","",IF(OR($AT895&lt;0,AND($I$6&lt;&gt;"",ISNUMBER(FIND("수정",INDEX($A:$AP,ROW(),IF($I$6="",1,$I$6))&amp;"")))),"수정","일반"))</f>
        <v/>
      </c>
      <c r="BC895" s="2">
        <f>IF($AS895="","",MID(IF($BA895="기간 밖"," / 기간 밖(신고기간 아님)","")&amp;IF(AND($AW895&lt;&gt;"",COUNTIF($AW$8:$AW$1007,$AW895)&gt;1)," / 승인번호 중복(두 번 붙여넣기?)","")&amp;IF(ABS($AU895-ROUND($AT895*0.1,0))&gt;설정!$B$8,IF($AU895=0," / 세액 0원(영세율·면세 여부 확인)"," / 세액이 공급가액 10%와 다름"),"")&amp;IF($BB895="수정"," / 수정세금계산서(합계에서 자동 가감)",""),4,200))</f>
        <v/>
      </c>
      <c r="BD895" s="2">
        <f>IF($BA895&lt;&gt;"포함","",IF(COUNTIFS($AX$8:$AX895,$AX895,$BA$8:$BA895,"포함")=1,MAX($BD$7:BD894)+1,""))</f>
        <v/>
      </c>
      <c r="BE895" s="2">
        <f>IF($BC895="","",MAX($BE$7:BE894)+1)</f>
        <v/>
      </c>
    </row>
    <row r="896">
      <c r="AR896" s="2">
        <f>IF(OR($A$5="",$B$6="",ROW()&lt;$A$5),"",IF(INDEX($A:$AP,ROW(),$B$6)="","",INDEX($A:$AP,ROW(),$B$6)))</f>
        <v/>
      </c>
      <c r="AS896" s="22">
        <f>IF($AR896="","",IF(ISNUMBER($AR896),IF($AR896&gt;=10000000,IFERROR(DATE(INT($AR896/10000),MOD(INT($AR896/100),100),MOD($AR896,100)),""),INT($AR896)),IFERROR(DATE(--LEFT(LEFT(SUBSTITUTE(SUBSTITUTE(SUBSTITUTE(SUBSTITUTE(TRIM($AR896),"-",""),".",""),"/","")," ",""),8),4),--MID(LEFT(SUBSTITUTE(SUBSTITUTE(SUBSTITUTE(SUBSTITUTE(TRIM($AR896),"-",""),".",""),"/","")," ",""),8),5,2),--MID(LEFT(SUBSTITUTE(SUBSTITUTE(SUBSTITUTE(SUBSTITUTE(TRIM($AR896),"-",""),".",""),"/","")," ",""),8),7,2)),"")))</f>
        <v/>
      </c>
      <c r="AT896" s="23">
        <f>IF($AS896="","",IF($F$6="",0,IF(ISNUMBER(INDEX($A:$AP,ROW(),$F$6)),INDEX($A:$AP,ROW(),$F$6),IFERROR(--SUBSTITUTE(SUBSTITUTE(TRIM(INDEX($A:$AP,ROW(),$F$6)),",",""),"원",""),0))))</f>
        <v/>
      </c>
      <c r="AU896" s="23">
        <f>IF($AS896="","",IF($G$6="",0,IF(ISNUMBER(INDEX($A:$AP,ROW(),$G$6)),INDEX($A:$AP,ROW(),$G$6),IFERROR(--SUBSTITUTE(SUBSTITUTE(TRIM(INDEX($A:$AP,ROW(),$G$6)),",",""),"원",""),0))))</f>
        <v/>
      </c>
      <c r="AV896" s="23">
        <f>IF($AS896="","",IF($H$6="",$AT896+$AU896,IF($H$6="",0,IF(ISNUMBER(INDEX($A:$AP,ROW(),$H$6)),INDEX($A:$AP,ROW(),$H$6),IFERROR(--SUBSTITUTE(SUBSTITUTE(TRIM(INDEX($A:$AP,ROW(),$H$6)),",",""),"원",""),0)))))</f>
        <v/>
      </c>
      <c r="AW896" s="2">
        <f>IF(OR($AS896="",$C$6=""),"",TRIM(INDEX($A:$AP,ROW(),$C$6)&amp;""))</f>
        <v/>
      </c>
      <c r="AX896" s="2">
        <f>IF($AS896="","",IF($AZ896&lt;&gt;"",SUBSTITUTE(SUBSTITUTE($AZ896,"-","")," ",""),$AY896))</f>
        <v/>
      </c>
      <c r="AY896" s="2">
        <f>IF(OR($AS896="",$E$6=""),"",TRIM(INDEX($A:$AP,ROW(),$E$6)&amp;""))</f>
        <v/>
      </c>
      <c r="AZ896" s="2">
        <f>IF(OR($AS896="",$D$6=""),"",TRIM(INDEX($A:$AP,ROW(),$D$6)&amp;""))</f>
        <v/>
      </c>
      <c r="BA896" s="2">
        <f>IF($AS896="","",IF(AND($AS896&gt;=설정!$B$10,$AS896&lt;=설정!$B$11),"포함","기간 밖"))</f>
        <v/>
      </c>
      <c r="BB896" s="2">
        <f>IF($AS896="","",IF(OR($AT896&lt;0,AND($I$6&lt;&gt;"",ISNUMBER(FIND("수정",INDEX($A:$AP,ROW(),IF($I$6="",1,$I$6))&amp;"")))),"수정","일반"))</f>
        <v/>
      </c>
      <c r="BC896" s="2">
        <f>IF($AS896="","",MID(IF($BA896="기간 밖"," / 기간 밖(신고기간 아님)","")&amp;IF(AND($AW896&lt;&gt;"",COUNTIF($AW$8:$AW$1007,$AW896)&gt;1)," / 승인번호 중복(두 번 붙여넣기?)","")&amp;IF(ABS($AU896-ROUND($AT896*0.1,0))&gt;설정!$B$8,IF($AU896=0," / 세액 0원(영세율·면세 여부 확인)"," / 세액이 공급가액 10%와 다름"),"")&amp;IF($BB896="수정"," / 수정세금계산서(합계에서 자동 가감)",""),4,200))</f>
        <v/>
      </c>
      <c r="BD896" s="2">
        <f>IF($BA896&lt;&gt;"포함","",IF(COUNTIFS($AX$8:$AX896,$AX896,$BA$8:$BA896,"포함")=1,MAX($BD$7:BD895)+1,""))</f>
        <v/>
      </c>
      <c r="BE896" s="2">
        <f>IF($BC896="","",MAX($BE$7:BE895)+1)</f>
        <v/>
      </c>
    </row>
    <row r="897">
      <c r="AR897" s="2">
        <f>IF(OR($A$5="",$B$6="",ROW()&lt;$A$5),"",IF(INDEX($A:$AP,ROW(),$B$6)="","",INDEX($A:$AP,ROW(),$B$6)))</f>
        <v/>
      </c>
      <c r="AS897" s="22">
        <f>IF($AR897="","",IF(ISNUMBER($AR897),IF($AR897&gt;=10000000,IFERROR(DATE(INT($AR897/10000),MOD(INT($AR897/100),100),MOD($AR897,100)),""),INT($AR897)),IFERROR(DATE(--LEFT(LEFT(SUBSTITUTE(SUBSTITUTE(SUBSTITUTE(SUBSTITUTE(TRIM($AR897),"-",""),".",""),"/","")," ",""),8),4),--MID(LEFT(SUBSTITUTE(SUBSTITUTE(SUBSTITUTE(SUBSTITUTE(TRIM($AR897),"-",""),".",""),"/","")," ",""),8),5,2),--MID(LEFT(SUBSTITUTE(SUBSTITUTE(SUBSTITUTE(SUBSTITUTE(TRIM($AR897),"-",""),".",""),"/","")," ",""),8),7,2)),"")))</f>
        <v/>
      </c>
      <c r="AT897" s="23">
        <f>IF($AS897="","",IF($F$6="",0,IF(ISNUMBER(INDEX($A:$AP,ROW(),$F$6)),INDEX($A:$AP,ROW(),$F$6),IFERROR(--SUBSTITUTE(SUBSTITUTE(TRIM(INDEX($A:$AP,ROW(),$F$6)),",",""),"원",""),0))))</f>
        <v/>
      </c>
      <c r="AU897" s="23">
        <f>IF($AS897="","",IF($G$6="",0,IF(ISNUMBER(INDEX($A:$AP,ROW(),$G$6)),INDEX($A:$AP,ROW(),$G$6),IFERROR(--SUBSTITUTE(SUBSTITUTE(TRIM(INDEX($A:$AP,ROW(),$G$6)),",",""),"원",""),0))))</f>
        <v/>
      </c>
      <c r="AV897" s="23">
        <f>IF($AS897="","",IF($H$6="",$AT897+$AU897,IF($H$6="",0,IF(ISNUMBER(INDEX($A:$AP,ROW(),$H$6)),INDEX($A:$AP,ROW(),$H$6),IFERROR(--SUBSTITUTE(SUBSTITUTE(TRIM(INDEX($A:$AP,ROW(),$H$6)),",",""),"원",""),0)))))</f>
        <v/>
      </c>
      <c r="AW897" s="2">
        <f>IF(OR($AS897="",$C$6=""),"",TRIM(INDEX($A:$AP,ROW(),$C$6)&amp;""))</f>
        <v/>
      </c>
      <c r="AX897" s="2">
        <f>IF($AS897="","",IF($AZ897&lt;&gt;"",SUBSTITUTE(SUBSTITUTE($AZ897,"-","")," ",""),$AY897))</f>
        <v/>
      </c>
      <c r="AY897" s="2">
        <f>IF(OR($AS897="",$E$6=""),"",TRIM(INDEX($A:$AP,ROW(),$E$6)&amp;""))</f>
        <v/>
      </c>
      <c r="AZ897" s="2">
        <f>IF(OR($AS897="",$D$6=""),"",TRIM(INDEX($A:$AP,ROW(),$D$6)&amp;""))</f>
        <v/>
      </c>
      <c r="BA897" s="2">
        <f>IF($AS897="","",IF(AND($AS897&gt;=설정!$B$10,$AS897&lt;=설정!$B$11),"포함","기간 밖"))</f>
        <v/>
      </c>
      <c r="BB897" s="2">
        <f>IF($AS897="","",IF(OR($AT897&lt;0,AND($I$6&lt;&gt;"",ISNUMBER(FIND("수정",INDEX($A:$AP,ROW(),IF($I$6="",1,$I$6))&amp;"")))),"수정","일반"))</f>
        <v/>
      </c>
      <c r="BC897" s="2">
        <f>IF($AS897="","",MID(IF($BA897="기간 밖"," / 기간 밖(신고기간 아님)","")&amp;IF(AND($AW897&lt;&gt;"",COUNTIF($AW$8:$AW$1007,$AW897)&gt;1)," / 승인번호 중복(두 번 붙여넣기?)","")&amp;IF(ABS($AU897-ROUND($AT897*0.1,0))&gt;설정!$B$8,IF($AU897=0," / 세액 0원(영세율·면세 여부 확인)"," / 세액이 공급가액 10%와 다름"),"")&amp;IF($BB897="수정"," / 수정세금계산서(합계에서 자동 가감)",""),4,200))</f>
        <v/>
      </c>
      <c r="BD897" s="2">
        <f>IF($BA897&lt;&gt;"포함","",IF(COUNTIFS($AX$8:$AX897,$AX897,$BA$8:$BA897,"포함")=1,MAX($BD$7:BD896)+1,""))</f>
        <v/>
      </c>
      <c r="BE897" s="2">
        <f>IF($BC897="","",MAX($BE$7:BE896)+1)</f>
        <v/>
      </c>
    </row>
    <row r="898">
      <c r="AR898" s="2">
        <f>IF(OR($A$5="",$B$6="",ROW()&lt;$A$5),"",IF(INDEX($A:$AP,ROW(),$B$6)="","",INDEX($A:$AP,ROW(),$B$6)))</f>
        <v/>
      </c>
      <c r="AS898" s="22">
        <f>IF($AR898="","",IF(ISNUMBER($AR898),IF($AR898&gt;=10000000,IFERROR(DATE(INT($AR898/10000),MOD(INT($AR898/100),100),MOD($AR898,100)),""),INT($AR898)),IFERROR(DATE(--LEFT(LEFT(SUBSTITUTE(SUBSTITUTE(SUBSTITUTE(SUBSTITUTE(TRIM($AR898),"-",""),".",""),"/","")," ",""),8),4),--MID(LEFT(SUBSTITUTE(SUBSTITUTE(SUBSTITUTE(SUBSTITUTE(TRIM($AR898),"-",""),".",""),"/","")," ",""),8),5,2),--MID(LEFT(SUBSTITUTE(SUBSTITUTE(SUBSTITUTE(SUBSTITUTE(TRIM($AR898),"-",""),".",""),"/","")," ",""),8),7,2)),"")))</f>
        <v/>
      </c>
      <c r="AT898" s="23">
        <f>IF($AS898="","",IF($F$6="",0,IF(ISNUMBER(INDEX($A:$AP,ROW(),$F$6)),INDEX($A:$AP,ROW(),$F$6),IFERROR(--SUBSTITUTE(SUBSTITUTE(TRIM(INDEX($A:$AP,ROW(),$F$6)),",",""),"원",""),0))))</f>
        <v/>
      </c>
      <c r="AU898" s="23">
        <f>IF($AS898="","",IF($G$6="",0,IF(ISNUMBER(INDEX($A:$AP,ROW(),$G$6)),INDEX($A:$AP,ROW(),$G$6),IFERROR(--SUBSTITUTE(SUBSTITUTE(TRIM(INDEX($A:$AP,ROW(),$G$6)),",",""),"원",""),0))))</f>
        <v/>
      </c>
      <c r="AV898" s="23">
        <f>IF($AS898="","",IF($H$6="",$AT898+$AU898,IF($H$6="",0,IF(ISNUMBER(INDEX($A:$AP,ROW(),$H$6)),INDEX($A:$AP,ROW(),$H$6),IFERROR(--SUBSTITUTE(SUBSTITUTE(TRIM(INDEX($A:$AP,ROW(),$H$6)),",",""),"원",""),0)))))</f>
        <v/>
      </c>
      <c r="AW898" s="2">
        <f>IF(OR($AS898="",$C$6=""),"",TRIM(INDEX($A:$AP,ROW(),$C$6)&amp;""))</f>
        <v/>
      </c>
      <c r="AX898" s="2">
        <f>IF($AS898="","",IF($AZ898&lt;&gt;"",SUBSTITUTE(SUBSTITUTE($AZ898,"-","")," ",""),$AY898))</f>
        <v/>
      </c>
      <c r="AY898" s="2">
        <f>IF(OR($AS898="",$E$6=""),"",TRIM(INDEX($A:$AP,ROW(),$E$6)&amp;""))</f>
        <v/>
      </c>
      <c r="AZ898" s="2">
        <f>IF(OR($AS898="",$D$6=""),"",TRIM(INDEX($A:$AP,ROW(),$D$6)&amp;""))</f>
        <v/>
      </c>
      <c r="BA898" s="2">
        <f>IF($AS898="","",IF(AND($AS898&gt;=설정!$B$10,$AS898&lt;=설정!$B$11),"포함","기간 밖"))</f>
        <v/>
      </c>
      <c r="BB898" s="2">
        <f>IF($AS898="","",IF(OR($AT898&lt;0,AND($I$6&lt;&gt;"",ISNUMBER(FIND("수정",INDEX($A:$AP,ROW(),IF($I$6="",1,$I$6))&amp;"")))),"수정","일반"))</f>
        <v/>
      </c>
      <c r="BC898" s="2">
        <f>IF($AS898="","",MID(IF($BA898="기간 밖"," / 기간 밖(신고기간 아님)","")&amp;IF(AND($AW898&lt;&gt;"",COUNTIF($AW$8:$AW$1007,$AW898)&gt;1)," / 승인번호 중복(두 번 붙여넣기?)","")&amp;IF(ABS($AU898-ROUND($AT898*0.1,0))&gt;설정!$B$8,IF($AU898=0," / 세액 0원(영세율·면세 여부 확인)"," / 세액이 공급가액 10%와 다름"),"")&amp;IF($BB898="수정"," / 수정세금계산서(합계에서 자동 가감)",""),4,200))</f>
        <v/>
      </c>
      <c r="BD898" s="2">
        <f>IF($BA898&lt;&gt;"포함","",IF(COUNTIFS($AX$8:$AX898,$AX898,$BA$8:$BA898,"포함")=1,MAX($BD$7:BD897)+1,""))</f>
        <v/>
      </c>
      <c r="BE898" s="2">
        <f>IF($BC898="","",MAX($BE$7:BE897)+1)</f>
        <v/>
      </c>
    </row>
    <row r="899">
      <c r="AR899" s="2">
        <f>IF(OR($A$5="",$B$6="",ROW()&lt;$A$5),"",IF(INDEX($A:$AP,ROW(),$B$6)="","",INDEX($A:$AP,ROW(),$B$6)))</f>
        <v/>
      </c>
      <c r="AS899" s="22">
        <f>IF($AR899="","",IF(ISNUMBER($AR899),IF($AR899&gt;=10000000,IFERROR(DATE(INT($AR899/10000),MOD(INT($AR899/100),100),MOD($AR899,100)),""),INT($AR899)),IFERROR(DATE(--LEFT(LEFT(SUBSTITUTE(SUBSTITUTE(SUBSTITUTE(SUBSTITUTE(TRIM($AR899),"-",""),".",""),"/","")," ",""),8),4),--MID(LEFT(SUBSTITUTE(SUBSTITUTE(SUBSTITUTE(SUBSTITUTE(TRIM($AR899),"-",""),".",""),"/","")," ",""),8),5,2),--MID(LEFT(SUBSTITUTE(SUBSTITUTE(SUBSTITUTE(SUBSTITUTE(TRIM($AR899),"-",""),".",""),"/","")," ",""),8),7,2)),"")))</f>
        <v/>
      </c>
      <c r="AT899" s="23">
        <f>IF($AS899="","",IF($F$6="",0,IF(ISNUMBER(INDEX($A:$AP,ROW(),$F$6)),INDEX($A:$AP,ROW(),$F$6),IFERROR(--SUBSTITUTE(SUBSTITUTE(TRIM(INDEX($A:$AP,ROW(),$F$6)),",",""),"원",""),0))))</f>
        <v/>
      </c>
      <c r="AU899" s="23">
        <f>IF($AS899="","",IF($G$6="",0,IF(ISNUMBER(INDEX($A:$AP,ROW(),$G$6)),INDEX($A:$AP,ROW(),$G$6),IFERROR(--SUBSTITUTE(SUBSTITUTE(TRIM(INDEX($A:$AP,ROW(),$G$6)),",",""),"원",""),0))))</f>
        <v/>
      </c>
      <c r="AV899" s="23">
        <f>IF($AS899="","",IF($H$6="",$AT899+$AU899,IF($H$6="",0,IF(ISNUMBER(INDEX($A:$AP,ROW(),$H$6)),INDEX($A:$AP,ROW(),$H$6),IFERROR(--SUBSTITUTE(SUBSTITUTE(TRIM(INDEX($A:$AP,ROW(),$H$6)),",",""),"원",""),0)))))</f>
        <v/>
      </c>
      <c r="AW899" s="2">
        <f>IF(OR($AS899="",$C$6=""),"",TRIM(INDEX($A:$AP,ROW(),$C$6)&amp;""))</f>
        <v/>
      </c>
      <c r="AX899" s="2">
        <f>IF($AS899="","",IF($AZ899&lt;&gt;"",SUBSTITUTE(SUBSTITUTE($AZ899,"-","")," ",""),$AY899))</f>
        <v/>
      </c>
      <c r="AY899" s="2">
        <f>IF(OR($AS899="",$E$6=""),"",TRIM(INDEX($A:$AP,ROW(),$E$6)&amp;""))</f>
        <v/>
      </c>
      <c r="AZ899" s="2">
        <f>IF(OR($AS899="",$D$6=""),"",TRIM(INDEX($A:$AP,ROW(),$D$6)&amp;""))</f>
        <v/>
      </c>
      <c r="BA899" s="2">
        <f>IF($AS899="","",IF(AND($AS899&gt;=설정!$B$10,$AS899&lt;=설정!$B$11),"포함","기간 밖"))</f>
        <v/>
      </c>
      <c r="BB899" s="2">
        <f>IF($AS899="","",IF(OR($AT899&lt;0,AND($I$6&lt;&gt;"",ISNUMBER(FIND("수정",INDEX($A:$AP,ROW(),IF($I$6="",1,$I$6))&amp;"")))),"수정","일반"))</f>
        <v/>
      </c>
      <c r="BC899" s="2">
        <f>IF($AS899="","",MID(IF($BA899="기간 밖"," / 기간 밖(신고기간 아님)","")&amp;IF(AND($AW899&lt;&gt;"",COUNTIF($AW$8:$AW$1007,$AW899)&gt;1)," / 승인번호 중복(두 번 붙여넣기?)","")&amp;IF(ABS($AU899-ROUND($AT899*0.1,0))&gt;설정!$B$8,IF($AU899=0," / 세액 0원(영세율·면세 여부 확인)"," / 세액이 공급가액 10%와 다름"),"")&amp;IF($BB899="수정"," / 수정세금계산서(합계에서 자동 가감)",""),4,200))</f>
        <v/>
      </c>
      <c r="BD899" s="2">
        <f>IF($BA899&lt;&gt;"포함","",IF(COUNTIFS($AX$8:$AX899,$AX899,$BA$8:$BA899,"포함")=1,MAX($BD$7:BD898)+1,""))</f>
        <v/>
      </c>
      <c r="BE899" s="2">
        <f>IF($BC899="","",MAX($BE$7:BE898)+1)</f>
        <v/>
      </c>
    </row>
    <row r="900">
      <c r="AR900" s="2">
        <f>IF(OR($A$5="",$B$6="",ROW()&lt;$A$5),"",IF(INDEX($A:$AP,ROW(),$B$6)="","",INDEX($A:$AP,ROW(),$B$6)))</f>
        <v/>
      </c>
      <c r="AS900" s="22">
        <f>IF($AR900="","",IF(ISNUMBER($AR900),IF($AR900&gt;=10000000,IFERROR(DATE(INT($AR900/10000),MOD(INT($AR900/100),100),MOD($AR900,100)),""),INT($AR900)),IFERROR(DATE(--LEFT(LEFT(SUBSTITUTE(SUBSTITUTE(SUBSTITUTE(SUBSTITUTE(TRIM($AR900),"-",""),".",""),"/","")," ",""),8),4),--MID(LEFT(SUBSTITUTE(SUBSTITUTE(SUBSTITUTE(SUBSTITUTE(TRIM($AR900),"-",""),".",""),"/","")," ",""),8),5,2),--MID(LEFT(SUBSTITUTE(SUBSTITUTE(SUBSTITUTE(SUBSTITUTE(TRIM($AR900),"-",""),".",""),"/","")," ",""),8),7,2)),"")))</f>
        <v/>
      </c>
      <c r="AT900" s="23">
        <f>IF($AS900="","",IF($F$6="",0,IF(ISNUMBER(INDEX($A:$AP,ROW(),$F$6)),INDEX($A:$AP,ROW(),$F$6),IFERROR(--SUBSTITUTE(SUBSTITUTE(TRIM(INDEX($A:$AP,ROW(),$F$6)),",",""),"원",""),0))))</f>
        <v/>
      </c>
      <c r="AU900" s="23">
        <f>IF($AS900="","",IF($G$6="",0,IF(ISNUMBER(INDEX($A:$AP,ROW(),$G$6)),INDEX($A:$AP,ROW(),$G$6),IFERROR(--SUBSTITUTE(SUBSTITUTE(TRIM(INDEX($A:$AP,ROW(),$G$6)),",",""),"원",""),0))))</f>
        <v/>
      </c>
      <c r="AV900" s="23">
        <f>IF($AS900="","",IF($H$6="",$AT900+$AU900,IF($H$6="",0,IF(ISNUMBER(INDEX($A:$AP,ROW(),$H$6)),INDEX($A:$AP,ROW(),$H$6),IFERROR(--SUBSTITUTE(SUBSTITUTE(TRIM(INDEX($A:$AP,ROW(),$H$6)),",",""),"원",""),0)))))</f>
        <v/>
      </c>
      <c r="AW900" s="2">
        <f>IF(OR($AS900="",$C$6=""),"",TRIM(INDEX($A:$AP,ROW(),$C$6)&amp;""))</f>
        <v/>
      </c>
      <c r="AX900" s="2">
        <f>IF($AS900="","",IF($AZ900&lt;&gt;"",SUBSTITUTE(SUBSTITUTE($AZ900,"-","")," ",""),$AY900))</f>
        <v/>
      </c>
      <c r="AY900" s="2">
        <f>IF(OR($AS900="",$E$6=""),"",TRIM(INDEX($A:$AP,ROW(),$E$6)&amp;""))</f>
        <v/>
      </c>
      <c r="AZ900" s="2">
        <f>IF(OR($AS900="",$D$6=""),"",TRIM(INDEX($A:$AP,ROW(),$D$6)&amp;""))</f>
        <v/>
      </c>
      <c r="BA900" s="2">
        <f>IF($AS900="","",IF(AND($AS900&gt;=설정!$B$10,$AS900&lt;=설정!$B$11),"포함","기간 밖"))</f>
        <v/>
      </c>
      <c r="BB900" s="2">
        <f>IF($AS900="","",IF(OR($AT900&lt;0,AND($I$6&lt;&gt;"",ISNUMBER(FIND("수정",INDEX($A:$AP,ROW(),IF($I$6="",1,$I$6))&amp;"")))),"수정","일반"))</f>
        <v/>
      </c>
      <c r="BC900" s="2">
        <f>IF($AS900="","",MID(IF($BA900="기간 밖"," / 기간 밖(신고기간 아님)","")&amp;IF(AND($AW900&lt;&gt;"",COUNTIF($AW$8:$AW$1007,$AW900)&gt;1)," / 승인번호 중복(두 번 붙여넣기?)","")&amp;IF(ABS($AU900-ROUND($AT900*0.1,0))&gt;설정!$B$8,IF($AU900=0," / 세액 0원(영세율·면세 여부 확인)"," / 세액이 공급가액 10%와 다름"),"")&amp;IF($BB900="수정"," / 수정세금계산서(합계에서 자동 가감)",""),4,200))</f>
        <v/>
      </c>
      <c r="BD900" s="2">
        <f>IF($BA900&lt;&gt;"포함","",IF(COUNTIFS($AX$8:$AX900,$AX900,$BA$8:$BA900,"포함")=1,MAX($BD$7:BD899)+1,""))</f>
        <v/>
      </c>
      <c r="BE900" s="2">
        <f>IF($BC900="","",MAX($BE$7:BE899)+1)</f>
        <v/>
      </c>
    </row>
    <row r="901">
      <c r="AR901" s="2">
        <f>IF(OR($A$5="",$B$6="",ROW()&lt;$A$5),"",IF(INDEX($A:$AP,ROW(),$B$6)="","",INDEX($A:$AP,ROW(),$B$6)))</f>
        <v/>
      </c>
      <c r="AS901" s="22">
        <f>IF($AR901="","",IF(ISNUMBER($AR901),IF($AR901&gt;=10000000,IFERROR(DATE(INT($AR901/10000),MOD(INT($AR901/100),100),MOD($AR901,100)),""),INT($AR901)),IFERROR(DATE(--LEFT(LEFT(SUBSTITUTE(SUBSTITUTE(SUBSTITUTE(SUBSTITUTE(TRIM($AR901),"-",""),".",""),"/","")," ",""),8),4),--MID(LEFT(SUBSTITUTE(SUBSTITUTE(SUBSTITUTE(SUBSTITUTE(TRIM($AR901),"-",""),".",""),"/","")," ",""),8),5,2),--MID(LEFT(SUBSTITUTE(SUBSTITUTE(SUBSTITUTE(SUBSTITUTE(TRIM($AR901),"-",""),".",""),"/","")," ",""),8),7,2)),"")))</f>
        <v/>
      </c>
      <c r="AT901" s="23">
        <f>IF($AS901="","",IF($F$6="",0,IF(ISNUMBER(INDEX($A:$AP,ROW(),$F$6)),INDEX($A:$AP,ROW(),$F$6),IFERROR(--SUBSTITUTE(SUBSTITUTE(TRIM(INDEX($A:$AP,ROW(),$F$6)),",",""),"원",""),0))))</f>
        <v/>
      </c>
      <c r="AU901" s="23">
        <f>IF($AS901="","",IF($G$6="",0,IF(ISNUMBER(INDEX($A:$AP,ROW(),$G$6)),INDEX($A:$AP,ROW(),$G$6),IFERROR(--SUBSTITUTE(SUBSTITUTE(TRIM(INDEX($A:$AP,ROW(),$G$6)),",",""),"원",""),0))))</f>
        <v/>
      </c>
      <c r="AV901" s="23">
        <f>IF($AS901="","",IF($H$6="",$AT901+$AU901,IF($H$6="",0,IF(ISNUMBER(INDEX($A:$AP,ROW(),$H$6)),INDEX($A:$AP,ROW(),$H$6),IFERROR(--SUBSTITUTE(SUBSTITUTE(TRIM(INDEX($A:$AP,ROW(),$H$6)),",",""),"원",""),0)))))</f>
        <v/>
      </c>
      <c r="AW901" s="2">
        <f>IF(OR($AS901="",$C$6=""),"",TRIM(INDEX($A:$AP,ROW(),$C$6)&amp;""))</f>
        <v/>
      </c>
      <c r="AX901" s="2">
        <f>IF($AS901="","",IF($AZ901&lt;&gt;"",SUBSTITUTE(SUBSTITUTE($AZ901,"-","")," ",""),$AY901))</f>
        <v/>
      </c>
      <c r="AY901" s="2">
        <f>IF(OR($AS901="",$E$6=""),"",TRIM(INDEX($A:$AP,ROW(),$E$6)&amp;""))</f>
        <v/>
      </c>
      <c r="AZ901" s="2">
        <f>IF(OR($AS901="",$D$6=""),"",TRIM(INDEX($A:$AP,ROW(),$D$6)&amp;""))</f>
        <v/>
      </c>
      <c r="BA901" s="2">
        <f>IF($AS901="","",IF(AND($AS901&gt;=설정!$B$10,$AS901&lt;=설정!$B$11),"포함","기간 밖"))</f>
        <v/>
      </c>
      <c r="BB901" s="2">
        <f>IF($AS901="","",IF(OR($AT901&lt;0,AND($I$6&lt;&gt;"",ISNUMBER(FIND("수정",INDEX($A:$AP,ROW(),IF($I$6="",1,$I$6))&amp;"")))),"수정","일반"))</f>
        <v/>
      </c>
      <c r="BC901" s="2">
        <f>IF($AS901="","",MID(IF($BA901="기간 밖"," / 기간 밖(신고기간 아님)","")&amp;IF(AND($AW901&lt;&gt;"",COUNTIF($AW$8:$AW$1007,$AW901)&gt;1)," / 승인번호 중복(두 번 붙여넣기?)","")&amp;IF(ABS($AU901-ROUND($AT901*0.1,0))&gt;설정!$B$8,IF($AU901=0," / 세액 0원(영세율·면세 여부 확인)"," / 세액이 공급가액 10%와 다름"),"")&amp;IF($BB901="수정"," / 수정세금계산서(합계에서 자동 가감)",""),4,200))</f>
        <v/>
      </c>
      <c r="BD901" s="2">
        <f>IF($BA901&lt;&gt;"포함","",IF(COUNTIFS($AX$8:$AX901,$AX901,$BA$8:$BA901,"포함")=1,MAX($BD$7:BD900)+1,""))</f>
        <v/>
      </c>
      <c r="BE901" s="2">
        <f>IF($BC901="","",MAX($BE$7:BE900)+1)</f>
        <v/>
      </c>
    </row>
    <row r="902">
      <c r="AR902" s="2">
        <f>IF(OR($A$5="",$B$6="",ROW()&lt;$A$5),"",IF(INDEX($A:$AP,ROW(),$B$6)="","",INDEX($A:$AP,ROW(),$B$6)))</f>
        <v/>
      </c>
      <c r="AS902" s="22">
        <f>IF($AR902="","",IF(ISNUMBER($AR902),IF($AR902&gt;=10000000,IFERROR(DATE(INT($AR902/10000),MOD(INT($AR902/100),100),MOD($AR902,100)),""),INT($AR902)),IFERROR(DATE(--LEFT(LEFT(SUBSTITUTE(SUBSTITUTE(SUBSTITUTE(SUBSTITUTE(TRIM($AR902),"-",""),".",""),"/","")," ",""),8),4),--MID(LEFT(SUBSTITUTE(SUBSTITUTE(SUBSTITUTE(SUBSTITUTE(TRIM($AR902),"-",""),".",""),"/","")," ",""),8),5,2),--MID(LEFT(SUBSTITUTE(SUBSTITUTE(SUBSTITUTE(SUBSTITUTE(TRIM($AR902),"-",""),".",""),"/","")," ",""),8),7,2)),"")))</f>
        <v/>
      </c>
      <c r="AT902" s="23">
        <f>IF($AS902="","",IF($F$6="",0,IF(ISNUMBER(INDEX($A:$AP,ROW(),$F$6)),INDEX($A:$AP,ROW(),$F$6),IFERROR(--SUBSTITUTE(SUBSTITUTE(TRIM(INDEX($A:$AP,ROW(),$F$6)),",",""),"원",""),0))))</f>
        <v/>
      </c>
      <c r="AU902" s="23">
        <f>IF($AS902="","",IF($G$6="",0,IF(ISNUMBER(INDEX($A:$AP,ROW(),$G$6)),INDEX($A:$AP,ROW(),$G$6),IFERROR(--SUBSTITUTE(SUBSTITUTE(TRIM(INDEX($A:$AP,ROW(),$G$6)),",",""),"원",""),0))))</f>
        <v/>
      </c>
      <c r="AV902" s="23">
        <f>IF($AS902="","",IF($H$6="",$AT902+$AU902,IF($H$6="",0,IF(ISNUMBER(INDEX($A:$AP,ROW(),$H$6)),INDEX($A:$AP,ROW(),$H$6),IFERROR(--SUBSTITUTE(SUBSTITUTE(TRIM(INDEX($A:$AP,ROW(),$H$6)),",",""),"원",""),0)))))</f>
        <v/>
      </c>
      <c r="AW902" s="2">
        <f>IF(OR($AS902="",$C$6=""),"",TRIM(INDEX($A:$AP,ROW(),$C$6)&amp;""))</f>
        <v/>
      </c>
      <c r="AX902" s="2">
        <f>IF($AS902="","",IF($AZ902&lt;&gt;"",SUBSTITUTE(SUBSTITUTE($AZ902,"-","")," ",""),$AY902))</f>
        <v/>
      </c>
      <c r="AY902" s="2">
        <f>IF(OR($AS902="",$E$6=""),"",TRIM(INDEX($A:$AP,ROW(),$E$6)&amp;""))</f>
        <v/>
      </c>
      <c r="AZ902" s="2">
        <f>IF(OR($AS902="",$D$6=""),"",TRIM(INDEX($A:$AP,ROW(),$D$6)&amp;""))</f>
        <v/>
      </c>
      <c r="BA902" s="2">
        <f>IF($AS902="","",IF(AND($AS902&gt;=설정!$B$10,$AS902&lt;=설정!$B$11),"포함","기간 밖"))</f>
        <v/>
      </c>
      <c r="BB902" s="2">
        <f>IF($AS902="","",IF(OR($AT902&lt;0,AND($I$6&lt;&gt;"",ISNUMBER(FIND("수정",INDEX($A:$AP,ROW(),IF($I$6="",1,$I$6))&amp;"")))),"수정","일반"))</f>
        <v/>
      </c>
      <c r="BC902" s="2">
        <f>IF($AS902="","",MID(IF($BA902="기간 밖"," / 기간 밖(신고기간 아님)","")&amp;IF(AND($AW902&lt;&gt;"",COUNTIF($AW$8:$AW$1007,$AW902)&gt;1)," / 승인번호 중복(두 번 붙여넣기?)","")&amp;IF(ABS($AU902-ROUND($AT902*0.1,0))&gt;설정!$B$8,IF($AU902=0," / 세액 0원(영세율·면세 여부 확인)"," / 세액이 공급가액 10%와 다름"),"")&amp;IF($BB902="수정"," / 수정세금계산서(합계에서 자동 가감)",""),4,200))</f>
        <v/>
      </c>
      <c r="BD902" s="2">
        <f>IF($BA902&lt;&gt;"포함","",IF(COUNTIFS($AX$8:$AX902,$AX902,$BA$8:$BA902,"포함")=1,MAX($BD$7:BD901)+1,""))</f>
        <v/>
      </c>
      <c r="BE902" s="2">
        <f>IF($BC902="","",MAX($BE$7:BE901)+1)</f>
        <v/>
      </c>
    </row>
    <row r="903">
      <c r="AR903" s="2">
        <f>IF(OR($A$5="",$B$6="",ROW()&lt;$A$5),"",IF(INDEX($A:$AP,ROW(),$B$6)="","",INDEX($A:$AP,ROW(),$B$6)))</f>
        <v/>
      </c>
      <c r="AS903" s="22">
        <f>IF($AR903="","",IF(ISNUMBER($AR903),IF($AR903&gt;=10000000,IFERROR(DATE(INT($AR903/10000),MOD(INT($AR903/100),100),MOD($AR903,100)),""),INT($AR903)),IFERROR(DATE(--LEFT(LEFT(SUBSTITUTE(SUBSTITUTE(SUBSTITUTE(SUBSTITUTE(TRIM($AR903),"-",""),".",""),"/","")," ",""),8),4),--MID(LEFT(SUBSTITUTE(SUBSTITUTE(SUBSTITUTE(SUBSTITUTE(TRIM($AR903),"-",""),".",""),"/","")," ",""),8),5,2),--MID(LEFT(SUBSTITUTE(SUBSTITUTE(SUBSTITUTE(SUBSTITUTE(TRIM($AR903),"-",""),".",""),"/","")," ",""),8),7,2)),"")))</f>
        <v/>
      </c>
      <c r="AT903" s="23">
        <f>IF($AS903="","",IF($F$6="",0,IF(ISNUMBER(INDEX($A:$AP,ROW(),$F$6)),INDEX($A:$AP,ROW(),$F$6),IFERROR(--SUBSTITUTE(SUBSTITUTE(TRIM(INDEX($A:$AP,ROW(),$F$6)),",",""),"원",""),0))))</f>
        <v/>
      </c>
      <c r="AU903" s="23">
        <f>IF($AS903="","",IF($G$6="",0,IF(ISNUMBER(INDEX($A:$AP,ROW(),$G$6)),INDEX($A:$AP,ROW(),$G$6),IFERROR(--SUBSTITUTE(SUBSTITUTE(TRIM(INDEX($A:$AP,ROW(),$G$6)),",",""),"원",""),0))))</f>
        <v/>
      </c>
      <c r="AV903" s="23">
        <f>IF($AS903="","",IF($H$6="",$AT903+$AU903,IF($H$6="",0,IF(ISNUMBER(INDEX($A:$AP,ROW(),$H$6)),INDEX($A:$AP,ROW(),$H$6),IFERROR(--SUBSTITUTE(SUBSTITUTE(TRIM(INDEX($A:$AP,ROW(),$H$6)),",",""),"원",""),0)))))</f>
        <v/>
      </c>
      <c r="AW903" s="2">
        <f>IF(OR($AS903="",$C$6=""),"",TRIM(INDEX($A:$AP,ROW(),$C$6)&amp;""))</f>
        <v/>
      </c>
      <c r="AX903" s="2">
        <f>IF($AS903="","",IF($AZ903&lt;&gt;"",SUBSTITUTE(SUBSTITUTE($AZ903,"-","")," ",""),$AY903))</f>
        <v/>
      </c>
      <c r="AY903" s="2">
        <f>IF(OR($AS903="",$E$6=""),"",TRIM(INDEX($A:$AP,ROW(),$E$6)&amp;""))</f>
        <v/>
      </c>
      <c r="AZ903" s="2">
        <f>IF(OR($AS903="",$D$6=""),"",TRIM(INDEX($A:$AP,ROW(),$D$6)&amp;""))</f>
        <v/>
      </c>
      <c r="BA903" s="2">
        <f>IF($AS903="","",IF(AND($AS903&gt;=설정!$B$10,$AS903&lt;=설정!$B$11),"포함","기간 밖"))</f>
        <v/>
      </c>
      <c r="BB903" s="2">
        <f>IF($AS903="","",IF(OR($AT903&lt;0,AND($I$6&lt;&gt;"",ISNUMBER(FIND("수정",INDEX($A:$AP,ROW(),IF($I$6="",1,$I$6))&amp;"")))),"수정","일반"))</f>
        <v/>
      </c>
      <c r="BC903" s="2">
        <f>IF($AS903="","",MID(IF($BA903="기간 밖"," / 기간 밖(신고기간 아님)","")&amp;IF(AND($AW903&lt;&gt;"",COUNTIF($AW$8:$AW$1007,$AW903)&gt;1)," / 승인번호 중복(두 번 붙여넣기?)","")&amp;IF(ABS($AU903-ROUND($AT903*0.1,0))&gt;설정!$B$8,IF($AU903=0," / 세액 0원(영세율·면세 여부 확인)"," / 세액이 공급가액 10%와 다름"),"")&amp;IF($BB903="수정"," / 수정세금계산서(합계에서 자동 가감)",""),4,200))</f>
        <v/>
      </c>
      <c r="BD903" s="2">
        <f>IF($BA903&lt;&gt;"포함","",IF(COUNTIFS($AX$8:$AX903,$AX903,$BA$8:$BA903,"포함")=1,MAX($BD$7:BD902)+1,""))</f>
        <v/>
      </c>
      <c r="BE903" s="2">
        <f>IF($BC903="","",MAX($BE$7:BE902)+1)</f>
        <v/>
      </c>
    </row>
    <row r="904">
      <c r="AR904" s="2">
        <f>IF(OR($A$5="",$B$6="",ROW()&lt;$A$5),"",IF(INDEX($A:$AP,ROW(),$B$6)="","",INDEX($A:$AP,ROW(),$B$6)))</f>
        <v/>
      </c>
      <c r="AS904" s="22">
        <f>IF($AR904="","",IF(ISNUMBER($AR904),IF($AR904&gt;=10000000,IFERROR(DATE(INT($AR904/10000),MOD(INT($AR904/100),100),MOD($AR904,100)),""),INT($AR904)),IFERROR(DATE(--LEFT(LEFT(SUBSTITUTE(SUBSTITUTE(SUBSTITUTE(SUBSTITUTE(TRIM($AR904),"-",""),".",""),"/","")," ",""),8),4),--MID(LEFT(SUBSTITUTE(SUBSTITUTE(SUBSTITUTE(SUBSTITUTE(TRIM($AR904),"-",""),".",""),"/","")," ",""),8),5,2),--MID(LEFT(SUBSTITUTE(SUBSTITUTE(SUBSTITUTE(SUBSTITUTE(TRIM($AR904),"-",""),".",""),"/","")," ",""),8),7,2)),"")))</f>
        <v/>
      </c>
      <c r="AT904" s="23">
        <f>IF($AS904="","",IF($F$6="",0,IF(ISNUMBER(INDEX($A:$AP,ROW(),$F$6)),INDEX($A:$AP,ROW(),$F$6),IFERROR(--SUBSTITUTE(SUBSTITUTE(TRIM(INDEX($A:$AP,ROW(),$F$6)),",",""),"원",""),0))))</f>
        <v/>
      </c>
      <c r="AU904" s="23">
        <f>IF($AS904="","",IF($G$6="",0,IF(ISNUMBER(INDEX($A:$AP,ROW(),$G$6)),INDEX($A:$AP,ROW(),$G$6),IFERROR(--SUBSTITUTE(SUBSTITUTE(TRIM(INDEX($A:$AP,ROW(),$G$6)),",",""),"원",""),0))))</f>
        <v/>
      </c>
      <c r="AV904" s="23">
        <f>IF($AS904="","",IF($H$6="",$AT904+$AU904,IF($H$6="",0,IF(ISNUMBER(INDEX($A:$AP,ROW(),$H$6)),INDEX($A:$AP,ROW(),$H$6),IFERROR(--SUBSTITUTE(SUBSTITUTE(TRIM(INDEX($A:$AP,ROW(),$H$6)),",",""),"원",""),0)))))</f>
        <v/>
      </c>
      <c r="AW904" s="2">
        <f>IF(OR($AS904="",$C$6=""),"",TRIM(INDEX($A:$AP,ROW(),$C$6)&amp;""))</f>
        <v/>
      </c>
      <c r="AX904" s="2">
        <f>IF($AS904="","",IF($AZ904&lt;&gt;"",SUBSTITUTE(SUBSTITUTE($AZ904,"-","")," ",""),$AY904))</f>
        <v/>
      </c>
      <c r="AY904" s="2">
        <f>IF(OR($AS904="",$E$6=""),"",TRIM(INDEX($A:$AP,ROW(),$E$6)&amp;""))</f>
        <v/>
      </c>
      <c r="AZ904" s="2">
        <f>IF(OR($AS904="",$D$6=""),"",TRIM(INDEX($A:$AP,ROW(),$D$6)&amp;""))</f>
        <v/>
      </c>
      <c r="BA904" s="2">
        <f>IF($AS904="","",IF(AND($AS904&gt;=설정!$B$10,$AS904&lt;=설정!$B$11),"포함","기간 밖"))</f>
        <v/>
      </c>
      <c r="BB904" s="2">
        <f>IF($AS904="","",IF(OR($AT904&lt;0,AND($I$6&lt;&gt;"",ISNUMBER(FIND("수정",INDEX($A:$AP,ROW(),IF($I$6="",1,$I$6))&amp;"")))),"수정","일반"))</f>
        <v/>
      </c>
      <c r="BC904" s="2">
        <f>IF($AS904="","",MID(IF($BA904="기간 밖"," / 기간 밖(신고기간 아님)","")&amp;IF(AND($AW904&lt;&gt;"",COUNTIF($AW$8:$AW$1007,$AW904)&gt;1)," / 승인번호 중복(두 번 붙여넣기?)","")&amp;IF(ABS($AU904-ROUND($AT904*0.1,0))&gt;설정!$B$8,IF($AU904=0," / 세액 0원(영세율·면세 여부 확인)"," / 세액이 공급가액 10%와 다름"),"")&amp;IF($BB904="수정"," / 수정세금계산서(합계에서 자동 가감)",""),4,200))</f>
        <v/>
      </c>
      <c r="BD904" s="2">
        <f>IF($BA904&lt;&gt;"포함","",IF(COUNTIFS($AX$8:$AX904,$AX904,$BA$8:$BA904,"포함")=1,MAX($BD$7:BD903)+1,""))</f>
        <v/>
      </c>
      <c r="BE904" s="2">
        <f>IF($BC904="","",MAX($BE$7:BE903)+1)</f>
        <v/>
      </c>
    </row>
    <row r="905">
      <c r="AR905" s="2">
        <f>IF(OR($A$5="",$B$6="",ROW()&lt;$A$5),"",IF(INDEX($A:$AP,ROW(),$B$6)="","",INDEX($A:$AP,ROW(),$B$6)))</f>
        <v/>
      </c>
      <c r="AS905" s="22">
        <f>IF($AR905="","",IF(ISNUMBER($AR905),IF($AR905&gt;=10000000,IFERROR(DATE(INT($AR905/10000),MOD(INT($AR905/100),100),MOD($AR905,100)),""),INT($AR905)),IFERROR(DATE(--LEFT(LEFT(SUBSTITUTE(SUBSTITUTE(SUBSTITUTE(SUBSTITUTE(TRIM($AR905),"-",""),".",""),"/","")," ",""),8),4),--MID(LEFT(SUBSTITUTE(SUBSTITUTE(SUBSTITUTE(SUBSTITUTE(TRIM($AR905),"-",""),".",""),"/","")," ",""),8),5,2),--MID(LEFT(SUBSTITUTE(SUBSTITUTE(SUBSTITUTE(SUBSTITUTE(TRIM($AR905),"-",""),".",""),"/","")," ",""),8),7,2)),"")))</f>
        <v/>
      </c>
      <c r="AT905" s="23">
        <f>IF($AS905="","",IF($F$6="",0,IF(ISNUMBER(INDEX($A:$AP,ROW(),$F$6)),INDEX($A:$AP,ROW(),$F$6),IFERROR(--SUBSTITUTE(SUBSTITUTE(TRIM(INDEX($A:$AP,ROW(),$F$6)),",",""),"원",""),0))))</f>
        <v/>
      </c>
      <c r="AU905" s="23">
        <f>IF($AS905="","",IF($G$6="",0,IF(ISNUMBER(INDEX($A:$AP,ROW(),$G$6)),INDEX($A:$AP,ROW(),$G$6),IFERROR(--SUBSTITUTE(SUBSTITUTE(TRIM(INDEX($A:$AP,ROW(),$G$6)),",",""),"원",""),0))))</f>
        <v/>
      </c>
      <c r="AV905" s="23">
        <f>IF($AS905="","",IF($H$6="",$AT905+$AU905,IF($H$6="",0,IF(ISNUMBER(INDEX($A:$AP,ROW(),$H$6)),INDEX($A:$AP,ROW(),$H$6),IFERROR(--SUBSTITUTE(SUBSTITUTE(TRIM(INDEX($A:$AP,ROW(),$H$6)),",",""),"원",""),0)))))</f>
        <v/>
      </c>
      <c r="AW905" s="2">
        <f>IF(OR($AS905="",$C$6=""),"",TRIM(INDEX($A:$AP,ROW(),$C$6)&amp;""))</f>
        <v/>
      </c>
      <c r="AX905" s="2">
        <f>IF($AS905="","",IF($AZ905&lt;&gt;"",SUBSTITUTE(SUBSTITUTE($AZ905,"-","")," ",""),$AY905))</f>
        <v/>
      </c>
      <c r="AY905" s="2">
        <f>IF(OR($AS905="",$E$6=""),"",TRIM(INDEX($A:$AP,ROW(),$E$6)&amp;""))</f>
        <v/>
      </c>
      <c r="AZ905" s="2">
        <f>IF(OR($AS905="",$D$6=""),"",TRIM(INDEX($A:$AP,ROW(),$D$6)&amp;""))</f>
        <v/>
      </c>
      <c r="BA905" s="2">
        <f>IF($AS905="","",IF(AND($AS905&gt;=설정!$B$10,$AS905&lt;=설정!$B$11),"포함","기간 밖"))</f>
        <v/>
      </c>
      <c r="BB905" s="2">
        <f>IF($AS905="","",IF(OR($AT905&lt;0,AND($I$6&lt;&gt;"",ISNUMBER(FIND("수정",INDEX($A:$AP,ROW(),IF($I$6="",1,$I$6))&amp;"")))),"수정","일반"))</f>
        <v/>
      </c>
      <c r="BC905" s="2">
        <f>IF($AS905="","",MID(IF($BA905="기간 밖"," / 기간 밖(신고기간 아님)","")&amp;IF(AND($AW905&lt;&gt;"",COUNTIF($AW$8:$AW$1007,$AW905)&gt;1)," / 승인번호 중복(두 번 붙여넣기?)","")&amp;IF(ABS($AU905-ROUND($AT905*0.1,0))&gt;설정!$B$8,IF($AU905=0," / 세액 0원(영세율·면세 여부 확인)"," / 세액이 공급가액 10%와 다름"),"")&amp;IF($BB905="수정"," / 수정세금계산서(합계에서 자동 가감)",""),4,200))</f>
        <v/>
      </c>
      <c r="BD905" s="2">
        <f>IF($BA905&lt;&gt;"포함","",IF(COUNTIFS($AX$8:$AX905,$AX905,$BA$8:$BA905,"포함")=1,MAX($BD$7:BD904)+1,""))</f>
        <v/>
      </c>
      <c r="BE905" s="2">
        <f>IF($BC905="","",MAX($BE$7:BE904)+1)</f>
        <v/>
      </c>
    </row>
    <row r="906">
      <c r="AR906" s="2">
        <f>IF(OR($A$5="",$B$6="",ROW()&lt;$A$5),"",IF(INDEX($A:$AP,ROW(),$B$6)="","",INDEX($A:$AP,ROW(),$B$6)))</f>
        <v/>
      </c>
      <c r="AS906" s="22">
        <f>IF($AR906="","",IF(ISNUMBER($AR906),IF($AR906&gt;=10000000,IFERROR(DATE(INT($AR906/10000),MOD(INT($AR906/100),100),MOD($AR906,100)),""),INT($AR906)),IFERROR(DATE(--LEFT(LEFT(SUBSTITUTE(SUBSTITUTE(SUBSTITUTE(SUBSTITUTE(TRIM($AR906),"-",""),".",""),"/","")," ",""),8),4),--MID(LEFT(SUBSTITUTE(SUBSTITUTE(SUBSTITUTE(SUBSTITUTE(TRIM($AR906),"-",""),".",""),"/","")," ",""),8),5,2),--MID(LEFT(SUBSTITUTE(SUBSTITUTE(SUBSTITUTE(SUBSTITUTE(TRIM($AR906),"-",""),".",""),"/","")," ",""),8),7,2)),"")))</f>
        <v/>
      </c>
      <c r="AT906" s="23">
        <f>IF($AS906="","",IF($F$6="",0,IF(ISNUMBER(INDEX($A:$AP,ROW(),$F$6)),INDEX($A:$AP,ROW(),$F$6),IFERROR(--SUBSTITUTE(SUBSTITUTE(TRIM(INDEX($A:$AP,ROW(),$F$6)),",",""),"원",""),0))))</f>
        <v/>
      </c>
      <c r="AU906" s="23">
        <f>IF($AS906="","",IF($G$6="",0,IF(ISNUMBER(INDEX($A:$AP,ROW(),$G$6)),INDEX($A:$AP,ROW(),$G$6),IFERROR(--SUBSTITUTE(SUBSTITUTE(TRIM(INDEX($A:$AP,ROW(),$G$6)),",",""),"원",""),0))))</f>
        <v/>
      </c>
      <c r="AV906" s="23">
        <f>IF($AS906="","",IF($H$6="",$AT906+$AU906,IF($H$6="",0,IF(ISNUMBER(INDEX($A:$AP,ROW(),$H$6)),INDEX($A:$AP,ROW(),$H$6),IFERROR(--SUBSTITUTE(SUBSTITUTE(TRIM(INDEX($A:$AP,ROW(),$H$6)),",",""),"원",""),0)))))</f>
        <v/>
      </c>
      <c r="AW906" s="2">
        <f>IF(OR($AS906="",$C$6=""),"",TRIM(INDEX($A:$AP,ROW(),$C$6)&amp;""))</f>
        <v/>
      </c>
      <c r="AX906" s="2">
        <f>IF($AS906="","",IF($AZ906&lt;&gt;"",SUBSTITUTE(SUBSTITUTE($AZ906,"-","")," ",""),$AY906))</f>
        <v/>
      </c>
      <c r="AY906" s="2">
        <f>IF(OR($AS906="",$E$6=""),"",TRIM(INDEX($A:$AP,ROW(),$E$6)&amp;""))</f>
        <v/>
      </c>
      <c r="AZ906" s="2">
        <f>IF(OR($AS906="",$D$6=""),"",TRIM(INDEX($A:$AP,ROW(),$D$6)&amp;""))</f>
        <v/>
      </c>
      <c r="BA906" s="2">
        <f>IF($AS906="","",IF(AND($AS906&gt;=설정!$B$10,$AS906&lt;=설정!$B$11),"포함","기간 밖"))</f>
        <v/>
      </c>
      <c r="BB906" s="2">
        <f>IF($AS906="","",IF(OR($AT906&lt;0,AND($I$6&lt;&gt;"",ISNUMBER(FIND("수정",INDEX($A:$AP,ROW(),IF($I$6="",1,$I$6))&amp;"")))),"수정","일반"))</f>
        <v/>
      </c>
      <c r="BC906" s="2">
        <f>IF($AS906="","",MID(IF($BA906="기간 밖"," / 기간 밖(신고기간 아님)","")&amp;IF(AND($AW906&lt;&gt;"",COUNTIF($AW$8:$AW$1007,$AW906)&gt;1)," / 승인번호 중복(두 번 붙여넣기?)","")&amp;IF(ABS($AU906-ROUND($AT906*0.1,0))&gt;설정!$B$8,IF($AU906=0," / 세액 0원(영세율·면세 여부 확인)"," / 세액이 공급가액 10%와 다름"),"")&amp;IF($BB906="수정"," / 수정세금계산서(합계에서 자동 가감)",""),4,200))</f>
        <v/>
      </c>
      <c r="BD906" s="2">
        <f>IF($BA906&lt;&gt;"포함","",IF(COUNTIFS($AX$8:$AX906,$AX906,$BA$8:$BA906,"포함")=1,MAX($BD$7:BD905)+1,""))</f>
        <v/>
      </c>
      <c r="BE906" s="2">
        <f>IF($BC906="","",MAX($BE$7:BE905)+1)</f>
        <v/>
      </c>
    </row>
    <row r="907">
      <c r="AR907" s="2">
        <f>IF(OR($A$5="",$B$6="",ROW()&lt;$A$5),"",IF(INDEX($A:$AP,ROW(),$B$6)="","",INDEX($A:$AP,ROW(),$B$6)))</f>
        <v/>
      </c>
      <c r="AS907" s="22">
        <f>IF($AR907="","",IF(ISNUMBER($AR907),IF($AR907&gt;=10000000,IFERROR(DATE(INT($AR907/10000),MOD(INT($AR907/100),100),MOD($AR907,100)),""),INT($AR907)),IFERROR(DATE(--LEFT(LEFT(SUBSTITUTE(SUBSTITUTE(SUBSTITUTE(SUBSTITUTE(TRIM($AR907),"-",""),".",""),"/","")," ",""),8),4),--MID(LEFT(SUBSTITUTE(SUBSTITUTE(SUBSTITUTE(SUBSTITUTE(TRIM($AR907),"-",""),".",""),"/","")," ",""),8),5,2),--MID(LEFT(SUBSTITUTE(SUBSTITUTE(SUBSTITUTE(SUBSTITUTE(TRIM($AR907),"-",""),".",""),"/","")," ",""),8),7,2)),"")))</f>
        <v/>
      </c>
      <c r="AT907" s="23">
        <f>IF($AS907="","",IF($F$6="",0,IF(ISNUMBER(INDEX($A:$AP,ROW(),$F$6)),INDEX($A:$AP,ROW(),$F$6),IFERROR(--SUBSTITUTE(SUBSTITUTE(TRIM(INDEX($A:$AP,ROW(),$F$6)),",",""),"원",""),0))))</f>
        <v/>
      </c>
      <c r="AU907" s="23">
        <f>IF($AS907="","",IF($G$6="",0,IF(ISNUMBER(INDEX($A:$AP,ROW(),$G$6)),INDEX($A:$AP,ROW(),$G$6),IFERROR(--SUBSTITUTE(SUBSTITUTE(TRIM(INDEX($A:$AP,ROW(),$G$6)),",",""),"원",""),0))))</f>
        <v/>
      </c>
      <c r="AV907" s="23">
        <f>IF($AS907="","",IF($H$6="",$AT907+$AU907,IF($H$6="",0,IF(ISNUMBER(INDEX($A:$AP,ROW(),$H$6)),INDEX($A:$AP,ROW(),$H$6),IFERROR(--SUBSTITUTE(SUBSTITUTE(TRIM(INDEX($A:$AP,ROW(),$H$6)),",",""),"원",""),0)))))</f>
        <v/>
      </c>
      <c r="AW907" s="2">
        <f>IF(OR($AS907="",$C$6=""),"",TRIM(INDEX($A:$AP,ROW(),$C$6)&amp;""))</f>
        <v/>
      </c>
      <c r="AX907" s="2">
        <f>IF($AS907="","",IF($AZ907&lt;&gt;"",SUBSTITUTE(SUBSTITUTE($AZ907,"-","")," ",""),$AY907))</f>
        <v/>
      </c>
      <c r="AY907" s="2">
        <f>IF(OR($AS907="",$E$6=""),"",TRIM(INDEX($A:$AP,ROW(),$E$6)&amp;""))</f>
        <v/>
      </c>
      <c r="AZ907" s="2">
        <f>IF(OR($AS907="",$D$6=""),"",TRIM(INDEX($A:$AP,ROW(),$D$6)&amp;""))</f>
        <v/>
      </c>
      <c r="BA907" s="2">
        <f>IF($AS907="","",IF(AND($AS907&gt;=설정!$B$10,$AS907&lt;=설정!$B$11),"포함","기간 밖"))</f>
        <v/>
      </c>
      <c r="BB907" s="2">
        <f>IF($AS907="","",IF(OR($AT907&lt;0,AND($I$6&lt;&gt;"",ISNUMBER(FIND("수정",INDEX($A:$AP,ROW(),IF($I$6="",1,$I$6))&amp;"")))),"수정","일반"))</f>
        <v/>
      </c>
      <c r="BC907" s="2">
        <f>IF($AS907="","",MID(IF($BA907="기간 밖"," / 기간 밖(신고기간 아님)","")&amp;IF(AND($AW907&lt;&gt;"",COUNTIF($AW$8:$AW$1007,$AW907)&gt;1)," / 승인번호 중복(두 번 붙여넣기?)","")&amp;IF(ABS($AU907-ROUND($AT907*0.1,0))&gt;설정!$B$8,IF($AU907=0," / 세액 0원(영세율·면세 여부 확인)"," / 세액이 공급가액 10%와 다름"),"")&amp;IF($BB907="수정"," / 수정세금계산서(합계에서 자동 가감)",""),4,200))</f>
        <v/>
      </c>
      <c r="BD907" s="2">
        <f>IF($BA907&lt;&gt;"포함","",IF(COUNTIFS($AX$8:$AX907,$AX907,$BA$8:$BA907,"포함")=1,MAX($BD$7:BD906)+1,""))</f>
        <v/>
      </c>
      <c r="BE907" s="2">
        <f>IF($BC907="","",MAX($BE$7:BE906)+1)</f>
        <v/>
      </c>
    </row>
    <row r="908">
      <c r="AR908" s="2">
        <f>IF(OR($A$5="",$B$6="",ROW()&lt;$A$5),"",IF(INDEX($A:$AP,ROW(),$B$6)="","",INDEX($A:$AP,ROW(),$B$6)))</f>
        <v/>
      </c>
      <c r="AS908" s="22">
        <f>IF($AR908="","",IF(ISNUMBER($AR908),IF($AR908&gt;=10000000,IFERROR(DATE(INT($AR908/10000),MOD(INT($AR908/100),100),MOD($AR908,100)),""),INT($AR908)),IFERROR(DATE(--LEFT(LEFT(SUBSTITUTE(SUBSTITUTE(SUBSTITUTE(SUBSTITUTE(TRIM($AR908),"-",""),".",""),"/","")," ",""),8),4),--MID(LEFT(SUBSTITUTE(SUBSTITUTE(SUBSTITUTE(SUBSTITUTE(TRIM($AR908),"-",""),".",""),"/","")," ",""),8),5,2),--MID(LEFT(SUBSTITUTE(SUBSTITUTE(SUBSTITUTE(SUBSTITUTE(TRIM($AR908),"-",""),".",""),"/","")," ",""),8),7,2)),"")))</f>
        <v/>
      </c>
      <c r="AT908" s="23">
        <f>IF($AS908="","",IF($F$6="",0,IF(ISNUMBER(INDEX($A:$AP,ROW(),$F$6)),INDEX($A:$AP,ROW(),$F$6),IFERROR(--SUBSTITUTE(SUBSTITUTE(TRIM(INDEX($A:$AP,ROW(),$F$6)),",",""),"원",""),0))))</f>
        <v/>
      </c>
      <c r="AU908" s="23">
        <f>IF($AS908="","",IF($G$6="",0,IF(ISNUMBER(INDEX($A:$AP,ROW(),$G$6)),INDEX($A:$AP,ROW(),$G$6),IFERROR(--SUBSTITUTE(SUBSTITUTE(TRIM(INDEX($A:$AP,ROW(),$G$6)),",",""),"원",""),0))))</f>
        <v/>
      </c>
      <c r="AV908" s="23">
        <f>IF($AS908="","",IF($H$6="",$AT908+$AU908,IF($H$6="",0,IF(ISNUMBER(INDEX($A:$AP,ROW(),$H$6)),INDEX($A:$AP,ROW(),$H$6),IFERROR(--SUBSTITUTE(SUBSTITUTE(TRIM(INDEX($A:$AP,ROW(),$H$6)),",",""),"원",""),0)))))</f>
        <v/>
      </c>
      <c r="AW908" s="2">
        <f>IF(OR($AS908="",$C$6=""),"",TRIM(INDEX($A:$AP,ROW(),$C$6)&amp;""))</f>
        <v/>
      </c>
      <c r="AX908" s="2">
        <f>IF($AS908="","",IF($AZ908&lt;&gt;"",SUBSTITUTE(SUBSTITUTE($AZ908,"-","")," ",""),$AY908))</f>
        <v/>
      </c>
      <c r="AY908" s="2">
        <f>IF(OR($AS908="",$E$6=""),"",TRIM(INDEX($A:$AP,ROW(),$E$6)&amp;""))</f>
        <v/>
      </c>
      <c r="AZ908" s="2">
        <f>IF(OR($AS908="",$D$6=""),"",TRIM(INDEX($A:$AP,ROW(),$D$6)&amp;""))</f>
        <v/>
      </c>
      <c r="BA908" s="2">
        <f>IF($AS908="","",IF(AND($AS908&gt;=설정!$B$10,$AS908&lt;=설정!$B$11),"포함","기간 밖"))</f>
        <v/>
      </c>
      <c r="BB908" s="2">
        <f>IF($AS908="","",IF(OR($AT908&lt;0,AND($I$6&lt;&gt;"",ISNUMBER(FIND("수정",INDEX($A:$AP,ROW(),IF($I$6="",1,$I$6))&amp;"")))),"수정","일반"))</f>
        <v/>
      </c>
      <c r="BC908" s="2">
        <f>IF($AS908="","",MID(IF($BA908="기간 밖"," / 기간 밖(신고기간 아님)","")&amp;IF(AND($AW908&lt;&gt;"",COUNTIF($AW$8:$AW$1007,$AW908)&gt;1)," / 승인번호 중복(두 번 붙여넣기?)","")&amp;IF(ABS($AU908-ROUND($AT908*0.1,0))&gt;설정!$B$8,IF($AU908=0," / 세액 0원(영세율·면세 여부 확인)"," / 세액이 공급가액 10%와 다름"),"")&amp;IF($BB908="수정"," / 수정세금계산서(합계에서 자동 가감)",""),4,200))</f>
        <v/>
      </c>
      <c r="BD908" s="2">
        <f>IF($BA908&lt;&gt;"포함","",IF(COUNTIFS($AX$8:$AX908,$AX908,$BA$8:$BA908,"포함")=1,MAX($BD$7:BD907)+1,""))</f>
        <v/>
      </c>
      <c r="BE908" s="2">
        <f>IF($BC908="","",MAX($BE$7:BE907)+1)</f>
        <v/>
      </c>
    </row>
    <row r="909">
      <c r="AR909" s="2">
        <f>IF(OR($A$5="",$B$6="",ROW()&lt;$A$5),"",IF(INDEX($A:$AP,ROW(),$B$6)="","",INDEX($A:$AP,ROW(),$B$6)))</f>
        <v/>
      </c>
      <c r="AS909" s="22">
        <f>IF($AR909="","",IF(ISNUMBER($AR909),IF($AR909&gt;=10000000,IFERROR(DATE(INT($AR909/10000),MOD(INT($AR909/100),100),MOD($AR909,100)),""),INT($AR909)),IFERROR(DATE(--LEFT(LEFT(SUBSTITUTE(SUBSTITUTE(SUBSTITUTE(SUBSTITUTE(TRIM($AR909),"-",""),".",""),"/","")," ",""),8),4),--MID(LEFT(SUBSTITUTE(SUBSTITUTE(SUBSTITUTE(SUBSTITUTE(TRIM($AR909),"-",""),".",""),"/","")," ",""),8),5,2),--MID(LEFT(SUBSTITUTE(SUBSTITUTE(SUBSTITUTE(SUBSTITUTE(TRIM($AR909),"-",""),".",""),"/","")," ",""),8),7,2)),"")))</f>
        <v/>
      </c>
      <c r="AT909" s="23">
        <f>IF($AS909="","",IF($F$6="",0,IF(ISNUMBER(INDEX($A:$AP,ROW(),$F$6)),INDEX($A:$AP,ROW(),$F$6),IFERROR(--SUBSTITUTE(SUBSTITUTE(TRIM(INDEX($A:$AP,ROW(),$F$6)),",",""),"원",""),0))))</f>
        <v/>
      </c>
      <c r="AU909" s="23">
        <f>IF($AS909="","",IF($G$6="",0,IF(ISNUMBER(INDEX($A:$AP,ROW(),$G$6)),INDEX($A:$AP,ROW(),$G$6),IFERROR(--SUBSTITUTE(SUBSTITUTE(TRIM(INDEX($A:$AP,ROW(),$G$6)),",",""),"원",""),0))))</f>
        <v/>
      </c>
      <c r="AV909" s="23">
        <f>IF($AS909="","",IF($H$6="",$AT909+$AU909,IF($H$6="",0,IF(ISNUMBER(INDEX($A:$AP,ROW(),$H$6)),INDEX($A:$AP,ROW(),$H$6),IFERROR(--SUBSTITUTE(SUBSTITUTE(TRIM(INDEX($A:$AP,ROW(),$H$6)),",",""),"원",""),0)))))</f>
        <v/>
      </c>
      <c r="AW909" s="2">
        <f>IF(OR($AS909="",$C$6=""),"",TRIM(INDEX($A:$AP,ROW(),$C$6)&amp;""))</f>
        <v/>
      </c>
      <c r="AX909" s="2">
        <f>IF($AS909="","",IF($AZ909&lt;&gt;"",SUBSTITUTE(SUBSTITUTE($AZ909,"-","")," ",""),$AY909))</f>
        <v/>
      </c>
      <c r="AY909" s="2">
        <f>IF(OR($AS909="",$E$6=""),"",TRIM(INDEX($A:$AP,ROW(),$E$6)&amp;""))</f>
        <v/>
      </c>
      <c r="AZ909" s="2">
        <f>IF(OR($AS909="",$D$6=""),"",TRIM(INDEX($A:$AP,ROW(),$D$6)&amp;""))</f>
        <v/>
      </c>
      <c r="BA909" s="2">
        <f>IF($AS909="","",IF(AND($AS909&gt;=설정!$B$10,$AS909&lt;=설정!$B$11),"포함","기간 밖"))</f>
        <v/>
      </c>
      <c r="BB909" s="2">
        <f>IF($AS909="","",IF(OR($AT909&lt;0,AND($I$6&lt;&gt;"",ISNUMBER(FIND("수정",INDEX($A:$AP,ROW(),IF($I$6="",1,$I$6))&amp;"")))),"수정","일반"))</f>
        <v/>
      </c>
      <c r="BC909" s="2">
        <f>IF($AS909="","",MID(IF($BA909="기간 밖"," / 기간 밖(신고기간 아님)","")&amp;IF(AND($AW909&lt;&gt;"",COUNTIF($AW$8:$AW$1007,$AW909)&gt;1)," / 승인번호 중복(두 번 붙여넣기?)","")&amp;IF(ABS($AU909-ROUND($AT909*0.1,0))&gt;설정!$B$8,IF($AU909=0," / 세액 0원(영세율·면세 여부 확인)"," / 세액이 공급가액 10%와 다름"),"")&amp;IF($BB909="수정"," / 수정세금계산서(합계에서 자동 가감)",""),4,200))</f>
        <v/>
      </c>
      <c r="BD909" s="2">
        <f>IF($BA909&lt;&gt;"포함","",IF(COUNTIFS($AX$8:$AX909,$AX909,$BA$8:$BA909,"포함")=1,MAX($BD$7:BD908)+1,""))</f>
        <v/>
      </c>
      <c r="BE909" s="2">
        <f>IF($BC909="","",MAX($BE$7:BE908)+1)</f>
        <v/>
      </c>
    </row>
    <row r="910">
      <c r="AR910" s="2">
        <f>IF(OR($A$5="",$B$6="",ROW()&lt;$A$5),"",IF(INDEX($A:$AP,ROW(),$B$6)="","",INDEX($A:$AP,ROW(),$B$6)))</f>
        <v/>
      </c>
      <c r="AS910" s="22">
        <f>IF($AR910="","",IF(ISNUMBER($AR910),IF($AR910&gt;=10000000,IFERROR(DATE(INT($AR910/10000),MOD(INT($AR910/100),100),MOD($AR910,100)),""),INT($AR910)),IFERROR(DATE(--LEFT(LEFT(SUBSTITUTE(SUBSTITUTE(SUBSTITUTE(SUBSTITUTE(TRIM($AR910),"-",""),".",""),"/","")," ",""),8),4),--MID(LEFT(SUBSTITUTE(SUBSTITUTE(SUBSTITUTE(SUBSTITUTE(TRIM($AR910),"-",""),".",""),"/","")," ",""),8),5,2),--MID(LEFT(SUBSTITUTE(SUBSTITUTE(SUBSTITUTE(SUBSTITUTE(TRIM($AR910),"-",""),".",""),"/","")," ",""),8),7,2)),"")))</f>
        <v/>
      </c>
      <c r="AT910" s="23">
        <f>IF($AS910="","",IF($F$6="",0,IF(ISNUMBER(INDEX($A:$AP,ROW(),$F$6)),INDEX($A:$AP,ROW(),$F$6),IFERROR(--SUBSTITUTE(SUBSTITUTE(TRIM(INDEX($A:$AP,ROW(),$F$6)),",",""),"원",""),0))))</f>
        <v/>
      </c>
      <c r="AU910" s="23">
        <f>IF($AS910="","",IF($G$6="",0,IF(ISNUMBER(INDEX($A:$AP,ROW(),$G$6)),INDEX($A:$AP,ROW(),$G$6),IFERROR(--SUBSTITUTE(SUBSTITUTE(TRIM(INDEX($A:$AP,ROW(),$G$6)),",",""),"원",""),0))))</f>
        <v/>
      </c>
      <c r="AV910" s="23">
        <f>IF($AS910="","",IF($H$6="",$AT910+$AU910,IF($H$6="",0,IF(ISNUMBER(INDEX($A:$AP,ROW(),$H$6)),INDEX($A:$AP,ROW(),$H$6),IFERROR(--SUBSTITUTE(SUBSTITUTE(TRIM(INDEX($A:$AP,ROW(),$H$6)),",",""),"원",""),0)))))</f>
        <v/>
      </c>
      <c r="AW910" s="2">
        <f>IF(OR($AS910="",$C$6=""),"",TRIM(INDEX($A:$AP,ROW(),$C$6)&amp;""))</f>
        <v/>
      </c>
      <c r="AX910" s="2">
        <f>IF($AS910="","",IF($AZ910&lt;&gt;"",SUBSTITUTE(SUBSTITUTE($AZ910,"-","")," ",""),$AY910))</f>
        <v/>
      </c>
      <c r="AY910" s="2">
        <f>IF(OR($AS910="",$E$6=""),"",TRIM(INDEX($A:$AP,ROW(),$E$6)&amp;""))</f>
        <v/>
      </c>
      <c r="AZ910" s="2">
        <f>IF(OR($AS910="",$D$6=""),"",TRIM(INDEX($A:$AP,ROW(),$D$6)&amp;""))</f>
        <v/>
      </c>
      <c r="BA910" s="2">
        <f>IF($AS910="","",IF(AND($AS910&gt;=설정!$B$10,$AS910&lt;=설정!$B$11),"포함","기간 밖"))</f>
        <v/>
      </c>
      <c r="BB910" s="2">
        <f>IF($AS910="","",IF(OR($AT910&lt;0,AND($I$6&lt;&gt;"",ISNUMBER(FIND("수정",INDEX($A:$AP,ROW(),IF($I$6="",1,$I$6))&amp;"")))),"수정","일반"))</f>
        <v/>
      </c>
      <c r="BC910" s="2">
        <f>IF($AS910="","",MID(IF($BA910="기간 밖"," / 기간 밖(신고기간 아님)","")&amp;IF(AND($AW910&lt;&gt;"",COUNTIF($AW$8:$AW$1007,$AW910)&gt;1)," / 승인번호 중복(두 번 붙여넣기?)","")&amp;IF(ABS($AU910-ROUND($AT910*0.1,0))&gt;설정!$B$8,IF($AU910=0," / 세액 0원(영세율·면세 여부 확인)"," / 세액이 공급가액 10%와 다름"),"")&amp;IF($BB910="수정"," / 수정세금계산서(합계에서 자동 가감)",""),4,200))</f>
        <v/>
      </c>
      <c r="BD910" s="2">
        <f>IF($BA910&lt;&gt;"포함","",IF(COUNTIFS($AX$8:$AX910,$AX910,$BA$8:$BA910,"포함")=1,MAX($BD$7:BD909)+1,""))</f>
        <v/>
      </c>
      <c r="BE910" s="2">
        <f>IF($BC910="","",MAX($BE$7:BE909)+1)</f>
        <v/>
      </c>
    </row>
    <row r="911">
      <c r="AR911" s="2">
        <f>IF(OR($A$5="",$B$6="",ROW()&lt;$A$5),"",IF(INDEX($A:$AP,ROW(),$B$6)="","",INDEX($A:$AP,ROW(),$B$6)))</f>
        <v/>
      </c>
      <c r="AS911" s="22">
        <f>IF($AR911="","",IF(ISNUMBER($AR911),IF($AR911&gt;=10000000,IFERROR(DATE(INT($AR911/10000),MOD(INT($AR911/100),100),MOD($AR911,100)),""),INT($AR911)),IFERROR(DATE(--LEFT(LEFT(SUBSTITUTE(SUBSTITUTE(SUBSTITUTE(SUBSTITUTE(TRIM($AR911),"-",""),".",""),"/","")," ",""),8),4),--MID(LEFT(SUBSTITUTE(SUBSTITUTE(SUBSTITUTE(SUBSTITUTE(TRIM($AR911),"-",""),".",""),"/","")," ",""),8),5,2),--MID(LEFT(SUBSTITUTE(SUBSTITUTE(SUBSTITUTE(SUBSTITUTE(TRIM($AR911),"-",""),".",""),"/","")," ",""),8),7,2)),"")))</f>
        <v/>
      </c>
      <c r="AT911" s="23">
        <f>IF($AS911="","",IF($F$6="",0,IF(ISNUMBER(INDEX($A:$AP,ROW(),$F$6)),INDEX($A:$AP,ROW(),$F$6),IFERROR(--SUBSTITUTE(SUBSTITUTE(TRIM(INDEX($A:$AP,ROW(),$F$6)),",",""),"원",""),0))))</f>
        <v/>
      </c>
      <c r="AU911" s="23">
        <f>IF($AS911="","",IF($G$6="",0,IF(ISNUMBER(INDEX($A:$AP,ROW(),$G$6)),INDEX($A:$AP,ROW(),$G$6),IFERROR(--SUBSTITUTE(SUBSTITUTE(TRIM(INDEX($A:$AP,ROW(),$G$6)),",",""),"원",""),0))))</f>
        <v/>
      </c>
      <c r="AV911" s="23">
        <f>IF($AS911="","",IF($H$6="",$AT911+$AU911,IF($H$6="",0,IF(ISNUMBER(INDEX($A:$AP,ROW(),$H$6)),INDEX($A:$AP,ROW(),$H$6),IFERROR(--SUBSTITUTE(SUBSTITUTE(TRIM(INDEX($A:$AP,ROW(),$H$6)),",",""),"원",""),0)))))</f>
        <v/>
      </c>
      <c r="AW911" s="2">
        <f>IF(OR($AS911="",$C$6=""),"",TRIM(INDEX($A:$AP,ROW(),$C$6)&amp;""))</f>
        <v/>
      </c>
      <c r="AX911" s="2">
        <f>IF($AS911="","",IF($AZ911&lt;&gt;"",SUBSTITUTE(SUBSTITUTE($AZ911,"-","")," ",""),$AY911))</f>
        <v/>
      </c>
      <c r="AY911" s="2">
        <f>IF(OR($AS911="",$E$6=""),"",TRIM(INDEX($A:$AP,ROW(),$E$6)&amp;""))</f>
        <v/>
      </c>
      <c r="AZ911" s="2">
        <f>IF(OR($AS911="",$D$6=""),"",TRIM(INDEX($A:$AP,ROW(),$D$6)&amp;""))</f>
        <v/>
      </c>
      <c r="BA911" s="2">
        <f>IF($AS911="","",IF(AND($AS911&gt;=설정!$B$10,$AS911&lt;=설정!$B$11),"포함","기간 밖"))</f>
        <v/>
      </c>
      <c r="BB911" s="2">
        <f>IF($AS911="","",IF(OR($AT911&lt;0,AND($I$6&lt;&gt;"",ISNUMBER(FIND("수정",INDEX($A:$AP,ROW(),IF($I$6="",1,$I$6))&amp;"")))),"수정","일반"))</f>
        <v/>
      </c>
      <c r="BC911" s="2">
        <f>IF($AS911="","",MID(IF($BA911="기간 밖"," / 기간 밖(신고기간 아님)","")&amp;IF(AND($AW911&lt;&gt;"",COUNTIF($AW$8:$AW$1007,$AW911)&gt;1)," / 승인번호 중복(두 번 붙여넣기?)","")&amp;IF(ABS($AU911-ROUND($AT911*0.1,0))&gt;설정!$B$8,IF($AU911=0," / 세액 0원(영세율·면세 여부 확인)"," / 세액이 공급가액 10%와 다름"),"")&amp;IF($BB911="수정"," / 수정세금계산서(합계에서 자동 가감)",""),4,200))</f>
        <v/>
      </c>
      <c r="BD911" s="2">
        <f>IF($BA911&lt;&gt;"포함","",IF(COUNTIFS($AX$8:$AX911,$AX911,$BA$8:$BA911,"포함")=1,MAX($BD$7:BD910)+1,""))</f>
        <v/>
      </c>
      <c r="BE911" s="2">
        <f>IF($BC911="","",MAX($BE$7:BE910)+1)</f>
        <v/>
      </c>
    </row>
    <row r="912">
      <c r="AR912" s="2">
        <f>IF(OR($A$5="",$B$6="",ROW()&lt;$A$5),"",IF(INDEX($A:$AP,ROW(),$B$6)="","",INDEX($A:$AP,ROW(),$B$6)))</f>
        <v/>
      </c>
      <c r="AS912" s="22">
        <f>IF($AR912="","",IF(ISNUMBER($AR912),IF($AR912&gt;=10000000,IFERROR(DATE(INT($AR912/10000),MOD(INT($AR912/100),100),MOD($AR912,100)),""),INT($AR912)),IFERROR(DATE(--LEFT(LEFT(SUBSTITUTE(SUBSTITUTE(SUBSTITUTE(SUBSTITUTE(TRIM($AR912),"-",""),".",""),"/","")," ",""),8),4),--MID(LEFT(SUBSTITUTE(SUBSTITUTE(SUBSTITUTE(SUBSTITUTE(TRIM($AR912),"-",""),".",""),"/","")," ",""),8),5,2),--MID(LEFT(SUBSTITUTE(SUBSTITUTE(SUBSTITUTE(SUBSTITUTE(TRIM($AR912),"-",""),".",""),"/","")," ",""),8),7,2)),"")))</f>
        <v/>
      </c>
      <c r="AT912" s="23">
        <f>IF($AS912="","",IF($F$6="",0,IF(ISNUMBER(INDEX($A:$AP,ROW(),$F$6)),INDEX($A:$AP,ROW(),$F$6),IFERROR(--SUBSTITUTE(SUBSTITUTE(TRIM(INDEX($A:$AP,ROW(),$F$6)),",",""),"원",""),0))))</f>
        <v/>
      </c>
      <c r="AU912" s="23">
        <f>IF($AS912="","",IF($G$6="",0,IF(ISNUMBER(INDEX($A:$AP,ROW(),$G$6)),INDEX($A:$AP,ROW(),$G$6),IFERROR(--SUBSTITUTE(SUBSTITUTE(TRIM(INDEX($A:$AP,ROW(),$G$6)),",",""),"원",""),0))))</f>
        <v/>
      </c>
      <c r="AV912" s="23">
        <f>IF($AS912="","",IF($H$6="",$AT912+$AU912,IF($H$6="",0,IF(ISNUMBER(INDEX($A:$AP,ROW(),$H$6)),INDEX($A:$AP,ROW(),$H$6),IFERROR(--SUBSTITUTE(SUBSTITUTE(TRIM(INDEX($A:$AP,ROW(),$H$6)),",",""),"원",""),0)))))</f>
        <v/>
      </c>
      <c r="AW912" s="2">
        <f>IF(OR($AS912="",$C$6=""),"",TRIM(INDEX($A:$AP,ROW(),$C$6)&amp;""))</f>
        <v/>
      </c>
      <c r="AX912" s="2">
        <f>IF($AS912="","",IF($AZ912&lt;&gt;"",SUBSTITUTE(SUBSTITUTE($AZ912,"-","")," ",""),$AY912))</f>
        <v/>
      </c>
      <c r="AY912" s="2">
        <f>IF(OR($AS912="",$E$6=""),"",TRIM(INDEX($A:$AP,ROW(),$E$6)&amp;""))</f>
        <v/>
      </c>
      <c r="AZ912" s="2">
        <f>IF(OR($AS912="",$D$6=""),"",TRIM(INDEX($A:$AP,ROW(),$D$6)&amp;""))</f>
        <v/>
      </c>
      <c r="BA912" s="2">
        <f>IF($AS912="","",IF(AND($AS912&gt;=설정!$B$10,$AS912&lt;=설정!$B$11),"포함","기간 밖"))</f>
        <v/>
      </c>
      <c r="BB912" s="2">
        <f>IF($AS912="","",IF(OR($AT912&lt;0,AND($I$6&lt;&gt;"",ISNUMBER(FIND("수정",INDEX($A:$AP,ROW(),IF($I$6="",1,$I$6))&amp;"")))),"수정","일반"))</f>
        <v/>
      </c>
      <c r="BC912" s="2">
        <f>IF($AS912="","",MID(IF($BA912="기간 밖"," / 기간 밖(신고기간 아님)","")&amp;IF(AND($AW912&lt;&gt;"",COUNTIF($AW$8:$AW$1007,$AW912)&gt;1)," / 승인번호 중복(두 번 붙여넣기?)","")&amp;IF(ABS($AU912-ROUND($AT912*0.1,0))&gt;설정!$B$8,IF($AU912=0," / 세액 0원(영세율·면세 여부 확인)"," / 세액이 공급가액 10%와 다름"),"")&amp;IF($BB912="수정"," / 수정세금계산서(합계에서 자동 가감)",""),4,200))</f>
        <v/>
      </c>
      <c r="BD912" s="2">
        <f>IF($BA912&lt;&gt;"포함","",IF(COUNTIFS($AX$8:$AX912,$AX912,$BA$8:$BA912,"포함")=1,MAX($BD$7:BD911)+1,""))</f>
        <v/>
      </c>
      <c r="BE912" s="2">
        <f>IF($BC912="","",MAX($BE$7:BE911)+1)</f>
        <v/>
      </c>
    </row>
    <row r="913">
      <c r="AR913" s="2">
        <f>IF(OR($A$5="",$B$6="",ROW()&lt;$A$5),"",IF(INDEX($A:$AP,ROW(),$B$6)="","",INDEX($A:$AP,ROW(),$B$6)))</f>
        <v/>
      </c>
      <c r="AS913" s="22">
        <f>IF($AR913="","",IF(ISNUMBER($AR913),IF($AR913&gt;=10000000,IFERROR(DATE(INT($AR913/10000),MOD(INT($AR913/100),100),MOD($AR913,100)),""),INT($AR913)),IFERROR(DATE(--LEFT(LEFT(SUBSTITUTE(SUBSTITUTE(SUBSTITUTE(SUBSTITUTE(TRIM($AR913),"-",""),".",""),"/","")," ",""),8),4),--MID(LEFT(SUBSTITUTE(SUBSTITUTE(SUBSTITUTE(SUBSTITUTE(TRIM($AR913),"-",""),".",""),"/","")," ",""),8),5,2),--MID(LEFT(SUBSTITUTE(SUBSTITUTE(SUBSTITUTE(SUBSTITUTE(TRIM($AR913),"-",""),".",""),"/","")," ",""),8),7,2)),"")))</f>
        <v/>
      </c>
      <c r="AT913" s="23">
        <f>IF($AS913="","",IF($F$6="",0,IF(ISNUMBER(INDEX($A:$AP,ROW(),$F$6)),INDEX($A:$AP,ROW(),$F$6),IFERROR(--SUBSTITUTE(SUBSTITUTE(TRIM(INDEX($A:$AP,ROW(),$F$6)),",",""),"원",""),0))))</f>
        <v/>
      </c>
      <c r="AU913" s="23">
        <f>IF($AS913="","",IF($G$6="",0,IF(ISNUMBER(INDEX($A:$AP,ROW(),$G$6)),INDEX($A:$AP,ROW(),$G$6),IFERROR(--SUBSTITUTE(SUBSTITUTE(TRIM(INDEX($A:$AP,ROW(),$G$6)),",",""),"원",""),0))))</f>
        <v/>
      </c>
      <c r="AV913" s="23">
        <f>IF($AS913="","",IF($H$6="",$AT913+$AU913,IF($H$6="",0,IF(ISNUMBER(INDEX($A:$AP,ROW(),$H$6)),INDEX($A:$AP,ROW(),$H$6),IFERROR(--SUBSTITUTE(SUBSTITUTE(TRIM(INDEX($A:$AP,ROW(),$H$6)),",",""),"원",""),0)))))</f>
        <v/>
      </c>
      <c r="AW913" s="2">
        <f>IF(OR($AS913="",$C$6=""),"",TRIM(INDEX($A:$AP,ROW(),$C$6)&amp;""))</f>
        <v/>
      </c>
      <c r="AX913" s="2">
        <f>IF($AS913="","",IF($AZ913&lt;&gt;"",SUBSTITUTE(SUBSTITUTE($AZ913,"-","")," ",""),$AY913))</f>
        <v/>
      </c>
      <c r="AY913" s="2">
        <f>IF(OR($AS913="",$E$6=""),"",TRIM(INDEX($A:$AP,ROW(),$E$6)&amp;""))</f>
        <v/>
      </c>
      <c r="AZ913" s="2">
        <f>IF(OR($AS913="",$D$6=""),"",TRIM(INDEX($A:$AP,ROW(),$D$6)&amp;""))</f>
        <v/>
      </c>
      <c r="BA913" s="2">
        <f>IF($AS913="","",IF(AND($AS913&gt;=설정!$B$10,$AS913&lt;=설정!$B$11),"포함","기간 밖"))</f>
        <v/>
      </c>
      <c r="BB913" s="2">
        <f>IF($AS913="","",IF(OR($AT913&lt;0,AND($I$6&lt;&gt;"",ISNUMBER(FIND("수정",INDEX($A:$AP,ROW(),IF($I$6="",1,$I$6))&amp;"")))),"수정","일반"))</f>
        <v/>
      </c>
      <c r="BC913" s="2">
        <f>IF($AS913="","",MID(IF($BA913="기간 밖"," / 기간 밖(신고기간 아님)","")&amp;IF(AND($AW913&lt;&gt;"",COUNTIF($AW$8:$AW$1007,$AW913)&gt;1)," / 승인번호 중복(두 번 붙여넣기?)","")&amp;IF(ABS($AU913-ROUND($AT913*0.1,0))&gt;설정!$B$8,IF($AU913=0," / 세액 0원(영세율·면세 여부 확인)"," / 세액이 공급가액 10%와 다름"),"")&amp;IF($BB913="수정"," / 수정세금계산서(합계에서 자동 가감)",""),4,200))</f>
        <v/>
      </c>
      <c r="BD913" s="2">
        <f>IF($BA913&lt;&gt;"포함","",IF(COUNTIFS($AX$8:$AX913,$AX913,$BA$8:$BA913,"포함")=1,MAX($BD$7:BD912)+1,""))</f>
        <v/>
      </c>
      <c r="BE913" s="2">
        <f>IF($BC913="","",MAX($BE$7:BE912)+1)</f>
        <v/>
      </c>
    </row>
    <row r="914">
      <c r="AR914" s="2">
        <f>IF(OR($A$5="",$B$6="",ROW()&lt;$A$5),"",IF(INDEX($A:$AP,ROW(),$B$6)="","",INDEX($A:$AP,ROW(),$B$6)))</f>
        <v/>
      </c>
      <c r="AS914" s="22">
        <f>IF($AR914="","",IF(ISNUMBER($AR914),IF($AR914&gt;=10000000,IFERROR(DATE(INT($AR914/10000),MOD(INT($AR914/100),100),MOD($AR914,100)),""),INT($AR914)),IFERROR(DATE(--LEFT(LEFT(SUBSTITUTE(SUBSTITUTE(SUBSTITUTE(SUBSTITUTE(TRIM($AR914),"-",""),".",""),"/","")," ",""),8),4),--MID(LEFT(SUBSTITUTE(SUBSTITUTE(SUBSTITUTE(SUBSTITUTE(TRIM($AR914),"-",""),".",""),"/","")," ",""),8),5,2),--MID(LEFT(SUBSTITUTE(SUBSTITUTE(SUBSTITUTE(SUBSTITUTE(TRIM($AR914),"-",""),".",""),"/","")," ",""),8),7,2)),"")))</f>
        <v/>
      </c>
      <c r="AT914" s="23">
        <f>IF($AS914="","",IF($F$6="",0,IF(ISNUMBER(INDEX($A:$AP,ROW(),$F$6)),INDEX($A:$AP,ROW(),$F$6),IFERROR(--SUBSTITUTE(SUBSTITUTE(TRIM(INDEX($A:$AP,ROW(),$F$6)),",",""),"원",""),0))))</f>
        <v/>
      </c>
      <c r="AU914" s="23">
        <f>IF($AS914="","",IF($G$6="",0,IF(ISNUMBER(INDEX($A:$AP,ROW(),$G$6)),INDEX($A:$AP,ROW(),$G$6),IFERROR(--SUBSTITUTE(SUBSTITUTE(TRIM(INDEX($A:$AP,ROW(),$G$6)),",",""),"원",""),0))))</f>
        <v/>
      </c>
      <c r="AV914" s="23">
        <f>IF($AS914="","",IF($H$6="",$AT914+$AU914,IF($H$6="",0,IF(ISNUMBER(INDEX($A:$AP,ROW(),$H$6)),INDEX($A:$AP,ROW(),$H$6),IFERROR(--SUBSTITUTE(SUBSTITUTE(TRIM(INDEX($A:$AP,ROW(),$H$6)),",",""),"원",""),0)))))</f>
        <v/>
      </c>
      <c r="AW914" s="2">
        <f>IF(OR($AS914="",$C$6=""),"",TRIM(INDEX($A:$AP,ROW(),$C$6)&amp;""))</f>
        <v/>
      </c>
      <c r="AX914" s="2">
        <f>IF($AS914="","",IF($AZ914&lt;&gt;"",SUBSTITUTE(SUBSTITUTE($AZ914,"-","")," ",""),$AY914))</f>
        <v/>
      </c>
      <c r="AY914" s="2">
        <f>IF(OR($AS914="",$E$6=""),"",TRIM(INDEX($A:$AP,ROW(),$E$6)&amp;""))</f>
        <v/>
      </c>
      <c r="AZ914" s="2">
        <f>IF(OR($AS914="",$D$6=""),"",TRIM(INDEX($A:$AP,ROW(),$D$6)&amp;""))</f>
        <v/>
      </c>
      <c r="BA914" s="2">
        <f>IF($AS914="","",IF(AND($AS914&gt;=설정!$B$10,$AS914&lt;=설정!$B$11),"포함","기간 밖"))</f>
        <v/>
      </c>
      <c r="BB914" s="2">
        <f>IF($AS914="","",IF(OR($AT914&lt;0,AND($I$6&lt;&gt;"",ISNUMBER(FIND("수정",INDEX($A:$AP,ROW(),IF($I$6="",1,$I$6))&amp;"")))),"수정","일반"))</f>
        <v/>
      </c>
      <c r="BC914" s="2">
        <f>IF($AS914="","",MID(IF($BA914="기간 밖"," / 기간 밖(신고기간 아님)","")&amp;IF(AND($AW914&lt;&gt;"",COUNTIF($AW$8:$AW$1007,$AW914)&gt;1)," / 승인번호 중복(두 번 붙여넣기?)","")&amp;IF(ABS($AU914-ROUND($AT914*0.1,0))&gt;설정!$B$8,IF($AU914=0," / 세액 0원(영세율·면세 여부 확인)"," / 세액이 공급가액 10%와 다름"),"")&amp;IF($BB914="수정"," / 수정세금계산서(합계에서 자동 가감)",""),4,200))</f>
        <v/>
      </c>
      <c r="BD914" s="2">
        <f>IF($BA914&lt;&gt;"포함","",IF(COUNTIFS($AX$8:$AX914,$AX914,$BA$8:$BA914,"포함")=1,MAX($BD$7:BD913)+1,""))</f>
        <v/>
      </c>
      <c r="BE914" s="2">
        <f>IF($BC914="","",MAX($BE$7:BE913)+1)</f>
        <v/>
      </c>
    </row>
    <row r="915">
      <c r="AR915" s="2">
        <f>IF(OR($A$5="",$B$6="",ROW()&lt;$A$5),"",IF(INDEX($A:$AP,ROW(),$B$6)="","",INDEX($A:$AP,ROW(),$B$6)))</f>
        <v/>
      </c>
      <c r="AS915" s="22">
        <f>IF($AR915="","",IF(ISNUMBER($AR915),IF($AR915&gt;=10000000,IFERROR(DATE(INT($AR915/10000),MOD(INT($AR915/100),100),MOD($AR915,100)),""),INT($AR915)),IFERROR(DATE(--LEFT(LEFT(SUBSTITUTE(SUBSTITUTE(SUBSTITUTE(SUBSTITUTE(TRIM($AR915),"-",""),".",""),"/","")," ",""),8),4),--MID(LEFT(SUBSTITUTE(SUBSTITUTE(SUBSTITUTE(SUBSTITUTE(TRIM($AR915),"-",""),".",""),"/","")," ",""),8),5,2),--MID(LEFT(SUBSTITUTE(SUBSTITUTE(SUBSTITUTE(SUBSTITUTE(TRIM($AR915),"-",""),".",""),"/","")," ",""),8),7,2)),"")))</f>
        <v/>
      </c>
      <c r="AT915" s="23">
        <f>IF($AS915="","",IF($F$6="",0,IF(ISNUMBER(INDEX($A:$AP,ROW(),$F$6)),INDEX($A:$AP,ROW(),$F$6),IFERROR(--SUBSTITUTE(SUBSTITUTE(TRIM(INDEX($A:$AP,ROW(),$F$6)),",",""),"원",""),0))))</f>
        <v/>
      </c>
      <c r="AU915" s="23">
        <f>IF($AS915="","",IF($G$6="",0,IF(ISNUMBER(INDEX($A:$AP,ROW(),$G$6)),INDEX($A:$AP,ROW(),$G$6),IFERROR(--SUBSTITUTE(SUBSTITUTE(TRIM(INDEX($A:$AP,ROW(),$G$6)),",",""),"원",""),0))))</f>
        <v/>
      </c>
      <c r="AV915" s="23">
        <f>IF($AS915="","",IF($H$6="",$AT915+$AU915,IF($H$6="",0,IF(ISNUMBER(INDEX($A:$AP,ROW(),$H$6)),INDEX($A:$AP,ROW(),$H$6),IFERROR(--SUBSTITUTE(SUBSTITUTE(TRIM(INDEX($A:$AP,ROW(),$H$6)),",",""),"원",""),0)))))</f>
        <v/>
      </c>
      <c r="AW915" s="2">
        <f>IF(OR($AS915="",$C$6=""),"",TRIM(INDEX($A:$AP,ROW(),$C$6)&amp;""))</f>
        <v/>
      </c>
      <c r="AX915" s="2">
        <f>IF($AS915="","",IF($AZ915&lt;&gt;"",SUBSTITUTE(SUBSTITUTE($AZ915,"-","")," ",""),$AY915))</f>
        <v/>
      </c>
      <c r="AY915" s="2">
        <f>IF(OR($AS915="",$E$6=""),"",TRIM(INDEX($A:$AP,ROW(),$E$6)&amp;""))</f>
        <v/>
      </c>
      <c r="AZ915" s="2">
        <f>IF(OR($AS915="",$D$6=""),"",TRIM(INDEX($A:$AP,ROW(),$D$6)&amp;""))</f>
        <v/>
      </c>
      <c r="BA915" s="2">
        <f>IF($AS915="","",IF(AND($AS915&gt;=설정!$B$10,$AS915&lt;=설정!$B$11),"포함","기간 밖"))</f>
        <v/>
      </c>
      <c r="BB915" s="2">
        <f>IF($AS915="","",IF(OR($AT915&lt;0,AND($I$6&lt;&gt;"",ISNUMBER(FIND("수정",INDEX($A:$AP,ROW(),IF($I$6="",1,$I$6))&amp;"")))),"수정","일반"))</f>
        <v/>
      </c>
      <c r="BC915" s="2">
        <f>IF($AS915="","",MID(IF($BA915="기간 밖"," / 기간 밖(신고기간 아님)","")&amp;IF(AND($AW915&lt;&gt;"",COUNTIF($AW$8:$AW$1007,$AW915)&gt;1)," / 승인번호 중복(두 번 붙여넣기?)","")&amp;IF(ABS($AU915-ROUND($AT915*0.1,0))&gt;설정!$B$8,IF($AU915=0," / 세액 0원(영세율·면세 여부 확인)"," / 세액이 공급가액 10%와 다름"),"")&amp;IF($BB915="수정"," / 수정세금계산서(합계에서 자동 가감)",""),4,200))</f>
        <v/>
      </c>
      <c r="BD915" s="2">
        <f>IF($BA915&lt;&gt;"포함","",IF(COUNTIFS($AX$8:$AX915,$AX915,$BA$8:$BA915,"포함")=1,MAX($BD$7:BD914)+1,""))</f>
        <v/>
      </c>
      <c r="BE915" s="2">
        <f>IF($BC915="","",MAX($BE$7:BE914)+1)</f>
        <v/>
      </c>
    </row>
    <row r="916">
      <c r="AR916" s="2">
        <f>IF(OR($A$5="",$B$6="",ROW()&lt;$A$5),"",IF(INDEX($A:$AP,ROW(),$B$6)="","",INDEX($A:$AP,ROW(),$B$6)))</f>
        <v/>
      </c>
      <c r="AS916" s="22">
        <f>IF($AR916="","",IF(ISNUMBER($AR916),IF($AR916&gt;=10000000,IFERROR(DATE(INT($AR916/10000),MOD(INT($AR916/100),100),MOD($AR916,100)),""),INT($AR916)),IFERROR(DATE(--LEFT(LEFT(SUBSTITUTE(SUBSTITUTE(SUBSTITUTE(SUBSTITUTE(TRIM($AR916),"-",""),".",""),"/","")," ",""),8),4),--MID(LEFT(SUBSTITUTE(SUBSTITUTE(SUBSTITUTE(SUBSTITUTE(TRIM($AR916),"-",""),".",""),"/","")," ",""),8),5,2),--MID(LEFT(SUBSTITUTE(SUBSTITUTE(SUBSTITUTE(SUBSTITUTE(TRIM($AR916),"-",""),".",""),"/","")," ",""),8),7,2)),"")))</f>
        <v/>
      </c>
      <c r="AT916" s="23">
        <f>IF($AS916="","",IF($F$6="",0,IF(ISNUMBER(INDEX($A:$AP,ROW(),$F$6)),INDEX($A:$AP,ROW(),$F$6),IFERROR(--SUBSTITUTE(SUBSTITUTE(TRIM(INDEX($A:$AP,ROW(),$F$6)),",",""),"원",""),0))))</f>
        <v/>
      </c>
      <c r="AU916" s="23">
        <f>IF($AS916="","",IF($G$6="",0,IF(ISNUMBER(INDEX($A:$AP,ROW(),$G$6)),INDEX($A:$AP,ROW(),$G$6),IFERROR(--SUBSTITUTE(SUBSTITUTE(TRIM(INDEX($A:$AP,ROW(),$G$6)),",",""),"원",""),0))))</f>
        <v/>
      </c>
      <c r="AV916" s="23">
        <f>IF($AS916="","",IF($H$6="",$AT916+$AU916,IF($H$6="",0,IF(ISNUMBER(INDEX($A:$AP,ROW(),$H$6)),INDEX($A:$AP,ROW(),$H$6),IFERROR(--SUBSTITUTE(SUBSTITUTE(TRIM(INDEX($A:$AP,ROW(),$H$6)),",",""),"원",""),0)))))</f>
        <v/>
      </c>
      <c r="AW916" s="2">
        <f>IF(OR($AS916="",$C$6=""),"",TRIM(INDEX($A:$AP,ROW(),$C$6)&amp;""))</f>
        <v/>
      </c>
      <c r="AX916" s="2">
        <f>IF($AS916="","",IF($AZ916&lt;&gt;"",SUBSTITUTE(SUBSTITUTE($AZ916,"-","")," ",""),$AY916))</f>
        <v/>
      </c>
      <c r="AY916" s="2">
        <f>IF(OR($AS916="",$E$6=""),"",TRIM(INDEX($A:$AP,ROW(),$E$6)&amp;""))</f>
        <v/>
      </c>
      <c r="AZ916" s="2">
        <f>IF(OR($AS916="",$D$6=""),"",TRIM(INDEX($A:$AP,ROW(),$D$6)&amp;""))</f>
        <v/>
      </c>
      <c r="BA916" s="2">
        <f>IF($AS916="","",IF(AND($AS916&gt;=설정!$B$10,$AS916&lt;=설정!$B$11),"포함","기간 밖"))</f>
        <v/>
      </c>
      <c r="BB916" s="2">
        <f>IF($AS916="","",IF(OR($AT916&lt;0,AND($I$6&lt;&gt;"",ISNUMBER(FIND("수정",INDEX($A:$AP,ROW(),IF($I$6="",1,$I$6))&amp;"")))),"수정","일반"))</f>
        <v/>
      </c>
      <c r="BC916" s="2">
        <f>IF($AS916="","",MID(IF($BA916="기간 밖"," / 기간 밖(신고기간 아님)","")&amp;IF(AND($AW916&lt;&gt;"",COUNTIF($AW$8:$AW$1007,$AW916)&gt;1)," / 승인번호 중복(두 번 붙여넣기?)","")&amp;IF(ABS($AU916-ROUND($AT916*0.1,0))&gt;설정!$B$8,IF($AU916=0," / 세액 0원(영세율·면세 여부 확인)"," / 세액이 공급가액 10%와 다름"),"")&amp;IF($BB916="수정"," / 수정세금계산서(합계에서 자동 가감)",""),4,200))</f>
        <v/>
      </c>
      <c r="BD916" s="2">
        <f>IF($BA916&lt;&gt;"포함","",IF(COUNTIFS($AX$8:$AX916,$AX916,$BA$8:$BA916,"포함")=1,MAX($BD$7:BD915)+1,""))</f>
        <v/>
      </c>
      <c r="BE916" s="2">
        <f>IF($BC916="","",MAX($BE$7:BE915)+1)</f>
        <v/>
      </c>
    </row>
    <row r="917">
      <c r="AR917" s="2">
        <f>IF(OR($A$5="",$B$6="",ROW()&lt;$A$5),"",IF(INDEX($A:$AP,ROW(),$B$6)="","",INDEX($A:$AP,ROW(),$B$6)))</f>
        <v/>
      </c>
      <c r="AS917" s="22">
        <f>IF($AR917="","",IF(ISNUMBER($AR917),IF($AR917&gt;=10000000,IFERROR(DATE(INT($AR917/10000),MOD(INT($AR917/100),100),MOD($AR917,100)),""),INT($AR917)),IFERROR(DATE(--LEFT(LEFT(SUBSTITUTE(SUBSTITUTE(SUBSTITUTE(SUBSTITUTE(TRIM($AR917),"-",""),".",""),"/","")," ",""),8),4),--MID(LEFT(SUBSTITUTE(SUBSTITUTE(SUBSTITUTE(SUBSTITUTE(TRIM($AR917),"-",""),".",""),"/","")," ",""),8),5,2),--MID(LEFT(SUBSTITUTE(SUBSTITUTE(SUBSTITUTE(SUBSTITUTE(TRIM($AR917),"-",""),".",""),"/","")," ",""),8),7,2)),"")))</f>
        <v/>
      </c>
      <c r="AT917" s="23">
        <f>IF($AS917="","",IF($F$6="",0,IF(ISNUMBER(INDEX($A:$AP,ROW(),$F$6)),INDEX($A:$AP,ROW(),$F$6),IFERROR(--SUBSTITUTE(SUBSTITUTE(TRIM(INDEX($A:$AP,ROW(),$F$6)),",",""),"원",""),0))))</f>
        <v/>
      </c>
      <c r="AU917" s="23">
        <f>IF($AS917="","",IF($G$6="",0,IF(ISNUMBER(INDEX($A:$AP,ROW(),$G$6)),INDEX($A:$AP,ROW(),$G$6),IFERROR(--SUBSTITUTE(SUBSTITUTE(TRIM(INDEX($A:$AP,ROW(),$G$6)),",",""),"원",""),0))))</f>
        <v/>
      </c>
      <c r="AV917" s="23">
        <f>IF($AS917="","",IF($H$6="",$AT917+$AU917,IF($H$6="",0,IF(ISNUMBER(INDEX($A:$AP,ROW(),$H$6)),INDEX($A:$AP,ROW(),$H$6),IFERROR(--SUBSTITUTE(SUBSTITUTE(TRIM(INDEX($A:$AP,ROW(),$H$6)),",",""),"원",""),0)))))</f>
        <v/>
      </c>
      <c r="AW917" s="2">
        <f>IF(OR($AS917="",$C$6=""),"",TRIM(INDEX($A:$AP,ROW(),$C$6)&amp;""))</f>
        <v/>
      </c>
      <c r="AX917" s="2">
        <f>IF($AS917="","",IF($AZ917&lt;&gt;"",SUBSTITUTE(SUBSTITUTE($AZ917,"-","")," ",""),$AY917))</f>
        <v/>
      </c>
      <c r="AY917" s="2">
        <f>IF(OR($AS917="",$E$6=""),"",TRIM(INDEX($A:$AP,ROW(),$E$6)&amp;""))</f>
        <v/>
      </c>
      <c r="AZ917" s="2">
        <f>IF(OR($AS917="",$D$6=""),"",TRIM(INDEX($A:$AP,ROW(),$D$6)&amp;""))</f>
        <v/>
      </c>
      <c r="BA917" s="2">
        <f>IF($AS917="","",IF(AND($AS917&gt;=설정!$B$10,$AS917&lt;=설정!$B$11),"포함","기간 밖"))</f>
        <v/>
      </c>
      <c r="BB917" s="2">
        <f>IF($AS917="","",IF(OR($AT917&lt;0,AND($I$6&lt;&gt;"",ISNUMBER(FIND("수정",INDEX($A:$AP,ROW(),IF($I$6="",1,$I$6))&amp;"")))),"수정","일반"))</f>
        <v/>
      </c>
      <c r="BC917" s="2">
        <f>IF($AS917="","",MID(IF($BA917="기간 밖"," / 기간 밖(신고기간 아님)","")&amp;IF(AND($AW917&lt;&gt;"",COUNTIF($AW$8:$AW$1007,$AW917)&gt;1)," / 승인번호 중복(두 번 붙여넣기?)","")&amp;IF(ABS($AU917-ROUND($AT917*0.1,0))&gt;설정!$B$8,IF($AU917=0," / 세액 0원(영세율·면세 여부 확인)"," / 세액이 공급가액 10%와 다름"),"")&amp;IF($BB917="수정"," / 수정세금계산서(합계에서 자동 가감)",""),4,200))</f>
        <v/>
      </c>
      <c r="BD917" s="2">
        <f>IF($BA917&lt;&gt;"포함","",IF(COUNTIFS($AX$8:$AX917,$AX917,$BA$8:$BA917,"포함")=1,MAX($BD$7:BD916)+1,""))</f>
        <v/>
      </c>
      <c r="BE917" s="2">
        <f>IF($BC917="","",MAX($BE$7:BE916)+1)</f>
        <v/>
      </c>
    </row>
    <row r="918">
      <c r="AR918" s="2">
        <f>IF(OR($A$5="",$B$6="",ROW()&lt;$A$5),"",IF(INDEX($A:$AP,ROW(),$B$6)="","",INDEX($A:$AP,ROW(),$B$6)))</f>
        <v/>
      </c>
      <c r="AS918" s="22">
        <f>IF($AR918="","",IF(ISNUMBER($AR918),IF($AR918&gt;=10000000,IFERROR(DATE(INT($AR918/10000),MOD(INT($AR918/100),100),MOD($AR918,100)),""),INT($AR918)),IFERROR(DATE(--LEFT(LEFT(SUBSTITUTE(SUBSTITUTE(SUBSTITUTE(SUBSTITUTE(TRIM($AR918),"-",""),".",""),"/","")," ",""),8),4),--MID(LEFT(SUBSTITUTE(SUBSTITUTE(SUBSTITUTE(SUBSTITUTE(TRIM($AR918),"-",""),".",""),"/","")," ",""),8),5,2),--MID(LEFT(SUBSTITUTE(SUBSTITUTE(SUBSTITUTE(SUBSTITUTE(TRIM($AR918),"-",""),".",""),"/","")," ",""),8),7,2)),"")))</f>
        <v/>
      </c>
      <c r="AT918" s="23">
        <f>IF($AS918="","",IF($F$6="",0,IF(ISNUMBER(INDEX($A:$AP,ROW(),$F$6)),INDEX($A:$AP,ROW(),$F$6),IFERROR(--SUBSTITUTE(SUBSTITUTE(TRIM(INDEX($A:$AP,ROW(),$F$6)),",",""),"원",""),0))))</f>
        <v/>
      </c>
      <c r="AU918" s="23">
        <f>IF($AS918="","",IF($G$6="",0,IF(ISNUMBER(INDEX($A:$AP,ROW(),$G$6)),INDEX($A:$AP,ROW(),$G$6),IFERROR(--SUBSTITUTE(SUBSTITUTE(TRIM(INDEX($A:$AP,ROW(),$G$6)),",",""),"원",""),0))))</f>
        <v/>
      </c>
      <c r="AV918" s="23">
        <f>IF($AS918="","",IF($H$6="",$AT918+$AU918,IF($H$6="",0,IF(ISNUMBER(INDEX($A:$AP,ROW(),$H$6)),INDEX($A:$AP,ROW(),$H$6),IFERROR(--SUBSTITUTE(SUBSTITUTE(TRIM(INDEX($A:$AP,ROW(),$H$6)),",",""),"원",""),0)))))</f>
        <v/>
      </c>
      <c r="AW918" s="2">
        <f>IF(OR($AS918="",$C$6=""),"",TRIM(INDEX($A:$AP,ROW(),$C$6)&amp;""))</f>
        <v/>
      </c>
      <c r="AX918" s="2">
        <f>IF($AS918="","",IF($AZ918&lt;&gt;"",SUBSTITUTE(SUBSTITUTE($AZ918,"-","")," ",""),$AY918))</f>
        <v/>
      </c>
      <c r="AY918" s="2">
        <f>IF(OR($AS918="",$E$6=""),"",TRIM(INDEX($A:$AP,ROW(),$E$6)&amp;""))</f>
        <v/>
      </c>
      <c r="AZ918" s="2">
        <f>IF(OR($AS918="",$D$6=""),"",TRIM(INDEX($A:$AP,ROW(),$D$6)&amp;""))</f>
        <v/>
      </c>
      <c r="BA918" s="2">
        <f>IF($AS918="","",IF(AND($AS918&gt;=설정!$B$10,$AS918&lt;=설정!$B$11),"포함","기간 밖"))</f>
        <v/>
      </c>
      <c r="BB918" s="2">
        <f>IF($AS918="","",IF(OR($AT918&lt;0,AND($I$6&lt;&gt;"",ISNUMBER(FIND("수정",INDEX($A:$AP,ROW(),IF($I$6="",1,$I$6))&amp;"")))),"수정","일반"))</f>
        <v/>
      </c>
      <c r="BC918" s="2">
        <f>IF($AS918="","",MID(IF($BA918="기간 밖"," / 기간 밖(신고기간 아님)","")&amp;IF(AND($AW918&lt;&gt;"",COUNTIF($AW$8:$AW$1007,$AW918)&gt;1)," / 승인번호 중복(두 번 붙여넣기?)","")&amp;IF(ABS($AU918-ROUND($AT918*0.1,0))&gt;설정!$B$8,IF($AU918=0," / 세액 0원(영세율·면세 여부 확인)"," / 세액이 공급가액 10%와 다름"),"")&amp;IF($BB918="수정"," / 수정세금계산서(합계에서 자동 가감)",""),4,200))</f>
        <v/>
      </c>
      <c r="BD918" s="2">
        <f>IF($BA918&lt;&gt;"포함","",IF(COUNTIFS($AX$8:$AX918,$AX918,$BA$8:$BA918,"포함")=1,MAX($BD$7:BD917)+1,""))</f>
        <v/>
      </c>
      <c r="BE918" s="2">
        <f>IF($BC918="","",MAX($BE$7:BE917)+1)</f>
        <v/>
      </c>
    </row>
    <row r="919">
      <c r="AR919" s="2">
        <f>IF(OR($A$5="",$B$6="",ROW()&lt;$A$5),"",IF(INDEX($A:$AP,ROW(),$B$6)="","",INDEX($A:$AP,ROW(),$B$6)))</f>
        <v/>
      </c>
      <c r="AS919" s="22">
        <f>IF($AR919="","",IF(ISNUMBER($AR919),IF($AR919&gt;=10000000,IFERROR(DATE(INT($AR919/10000),MOD(INT($AR919/100),100),MOD($AR919,100)),""),INT($AR919)),IFERROR(DATE(--LEFT(LEFT(SUBSTITUTE(SUBSTITUTE(SUBSTITUTE(SUBSTITUTE(TRIM($AR919),"-",""),".",""),"/","")," ",""),8),4),--MID(LEFT(SUBSTITUTE(SUBSTITUTE(SUBSTITUTE(SUBSTITUTE(TRIM($AR919),"-",""),".",""),"/","")," ",""),8),5,2),--MID(LEFT(SUBSTITUTE(SUBSTITUTE(SUBSTITUTE(SUBSTITUTE(TRIM($AR919),"-",""),".",""),"/","")," ",""),8),7,2)),"")))</f>
        <v/>
      </c>
      <c r="AT919" s="23">
        <f>IF($AS919="","",IF($F$6="",0,IF(ISNUMBER(INDEX($A:$AP,ROW(),$F$6)),INDEX($A:$AP,ROW(),$F$6),IFERROR(--SUBSTITUTE(SUBSTITUTE(TRIM(INDEX($A:$AP,ROW(),$F$6)),",",""),"원",""),0))))</f>
        <v/>
      </c>
      <c r="AU919" s="23">
        <f>IF($AS919="","",IF($G$6="",0,IF(ISNUMBER(INDEX($A:$AP,ROW(),$G$6)),INDEX($A:$AP,ROW(),$G$6),IFERROR(--SUBSTITUTE(SUBSTITUTE(TRIM(INDEX($A:$AP,ROW(),$G$6)),",",""),"원",""),0))))</f>
        <v/>
      </c>
      <c r="AV919" s="23">
        <f>IF($AS919="","",IF($H$6="",$AT919+$AU919,IF($H$6="",0,IF(ISNUMBER(INDEX($A:$AP,ROW(),$H$6)),INDEX($A:$AP,ROW(),$H$6),IFERROR(--SUBSTITUTE(SUBSTITUTE(TRIM(INDEX($A:$AP,ROW(),$H$6)),",",""),"원",""),0)))))</f>
        <v/>
      </c>
      <c r="AW919" s="2">
        <f>IF(OR($AS919="",$C$6=""),"",TRIM(INDEX($A:$AP,ROW(),$C$6)&amp;""))</f>
        <v/>
      </c>
      <c r="AX919" s="2">
        <f>IF($AS919="","",IF($AZ919&lt;&gt;"",SUBSTITUTE(SUBSTITUTE($AZ919,"-","")," ",""),$AY919))</f>
        <v/>
      </c>
      <c r="AY919" s="2">
        <f>IF(OR($AS919="",$E$6=""),"",TRIM(INDEX($A:$AP,ROW(),$E$6)&amp;""))</f>
        <v/>
      </c>
      <c r="AZ919" s="2">
        <f>IF(OR($AS919="",$D$6=""),"",TRIM(INDEX($A:$AP,ROW(),$D$6)&amp;""))</f>
        <v/>
      </c>
      <c r="BA919" s="2">
        <f>IF($AS919="","",IF(AND($AS919&gt;=설정!$B$10,$AS919&lt;=설정!$B$11),"포함","기간 밖"))</f>
        <v/>
      </c>
      <c r="BB919" s="2">
        <f>IF($AS919="","",IF(OR($AT919&lt;0,AND($I$6&lt;&gt;"",ISNUMBER(FIND("수정",INDEX($A:$AP,ROW(),IF($I$6="",1,$I$6))&amp;"")))),"수정","일반"))</f>
        <v/>
      </c>
      <c r="BC919" s="2">
        <f>IF($AS919="","",MID(IF($BA919="기간 밖"," / 기간 밖(신고기간 아님)","")&amp;IF(AND($AW919&lt;&gt;"",COUNTIF($AW$8:$AW$1007,$AW919)&gt;1)," / 승인번호 중복(두 번 붙여넣기?)","")&amp;IF(ABS($AU919-ROUND($AT919*0.1,0))&gt;설정!$B$8,IF($AU919=0," / 세액 0원(영세율·면세 여부 확인)"," / 세액이 공급가액 10%와 다름"),"")&amp;IF($BB919="수정"," / 수정세금계산서(합계에서 자동 가감)",""),4,200))</f>
        <v/>
      </c>
      <c r="BD919" s="2">
        <f>IF($BA919&lt;&gt;"포함","",IF(COUNTIFS($AX$8:$AX919,$AX919,$BA$8:$BA919,"포함")=1,MAX($BD$7:BD918)+1,""))</f>
        <v/>
      </c>
      <c r="BE919" s="2">
        <f>IF($BC919="","",MAX($BE$7:BE918)+1)</f>
        <v/>
      </c>
    </row>
    <row r="920">
      <c r="AR920" s="2">
        <f>IF(OR($A$5="",$B$6="",ROW()&lt;$A$5),"",IF(INDEX($A:$AP,ROW(),$B$6)="","",INDEX($A:$AP,ROW(),$B$6)))</f>
        <v/>
      </c>
      <c r="AS920" s="22">
        <f>IF($AR920="","",IF(ISNUMBER($AR920),IF($AR920&gt;=10000000,IFERROR(DATE(INT($AR920/10000),MOD(INT($AR920/100),100),MOD($AR920,100)),""),INT($AR920)),IFERROR(DATE(--LEFT(LEFT(SUBSTITUTE(SUBSTITUTE(SUBSTITUTE(SUBSTITUTE(TRIM($AR920),"-",""),".",""),"/","")," ",""),8),4),--MID(LEFT(SUBSTITUTE(SUBSTITUTE(SUBSTITUTE(SUBSTITUTE(TRIM($AR920),"-",""),".",""),"/","")," ",""),8),5,2),--MID(LEFT(SUBSTITUTE(SUBSTITUTE(SUBSTITUTE(SUBSTITUTE(TRIM($AR920),"-",""),".",""),"/","")," ",""),8),7,2)),"")))</f>
        <v/>
      </c>
      <c r="AT920" s="23">
        <f>IF($AS920="","",IF($F$6="",0,IF(ISNUMBER(INDEX($A:$AP,ROW(),$F$6)),INDEX($A:$AP,ROW(),$F$6),IFERROR(--SUBSTITUTE(SUBSTITUTE(TRIM(INDEX($A:$AP,ROW(),$F$6)),",",""),"원",""),0))))</f>
        <v/>
      </c>
      <c r="AU920" s="23">
        <f>IF($AS920="","",IF($G$6="",0,IF(ISNUMBER(INDEX($A:$AP,ROW(),$G$6)),INDEX($A:$AP,ROW(),$G$6),IFERROR(--SUBSTITUTE(SUBSTITUTE(TRIM(INDEX($A:$AP,ROW(),$G$6)),",",""),"원",""),0))))</f>
        <v/>
      </c>
      <c r="AV920" s="23">
        <f>IF($AS920="","",IF($H$6="",$AT920+$AU920,IF($H$6="",0,IF(ISNUMBER(INDEX($A:$AP,ROW(),$H$6)),INDEX($A:$AP,ROW(),$H$6),IFERROR(--SUBSTITUTE(SUBSTITUTE(TRIM(INDEX($A:$AP,ROW(),$H$6)),",",""),"원",""),0)))))</f>
        <v/>
      </c>
      <c r="AW920" s="2">
        <f>IF(OR($AS920="",$C$6=""),"",TRIM(INDEX($A:$AP,ROW(),$C$6)&amp;""))</f>
        <v/>
      </c>
      <c r="AX920" s="2">
        <f>IF($AS920="","",IF($AZ920&lt;&gt;"",SUBSTITUTE(SUBSTITUTE($AZ920,"-","")," ",""),$AY920))</f>
        <v/>
      </c>
      <c r="AY920" s="2">
        <f>IF(OR($AS920="",$E$6=""),"",TRIM(INDEX($A:$AP,ROW(),$E$6)&amp;""))</f>
        <v/>
      </c>
      <c r="AZ920" s="2">
        <f>IF(OR($AS920="",$D$6=""),"",TRIM(INDEX($A:$AP,ROW(),$D$6)&amp;""))</f>
        <v/>
      </c>
      <c r="BA920" s="2">
        <f>IF($AS920="","",IF(AND($AS920&gt;=설정!$B$10,$AS920&lt;=설정!$B$11),"포함","기간 밖"))</f>
        <v/>
      </c>
      <c r="BB920" s="2">
        <f>IF($AS920="","",IF(OR($AT920&lt;0,AND($I$6&lt;&gt;"",ISNUMBER(FIND("수정",INDEX($A:$AP,ROW(),IF($I$6="",1,$I$6))&amp;"")))),"수정","일반"))</f>
        <v/>
      </c>
      <c r="BC920" s="2">
        <f>IF($AS920="","",MID(IF($BA920="기간 밖"," / 기간 밖(신고기간 아님)","")&amp;IF(AND($AW920&lt;&gt;"",COUNTIF($AW$8:$AW$1007,$AW920)&gt;1)," / 승인번호 중복(두 번 붙여넣기?)","")&amp;IF(ABS($AU920-ROUND($AT920*0.1,0))&gt;설정!$B$8,IF($AU920=0," / 세액 0원(영세율·면세 여부 확인)"," / 세액이 공급가액 10%와 다름"),"")&amp;IF($BB920="수정"," / 수정세금계산서(합계에서 자동 가감)",""),4,200))</f>
        <v/>
      </c>
      <c r="BD920" s="2">
        <f>IF($BA920&lt;&gt;"포함","",IF(COUNTIFS($AX$8:$AX920,$AX920,$BA$8:$BA920,"포함")=1,MAX($BD$7:BD919)+1,""))</f>
        <v/>
      </c>
      <c r="BE920" s="2">
        <f>IF($BC920="","",MAX($BE$7:BE919)+1)</f>
        <v/>
      </c>
    </row>
    <row r="921">
      <c r="AR921" s="2">
        <f>IF(OR($A$5="",$B$6="",ROW()&lt;$A$5),"",IF(INDEX($A:$AP,ROW(),$B$6)="","",INDEX($A:$AP,ROW(),$B$6)))</f>
        <v/>
      </c>
      <c r="AS921" s="22">
        <f>IF($AR921="","",IF(ISNUMBER($AR921),IF($AR921&gt;=10000000,IFERROR(DATE(INT($AR921/10000),MOD(INT($AR921/100),100),MOD($AR921,100)),""),INT($AR921)),IFERROR(DATE(--LEFT(LEFT(SUBSTITUTE(SUBSTITUTE(SUBSTITUTE(SUBSTITUTE(TRIM($AR921),"-",""),".",""),"/","")," ",""),8),4),--MID(LEFT(SUBSTITUTE(SUBSTITUTE(SUBSTITUTE(SUBSTITUTE(TRIM($AR921),"-",""),".",""),"/","")," ",""),8),5,2),--MID(LEFT(SUBSTITUTE(SUBSTITUTE(SUBSTITUTE(SUBSTITUTE(TRIM($AR921),"-",""),".",""),"/","")," ",""),8),7,2)),"")))</f>
        <v/>
      </c>
      <c r="AT921" s="23">
        <f>IF($AS921="","",IF($F$6="",0,IF(ISNUMBER(INDEX($A:$AP,ROW(),$F$6)),INDEX($A:$AP,ROW(),$F$6),IFERROR(--SUBSTITUTE(SUBSTITUTE(TRIM(INDEX($A:$AP,ROW(),$F$6)),",",""),"원",""),0))))</f>
        <v/>
      </c>
      <c r="AU921" s="23">
        <f>IF($AS921="","",IF($G$6="",0,IF(ISNUMBER(INDEX($A:$AP,ROW(),$G$6)),INDEX($A:$AP,ROW(),$G$6),IFERROR(--SUBSTITUTE(SUBSTITUTE(TRIM(INDEX($A:$AP,ROW(),$G$6)),",",""),"원",""),0))))</f>
        <v/>
      </c>
      <c r="AV921" s="23">
        <f>IF($AS921="","",IF($H$6="",$AT921+$AU921,IF($H$6="",0,IF(ISNUMBER(INDEX($A:$AP,ROW(),$H$6)),INDEX($A:$AP,ROW(),$H$6),IFERROR(--SUBSTITUTE(SUBSTITUTE(TRIM(INDEX($A:$AP,ROW(),$H$6)),",",""),"원",""),0)))))</f>
        <v/>
      </c>
      <c r="AW921" s="2">
        <f>IF(OR($AS921="",$C$6=""),"",TRIM(INDEX($A:$AP,ROW(),$C$6)&amp;""))</f>
        <v/>
      </c>
      <c r="AX921" s="2">
        <f>IF($AS921="","",IF($AZ921&lt;&gt;"",SUBSTITUTE(SUBSTITUTE($AZ921,"-","")," ",""),$AY921))</f>
        <v/>
      </c>
      <c r="AY921" s="2">
        <f>IF(OR($AS921="",$E$6=""),"",TRIM(INDEX($A:$AP,ROW(),$E$6)&amp;""))</f>
        <v/>
      </c>
      <c r="AZ921" s="2">
        <f>IF(OR($AS921="",$D$6=""),"",TRIM(INDEX($A:$AP,ROW(),$D$6)&amp;""))</f>
        <v/>
      </c>
      <c r="BA921" s="2">
        <f>IF($AS921="","",IF(AND($AS921&gt;=설정!$B$10,$AS921&lt;=설정!$B$11),"포함","기간 밖"))</f>
        <v/>
      </c>
      <c r="BB921" s="2">
        <f>IF($AS921="","",IF(OR($AT921&lt;0,AND($I$6&lt;&gt;"",ISNUMBER(FIND("수정",INDEX($A:$AP,ROW(),IF($I$6="",1,$I$6))&amp;"")))),"수정","일반"))</f>
        <v/>
      </c>
      <c r="BC921" s="2">
        <f>IF($AS921="","",MID(IF($BA921="기간 밖"," / 기간 밖(신고기간 아님)","")&amp;IF(AND($AW921&lt;&gt;"",COUNTIF($AW$8:$AW$1007,$AW921)&gt;1)," / 승인번호 중복(두 번 붙여넣기?)","")&amp;IF(ABS($AU921-ROUND($AT921*0.1,0))&gt;설정!$B$8,IF($AU921=0," / 세액 0원(영세율·면세 여부 확인)"," / 세액이 공급가액 10%와 다름"),"")&amp;IF($BB921="수정"," / 수정세금계산서(합계에서 자동 가감)",""),4,200))</f>
        <v/>
      </c>
      <c r="BD921" s="2">
        <f>IF($BA921&lt;&gt;"포함","",IF(COUNTIFS($AX$8:$AX921,$AX921,$BA$8:$BA921,"포함")=1,MAX($BD$7:BD920)+1,""))</f>
        <v/>
      </c>
      <c r="BE921" s="2">
        <f>IF($BC921="","",MAX($BE$7:BE920)+1)</f>
        <v/>
      </c>
    </row>
    <row r="922">
      <c r="AR922" s="2">
        <f>IF(OR($A$5="",$B$6="",ROW()&lt;$A$5),"",IF(INDEX($A:$AP,ROW(),$B$6)="","",INDEX($A:$AP,ROW(),$B$6)))</f>
        <v/>
      </c>
      <c r="AS922" s="22">
        <f>IF($AR922="","",IF(ISNUMBER($AR922),IF($AR922&gt;=10000000,IFERROR(DATE(INT($AR922/10000),MOD(INT($AR922/100),100),MOD($AR922,100)),""),INT($AR922)),IFERROR(DATE(--LEFT(LEFT(SUBSTITUTE(SUBSTITUTE(SUBSTITUTE(SUBSTITUTE(TRIM($AR922),"-",""),".",""),"/","")," ",""),8),4),--MID(LEFT(SUBSTITUTE(SUBSTITUTE(SUBSTITUTE(SUBSTITUTE(TRIM($AR922),"-",""),".",""),"/","")," ",""),8),5,2),--MID(LEFT(SUBSTITUTE(SUBSTITUTE(SUBSTITUTE(SUBSTITUTE(TRIM($AR922),"-",""),".",""),"/","")," ",""),8),7,2)),"")))</f>
        <v/>
      </c>
      <c r="AT922" s="23">
        <f>IF($AS922="","",IF($F$6="",0,IF(ISNUMBER(INDEX($A:$AP,ROW(),$F$6)),INDEX($A:$AP,ROW(),$F$6),IFERROR(--SUBSTITUTE(SUBSTITUTE(TRIM(INDEX($A:$AP,ROW(),$F$6)),",",""),"원",""),0))))</f>
        <v/>
      </c>
      <c r="AU922" s="23">
        <f>IF($AS922="","",IF($G$6="",0,IF(ISNUMBER(INDEX($A:$AP,ROW(),$G$6)),INDEX($A:$AP,ROW(),$G$6),IFERROR(--SUBSTITUTE(SUBSTITUTE(TRIM(INDEX($A:$AP,ROW(),$G$6)),",",""),"원",""),0))))</f>
        <v/>
      </c>
      <c r="AV922" s="23">
        <f>IF($AS922="","",IF($H$6="",$AT922+$AU922,IF($H$6="",0,IF(ISNUMBER(INDEX($A:$AP,ROW(),$H$6)),INDEX($A:$AP,ROW(),$H$6),IFERROR(--SUBSTITUTE(SUBSTITUTE(TRIM(INDEX($A:$AP,ROW(),$H$6)),",",""),"원",""),0)))))</f>
        <v/>
      </c>
      <c r="AW922" s="2">
        <f>IF(OR($AS922="",$C$6=""),"",TRIM(INDEX($A:$AP,ROW(),$C$6)&amp;""))</f>
        <v/>
      </c>
      <c r="AX922" s="2">
        <f>IF($AS922="","",IF($AZ922&lt;&gt;"",SUBSTITUTE(SUBSTITUTE($AZ922,"-","")," ",""),$AY922))</f>
        <v/>
      </c>
      <c r="AY922" s="2">
        <f>IF(OR($AS922="",$E$6=""),"",TRIM(INDEX($A:$AP,ROW(),$E$6)&amp;""))</f>
        <v/>
      </c>
      <c r="AZ922" s="2">
        <f>IF(OR($AS922="",$D$6=""),"",TRIM(INDEX($A:$AP,ROW(),$D$6)&amp;""))</f>
        <v/>
      </c>
      <c r="BA922" s="2">
        <f>IF($AS922="","",IF(AND($AS922&gt;=설정!$B$10,$AS922&lt;=설정!$B$11),"포함","기간 밖"))</f>
        <v/>
      </c>
      <c r="BB922" s="2">
        <f>IF($AS922="","",IF(OR($AT922&lt;0,AND($I$6&lt;&gt;"",ISNUMBER(FIND("수정",INDEX($A:$AP,ROW(),IF($I$6="",1,$I$6))&amp;"")))),"수정","일반"))</f>
        <v/>
      </c>
      <c r="BC922" s="2">
        <f>IF($AS922="","",MID(IF($BA922="기간 밖"," / 기간 밖(신고기간 아님)","")&amp;IF(AND($AW922&lt;&gt;"",COUNTIF($AW$8:$AW$1007,$AW922)&gt;1)," / 승인번호 중복(두 번 붙여넣기?)","")&amp;IF(ABS($AU922-ROUND($AT922*0.1,0))&gt;설정!$B$8,IF($AU922=0," / 세액 0원(영세율·면세 여부 확인)"," / 세액이 공급가액 10%와 다름"),"")&amp;IF($BB922="수정"," / 수정세금계산서(합계에서 자동 가감)",""),4,200))</f>
        <v/>
      </c>
      <c r="BD922" s="2">
        <f>IF($BA922&lt;&gt;"포함","",IF(COUNTIFS($AX$8:$AX922,$AX922,$BA$8:$BA922,"포함")=1,MAX($BD$7:BD921)+1,""))</f>
        <v/>
      </c>
      <c r="BE922" s="2">
        <f>IF($BC922="","",MAX($BE$7:BE921)+1)</f>
        <v/>
      </c>
    </row>
    <row r="923">
      <c r="AR923" s="2">
        <f>IF(OR($A$5="",$B$6="",ROW()&lt;$A$5),"",IF(INDEX($A:$AP,ROW(),$B$6)="","",INDEX($A:$AP,ROW(),$B$6)))</f>
        <v/>
      </c>
      <c r="AS923" s="22">
        <f>IF($AR923="","",IF(ISNUMBER($AR923),IF($AR923&gt;=10000000,IFERROR(DATE(INT($AR923/10000),MOD(INT($AR923/100),100),MOD($AR923,100)),""),INT($AR923)),IFERROR(DATE(--LEFT(LEFT(SUBSTITUTE(SUBSTITUTE(SUBSTITUTE(SUBSTITUTE(TRIM($AR923),"-",""),".",""),"/","")," ",""),8),4),--MID(LEFT(SUBSTITUTE(SUBSTITUTE(SUBSTITUTE(SUBSTITUTE(TRIM($AR923),"-",""),".",""),"/","")," ",""),8),5,2),--MID(LEFT(SUBSTITUTE(SUBSTITUTE(SUBSTITUTE(SUBSTITUTE(TRIM($AR923),"-",""),".",""),"/","")," ",""),8),7,2)),"")))</f>
        <v/>
      </c>
      <c r="AT923" s="23">
        <f>IF($AS923="","",IF($F$6="",0,IF(ISNUMBER(INDEX($A:$AP,ROW(),$F$6)),INDEX($A:$AP,ROW(),$F$6),IFERROR(--SUBSTITUTE(SUBSTITUTE(TRIM(INDEX($A:$AP,ROW(),$F$6)),",",""),"원",""),0))))</f>
        <v/>
      </c>
      <c r="AU923" s="23">
        <f>IF($AS923="","",IF($G$6="",0,IF(ISNUMBER(INDEX($A:$AP,ROW(),$G$6)),INDEX($A:$AP,ROW(),$G$6),IFERROR(--SUBSTITUTE(SUBSTITUTE(TRIM(INDEX($A:$AP,ROW(),$G$6)),",",""),"원",""),0))))</f>
        <v/>
      </c>
      <c r="AV923" s="23">
        <f>IF($AS923="","",IF($H$6="",$AT923+$AU923,IF($H$6="",0,IF(ISNUMBER(INDEX($A:$AP,ROW(),$H$6)),INDEX($A:$AP,ROW(),$H$6),IFERROR(--SUBSTITUTE(SUBSTITUTE(TRIM(INDEX($A:$AP,ROW(),$H$6)),",",""),"원",""),0)))))</f>
        <v/>
      </c>
      <c r="AW923" s="2">
        <f>IF(OR($AS923="",$C$6=""),"",TRIM(INDEX($A:$AP,ROW(),$C$6)&amp;""))</f>
        <v/>
      </c>
      <c r="AX923" s="2">
        <f>IF($AS923="","",IF($AZ923&lt;&gt;"",SUBSTITUTE(SUBSTITUTE($AZ923,"-","")," ",""),$AY923))</f>
        <v/>
      </c>
      <c r="AY923" s="2">
        <f>IF(OR($AS923="",$E$6=""),"",TRIM(INDEX($A:$AP,ROW(),$E$6)&amp;""))</f>
        <v/>
      </c>
      <c r="AZ923" s="2">
        <f>IF(OR($AS923="",$D$6=""),"",TRIM(INDEX($A:$AP,ROW(),$D$6)&amp;""))</f>
        <v/>
      </c>
      <c r="BA923" s="2">
        <f>IF($AS923="","",IF(AND($AS923&gt;=설정!$B$10,$AS923&lt;=설정!$B$11),"포함","기간 밖"))</f>
        <v/>
      </c>
      <c r="BB923" s="2">
        <f>IF($AS923="","",IF(OR($AT923&lt;0,AND($I$6&lt;&gt;"",ISNUMBER(FIND("수정",INDEX($A:$AP,ROW(),IF($I$6="",1,$I$6))&amp;"")))),"수정","일반"))</f>
        <v/>
      </c>
      <c r="BC923" s="2">
        <f>IF($AS923="","",MID(IF($BA923="기간 밖"," / 기간 밖(신고기간 아님)","")&amp;IF(AND($AW923&lt;&gt;"",COUNTIF($AW$8:$AW$1007,$AW923)&gt;1)," / 승인번호 중복(두 번 붙여넣기?)","")&amp;IF(ABS($AU923-ROUND($AT923*0.1,0))&gt;설정!$B$8,IF($AU923=0," / 세액 0원(영세율·면세 여부 확인)"," / 세액이 공급가액 10%와 다름"),"")&amp;IF($BB923="수정"," / 수정세금계산서(합계에서 자동 가감)",""),4,200))</f>
        <v/>
      </c>
      <c r="BD923" s="2">
        <f>IF($BA923&lt;&gt;"포함","",IF(COUNTIFS($AX$8:$AX923,$AX923,$BA$8:$BA923,"포함")=1,MAX($BD$7:BD922)+1,""))</f>
        <v/>
      </c>
      <c r="BE923" s="2">
        <f>IF($BC923="","",MAX($BE$7:BE922)+1)</f>
        <v/>
      </c>
    </row>
    <row r="924">
      <c r="AR924" s="2">
        <f>IF(OR($A$5="",$B$6="",ROW()&lt;$A$5),"",IF(INDEX($A:$AP,ROW(),$B$6)="","",INDEX($A:$AP,ROW(),$B$6)))</f>
        <v/>
      </c>
      <c r="AS924" s="22">
        <f>IF($AR924="","",IF(ISNUMBER($AR924),IF($AR924&gt;=10000000,IFERROR(DATE(INT($AR924/10000),MOD(INT($AR924/100),100),MOD($AR924,100)),""),INT($AR924)),IFERROR(DATE(--LEFT(LEFT(SUBSTITUTE(SUBSTITUTE(SUBSTITUTE(SUBSTITUTE(TRIM($AR924),"-",""),".",""),"/","")," ",""),8),4),--MID(LEFT(SUBSTITUTE(SUBSTITUTE(SUBSTITUTE(SUBSTITUTE(TRIM($AR924),"-",""),".",""),"/","")," ",""),8),5,2),--MID(LEFT(SUBSTITUTE(SUBSTITUTE(SUBSTITUTE(SUBSTITUTE(TRIM($AR924),"-",""),".",""),"/","")," ",""),8),7,2)),"")))</f>
        <v/>
      </c>
      <c r="AT924" s="23">
        <f>IF($AS924="","",IF($F$6="",0,IF(ISNUMBER(INDEX($A:$AP,ROW(),$F$6)),INDEX($A:$AP,ROW(),$F$6),IFERROR(--SUBSTITUTE(SUBSTITUTE(TRIM(INDEX($A:$AP,ROW(),$F$6)),",",""),"원",""),0))))</f>
        <v/>
      </c>
      <c r="AU924" s="23">
        <f>IF($AS924="","",IF($G$6="",0,IF(ISNUMBER(INDEX($A:$AP,ROW(),$G$6)),INDEX($A:$AP,ROW(),$G$6),IFERROR(--SUBSTITUTE(SUBSTITUTE(TRIM(INDEX($A:$AP,ROW(),$G$6)),",",""),"원",""),0))))</f>
        <v/>
      </c>
      <c r="AV924" s="23">
        <f>IF($AS924="","",IF($H$6="",$AT924+$AU924,IF($H$6="",0,IF(ISNUMBER(INDEX($A:$AP,ROW(),$H$6)),INDEX($A:$AP,ROW(),$H$6),IFERROR(--SUBSTITUTE(SUBSTITUTE(TRIM(INDEX($A:$AP,ROW(),$H$6)),",",""),"원",""),0)))))</f>
        <v/>
      </c>
      <c r="AW924" s="2">
        <f>IF(OR($AS924="",$C$6=""),"",TRIM(INDEX($A:$AP,ROW(),$C$6)&amp;""))</f>
        <v/>
      </c>
      <c r="AX924" s="2">
        <f>IF($AS924="","",IF($AZ924&lt;&gt;"",SUBSTITUTE(SUBSTITUTE($AZ924,"-","")," ",""),$AY924))</f>
        <v/>
      </c>
      <c r="AY924" s="2">
        <f>IF(OR($AS924="",$E$6=""),"",TRIM(INDEX($A:$AP,ROW(),$E$6)&amp;""))</f>
        <v/>
      </c>
      <c r="AZ924" s="2">
        <f>IF(OR($AS924="",$D$6=""),"",TRIM(INDEX($A:$AP,ROW(),$D$6)&amp;""))</f>
        <v/>
      </c>
      <c r="BA924" s="2">
        <f>IF($AS924="","",IF(AND($AS924&gt;=설정!$B$10,$AS924&lt;=설정!$B$11),"포함","기간 밖"))</f>
        <v/>
      </c>
      <c r="BB924" s="2">
        <f>IF($AS924="","",IF(OR($AT924&lt;0,AND($I$6&lt;&gt;"",ISNUMBER(FIND("수정",INDEX($A:$AP,ROW(),IF($I$6="",1,$I$6))&amp;"")))),"수정","일반"))</f>
        <v/>
      </c>
      <c r="BC924" s="2">
        <f>IF($AS924="","",MID(IF($BA924="기간 밖"," / 기간 밖(신고기간 아님)","")&amp;IF(AND($AW924&lt;&gt;"",COUNTIF($AW$8:$AW$1007,$AW924)&gt;1)," / 승인번호 중복(두 번 붙여넣기?)","")&amp;IF(ABS($AU924-ROUND($AT924*0.1,0))&gt;설정!$B$8,IF($AU924=0," / 세액 0원(영세율·면세 여부 확인)"," / 세액이 공급가액 10%와 다름"),"")&amp;IF($BB924="수정"," / 수정세금계산서(합계에서 자동 가감)",""),4,200))</f>
        <v/>
      </c>
      <c r="BD924" s="2">
        <f>IF($BA924&lt;&gt;"포함","",IF(COUNTIFS($AX$8:$AX924,$AX924,$BA$8:$BA924,"포함")=1,MAX($BD$7:BD923)+1,""))</f>
        <v/>
      </c>
      <c r="BE924" s="2">
        <f>IF($BC924="","",MAX($BE$7:BE923)+1)</f>
        <v/>
      </c>
    </row>
    <row r="925">
      <c r="AR925" s="2">
        <f>IF(OR($A$5="",$B$6="",ROW()&lt;$A$5),"",IF(INDEX($A:$AP,ROW(),$B$6)="","",INDEX($A:$AP,ROW(),$B$6)))</f>
        <v/>
      </c>
      <c r="AS925" s="22">
        <f>IF($AR925="","",IF(ISNUMBER($AR925),IF($AR925&gt;=10000000,IFERROR(DATE(INT($AR925/10000),MOD(INT($AR925/100),100),MOD($AR925,100)),""),INT($AR925)),IFERROR(DATE(--LEFT(LEFT(SUBSTITUTE(SUBSTITUTE(SUBSTITUTE(SUBSTITUTE(TRIM($AR925),"-",""),".",""),"/","")," ",""),8),4),--MID(LEFT(SUBSTITUTE(SUBSTITUTE(SUBSTITUTE(SUBSTITUTE(TRIM($AR925),"-",""),".",""),"/","")," ",""),8),5,2),--MID(LEFT(SUBSTITUTE(SUBSTITUTE(SUBSTITUTE(SUBSTITUTE(TRIM($AR925),"-",""),".",""),"/","")," ",""),8),7,2)),"")))</f>
        <v/>
      </c>
      <c r="AT925" s="23">
        <f>IF($AS925="","",IF($F$6="",0,IF(ISNUMBER(INDEX($A:$AP,ROW(),$F$6)),INDEX($A:$AP,ROW(),$F$6),IFERROR(--SUBSTITUTE(SUBSTITUTE(TRIM(INDEX($A:$AP,ROW(),$F$6)),",",""),"원",""),0))))</f>
        <v/>
      </c>
      <c r="AU925" s="23">
        <f>IF($AS925="","",IF($G$6="",0,IF(ISNUMBER(INDEX($A:$AP,ROW(),$G$6)),INDEX($A:$AP,ROW(),$G$6),IFERROR(--SUBSTITUTE(SUBSTITUTE(TRIM(INDEX($A:$AP,ROW(),$G$6)),",",""),"원",""),0))))</f>
        <v/>
      </c>
      <c r="AV925" s="23">
        <f>IF($AS925="","",IF($H$6="",$AT925+$AU925,IF($H$6="",0,IF(ISNUMBER(INDEX($A:$AP,ROW(),$H$6)),INDEX($A:$AP,ROW(),$H$6),IFERROR(--SUBSTITUTE(SUBSTITUTE(TRIM(INDEX($A:$AP,ROW(),$H$6)),",",""),"원",""),0)))))</f>
        <v/>
      </c>
      <c r="AW925" s="2">
        <f>IF(OR($AS925="",$C$6=""),"",TRIM(INDEX($A:$AP,ROW(),$C$6)&amp;""))</f>
        <v/>
      </c>
      <c r="AX925" s="2">
        <f>IF($AS925="","",IF($AZ925&lt;&gt;"",SUBSTITUTE(SUBSTITUTE($AZ925,"-","")," ",""),$AY925))</f>
        <v/>
      </c>
      <c r="AY925" s="2">
        <f>IF(OR($AS925="",$E$6=""),"",TRIM(INDEX($A:$AP,ROW(),$E$6)&amp;""))</f>
        <v/>
      </c>
      <c r="AZ925" s="2">
        <f>IF(OR($AS925="",$D$6=""),"",TRIM(INDEX($A:$AP,ROW(),$D$6)&amp;""))</f>
        <v/>
      </c>
      <c r="BA925" s="2">
        <f>IF($AS925="","",IF(AND($AS925&gt;=설정!$B$10,$AS925&lt;=설정!$B$11),"포함","기간 밖"))</f>
        <v/>
      </c>
      <c r="BB925" s="2">
        <f>IF($AS925="","",IF(OR($AT925&lt;0,AND($I$6&lt;&gt;"",ISNUMBER(FIND("수정",INDEX($A:$AP,ROW(),IF($I$6="",1,$I$6))&amp;"")))),"수정","일반"))</f>
        <v/>
      </c>
      <c r="BC925" s="2">
        <f>IF($AS925="","",MID(IF($BA925="기간 밖"," / 기간 밖(신고기간 아님)","")&amp;IF(AND($AW925&lt;&gt;"",COUNTIF($AW$8:$AW$1007,$AW925)&gt;1)," / 승인번호 중복(두 번 붙여넣기?)","")&amp;IF(ABS($AU925-ROUND($AT925*0.1,0))&gt;설정!$B$8,IF($AU925=0," / 세액 0원(영세율·면세 여부 확인)"," / 세액이 공급가액 10%와 다름"),"")&amp;IF($BB925="수정"," / 수정세금계산서(합계에서 자동 가감)",""),4,200))</f>
        <v/>
      </c>
      <c r="BD925" s="2">
        <f>IF($BA925&lt;&gt;"포함","",IF(COUNTIFS($AX$8:$AX925,$AX925,$BA$8:$BA925,"포함")=1,MAX($BD$7:BD924)+1,""))</f>
        <v/>
      </c>
      <c r="BE925" s="2">
        <f>IF($BC925="","",MAX($BE$7:BE924)+1)</f>
        <v/>
      </c>
    </row>
    <row r="926">
      <c r="AR926" s="2">
        <f>IF(OR($A$5="",$B$6="",ROW()&lt;$A$5),"",IF(INDEX($A:$AP,ROW(),$B$6)="","",INDEX($A:$AP,ROW(),$B$6)))</f>
        <v/>
      </c>
      <c r="AS926" s="22">
        <f>IF($AR926="","",IF(ISNUMBER($AR926),IF($AR926&gt;=10000000,IFERROR(DATE(INT($AR926/10000),MOD(INT($AR926/100),100),MOD($AR926,100)),""),INT($AR926)),IFERROR(DATE(--LEFT(LEFT(SUBSTITUTE(SUBSTITUTE(SUBSTITUTE(SUBSTITUTE(TRIM($AR926),"-",""),".",""),"/","")," ",""),8),4),--MID(LEFT(SUBSTITUTE(SUBSTITUTE(SUBSTITUTE(SUBSTITUTE(TRIM($AR926),"-",""),".",""),"/","")," ",""),8),5,2),--MID(LEFT(SUBSTITUTE(SUBSTITUTE(SUBSTITUTE(SUBSTITUTE(TRIM($AR926),"-",""),".",""),"/","")," ",""),8),7,2)),"")))</f>
        <v/>
      </c>
      <c r="AT926" s="23">
        <f>IF($AS926="","",IF($F$6="",0,IF(ISNUMBER(INDEX($A:$AP,ROW(),$F$6)),INDEX($A:$AP,ROW(),$F$6),IFERROR(--SUBSTITUTE(SUBSTITUTE(TRIM(INDEX($A:$AP,ROW(),$F$6)),",",""),"원",""),0))))</f>
        <v/>
      </c>
      <c r="AU926" s="23">
        <f>IF($AS926="","",IF($G$6="",0,IF(ISNUMBER(INDEX($A:$AP,ROW(),$G$6)),INDEX($A:$AP,ROW(),$G$6),IFERROR(--SUBSTITUTE(SUBSTITUTE(TRIM(INDEX($A:$AP,ROW(),$G$6)),",",""),"원",""),0))))</f>
        <v/>
      </c>
      <c r="AV926" s="23">
        <f>IF($AS926="","",IF($H$6="",$AT926+$AU926,IF($H$6="",0,IF(ISNUMBER(INDEX($A:$AP,ROW(),$H$6)),INDEX($A:$AP,ROW(),$H$6),IFERROR(--SUBSTITUTE(SUBSTITUTE(TRIM(INDEX($A:$AP,ROW(),$H$6)),",",""),"원",""),0)))))</f>
        <v/>
      </c>
      <c r="AW926" s="2">
        <f>IF(OR($AS926="",$C$6=""),"",TRIM(INDEX($A:$AP,ROW(),$C$6)&amp;""))</f>
        <v/>
      </c>
      <c r="AX926" s="2">
        <f>IF($AS926="","",IF($AZ926&lt;&gt;"",SUBSTITUTE(SUBSTITUTE($AZ926,"-","")," ",""),$AY926))</f>
        <v/>
      </c>
      <c r="AY926" s="2">
        <f>IF(OR($AS926="",$E$6=""),"",TRIM(INDEX($A:$AP,ROW(),$E$6)&amp;""))</f>
        <v/>
      </c>
      <c r="AZ926" s="2">
        <f>IF(OR($AS926="",$D$6=""),"",TRIM(INDEX($A:$AP,ROW(),$D$6)&amp;""))</f>
        <v/>
      </c>
      <c r="BA926" s="2">
        <f>IF($AS926="","",IF(AND($AS926&gt;=설정!$B$10,$AS926&lt;=설정!$B$11),"포함","기간 밖"))</f>
        <v/>
      </c>
      <c r="BB926" s="2">
        <f>IF($AS926="","",IF(OR($AT926&lt;0,AND($I$6&lt;&gt;"",ISNUMBER(FIND("수정",INDEX($A:$AP,ROW(),IF($I$6="",1,$I$6))&amp;"")))),"수정","일반"))</f>
        <v/>
      </c>
      <c r="BC926" s="2">
        <f>IF($AS926="","",MID(IF($BA926="기간 밖"," / 기간 밖(신고기간 아님)","")&amp;IF(AND($AW926&lt;&gt;"",COUNTIF($AW$8:$AW$1007,$AW926)&gt;1)," / 승인번호 중복(두 번 붙여넣기?)","")&amp;IF(ABS($AU926-ROUND($AT926*0.1,0))&gt;설정!$B$8,IF($AU926=0," / 세액 0원(영세율·면세 여부 확인)"," / 세액이 공급가액 10%와 다름"),"")&amp;IF($BB926="수정"," / 수정세금계산서(합계에서 자동 가감)",""),4,200))</f>
        <v/>
      </c>
      <c r="BD926" s="2">
        <f>IF($BA926&lt;&gt;"포함","",IF(COUNTIFS($AX$8:$AX926,$AX926,$BA$8:$BA926,"포함")=1,MAX($BD$7:BD925)+1,""))</f>
        <v/>
      </c>
      <c r="BE926" s="2">
        <f>IF($BC926="","",MAX($BE$7:BE925)+1)</f>
        <v/>
      </c>
    </row>
    <row r="927">
      <c r="AR927" s="2">
        <f>IF(OR($A$5="",$B$6="",ROW()&lt;$A$5),"",IF(INDEX($A:$AP,ROW(),$B$6)="","",INDEX($A:$AP,ROW(),$B$6)))</f>
        <v/>
      </c>
      <c r="AS927" s="22">
        <f>IF($AR927="","",IF(ISNUMBER($AR927),IF($AR927&gt;=10000000,IFERROR(DATE(INT($AR927/10000),MOD(INT($AR927/100),100),MOD($AR927,100)),""),INT($AR927)),IFERROR(DATE(--LEFT(LEFT(SUBSTITUTE(SUBSTITUTE(SUBSTITUTE(SUBSTITUTE(TRIM($AR927),"-",""),".",""),"/","")," ",""),8),4),--MID(LEFT(SUBSTITUTE(SUBSTITUTE(SUBSTITUTE(SUBSTITUTE(TRIM($AR927),"-",""),".",""),"/","")," ",""),8),5,2),--MID(LEFT(SUBSTITUTE(SUBSTITUTE(SUBSTITUTE(SUBSTITUTE(TRIM($AR927),"-",""),".",""),"/","")," ",""),8),7,2)),"")))</f>
        <v/>
      </c>
      <c r="AT927" s="23">
        <f>IF($AS927="","",IF($F$6="",0,IF(ISNUMBER(INDEX($A:$AP,ROW(),$F$6)),INDEX($A:$AP,ROW(),$F$6),IFERROR(--SUBSTITUTE(SUBSTITUTE(TRIM(INDEX($A:$AP,ROW(),$F$6)),",",""),"원",""),0))))</f>
        <v/>
      </c>
      <c r="AU927" s="23">
        <f>IF($AS927="","",IF($G$6="",0,IF(ISNUMBER(INDEX($A:$AP,ROW(),$G$6)),INDEX($A:$AP,ROW(),$G$6),IFERROR(--SUBSTITUTE(SUBSTITUTE(TRIM(INDEX($A:$AP,ROW(),$G$6)),",",""),"원",""),0))))</f>
        <v/>
      </c>
      <c r="AV927" s="23">
        <f>IF($AS927="","",IF($H$6="",$AT927+$AU927,IF($H$6="",0,IF(ISNUMBER(INDEX($A:$AP,ROW(),$H$6)),INDEX($A:$AP,ROW(),$H$6),IFERROR(--SUBSTITUTE(SUBSTITUTE(TRIM(INDEX($A:$AP,ROW(),$H$6)),",",""),"원",""),0)))))</f>
        <v/>
      </c>
      <c r="AW927" s="2">
        <f>IF(OR($AS927="",$C$6=""),"",TRIM(INDEX($A:$AP,ROW(),$C$6)&amp;""))</f>
        <v/>
      </c>
      <c r="AX927" s="2">
        <f>IF($AS927="","",IF($AZ927&lt;&gt;"",SUBSTITUTE(SUBSTITUTE($AZ927,"-","")," ",""),$AY927))</f>
        <v/>
      </c>
      <c r="AY927" s="2">
        <f>IF(OR($AS927="",$E$6=""),"",TRIM(INDEX($A:$AP,ROW(),$E$6)&amp;""))</f>
        <v/>
      </c>
      <c r="AZ927" s="2">
        <f>IF(OR($AS927="",$D$6=""),"",TRIM(INDEX($A:$AP,ROW(),$D$6)&amp;""))</f>
        <v/>
      </c>
      <c r="BA927" s="2">
        <f>IF($AS927="","",IF(AND($AS927&gt;=설정!$B$10,$AS927&lt;=설정!$B$11),"포함","기간 밖"))</f>
        <v/>
      </c>
      <c r="BB927" s="2">
        <f>IF($AS927="","",IF(OR($AT927&lt;0,AND($I$6&lt;&gt;"",ISNUMBER(FIND("수정",INDEX($A:$AP,ROW(),IF($I$6="",1,$I$6))&amp;"")))),"수정","일반"))</f>
        <v/>
      </c>
      <c r="BC927" s="2">
        <f>IF($AS927="","",MID(IF($BA927="기간 밖"," / 기간 밖(신고기간 아님)","")&amp;IF(AND($AW927&lt;&gt;"",COUNTIF($AW$8:$AW$1007,$AW927)&gt;1)," / 승인번호 중복(두 번 붙여넣기?)","")&amp;IF(ABS($AU927-ROUND($AT927*0.1,0))&gt;설정!$B$8,IF($AU927=0," / 세액 0원(영세율·면세 여부 확인)"," / 세액이 공급가액 10%와 다름"),"")&amp;IF($BB927="수정"," / 수정세금계산서(합계에서 자동 가감)",""),4,200))</f>
        <v/>
      </c>
      <c r="BD927" s="2">
        <f>IF($BA927&lt;&gt;"포함","",IF(COUNTIFS($AX$8:$AX927,$AX927,$BA$8:$BA927,"포함")=1,MAX($BD$7:BD926)+1,""))</f>
        <v/>
      </c>
      <c r="BE927" s="2">
        <f>IF($BC927="","",MAX($BE$7:BE926)+1)</f>
        <v/>
      </c>
    </row>
    <row r="928">
      <c r="AR928" s="2">
        <f>IF(OR($A$5="",$B$6="",ROW()&lt;$A$5),"",IF(INDEX($A:$AP,ROW(),$B$6)="","",INDEX($A:$AP,ROW(),$B$6)))</f>
        <v/>
      </c>
      <c r="AS928" s="22">
        <f>IF($AR928="","",IF(ISNUMBER($AR928),IF($AR928&gt;=10000000,IFERROR(DATE(INT($AR928/10000),MOD(INT($AR928/100),100),MOD($AR928,100)),""),INT($AR928)),IFERROR(DATE(--LEFT(LEFT(SUBSTITUTE(SUBSTITUTE(SUBSTITUTE(SUBSTITUTE(TRIM($AR928),"-",""),".",""),"/","")," ",""),8),4),--MID(LEFT(SUBSTITUTE(SUBSTITUTE(SUBSTITUTE(SUBSTITUTE(TRIM($AR928),"-",""),".",""),"/","")," ",""),8),5,2),--MID(LEFT(SUBSTITUTE(SUBSTITUTE(SUBSTITUTE(SUBSTITUTE(TRIM($AR928),"-",""),".",""),"/","")," ",""),8),7,2)),"")))</f>
        <v/>
      </c>
      <c r="AT928" s="23">
        <f>IF($AS928="","",IF($F$6="",0,IF(ISNUMBER(INDEX($A:$AP,ROW(),$F$6)),INDEX($A:$AP,ROW(),$F$6),IFERROR(--SUBSTITUTE(SUBSTITUTE(TRIM(INDEX($A:$AP,ROW(),$F$6)),",",""),"원",""),0))))</f>
        <v/>
      </c>
      <c r="AU928" s="23">
        <f>IF($AS928="","",IF($G$6="",0,IF(ISNUMBER(INDEX($A:$AP,ROW(),$G$6)),INDEX($A:$AP,ROW(),$G$6),IFERROR(--SUBSTITUTE(SUBSTITUTE(TRIM(INDEX($A:$AP,ROW(),$G$6)),",",""),"원",""),0))))</f>
        <v/>
      </c>
      <c r="AV928" s="23">
        <f>IF($AS928="","",IF($H$6="",$AT928+$AU928,IF($H$6="",0,IF(ISNUMBER(INDEX($A:$AP,ROW(),$H$6)),INDEX($A:$AP,ROW(),$H$6),IFERROR(--SUBSTITUTE(SUBSTITUTE(TRIM(INDEX($A:$AP,ROW(),$H$6)),",",""),"원",""),0)))))</f>
        <v/>
      </c>
      <c r="AW928" s="2">
        <f>IF(OR($AS928="",$C$6=""),"",TRIM(INDEX($A:$AP,ROW(),$C$6)&amp;""))</f>
        <v/>
      </c>
      <c r="AX928" s="2">
        <f>IF($AS928="","",IF($AZ928&lt;&gt;"",SUBSTITUTE(SUBSTITUTE($AZ928,"-","")," ",""),$AY928))</f>
        <v/>
      </c>
      <c r="AY928" s="2">
        <f>IF(OR($AS928="",$E$6=""),"",TRIM(INDEX($A:$AP,ROW(),$E$6)&amp;""))</f>
        <v/>
      </c>
      <c r="AZ928" s="2">
        <f>IF(OR($AS928="",$D$6=""),"",TRIM(INDEX($A:$AP,ROW(),$D$6)&amp;""))</f>
        <v/>
      </c>
      <c r="BA928" s="2">
        <f>IF($AS928="","",IF(AND($AS928&gt;=설정!$B$10,$AS928&lt;=설정!$B$11),"포함","기간 밖"))</f>
        <v/>
      </c>
      <c r="BB928" s="2">
        <f>IF($AS928="","",IF(OR($AT928&lt;0,AND($I$6&lt;&gt;"",ISNUMBER(FIND("수정",INDEX($A:$AP,ROW(),IF($I$6="",1,$I$6))&amp;"")))),"수정","일반"))</f>
        <v/>
      </c>
      <c r="BC928" s="2">
        <f>IF($AS928="","",MID(IF($BA928="기간 밖"," / 기간 밖(신고기간 아님)","")&amp;IF(AND($AW928&lt;&gt;"",COUNTIF($AW$8:$AW$1007,$AW928)&gt;1)," / 승인번호 중복(두 번 붙여넣기?)","")&amp;IF(ABS($AU928-ROUND($AT928*0.1,0))&gt;설정!$B$8,IF($AU928=0," / 세액 0원(영세율·면세 여부 확인)"," / 세액이 공급가액 10%와 다름"),"")&amp;IF($BB928="수정"," / 수정세금계산서(합계에서 자동 가감)",""),4,200))</f>
        <v/>
      </c>
      <c r="BD928" s="2">
        <f>IF($BA928&lt;&gt;"포함","",IF(COUNTIFS($AX$8:$AX928,$AX928,$BA$8:$BA928,"포함")=1,MAX($BD$7:BD927)+1,""))</f>
        <v/>
      </c>
      <c r="BE928" s="2">
        <f>IF($BC928="","",MAX($BE$7:BE927)+1)</f>
        <v/>
      </c>
    </row>
    <row r="929">
      <c r="AR929" s="2">
        <f>IF(OR($A$5="",$B$6="",ROW()&lt;$A$5),"",IF(INDEX($A:$AP,ROW(),$B$6)="","",INDEX($A:$AP,ROW(),$B$6)))</f>
        <v/>
      </c>
      <c r="AS929" s="22">
        <f>IF($AR929="","",IF(ISNUMBER($AR929),IF($AR929&gt;=10000000,IFERROR(DATE(INT($AR929/10000),MOD(INT($AR929/100),100),MOD($AR929,100)),""),INT($AR929)),IFERROR(DATE(--LEFT(LEFT(SUBSTITUTE(SUBSTITUTE(SUBSTITUTE(SUBSTITUTE(TRIM($AR929),"-",""),".",""),"/","")," ",""),8),4),--MID(LEFT(SUBSTITUTE(SUBSTITUTE(SUBSTITUTE(SUBSTITUTE(TRIM($AR929),"-",""),".",""),"/","")," ",""),8),5,2),--MID(LEFT(SUBSTITUTE(SUBSTITUTE(SUBSTITUTE(SUBSTITUTE(TRIM($AR929),"-",""),".",""),"/","")," ",""),8),7,2)),"")))</f>
        <v/>
      </c>
      <c r="AT929" s="23">
        <f>IF($AS929="","",IF($F$6="",0,IF(ISNUMBER(INDEX($A:$AP,ROW(),$F$6)),INDEX($A:$AP,ROW(),$F$6),IFERROR(--SUBSTITUTE(SUBSTITUTE(TRIM(INDEX($A:$AP,ROW(),$F$6)),",",""),"원",""),0))))</f>
        <v/>
      </c>
      <c r="AU929" s="23">
        <f>IF($AS929="","",IF($G$6="",0,IF(ISNUMBER(INDEX($A:$AP,ROW(),$G$6)),INDEX($A:$AP,ROW(),$G$6),IFERROR(--SUBSTITUTE(SUBSTITUTE(TRIM(INDEX($A:$AP,ROW(),$G$6)),",",""),"원",""),0))))</f>
        <v/>
      </c>
      <c r="AV929" s="23">
        <f>IF($AS929="","",IF($H$6="",$AT929+$AU929,IF($H$6="",0,IF(ISNUMBER(INDEX($A:$AP,ROW(),$H$6)),INDEX($A:$AP,ROW(),$H$6),IFERROR(--SUBSTITUTE(SUBSTITUTE(TRIM(INDEX($A:$AP,ROW(),$H$6)),",",""),"원",""),0)))))</f>
        <v/>
      </c>
      <c r="AW929" s="2">
        <f>IF(OR($AS929="",$C$6=""),"",TRIM(INDEX($A:$AP,ROW(),$C$6)&amp;""))</f>
        <v/>
      </c>
      <c r="AX929" s="2">
        <f>IF($AS929="","",IF($AZ929&lt;&gt;"",SUBSTITUTE(SUBSTITUTE($AZ929,"-","")," ",""),$AY929))</f>
        <v/>
      </c>
      <c r="AY929" s="2">
        <f>IF(OR($AS929="",$E$6=""),"",TRIM(INDEX($A:$AP,ROW(),$E$6)&amp;""))</f>
        <v/>
      </c>
      <c r="AZ929" s="2">
        <f>IF(OR($AS929="",$D$6=""),"",TRIM(INDEX($A:$AP,ROW(),$D$6)&amp;""))</f>
        <v/>
      </c>
      <c r="BA929" s="2">
        <f>IF($AS929="","",IF(AND($AS929&gt;=설정!$B$10,$AS929&lt;=설정!$B$11),"포함","기간 밖"))</f>
        <v/>
      </c>
      <c r="BB929" s="2">
        <f>IF($AS929="","",IF(OR($AT929&lt;0,AND($I$6&lt;&gt;"",ISNUMBER(FIND("수정",INDEX($A:$AP,ROW(),IF($I$6="",1,$I$6))&amp;"")))),"수정","일반"))</f>
        <v/>
      </c>
      <c r="BC929" s="2">
        <f>IF($AS929="","",MID(IF($BA929="기간 밖"," / 기간 밖(신고기간 아님)","")&amp;IF(AND($AW929&lt;&gt;"",COUNTIF($AW$8:$AW$1007,$AW929)&gt;1)," / 승인번호 중복(두 번 붙여넣기?)","")&amp;IF(ABS($AU929-ROUND($AT929*0.1,0))&gt;설정!$B$8,IF($AU929=0," / 세액 0원(영세율·면세 여부 확인)"," / 세액이 공급가액 10%와 다름"),"")&amp;IF($BB929="수정"," / 수정세금계산서(합계에서 자동 가감)",""),4,200))</f>
        <v/>
      </c>
      <c r="BD929" s="2">
        <f>IF($BA929&lt;&gt;"포함","",IF(COUNTIFS($AX$8:$AX929,$AX929,$BA$8:$BA929,"포함")=1,MAX($BD$7:BD928)+1,""))</f>
        <v/>
      </c>
      <c r="BE929" s="2">
        <f>IF($BC929="","",MAX($BE$7:BE928)+1)</f>
        <v/>
      </c>
    </row>
    <row r="930">
      <c r="AR930" s="2">
        <f>IF(OR($A$5="",$B$6="",ROW()&lt;$A$5),"",IF(INDEX($A:$AP,ROW(),$B$6)="","",INDEX($A:$AP,ROW(),$B$6)))</f>
        <v/>
      </c>
      <c r="AS930" s="22">
        <f>IF($AR930="","",IF(ISNUMBER($AR930),IF($AR930&gt;=10000000,IFERROR(DATE(INT($AR930/10000),MOD(INT($AR930/100),100),MOD($AR930,100)),""),INT($AR930)),IFERROR(DATE(--LEFT(LEFT(SUBSTITUTE(SUBSTITUTE(SUBSTITUTE(SUBSTITUTE(TRIM($AR930),"-",""),".",""),"/","")," ",""),8),4),--MID(LEFT(SUBSTITUTE(SUBSTITUTE(SUBSTITUTE(SUBSTITUTE(TRIM($AR930),"-",""),".",""),"/","")," ",""),8),5,2),--MID(LEFT(SUBSTITUTE(SUBSTITUTE(SUBSTITUTE(SUBSTITUTE(TRIM($AR930),"-",""),".",""),"/","")," ",""),8),7,2)),"")))</f>
        <v/>
      </c>
      <c r="AT930" s="23">
        <f>IF($AS930="","",IF($F$6="",0,IF(ISNUMBER(INDEX($A:$AP,ROW(),$F$6)),INDEX($A:$AP,ROW(),$F$6),IFERROR(--SUBSTITUTE(SUBSTITUTE(TRIM(INDEX($A:$AP,ROW(),$F$6)),",",""),"원",""),0))))</f>
        <v/>
      </c>
      <c r="AU930" s="23">
        <f>IF($AS930="","",IF($G$6="",0,IF(ISNUMBER(INDEX($A:$AP,ROW(),$G$6)),INDEX($A:$AP,ROW(),$G$6),IFERROR(--SUBSTITUTE(SUBSTITUTE(TRIM(INDEX($A:$AP,ROW(),$G$6)),",",""),"원",""),0))))</f>
        <v/>
      </c>
      <c r="AV930" s="23">
        <f>IF($AS930="","",IF($H$6="",$AT930+$AU930,IF($H$6="",0,IF(ISNUMBER(INDEX($A:$AP,ROW(),$H$6)),INDEX($A:$AP,ROW(),$H$6),IFERROR(--SUBSTITUTE(SUBSTITUTE(TRIM(INDEX($A:$AP,ROW(),$H$6)),",",""),"원",""),0)))))</f>
        <v/>
      </c>
      <c r="AW930" s="2">
        <f>IF(OR($AS930="",$C$6=""),"",TRIM(INDEX($A:$AP,ROW(),$C$6)&amp;""))</f>
        <v/>
      </c>
      <c r="AX930" s="2">
        <f>IF($AS930="","",IF($AZ930&lt;&gt;"",SUBSTITUTE(SUBSTITUTE($AZ930,"-","")," ",""),$AY930))</f>
        <v/>
      </c>
      <c r="AY930" s="2">
        <f>IF(OR($AS930="",$E$6=""),"",TRIM(INDEX($A:$AP,ROW(),$E$6)&amp;""))</f>
        <v/>
      </c>
      <c r="AZ930" s="2">
        <f>IF(OR($AS930="",$D$6=""),"",TRIM(INDEX($A:$AP,ROW(),$D$6)&amp;""))</f>
        <v/>
      </c>
      <c r="BA930" s="2">
        <f>IF($AS930="","",IF(AND($AS930&gt;=설정!$B$10,$AS930&lt;=설정!$B$11),"포함","기간 밖"))</f>
        <v/>
      </c>
      <c r="BB930" s="2">
        <f>IF($AS930="","",IF(OR($AT930&lt;0,AND($I$6&lt;&gt;"",ISNUMBER(FIND("수정",INDEX($A:$AP,ROW(),IF($I$6="",1,$I$6))&amp;"")))),"수정","일반"))</f>
        <v/>
      </c>
      <c r="BC930" s="2">
        <f>IF($AS930="","",MID(IF($BA930="기간 밖"," / 기간 밖(신고기간 아님)","")&amp;IF(AND($AW930&lt;&gt;"",COUNTIF($AW$8:$AW$1007,$AW930)&gt;1)," / 승인번호 중복(두 번 붙여넣기?)","")&amp;IF(ABS($AU930-ROUND($AT930*0.1,0))&gt;설정!$B$8,IF($AU930=0," / 세액 0원(영세율·면세 여부 확인)"," / 세액이 공급가액 10%와 다름"),"")&amp;IF($BB930="수정"," / 수정세금계산서(합계에서 자동 가감)",""),4,200))</f>
        <v/>
      </c>
      <c r="BD930" s="2">
        <f>IF($BA930&lt;&gt;"포함","",IF(COUNTIFS($AX$8:$AX930,$AX930,$BA$8:$BA930,"포함")=1,MAX($BD$7:BD929)+1,""))</f>
        <v/>
      </c>
      <c r="BE930" s="2">
        <f>IF($BC930="","",MAX($BE$7:BE929)+1)</f>
        <v/>
      </c>
    </row>
    <row r="931">
      <c r="AR931" s="2">
        <f>IF(OR($A$5="",$B$6="",ROW()&lt;$A$5),"",IF(INDEX($A:$AP,ROW(),$B$6)="","",INDEX($A:$AP,ROW(),$B$6)))</f>
        <v/>
      </c>
      <c r="AS931" s="22">
        <f>IF($AR931="","",IF(ISNUMBER($AR931),IF($AR931&gt;=10000000,IFERROR(DATE(INT($AR931/10000),MOD(INT($AR931/100),100),MOD($AR931,100)),""),INT($AR931)),IFERROR(DATE(--LEFT(LEFT(SUBSTITUTE(SUBSTITUTE(SUBSTITUTE(SUBSTITUTE(TRIM($AR931),"-",""),".",""),"/","")," ",""),8),4),--MID(LEFT(SUBSTITUTE(SUBSTITUTE(SUBSTITUTE(SUBSTITUTE(TRIM($AR931),"-",""),".",""),"/","")," ",""),8),5,2),--MID(LEFT(SUBSTITUTE(SUBSTITUTE(SUBSTITUTE(SUBSTITUTE(TRIM($AR931),"-",""),".",""),"/","")," ",""),8),7,2)),"")))</f>
        <v/>
      </c>
      <c r="AT931" s="23">
        <f>IF($AS931="","",IF($F$6="",0,IF(ISNUMBER(INDEX($A:$AP,ROW(),$F$6)),INDEX($A:$AP,ROW(),$F$6),IFERROR(--SUBSTITUTE(SUBSTITUTE(TRIM(INDEX($A:$AP,ROW(),$F$6)),",",""),"원",""),0))))</f>
        <v/>
      </c>
      <c r="AU931" s="23">
        <f>IF($AS931="","",IF($G$6="",0,IF(ISNUMBER(INDEX($A:$AP,ROW(),$G$6)),INDEX($A:$AP,ROW(),$G$6),IFERROR(--SUBSTITUTE(SUBSTITUTE(TRIM(INDEX($A:$AP,ROW(),$G$6)),",",""),"원",""),0))))</f>
        <v/>
      </c>
      <c r="AV931" s="23">
        <f>IF($AS931="","",IF($H$6="",$AT931+$AU931,IF($H$6="",0,IF(ISNUMBER(INDEX($A:$AP,ROW(),$H$6)),INDEX($A:$AP,ROW(),$H$6),IFERROR(--SUBSTITUTE(SUBSTITUTE(TRIM(INDEX($A:$AP,ROW(),$H$6)),",",""),"원",""),0)))))</f>
        <v/>
      </c>
      <c r="AW931" s="2">
        <f>IF(OR($AS931="",$C$6=""),"",TRIM(INDEX($A:$AP,ROW(),$C$6)&amp;""))</f>
        <v/>
      </c>
      <c r="AX931" s="2">
        <f>IF($AS931="","",IF($AZ931&lt;&gt;"",SUBSTITUTE(SUBSTITUTE($AZ931,"-","")," ",""),$AY931))</f>
        <v/>
      </c>
      <c r="AY931" s="2">
        <f>IF(OR($AS931="",$E$6=""),"",TRIM(INDEX($A:$AP,ROW(),$E$6)&amp;""))</f>
        <v/>
      </c>
      <c r="AZ931" s="2">
        <f>IF(OR($AS931="",$D$6=""),"",TRIM(INDEX($A:$AP,ROW(),$D$6)&amp;""))</f>
        <v/>
      </c>
      <c r="BA931" s="2">
        <f>IF($AS931="","",IF(AND($AS931&gt;=설정!$B$10,$AS931&lt;=설정!$B$11),"포함","기간 밖"))</f>
        <v/>
      </c>
      <c r="BB931" s="2">
        <f>IF($AS931="","",IF(OR($AT931&lt;0,AND($I$6&lt;&gt;"",ISNUMBER(FIND("수정",INDEX($A:$AP,ROW(),IF($I$6="",1,$I$6))&amp;"")))),"수정","일반"))</f>
        <v/>
      </c>
      <c r="BC931" s="2">
        <f>IF($AS931="","",MID(IF($BA931="기간 밖"," / 기간 밖(신고기간 아님)","")&amp;IF(AND($AW931&lt;&gt;"",COUNTIF($AW$8:$AW$1007,$AW931)&gt;1)," / 승인번호 중복(두 번 붙여넣기?)","")&amp;IF(ABS($AU931-ROUND($AT931*0.1,0))&gt;설정!$B$8,IF($AU931=0," / 세액 0원(영세율·면세 여부 확인)"," / 세액이 공급가액 10%와 다름"),"")&amp;IF($BB931="수정"," / 수정세금계산서(합계에서 자동 가감)",""),4,200))</f>
        <v/>
      </c>
      <c r="BD931" s="2">
        <f>IF($BA931&lt;&gt;"포함","",IF(COUNTIFS($AX$8:$AX931,$AX931,$BA$8:$BA931,"포함")=1,MAX($BD$7:BD930)+1,""))</f>
        <v/>
      </c>
      <c r="BE931" s="2">
        <f>IF($BC931="","",MAX($BE$7:BE930)+1)</f>
        <v/>
      </c>
    </row>
    <row r="932">
      <c r="AR932" s="2">
        <f>IF(OR($A$5="",$B$6="",ROW()&lt;$A$5),"",IF(INDEX($A:$AP,ROW(),$B$6)="","",INDEX($A:$AP,ROW(),$B$6)))</f>
        <v/>
      </c>
      <c r="AS932" s="22">
        <f>IF($AR932="","",IF(ISNUMBER($AR932),IF($AR932&gt;=10000000,IFERROR(DATE(INT($AR932/10000),MOD(INT($AR932/100),100),MOD($AR932,100)),""),INT($AR932)),IFERROR(DATE(--LEFT(LEFT(SUBSTITUTE(SUBSTITUTE(SUBSTITUTE(SUBSTITUTE(TRIM($AR932),"-",""),".",""),"/","")," ",""),8),4),--MID(LEFT(SUBSTITUTE(SUBSTITUTE(SUBSTITUTE(SUBSTITUTE(TRIM($AR932),"-",""),".",""),"/","")," ",""),8),5,2),--MID(LEFT(SUBSTITUTE(SUBSTITUTE(SUBSTITUTE(SUBSTITUTE(TRIM($AR932),"-",""),".",""),"/","")," ",""),8),7,2)),"")))</f>
        <v/>
      </c>
      <c r="AT932" s="23">
        <f>IF($AS932="","",IF($F$6="",0,IF(ISNUMBER(INDEX($A:$AP,ROW(),$F$6)),INDEX($A:$AP,ROW(),$F$6),IFERROR(--SUBSTITUTE(SUBSTITUTE(TRIM(INDEX($A:$AP,ROW(),$F$6)),",",""),"원",""),0))))</f>
        <v/>
      </c>
      <c r="AU932" s="23">
        <f>IF($AS932="","",IF($G$6="",0,IF(ISNUMBER(INDEX($A:$AP,ROW(),$G$6)),INDEX($A:$AP,ROW(),$G$6),IFERROR(--SUBSTITUTE(SUBSTITUTE(TRIM(INDEX($A:$AP,ROW(),$G$6)),",",""),"원",""),0))))</f>
        <v/>
      </c>
      <c r="AV932" s="23">
        <f>IF($AS932="","",IF($H$6="",$AT932+$AU932,IF($H$6="",0,IF(ISNUMBER(INDEX($A:$AP,ROW(),$H$6)),INDEX($A:$AP,ROW(),$H$6),IFERROR(--SUBSTITUTE(SUBSTITUTE(TRIM(INDEX($A:$AP,ROW(),$H$6)),",",""),"원",""),0)))))</f>
        <v/>
      </c>
      <c r="AW932" s="2">
        <f>IF(OR($AS932="",$C$6=""),"",TRIM(INDEX($A:$AP,ROW(),$C$6)&amp;""))</f>
        <v/>
      </c>
      <c r="AX932" s="2">
        <f>IF($AS932="","",IF($AZ932&lt;&gt;"",SUBSTITUTE(SUBSTITUTE($AZ932,"-","")," ",""),$AY932))</f>
        <v/>
      </c>
      <c r="AY932" s="2">
        <f>IF(OR($AS932="",$E$6=""),"",TRIM(INDEX($A:$AP,ROW(),$E$6)&amp;""))</f>
        <v/>
      </c>
      <c r="AZ932" s="2">
        <f>IF(OR($AS932="",$D$6=""),"",TRIM(INDEX($A:$AP,ROW(),$D$6)&amp;""))</f>
        <v/>
      </c>
      <c r="BA932" s="2">
        <f>IF($AS932="","",IF(AND($AS932&gt;=설정!$B$10,$AS932&lt;=설정!$B$11),"포함","기간 밖"))</f>
        <v/>
      </c>
      <c r="BB932" s="2">
        <f>IF($AS932="","",IF(OR($AT932&lt;0,AND($I$6&lt;&gt;"",ISNUMBER(FIND("수정",INDEX($A:$AP,ROW(),IF($I$6="",1,$I$6))&amp;"")))),"수정","일반"))</f>
        <v/>
      </c>
      <c r="BC932" s="2">
        <f>IF($AS932="","",MID(IF($BA932="기간 밖"," / 기간 밖(신고기간 아님)","")&amp;IF(AND($AW932&lt;&gt;"",COUNTIF($AW$8:$AW$1007,$AW932)&gt;1)," / 승인번호 중복(두 번 붙여넣기?)","")&amp;IF(ABS($AU932-ROUND($AT932*0.1,0))&gt;설정!$B$8,IF($AU932=0," / 세액 0원(영세율·면세 여부 확인)"," / 세액이 공급가액 10%와 다름"),"")&amp;IF($BB932="수정"," / 수정세금계산서(합계에서 자동 가감)",""),4,200))</f>
        <v/>
      </c>
      <c r="BD932" s="2">
        <f>IF($BA932&lt;&gt;"포함","",IF(COUNTIFS($AX$8:$AX932,$AX932,$BA$8:$BA932,"포함")=1,MAX($BD$7:BD931)+1,""))</f>
        <v/>
      </c>
      <c r="BE932" s="2">
        <f>IF($BC932="","",MAX($BE$7:BE931)+1)</f>
        <v/>
      </c>
    </row>
    <row r="933">
      <c r="AR933" s="2">
        <f>IF(OR($A$5="",$B$6="",ROW()&lt;$A$5),"",IF(INDEX($A:$AP,ROW(),$B$6)="","",INDEX($A:$AP,ROW(),$B$6)))</f>
        <v/>
      </c>
      <c r="AS933" s="22">
        <f>IF($AR933="","",IF(ISNUMBER($AR933),IF($AR933&gt;=10000000,IFERROR(DATE(INT($AR933/10000),MOD(INT($AR933/100),100),MOD($AR933,100)),""),INT($AR933)),IFERROR(DATE(--LEFT(LEFT(SUBSTITUTE(SUBSTITUTE(SUBSTITUTE(SUBSTITUTE(TRIM($AR933),"-",""),".",""),"/","")," ",""),8),4),--MID(LEFT(SUBSTITUTE(SUBSTITUTE(SUBSTITUTE(SUBSTITUTE(TRIM($AR933),"-",""),".",""),"/","")," ",""),8),5,2),--MID(LEFT(SUBSTITUTE(SUBSTITUTE(SUBSTITUTE(SUBSTITUTE(TRIM($AR933),"-",""),".",""),"/","")," ",""),8),7,2)),"")))</f>
        <v/>
      </c>
      <c r="AT933" s="23">
        <f>IF($AS933="","",IF($F$6="",0,IF(ISNUMBER(INDEX($A:$AP,ROW(),$F$6)),INDEX($A:$AP,ROW(),$F$6),IFERROR(--SUBSTITUTE(SUBSTITUTE(TRIM(INDEX($A:$AP,ROW(),$F$6)),",",""),"원",""),0))))</f>
        <v/>
      </c>
      <c r="AU933" s="23">
        <f>IF($AS933="","",IF($G$6="",0,IF(ISNUMBER(INDEX($A:$AP,ROW(),$G$6)),INDEX($A:$AP,ROW(),$G$6),IFERROR(--SUBSTITUTE(SUBSTITUTE(TRIM(INDEX($A:$AP,ROW(),$G$6)),",",""),"원",""),0))))</f>
        <v/>
      </c>
      <c r="AV933" s="23">
        <f>IF($AS933="","",IF($H$6="",$AT933+$AU933,IF($H$6="",0,IF(ISNUMBER(INDEX($A:$AP,ROW(),$H$6)),INDEX($A:$AP,ROW(),$H$6),IFERROR(--SUBSTITUTE(SUBSTITUTE(TRIM(INDEX($A:$AP,ROW(),$H$6)),",",""),"원",""),0)))))</f>
        <v/>
      </c>
      <c r="AW933" s="2">
        <f>IF(OR($AS933="",$C$6=""),"",TRIM(INDEX($A:$AP,ROW(),$C$6)&amp;""))</f>
        <v/>
      </c>
      <c r="AX933" s="2">
        <f>IF($AS933="","",IF($AZ933&lt;&gt;"",SUBSTITUTE(SUBSTITUTE($AZ933,"-","")," ",""),$AY933))</f>
        <v/>
      </c>
      <c r="AY933" s="2">
        <f>IF(OR($AS933="",$E$6=""),"",TRIM(INDEX($A:$AP,ROW(),$E$6)&amp;""))</f>
        <v/>
      </c>
      <c r="AZ933" s="2">
        <f>IF(OR($AS933="",$D$6=""),"",TRIM(INDEX($A:$AP,ROW(),$D$6)&amp;""))</f>
        <v/>
      </c>
      <c r="BA933" s="2">
        <f>IF($AS933="","",IF(AND($AS933&gt;=설정!$B$10,$AS933&lt;=설정!$B$11),"포함","기간 밖"))</f>
        <v/>
      </c>
      <c r="BB933" s="2">
        <f>IF($AS933="","",IF(OR($AT933&lt;0,AND($I$6&lt;&gt;"",ISNUMBER(FIND("수정",INDEX($A:$AP,ROW(),IF($I$6="",1,$I$6))&amp;"")))),"수정","일반"))</f>
        <v/>
      </c>
      <c r="BC933" s="2">
        <f>IF($AS933="","",MID(IF($BA933="기간 밖"," / 기간 밖(신고기간 아님)","")&amp;IF(AND($AW933&lt;&gt;"",COUNTIF($AW$8:$AW$1007,$AW933)&gt;1)," / 승인번호 중복(두 번 붙여넣기?)","")&amp;IF(ABS($AU933-ROUND($AT933*0.1,0))&gt;설정!$B$8,IF($AU933=0," / 세액 0원(영세율·면세 여부 확인)"," / 세액이 공급가액 10%와 다름"),"")&amp;IF($BB933="수정"," / 수정세금계산서(합계에서 자동 가감)",""),4,200))</f>
        <v/>
      </c>
      <c r="BD933" s="2">
        <f>IF($BA933&lt;&gt;"포함","",IF(COUNTIFS($AX$8:$AX933,$AX933,$BA$8:$BA933,"포함")=1,MAX($BD$7:BD932)+1,""))</f>
        <v/>
      </c>
      <c r="BE933" s="2">
        <f>IF($BC933="","",MAX($BE$7:BE932)+1)</f>
        <v/>
      </c>
    </row>
    <row r="934">
      <c r="AR934" s="2">
        <f>IF(OR($A$5="",$B$6="",ROW()&lt;$A$5),"",IF(INDEX($A:$AP,ROW(),$B$6)="","",INDEX($A:$AP,ROW(),$B$6)))</f>
        <v/>
      </c>
      <c r="AS934" s="22">
        <f>IF($AR934="","",IF(ISNUMBER($AR934),IF($AR934&gt;=10000000,IFERROR(DATE(INT($AR934/10000),MOD(INT($AR934/100),100),MOD($AR934,100)),""),INT($AR934)),IFERROR(DATE(--LEFT(LEFT(SUBSTITUTE(SUBSTITUTE(SUBSTITUTE(SUBSTITUTE(TRIM($AR934),"-",""),".",""),"/","")," ",""),8),4),--MID(LEFT(SUBSTITUTE(SUBSTITUTE(SUBSTITUTE(SUBSTITUTE(TRIM($AR934),"-",""),".",""),"/","")," ",""),8),5,2),--MID(LEFT(SUBSTITUTE(SUBSTITUTE(SUBSTITUTE(SUBSTITUTE(TRIM($AR934),"-",""),".",""),"/","")," ",""),8),7,2)),"")))</f>
        <v/>
      </c>
      <c r="AT934" s="23">
        <f>IF($AS934="","",IF($F$6="",0,IF(ISNUMBER(INDEX($A:$AP,ROW(),$F$6)),INDEX($A:$AP,ROW(),$F$6),IFERROR(--SUBSTITUTE(SUBSTITUTE(TRIM(INDEX($A:$AP,ROW(),$F$6)),",",""),"원",""),0))))</f>
        <v/>
      </c>
      <c r="AU934" s="23">
        <f>IF($AS934="","",IF($G$6="",0,IF(ISNUMBER(INDEX($A:$AP,ROW(),$G$6)),INDEX($A:$AP,ROW(),$G$6),IFERROR(--SUBSTITUTE(SUBSTITUTE(TRIM(INDEX($A:$AP,ROW(),$G$6)),",",""),"원",""),0))))</f>
        <v/>
      </c>
      <c r="AV934" s="23">
        <f>IF($AS934="","",IF($H$6="",$AT934+$AU934,IF($H$6="",0,IF(ISNUMBER(INDEX($A:$AP,ROW(),$H$6)),INDEX($A:$AP,ROW(),$H$6),IFERROR(--SUBSTITUTE(SUBSTITUTE(TRIM(INDEX($A:$AP,ROW(),$H$6)),",",""),"원",""),0)))))</f>
        <v/>
      </c>
      <c r="AW934" s="2">
        <f>IF(OR($AS934="",$C$6=""),"",TRIM(INDEX($A:$AP,ROW(),$C$6)&amp;""))</f>
        <v/>
      </c>
      <c r="AX934" s="2">
        <f>IF($AS934="","",IF($AZ934&lt;&gt;"",SUBSTITUTE(SUBSTITUTE($AZ934,"-","")," ",""),$AY934))</f>
        <v/>
      </c>
      <c r="AY934" s="2">
        <f>IF(OR($AS934="",$E$6=""),"",TRIM(INDEX($A:$AP,ROW(),$E$6)&amp;""))</f>
        <v/>
      </c>
      <c r="AZ934" s="2">
        <f>IF(OR($AS934="",$D$6=""),"",TRIM(INDEX($A:$AP,ROW(),$D$6)&amp;""))</f>
        <v/>
      </c>
      <c r="BA934" s="2">
        <f>IF($AS934="","",IF(AND($AS934&gt;=설정!$B$10,$AS934&lt;=설정!$B$11),"포함","기간 밖"))</f>
        <v/>
      </c>
      <c r="BB934" s="2">
        <f>IF($AS934="","",IF(OR($AT934&lt;0,AND($I$6&lt;&gt;"",ISNUMBER(FIND("수정",INDEX($A:$AP,ROW(),IF($I$6="",1,$I$6))&amp;"")))),"수정","일반"))</f>
        <v/>
      </c>
      <c r="BC934" s="2">
        <f>IF($AS934="","",MID(IF($BA934="기간 밖"," / 기간 밖(신고기간 아님)","")&amp;IF(AND($AW934&lt;&gt;"",COUNTIF($AW$8:$AW$1007,$AW934)&gt;1)," / 승인번호 중복(두 번 붙여넣기?)","")&amp;IF(ABS($AU934-ROUND($AT934*0.1,0))&gt;설정!$B$8,IF($AU934=0," / 세액 0원(영세율·면세 여부 확인)"," / 세액이 공급가액 10%와 다름"),"")&amp;IF($BB934="수정"," / 수정세금계산서(합계에서 자동 가감)",""),4,200))</f>
        <v/>
      </c>
      <c r="BD934" s="2">
        <f>IF($BA934&lt;&gt;"포함","",IF(COUNTIFS($AX$8:$AX934,$AX934,$BA$8:$BA934,"포함")=1,MAX($BD$7:BD933)+1,""))</f>
        <v/>
      </c>
      <c r="BE934" s="2">
        <f>IF($BC934="","",MAX($BE$7:BE933)+1)</f>
        <v/>
      </c>
    </row>
    <row r="935">
      <c r="AR935" s="2">
        <f>IF(OR($A$5="",$B$6="",ROW()&lt;$A$5),"",IF(INDEX($A:$AP,ROW(),$B$6)="","",INDEX($A:$AP,ROW(),$B$6)))</f>
        <v/>
      </c>
      <c r="AS935" s="22">
        <f>IF($AR935="","",IF(ISNUMBER($AR935),IF($AR935&gt;=10000000,IFERROR(DATE(INT($AR935/10000),MOD(INT($AR935/100),100),MOD($AR935,100)),""),INT($AR935)),IFERROR(DATE(--LEFT(LEFT(SUBSTITUTE(SUBSTITUTE(SUBSTITUTE(SUBSTITUTE(TRIM($AR935),"-",""),".",""),"/","")," ",""),8),4),--MID(LEFT(SUBSTITUTE(SUBSTITUTE(SUBSTITUTE(SUBSTITUTE(TRIM($AR935),"-",""),".",""),"/","")," ",""),8),5,2),--MID(LEFT(SUBSTITUTE(SUBSTITUTE(SUBSTITUTE(SUBSTITUTE(TRIM($AR935),"-",""),".",""),"/","")," ",""),8),7,2)),"")))</f>
        <v/>
      </c>
      <c r="AT935" s="23">
        <f>IF($AS935="","",IF($F$6="",0,IF(ISNUMBER(INDEX($A:$AP,ROW(),$F$6)),INDEX($A:$AP,ROW(),$F$6),IFERROR(--SUBSTITUTE(SUBSTITUTE(TRIM(INDEX($A:$AP,ROW(),$F$6)),",",""),"원",""),0))))</f>
        <v/>
      </c>
      <c r="AU935" s="23">
        <f>IF($AS935="","",IF($G$6="",0,IF(ISNUMBER(INDEX($A:$AP,ROW(),$G$6)),INDEX($A:$AP,ROW(),$G$6),IFERROR(--SUBSTITUTE(SUBSTITUTE(TRIM(INDEX($A:$AP,ROW(),$G$6)),",",""),"원",""),0))))</f>
        <v/>
      </c>
      <c r="AV935" s="23">
        <f>IF($AS935="","",IF($H$6="",$AT935+$AU935,IF($H$6="",0,IF(ISNUMBER(INDEX($A:$AP,ROW(),$H$6)),INDEX($A:$AP,ROW(),$H$6),IFERROR(--SUBSTITUTE(SUBSTITUTE(TRIM(INDEX($A:$AP,ROW(),$H$6)),",",""),"원",""),0)))))</f>
        <v/>
      </c>
      <c r="AW935" s="2">
        <f>IF(OR($AS935="",$C$6=""),"",TRIM(INDEX($A:$AP,ROW(),$C$6)&amp;""))</f>
        <v/>
      </c>
      <c r="AX935" s="2">
        <f>IF($AS935="","",IF($AZ935&lt;&gt;"",SUBSTITUTE(SUBSTITUTE($AZ935,"-","")," ",""),$AY935))</f>
        <v/>
      </c>
      <c r="AY935" s="2">
        <f>IF(OR($AS935="",$E$6=""),"",TRIM(INDEX($A:$AP,ROW(),$E$6)&amp;""))</f>
        <v/>
      </c>
      <c r="AZ935" s="2">
        <f>IF(OR($AS935="",$D$6=""),"",TRIM(INDEX($A:$AP,ROW(),$D$6)&amp;""))</f>
        <v/>
      </c>
      <c r="BA935" s="2">
        <f>IF($AS935="","",IF(AND($AS935&gt;=설정!$B$10,$AS935&lt;=설정!$B$11),"포함","기간 밖"))</f>
        <v/>
      </c>
      <c r="BB935" s="2">
        <f>IF($AS935="","",IF(OR($AT935&lt;0,AND($I$6&lt;&gt;"",ISNUMBER(FIND("수정",INDEX($A:$AP,ROW(),IF($I$6="",1,$I$6))&amp;"")))),"수정","일반"))</f>
        <v/>
      </c>
      <c r="BC935" s="2">
        <f>IF($AS935="","",MID(IF($BA935="기간 밖"," / 기간 밖(신고기간 아님)","")&amp;IF(AND($AW935&lt;&gt;"",COUNTIF($AW$8:$AW$1007,$AW935)&gt;1)," / 승인번호 중복(두 번 붙여넣기?)","")&amp;IF(ABS($AU935-ROUND($AT935*0.1,0))&gt;설정!$B$8,IF($AU935=0," / 세액 0원(영세율·면세 여부 확인)"," / 세액이 공급가액 10%와 다름"),"")&amp;IF($BB935="수정"," / 수정세금계산서(합계에서 자동 가감)",""),4,200))</f>
        <v/>
      </c>
      <c r="BD935" s="2">
        <f>IF($BA935&lt;&gt;"포함","",IF(COUNTIFS($AX$8:$AX935,$AX935,$BA$8:$BA935,"포함")=1,MAX($BD$7:BD934)+1,""))</f>
        <v/>
      </c>
      <c r="BE935" s="2">
        <f>IF($BC935="","",MAX($BE$7:BE934)+1)</f>
        <v/>
      </c>
    </row>
    <row r="936">
      <c r="AR936" s="2">
        <f>IF(OR($A$5="",$B$6="",ROW()&lt;$A$5),"",IF(INDEX($A:$AP,ROW(),$B$6)="","",INDEX($A:$AP,ROW(),$B$6)))</f>
        <v/>
      </c>
      <c r="AS936" s="22">
        <f>IF($AR936="","",IF(ISNUMBER($AR936),IF($AR936&gt;=10000000,IFERROR(DATE(INT($AR936/10000),MOD(INT($AR936/100),100),MOD($AR936,100)),""),INT($AR936)),IFERROR(DATE(--LEFT(LEFT(SUBSTITUTE(SUBSTITUTE(SUBSTITUTE(SUBSTITUTE(TRIM($AR936),"-",""),".",""),"/","")," ",""),8),4),--MID(LEFT(SUBSTITUTE(SUBSTITUTE(SUBSTITUTE(SUBSTITUTE(TRIM($AR936),"-",""),".",""),"/","")," ",""),8),5,2),--MID(LEFT(SUBSTITUTE(SUBSTITUTE(SUBSTITUTE(SUBSTITUTE(TRIM($AR936),"-",""),".",""),"/","")," ",""),8),7,2)),"")))</f>
        <v/>
      </c>
      <c r="AT936" s="23">
        <f>IF($AS936="","",IF($F$6="",0,IF(ISNUMBER(INDEX($A:$AP,ROW(),$F$6)),INDEX($A:$AP,ROW(),$F$6),IFERROR(--SUBSTITUTE(SUBSTITUTE(TRIM(INDEX($A:$AP,ROW(),$F$6)),",",""),"원",""),0))))</f>
        <v/>
      </c>
      <c r="AU936" s="23">
        <f>IF($AS936="","",IF($G$6="",0,IF(ISNUMBER(INDEX($A:$AP,ROW(),$G$6)),INDEX($A:$AP,ROW(),$G$6),IFERROR(--SUBSTITUTE(SUBSTITUTE(TRIM(INDEX($A:$AP,ROW(),$G$6)),",",""),"원",""),0))))</f>
        <v/>
      </c>
      <c r="AV936" s="23">
        <f>IF($AS936="","",IF($H$6="",$AT936+$AU936,IF($H$6="",0,IF(ISNUMBER(INDEX($A:$AP,ROW(),$H$6)),INDEX($A:$AP,ROW(),$H$6),IFERROR(--SUBSTITUTE(SUBSTITUTE(TRIM(INDEX($A:$AP,ROW(),$H$6)),",",""),"원",""),0)))))</f>
        <v/>
      </c>
      <c r="AW936" s="2">
        <f>IF(OR($AS936="",$C$6=""),"",TRIM(INDEX($A:$AP,ROW(),$C$6)&amp;""))</f>
        <v/>
      </c>
      <c r="AX936" s="2">
        <f>IF($AS936="","",IF($AZ936&lt;&gt;"",SUBSTITUTE(SUBSTITUTE($AZ936,"-","")," ",""),$AY936))</f>
        <v/>
      </c>
      <c r="AY936" s="2">
        <f>IF(OR($AS936="",$E$6=""),"",TRIM(INDEX($A:$AP,ROW(),$E$6)&amp;""))</f>
        <v/>
      </c>
      <c r="AZ936" s="2">
        <f>IF(OR($AS936="",$D$6=""),"",TRIM(INDEX($A:$AP,ROW(),$D$6)&amp;""))</f>
        <v/>
      </c>
      <c r="BA936" s="2">
        <f>IF($AS936="","",IF(AND($AS936&gt;=설정!$B$10,$AS936&lt;=설정!$B$11),"포함","기간 밖"))</f>
        <v/>
      </c>
      <c r="BB936" s="2">
        <f>IF($AS936="","",IF(OR($AT936&lt;0,AND($I$6&lt;&gt;"",ISNUMBER(FIND("수정",INDEX($A:$AP,ROW(),IF($I$6="",1,$I$6))&amp;"")))),"수정","일반"))</f>
        <v/>
      </c>
      <c r="BC936" s="2">
        <f>IF($AS936="","",MID(IF($BA936="기간 밖"," / 기간 밖(신고기간 아님)","")&amp;IF(AND($AW936&lt;&gt;"",COUNTIF($AW$8:$AW$1007,$AW936)&gt;1)," / 승인번호 중복(두 번 붙여넣기?)","")&amp;IF(ABS($AU936-ROUND($AT936*0.1,0))&gt;설정!$B$8,IF($AU936=0," / 세액 0원(영세율·면세 여부 확인)"," / 세액이 공급가액 10%와 다름"),"")&amp;IF($BB936="수정"," / 수정세금계산서(합계에서 자동 가감)",""),4,200))</f>
        <v/>
      </c>
      <c r="BD936" s="2">
        <f>IF($BA936&lt;&gt;"포함","",IF(COUNTIFS($AX$8:$AX936,$AX936,$BA$8:$BA936,"포함")=1,MAX($BD$7:BD935)+1,""))</f>
        <v/>
      </c>
      <c r="BE936" s="2">
        <f>IF($BC936="","",MAX($BE$7:BE935)+1)</f>
        <v/>
      </c>
    </row>
    <row r="937">
      <c r="AR937" s="2">
        <f>IF(OR($A$5="",$B$6="",ROW()&lt;$A$5),"",IF(INDEX($A:$AP,ROW(),$B$6)="","",INDEX($A:$AP,ROW(),$B$6)))</f>
        <v/>
      </c>
      <c r="AS937" s="22">
        <f>IF($AR937="","",IF(ISNUMBER($AR937),IF($AR937&gt;=10000000,IFERROR(DATE(INT($AR937/10000),MOD(INT($AR937/100),100),MOD($AR937,100)),""),INT($AR937)),IFERROR(DATE(--LEFT(LEFT(SUBSTITUTE(SUBSTITUTE(SUBSTITUTE(SUBSTITUTE(TRIM($AR937),"-",""),".",""),"/","")," ",""),8),4),--MID(LEFT(SUBSTITUTE(SUBSTITUTE(SUBSTITUTE(SUBSTITUTE(TRIM($AR937),"-",""),".",""),"/","")," ",""),8),5,2),--MID(LEFT(SUBSTITUTE(SUBSTITUTE(SUBSTITUTE(SUBSTITUTE(TRIM($AR937),"-",""),".",""),"/","")," ",""),8),7,2)),"")))</f>
        <v/>
      </c>
      <c r="AT937" s="23">
        <f>IF($AS937="","",IF($F$6="",0,IF(ISNUMBER(INDEX($A:$AP,ROW(),$F$6)),INDEX($A:$AP,ROW(),$F$6),IFERROR(--SUBSTITUTE(SUBSTITUTE(TRIM(INDEX($A:$AP,ROW(),$F$6)),",",""),"원",""),0))))</f>
        <v/>
      </c>
      <c r="AU937" s="23">
        <f>IF($AS937="","",IF($G$6="",0,IF(ISNUMBER(INDEX($A:$AP,ROW(),$G$6)),INDEX($A:$AP,ROW(),$G$6),IFERROR(--SUBSTITUTE(SUBSTITUTE(TRIM(INDEX($A:$AP,ROW(),$G$6)),",",""),"원",""),0))))</f>
        <v/>
      </c>
      <c r="AV937" s="23">
        <f>IF($AS937="","",IF($H$6="",$AT937+$AU937,IF($H$6="",0,IF(ISNUMBER(INDEX($A:$AP,ROW(),$H$6)),INDEX($A:$AP,ROW(),$H$6),IFERROR(--SUBSTITUTE(SUBSTITUTE(TRIM(INDEX($A:$AP,ROW(),$H$6)),",",""),"원",""),0)))))</f>
        <v/>
      </c>
      <c r="AW937" s="2">
        <f>IF(OR($AS937="",$C$6=""),"",TRIM(INDEX($A:$AP,ROW(),$C$6)&amp;""))</f>
        <v/>
      </c>
      <c r="AX937" s="2">
        <f>IF($AS937="","",IF($AZ937&lt;&gt;"",SUBSTITUTE(SUBSTITUTE($AZ937,"-","")," ",""),$AY937))</f>
        <v/>
      </c>
      <c r="AY937" s="2">
        <f>IF(OR($AS937="",$E$6=""),"",TRIM(INDEX($A:$AP,ROW(),$E$6)&amp;""))</f>
        <v/>
      </c>
      <c r="AZ937" s="2">
        <f>IF(OR($AS937="",$D$6=""),"",TRIM(INDEX($A:$AP,ROW(),$D$6)&amp;""))</f>
        <v/>
      </c>
      <c r="BA937" s="2">
        <f>IF($AS937="","",IF(AND($AS937&gt;=설정!$B$10,$AS937&lt;=설정!$B$11),"포함","기간 밖"))</f>
        <v/>
      </c>
      <c r="BB937" s="2">
        <f>IF($AS937="","",IF(OR($AT937&lt;0,AND($I$6&lt;&gt;"",ISNUMBER(FIND("수정",INDEX($A:$AP,ROW(),IF($I$6="",1,$I$6))&amp;"")))),"수정","일반"))</f>
        <v/>
      </c>
      <c r="BC937" s="2">
        <f>IF($AS937="","",MID(IF($BA937="기간 밖"," / 기간 밖(신고기간 아님)","")&amp;IF(AND($AW937&lt;&gt;"",COUNTIF($AW$8:$AW$1007,$AW937)&gt;1)," / 승인번호 중복(두 번 붙여넣기?)","")&amp;IF(ABS($AU937-ROUND($AT937*0.1,0))&gt;설정!$B$8,IF($AU937=0," / 세액 0원(영세율·면세 여부 확인)"," / 세액이 공급가액 10%와 다름"),"")&amp;IF($BB937="수정"," / 수정세금계산서(합계에서 자동 가감)",""),4,200))</f>
        <v/>
      </c>
      <c r="BD937" s="2">
        <f>IF($BA937&lt;&gt;"포함","",IF(COUNTIFS($AX$8:$AX937,$AX937,$BA$8:$BA937,"포함")=1,MAX($BD$7:BD936)+1,""))</f>
        <v/>
      </c>
      <c r="BE937" s="2">
        <f>IF($BC937="","",MAX($BE$7:BE936)+1)</f>
        <v/>
      </c>
    </row>
    <row r="938">
      <c r="AR938" s="2">
        <f>IF(OR($A$5="",$B$6="",ROW()&lt;$A$5),"",IF(INDEX($A:$AP,ROW(),$B$6)="","",INDEX($A:$AP,ROW(),$B$6)))</f>
        <v/>
      </c>
      <c r="AS938" s="22">
        <f>IF($AR938="","",IF(ISNUMBER($AR938),IF($AR938&gt;=10000000,IFERROR(DATE(INT($AR938/10000),MOD(INT($AR938/100),100),MOD($AR938,100)),""),INT($AR938)),IFERROR(DATE(--LEFT(LEFT(SUBSTITUTE(SUBSTITUTE(SUBSTITUTE(SUBSTITUTE(TRIM($AR938),"-",""),".",""),"/","")," ",""),8),4),--MID(LEFT(SUBSTITUTE(SUBSTITUTE(SUBSTITUTE(SUBSTITUTE(TRIM($AR938),"-",""),".",""),"/","")," ",""),8),5,2),--MID(LEFT(SUBSTITUTE(SUBSTITUTE(SUBSTITUTE(SUBSTITUTE(TRIM($AR938),"-",""),".",""),"/","")," ",""),8),7,2)),"")))</f>
        <v/>
      </c>
      <c r="AT938" s="23">
        <f>IF($AS938="","",IF($F$6="",0,IF(ISNUMBER(INDEX($A:$AP,ROW(),$F$6)),INDEX($A:$AP,ROW(),$F$6),IFERROR(--SUBSTITUTE(SUBSTITUTE(TRIM(INDEX($A:$AP,ROW(),$F$6)),",",""),"원",""),0))))</f>
        <v/>
      </c>
      <c r="AU938" s="23">
        <f>IF($AS938="","",IF($G$6="",0,IF(ISNUMBER(INDEX($A:$AP,ROW(),$G$6)),INDEX($A:$AP,ROW(),$G$6),IFERROR(--SUBSTITUTE(SUBSTITUTE(TRIM(INDEX($A:$AP,ROW(),$G$6)),",",""),"원",""),0))))</f>
        <v/>
      </c>
      <c r="AV938" s="23">
        <f>IF($AS938="","",IF($H$6="",$AT938+$AU938,IF($H$6="",0,IF(ISNUMBER(INDEX($A:$AP,ROW(),$H$6)),INDEX($A:$AP,ROW(),$H$6),IFERROR(--SUBSTITUTE(SUBSTITUTE(TRIM(INDEX($A:$AP,ROW(),$H$6)),",",""),"원",""),0)))))</f>
        <v/>
      </c>
      <c r="AW938" s="2">
        <f>IF(OR($AS938="",$C$6=""),"",TRIM(INDEX($A:$AP,ROW(),$C$6)&amp;""))</f>
        <v/>
      </c>
      <c r="AX938" s="2">
        <f>IF($AS938="","",IF($AZ938&lt;&gt;"",SUBSTITUTE(SUBSTITUTE($AZ938,"-","")," ",""),$AY938))</f>
        <v/>
      </c>
      <c r="AY938" s="2">
        <f>IF(OR($AS938="",$E$6=""),"",TRIM(INDEX($A:$AP,ROW(),$E$6)&amp;""))</f>
        <v/>
      </c>
      <c r="AZ938" s="2">
        <f>IF(OR($AS938="",$D$6=""),"",TRIM(INDEX($A:$AP,ROW(),$D$6)&amp;""))</f>
        <v/>
      </c>
      <c r="BA938" s="2">
        <f>IF($AS938="","",IF(AND($AS938&gt;=설정!$B$10,$AS938&lt;=설정!$B$11),"포함","기간 밖"))</f>
        <v/>
      </c>
      <c r="BB938" s="2">
        <f>IF($AS938="","",IF(OR($AT938&lt;0,AND($I$6&lt;&gt;"",ISNUMBER(FIND("수정",INDEX($A:$AP,ROW(),IF($I$6="",1,$I$6))&amp;"")))),"수정","일반"))</f>
        <v/>
      </c>
      <c r="BC938" s="2">
        <f>IF($AS938="","",MID(IF($BA938="기간 밖"," / 기간 밖(신고기간 아님)","")&amp;IF(AND($AW938&lt;&gt;"",COUNTIF($AW$8:$AW$1007,$AW938)&gt;1)," / 승인번호 중복(두 번 붙여넣기?)","")&amp;IF(ABS($AU938-ROUND($AT938*0.1,0))&gt;설정!$B$8,IF($AU938=0," / 세액 0원(영세율·면세 여부 확인)"," / 세액이 공급가액 10%와 다름"),"")&amp;IF($BB938="수정"," / 수정세금계산서(합계에서 자동 가감)",""),4,200))</f>
        <v/>
      </c>
      <c r="BD938" s="2">
        <f>IF($BA938&lt;&gt;"포함","",IF(COUNTIFS($AX$8:$AX938,$AX938,$BA$8:$BA938,"포함")=1,MAX($BD$7:BD937)+1,""))</f>
        <v/>
      </c>
      <c r="BE938" s="2">
        <f>IF($BC938="","",MAX($BE$7:BE937)+1)</f>
        <v/>
      </c>
    </row>
    <row r="939">
      <c r="AR939" s="2">
        <f>IF(OR($A$5="",$B$6="",ROW()&lt;$A$5),"",IF(INDEX($A:$AP,ROW(),$B$6)="","",INDEX($A:$AP,ROW(),$B$6)))</f>
        <v/>
      </c>
      <c r="AS939" s="22">
        <f>IF($AR939="","",IF(ISNUMBER($AR939),IF($AR939&gt;=10000000,IFERROR(DATE(INT($AR939/10000),MOD(INT($AR939/100),100),MOD($AR939,100)),""),INT($AR939)),IFERROR(DATE(--LEFT(LEFT(SUBSTITUTE(SUBSTITUTE(SUBSTITUTE(SUBSTITUTE(TRIM($AR939),"-",""),".",""),"/","")," ",""),8),4),--MID(LEFT(SUBSTITUTE(SUBSTITUTE(SUBSTITUTE(SUBSTITUTE(TRIM($AR939),"-",""),".",""),"/","")," ",""),8),5,2),--MID(LEFT(SUBSTITUTE(SUBSTITUTE(SUBSTITUTE(SUBSTITUTE(TRIM($AR939),"-",""),".",""),"/","")," ",""),8),7,2)),"")))</f>
        <v/>
      </c>
      <c r="AT939" s="23">
        <f>IF($AS939="","",IF($F$6="",0,IF(ISNUMBER(INDEX($A:$AP,ROW(),$F$6)),INDEX($A:$AP,ROW(),$F$6),IFERROR(--SUBSTITUTE(SUBSTITUTE(TRIM(INDEX($A:$AP,ROW(),$F$6)),",",""),"원",""),0))))</f>
        <v/>
      </c>
      <c r="AU939" s="23">
        <f>IF($AS939="","",IF($G$6="",0,IF(ISNUMBER(INDEX($A:$AP,ROW(),$G$6)),INDEX($A:$AP,ROW(),$G$6),IFERROR(--SUBSTITUTE(SUBSTITUTE(TRIM(INDEX($A:$AP,ROW(),$G$6)),",",""),"원",""),0))))</f>
        <v/>
      </c>
      <c r="AV939" s="23">
        <f>IF($AS939="","",IF($H$6="",$AT939+$AU939,IF($H$6="",0,IF(ISNUMBER(INDEX($A:$AP,ROW(),$H$6)),INDEX($A:$AP,ROW(),$H$6),IFERROR(--SUBSTITUTE(SUBSTITUTE(TRIM(INDEX($A:$AP,ROW(),$H$6)),",",""),"원",""),0)))))</f>
        <v/>
      </c>
      <c r="AW939" s="2">
        <f>IF(OR($AS939="",$C$6=""),"",TRIM(INDEX($A:$AP,ROW(),$C$6)&amp;""))</f>
        <v/>
      </c>
      <c r="AX939" s="2">
        <f>IF($AS939="","",IF($AZ939&lt;&gt;"",SUBSTITUTE(SUBSTITUTE($AZ939,"-","")," ",""),$AY939))</f>
        <v/>
      </c>
      <c r="AY939" s="2">
        <f>IF(OR($AS939="",$E$6=""),"",TRIM(INDEX($A:$AP,ROW(),$E$6)&amp;""))</f>
        <v/>
      </c>
      <c r="AZ939" s="2">
        <f>IF(OR($AS939="",$D$6=""),"",TRIM(INDEX($A:$AP,ROW(),$D$6)&amp;""))</f>
        <v/>
      </c>
      <c r="BA939" s="2">
        <f>IF($AS939="","",IF(AND($AS939&gt;=설정!$B$10,$AS939&lt;=설정!$B$11),"포함","기간 밖"))</f>
        <v/>
      </c>
      <c r="BB939" s="2">
        <f>IF($AS939="","",IF(OR($AT939&lt;0,AND($I$6&lt;&gt;"",ISNUMBER(FIND("수정",INDEX($A:$AP,ROW(),IF($I$6="",1,$I$6))&amp;"")))),"수정","일반"))</f>
        <v/>
      </c>
      <c r="BC939" s="2">
        <f>IF($AS939="","",MID(IF($BA939="기간 밖"," / 기간 밖(신고기간 아님)","")&amp;IF(AND($AW939&lt;&gt;"",COUNTIF($AW$8:$AW$1007,$AW939)&gt;1)," / 승인번호 중복(두 번 붙여넣기?)","")&amp;IF(ABS($AU939-ROUND($AT939*0.1,0))&gt;설정!$B$8,IF($AU939=0," / 세액 0원(영세율·면세 여부 확인)"," / 세액이 공급가액 10%와 다름"),"")&amp;IF($BB939="수정"," / 수정세금계산서(합계에서 자동 가감)",""),4,200))</f>
        <v/>
      </c>
      <c r="BD939" s="2">
        <f>IF($BA939&lt;&gt;"포함","",IF(COUNTIFS($AX$8:$AX939,$AX939,$BA$8:$BA939,"포함")=1,MAX($BD$7:BD938)+1,""))</f>
        <v/>
      </c>
      <c r="BE939" s="2">
        <f>IF($BC939="","",MAX($BE$7:BE938)+1)</f>
        <v/>
      </c>
    </row>
    <row r="940">
      <c r="AR940" s="2">
        <f>IF(OR($A$5="",$B$6="",ROW()&lt;$A$5),"",IF(INDEX($A:$AP,ROW(),$B$6)="","",INDEX($A:$AP,ROW(),$B$6)))</f>
        <v/>
      </c>
      <c r="AS940" s="22">
        <f>IF($AR940="","",IF(ISNUMBER($AR940),IF($AR940&gt;=10000000,IFERROR(DATE(INT($AR940/10000),MOD(INT($AR940/100),100),MOD($AR940,100)),""),INT($AR940)),IFERROR(DATE(--LEFT(LEFT(SUBSTITUTE(SUBSTITUTE(SUBSTITUTE(SUBSTITUTE(TRIM($AR940),"-",""),".",""),"/","")," ",""),8),4),--MID(LEFT(SUBSTITUTE(SUBSTITUTE(SUBSTITUTE(SUBSTITUTE(TRIM($AR940),"-",""),".",""),"/","")," ",""),8),5,2),--MID(LEFT(SUBSTITUTE(SUBSTITUTE(SUBSTITUTE(SUBSTITUTE(TRIM($AR940),"-",""),".",""),"/","")," ",""),8),7,2)),"")))</f>
        <v/>
      </c>
      <c r="AT940" s="23">
        <f>IF($AS940="","",IF($F$6="",0,IF(ISNUMBER(INDEX($A:$AP,ROW(),$F$6)),INDEX($A:$AP,ROW(),$F$6),IFERROR(--SUBSTITUTE(SUBSTITUTE(TRIM(INDEX($A:$AP,ROW(),$F$6)),",",""),"원",""),0))))</f>
        <v/>
      </c>
      <c r="AU940" s="23">
        <f>IF($AS940="","",IF($G$6="",0,IF(ISNUMBER(INDEX($A:$AP,ROW(),$G$6)),INDEX($A:$AP,ROW(),$G$6),IFERROR(--SUBSTITUTE(SUBSTITUTE(TRIM(INDEX($A:$AP,ROW(),$G$6)),",",""),"원",""),0))))</f>
        <v/>
      </c>
      <c r="AV940" s="23">
        <f>IF($AS940="","",IF($H$6="",$AT940+$AU940,IF($H$6="",0,IF(ISNUMBER(INDEX($A:$AP,ROW(),$H$6)),INDEX($A:$AP,ROW(),$H$6),IFERROR(--SUBSTITUTE(SUBSTITUTE(TRIM(INDEX($A:$AP,ROW(),$H$6)),",",""),"원",""),0)))))</f>
        <v/>
      </c>
      <c r="AW940" s="2">
        <f>IF(OR($AS940="",$C$6=""),"",TRIM(INDEX($A:$AP,ROW(),$C$6)&amp;""))</f>
        <v/>
      </c>
      <c r="AX940" s="2">
        <f>IF($AS940="","",IF($AZ940&lt;&gt;"",SUBSTITUTE(SUBSTITUTE($AZ940,"-","")," ",""),$AY940))</f>
        <v/>
      </c>
      <c r="AY940" s="2">
        <f>IF(OR($AS940="",$E$6=""),"",TRIM(INDEX($A:$AP,ROW(),$E$6)&amp;""))</f>
        <v/>
      </c>
      <c r="AZ940" s="2">
        <f>IF(OR($AS940="",$D$6=""),"",TRIM(INDEX($A:$AP,ROW(),$D$6)&amp;""))</f>
        <v/>
      </c>
      <c r="BA940" s="2">
        <f>IF($AS940="","",IF(AND($AS940&gt;=설정!$B$10,$AS940&lt;=설정!$B$11),"포함","기간 밖"))</f>
        <v/>
      </c>
      <c r="BB940" s="2">
        <f>IF($AS940="","",IF(OR($AT940&lt;0,AND($I$6&lt;&gt;"",ISNUMBER(FIND("수정",INDEX($A:$AP,ROW(),IF($I$6="",1,$I$6))&amp;"")))),"수정","일반"))</f>
        <v/>
      </c>
      <c r="BC940" s="2">
        <f>IF($AS940="","",MID(IF($BA940="기간 밖"," / 기간 밖(신고기간 아님)","")&amp;IF(AND($AW940&lt;&gt;"",COUNTIF($AW$8:$AW$1007,$AW940)&gt;1)," / 승인번호 중복(두 번 붙여넣기?)","")&amp;IF(ABS($AU940-ROUND($AT940*0.1,0))&gt;설정!$B$8,IF($AU940=0," / 세액 0원(영세율·면세 여부 확인)"," / 세액이 공급가액 10%와 다름"),"")&amp;IF($BB940="수정"," / 수정세금계산서(합계에서 자동 가감)",""),4,200))</f>
        <v/>
      </c>
      <c r="BD940" s="2">
        <f>IF($BA940&lt;&gt;"포함","",IF(COUNTIFS($AX$8:$AX940,$AX940,$BA$8:$BA940,"포함")=1,MAX($BD$7:BD939)+1,""))</f>
        <v/>
      </c>
      <c r="BE940" s="2">
        <f>IF($BC940="","",MAX($BE$7:BE939)+1)</f>
        <v/>
      </c>
    </row>
    <row r="941">
      <c r="AR941" s="2">
        <f>IF(OR($A$5="",$B$6="",ROW()&lt;$A$5),"",IF(INDEX($A:$AP,ROW(),$B$6)="","",INDEX($A:$AP,ROW(),$B$6)))</f>
        <v/>
      </c>
      <c r="AS941" s="22">
        <f>IF($AR941="","",IF(ISNUMBER($AR941),IF($AR941&gt;=10000000,IFERROR(DATE(INT($AR941/10000),MOD(INT($AR941/100),100),MOD($AR941,100)),""),INT($AR941)),IFERROR(DATE(--LEFT(LEFT(SUBSTITUTE(SUBSTITUTE(SUBSTITUTE(SUBSTITUTE(TRIM($AR941),"-",""),".",""),"/","")," ",""),8),4),--MID(LEFT(SUBSTITUTE(SUBSTITUTE(SUBSTITUTE(SUBSTITUTE(TRIM($AR941),"-",""),".",""),"/","")," ",""),8),5,2),--MID(LEFT(SUBSTITUTE(SUBSTITUTE(SUBSTITUTE(SUBSTITUTE(TRIM($AR941),"-",""),".",""),"/","")," ",""),8),7,2)),"")))</f>
        <v/>
      </c>
      <c r="AT941" s="23">
        <f>IF($AS941="","",IF($F$6="",0,IF(ISNUMBER(INDEX($A:$AP,ROW(),$F$6)),INDEX($A:$AP,ROW(),$F$6),IFERROR(--SUBSTITUTE(SUBSTITUTE(TRIM(INDEX($A:$AP,ROW(),$F$6)),",",""),"원",""),0))))</f>
        <v/>
      </c>
      <c r="AU941" s="23">
        <f>IF($AS941="","",IF($G$6="",0,IF(ISNUMBER(INDEX($A:$AP,ROW(),$G$6)),INDEX($A:$AP,ROW(),$G$6),IFERROR(--SUBSTITUTE(SUBSTITUTE(TRIM(INDEX($A:$AP,ROW(),$G$6)),",",""),"원",""),0))))</f>
        <v/>
      </c>
      <c r="AV941" s="23">
        <f>IF($AS941="","",IF($H$6="",$AT941+$AU941,IF($H$6="",0,IF(ISNUMBER(INDEX($A:$AP,ROW(),$H$6)),INDEX($A:$AP,ROW(),$H$6),IFERROR(--SUBSTITUTE(SUBSTITUTE(TRIM(INDEX($A:$AP,ROW(),$H$6)),",",""),"원",""),0)))))</f>
        <v/>
      </c>
      <c r="AW941" s="2">
        <f>IF(OR($AS941="",$C$6=""),"",TRIM(INDEX($A:$AP,ROW(),$C$6)&amp;""))</f>
        <v/>
      </c>
      <c r="AX941" s="2">
        <f>IF($AS941="","",IF($AZ941&lt;&gt;"",SUBSTITUTE(SUBSTITUTE($AZ941,"-","")," ",""),$AY941))</f>
        <v/>
      </c>
      <c r="AY941" s="2">
        <f>IF(OR($AS941="",$E$6=""),"",TRIM(INDEX($A:$AP,ROW(),$E$6)&amp;""))</f>
        <v/>
      </c>
      <c r="AZ941" s="2">
        <f>IF(OR($AS941="",$D$6=""),"",TRIM(INDEX($A:$AP,ROW(),$D$6)&amp;""))</f>
        <v/>
      </c>
      <c r="BA941" s="2">
        <f>IF($AS941="","",IF(AND($AS941&gt;=설정!$B$10,$AS941&lt;=설정!$B$11),"포함","기간 밖"))</f>
        <v/>
      </c>
      <c r="BB941" s="2">
        <f>IF($AS941="","",IF(OR($AT941&lt;0,AND($I$6&lt;&gt;"",ISNUMBER(FIND("수정",INDEX($A:$AP,ROW(),IF($I$6="",1,$I$6))&amp;"")))),"수정","일반"))</f>
        <v/>
      </c>
      <c r="BC941" s="2">
        <f>IF($AS941="","",MID(IF($BA941="기간 밖"," / 기간 밖(신고기간 아님)","")&amp;IF(AND($AW941&lt;&gt;"",COUNTIF($AW$8:$AW$1007,$AW941)&gt;1)," / 승인번호 중복(두 번 붙여넣기?)","")&amp;IF(ABS($AU941-ROUND($AT941*0.1,0))&gt;설정!$B$8,IF($AU941=0," / 세액 0원(영세율·면세 여부 확인)"," / 세액이 공급가액 10%와 다름"),"")&amp;IF($BB941="수정"," / 수정세금계산서(합계에서 자동 가감)",""),4,200))</f>
        <v/>
      </c>
      <c r="BD941" s="2">
        <f>IF($BA941&lt;&gt;"포함","",IF(COUNTIFS($AX$8:$AX941,$AX941,$BA$8:$BA941,"포함")=1,MAX($BD$7:BD940)+1,""))</f>
        <v/>
      </c>
      <c r="BE941" s="2">
        <f>IF($BC941="","",MAX($BE$7:BE940)+1)</f>
        <v/>
      </c>
    </row>
    <row r="942">
      <c r="AR942" s="2">
        <f>IF(OR($A$5="",$B$6="",ROW()&lt;$A$5),"",IF(INDEX($A:$AP,ROW(),$B$6)="","",INDEX($A:$AP,ROW(),$B$6)))</f>
        <v/>
      </c>
      <c r="AS942" s="22">
        <f>IF($AR942="","",IF(ISNUMBER($AR942),IF($AR942&gt;=10000000,IFERROR(DATE(INT($AR942/10000),MOD(INT($AR942/100),100),MOD($AR942,100)),""),INT($AR942)),IFERROR(DATE(--LEFT(LEFT(SUBSTITUTE(SUBSTITUTE(SUBSTITUTE(SUBSTITUTE(TRIM($AR942),"-",""),".",""),"/","")," ",""),8),4),--MID(LEFT(SUBSTITUTE(SUBSTITUTE(SUBSTITUTE(SUBSTITUTE(TRIM($AR942),"-",""),".",""),"/","")," ",""),8),5,2),--MID(LEFT(SUBSTITUTE(SUBSTITUTE(SUBSTITUTE(SUBSTITUTE(TRIM($AR942),"-",""),".",""),"/","")," ",""),8),7,2)),"")))</f>
        <v/>
      </c>
      <c r="AT942" s="23">
        <f>IF($AS942="","",IF($F$6="",0,IF(ISNUMBER(INDEX($A:$AP,ROW(),$F$6)),INDEX($A:$AP,ROW(),$F$6),IFERROR(--SUBSTITUTE(SUBSTITUTE(TRIM(INDEX($A:$AP,ROW(),$F$6)),",",""),"원",""),0))))</f>
        <v/>
      </c>
      <c r="AU942" s="23">
        <f>IF($AS942="","",IF($G$6="",0,IF(ISNUMBER(INDEX($A:$AP,ROW(),$G$6)),INDEX($A:$AP,ROW(),$G$6),IFERROR(--SUBSTITUTE(SUBSTITUTE(TRIM(INDEX($A:$AP,ROW(),$G$6)),",",""),"원",""),0))))</f>
        <v/>
      </c>
      <c r="AV942" s="23">
        <f>IF($AS942="","",IF($H$6="",$AT942+$AU942,IF($H$6="",0,IF(ISNUMBER(INDEX($A:$AP,ROW(),$H$6)),INDEX($A:$AP,ROW(),$H$6),IFERROR(--SUBSTITUTE(SUBSTITUTE(TRIM(INDEX($A:$AP,ROW(),$H$6)),",",""),"원",""),0)))))</f>
        <v/>
      </c>
      <c r="AW942" s="2">
        <f>IF(OR($AS942="",$C$6=""),"",TRIM(INDEX($A:$AP,ROW(),$C$6)&amp;""))</f>
        <v/>
      </c>
      <c r="AX942" s="2">
        <f>IF($AS942="","",IF($AZ942&lt;&gt;"",SUBSTITUTE(SUBSTITUTE($AZ942,"-","")," ",""),$AY942))</f>
        <v/>
      </c>
      <c r="AY942" s="2">
        <f>IF(OR($AS942="",$E$6=""),"",TRIM(INDEX($A:$AP,ROW(),$E$6)&amp;""))</f>
        <v/>
      </c>
      <c r="AZ942" s="2">
        <f>IF(OR($AS942="",$D$6=""),"",TRIM(INDEX($A:$AP,ROW(),$D$6)&amp;""))</f>
        <v/>
      </c>
      <c r="BA942" s="2">
        <f>IF($AS942="","",IF(AND($AS942&gt;=설정!$B$10,$AS942&lt;=설정!$B$11),"포함","기간 밖"))</f>
        <v/>
      </c>
      <c r="BB942" s="2">
        <f>IF($AS942="","",IF(OR($AT942&lt;0,AND($I$6&lt;&gt;"",ISNUMBER(FIND("수정",INDEX($A:$AP,ROW(),IF($I$6="",1,$I$6))&amp;"")))),"수정","일반"))</f>
        <v/>
      </c>
      <c r="BC942" s="2">
        <f>IF($AS942="","",MID(IF($BA942="기간 밖"," / 기간 밖(신고기간 아님)","")&amp;IF(AND($AW942&lt;&gt;"",COUNTIF($AW$8:$AW$1007,$AW942)&gt;1)," / 승인번호 중복(두 번 붙여넣기?)","")&amp;IF(ABS($AU942-ROUND($AT942*0.1,0))&gt;설정!$B$8,IF($AU942=0," / 세액 0원(영세율·면세 여부 확인)"," / 세액이 공급가액 10%와 다름"),"")&amp;IF($BB942="수정"," / 수정세금계산서(합계에서 자동 가감)",""),4,200))</f>
        <v/>
      </c>
      <c r="BD942" s="2">
        <f>IF($BA942&lt;&gt;"포함","",IF(COUNTIFS($AX$8:$AX942,$AX942,$BA$8:$BA942,"포함")=1,MAX($BD$7:BD941)+1,""))</f>
        <v/>
      </c>
      <c r="BE942" s="2">
        <f>IF($BC942="","",MAX($BE$7:BE941)+1)</f>
        <v/>
      </c>
    </row>
    <row r="943">
      <c r="AR943" s="2">
        <f>IF(OR($A$5="",$B$6="",ROW()&lt;$A$5),"",IF(INDEX($A:$AP,ROW(),$B$6)="","",INDEX($A:$AP,ROW(),$B$6)))</f>
        <v/>
      </c>
      <c r="AS943" s="22">
        <f>IF($AR943="","",IF(ISNUMBER($AR943),IF($AR943&gt;=10000000,IFERROR(DATE(INT($AR943/10000),MOD(INT($AR943/100),100),MOD($AR943,100)),""),INT($AR943)),IFERROR(DATE(--LEFT(LEFT(SUBSTITUTE(SUBSTITUTE(SUBSTITUTE(SUBSTITUTE(TRIM($AR943),"-",""),".",""),"/","")," ",""),8),4),--MID(LEFT(SUBSTITUTE(SUBSTITUTE(SUBSTITUTE(SUBSTITUTE(TRIM($AR943),"-",""),".",""),"/","")," ",""),8),5,2),--MID(LEFT(SUBSTITUTE(SUBSTITUTE(SUBSTITUTE(SUBSTITUTE(TRIM($AR943),"-",""),".",""),"/","")," ",""),8),7,2)),"")))</f>
        <v/>
      </c>
      <c r="AT943" s="23">
        <f>IF($AS943="","",IF($F$6="",0,IF(ISNUMBER(INDEX($A:$AP,ROW(),$F$6)),INDEX($A:$AP,ROW(),$F$6),IFERROR(--SUBSTITUTE(SUBSTITUTE(TRIM(INDEX($A:$AP,ROW(),$F$6)),",",""),"원",""),0))))</f>
        <v/>
      </c>
      <c r="AU943" s="23">
        <f>IF($AS943="","",IF($G$6="",0,IF(ISNUMBER(INDEX($A:$AP,ROW(),$G$6)),INDEX($A:$AP,ROW(),$G$6),IFERROR(--SUBSTITUTE(SUBSTITUTE(TRIM(INDEX($A:$AP,ROW(),$G$6)),",",""),"원",""),0))))</f>
        <v/>
      </c>
      <c r="AV943" s="23">
        <f>IF($AS943="","",IF($H$6="",$AT943+$AU943,IF($H$6="",0,IF(ISNUMBER(INDEX($A:$AP,ROW(),$H$6)),INDEX($A:$AP,ROW(),$H$6),IFERROR(--SUBSTITUTE(SUBSTITUTE(TRIM(INDEX($A:$AP,ROW(),$H$6)),",",""),"원",""),0)))))</f>
        <v/>
      </c>
      <c r="AW943" s="2">
        <f>IF(OR($AS943="",$C$6=""),"",TRIM(INDEX($A:$AP,ROW(),$C$6)&amp;""))</f>
        <v/>
      </c>
      <c r="AX943" s="2">
        <f>IF($AS943="","",IF($AZ943&lt;&gt;"",SUBSTITUTE(SUBSTITUTE($AZ943,"-","")," ",""),$AY943))</f>
        <v/>
      </c>
      <c r="AY943" s="2">
        <f>IF(OR($AS943="",$E$6=""),"",TRIM(INDEX($A:$AP,ROW(),$E$6)&amp;""))</f>
        <v/>
      </c>
      <c r="AZ943" s="2">
        <f>IF(OR($AS943="",$D$6=""),"",TRIM(INDEX($A:$AP,ROW(),$D$6)&amp;""))</f>
        <v/>
      </c>
      <c r="BA943" s="2">
        <f>IF($AS943="","",IF(AND($AS943&gt;=설정!$B$10,$AS943&lt;=설정!$B$11),"포함","기간 밖"))</f>
        <v/>
      </c>
      <c r="BB943" s="2">
        <f>IF($AS943="","",IF(OR($AT943&lt;0,AND($I$6&lt;&gt;"",ISNUMBER(FIND("수정",INDEX($A:$AP,ROW(),IF($I$6="",1,$I$6))&amp;"")))),"수정","일반"))</f>
        <v/>
      </c>
      <c r="BC943" s="2">
        <f>IF($AS943="","",MID(IF($BA943="기간 밖"," / 기간 밖(신고기간 아님)","")&amp;IF(AND($AW943&lt;&gt;"",COUNTIF($AW$8:$AW$1007,$AW943)&gt;1)," / 승인번호 중복(두 번 붙여넣기?)","")&amp;IF(ABS($AU943-ROUND($AT943*0.1,0))&gt;설정!$B$8,IF($AU943=0," / 세액 0원(영세율·면세 여부 확인)"," / 세액이 공급가액 10%와 다름"),"")&amp;IF($BB943="수정"," / 수정세금계산서(합계에서 자동 가감)",""),4,200))</f>
        <v/>
      </c>
      <c r="BD943" s="2">
        <f>IF($BA943&lt;&gt;"포함","",IF(COUNTIFS($AX$8:$AX943,$AX943,$BA$8:$BA943,"포함")=1,MAX($BD$7:BD942)+1,""))</f>
        <v/>
      </c>
      <c r="BE943" s="2">
        <f>IF($BC943="","",MAX($BE$7:BE942)+1)</f>
        <v/>
      </c>
    </row>
    <row r="944">
      <c r="AR944" s="2">
        <f>IF(OR($A$5="",$B$6="",ROW()&lt;$A$5),"",IF(INDEX($A:$AP,ROW(),$B$6)="","",INDEX($A:$AP,ROW(),$B$6)))</f>
        <v/>
      </c>
      <c r="AS944" s="22">
        <f>IF($AR944="","",IF(ISNUMBER($AR944),IF($AR944&gt;=10000000,IFERROR(DATE(INT($AR944/10000),MOD(INT($AR944/100),100),MOD($AR944,100)),""),INT($AR944)),IFERROR(DATE(--LEFT(LEFT(SUBSTITUTE(SUBSTITUTE(SUBSTITUTE(SUBSTITUTE(TRIM($AR944),"-",""),".",""),"/","")," ",""),8),4),--MID(LEFT(SUBSTITUTE(SUBSTITUTE(SUBSTITUTE(SUBSTITUTE(TRIM($AR944),"-",""),".",""),"/","")," ",""),8),5,2),--MID(LEFT(SUBSTITUTE(SUBSTITUTE(SUBSTITUTE(SUBSTITUTE(TRIM($AR944),"-",""),".",""),"/","")," ",""),8),7,2)),"")))</f>
        <v/>
      </c>
      <c r="AT944" s="23">
        <f>IF($AS944="","",IF($F$6="",0,IF(ISNUMBER(INDEX($A:$AP,ROW(),$F$6)),INDEX($A:$AP,ROW(),$F$6),IFERROR(--SUBSTITUTE(SUBSTITUTE(TRIM(INDEX($A:$AP,ROW(),$F$6)),",",""),"원",""),0))))</f>
        <v/>
      </c>
      <c r="AU944" s="23">
        <f>IF($AS944="","",IF($G$6="",0,IF(ISNUMBER(INDEX($A:$AP,ROW(),$G$6)),INDEX($A:$AP,ROW(),$G$6),IFERROR(--SUBSTITUTE(SUBSTITUTE(TRIM(INDEX($A:$AP,ROW(),$G$6)),",",""),"원",""),0))))</f>
        <v/>
      </c>
      <c r="AV944" s="23">
        <f>IF($AS944="","",IF($H$6="",$AT944+$AU944,IF($H$6="",0,IF(ISNUMBER(INDEX($A:$AP,ROW(),$H$6)),INDEX($A:$AP,ROW(),$H$6),IFERROR(--SUBSTITUTE(SUBSTITUTE(TRIM(INDEX($A:$AP,ROW(),$H$6)),",",""),"원",""),0)))))</f>
        <v/>
      </c>
      <c r="AW944" s="2">
        <f>IF(OR($AS944="",$C$6=""),"",TRIM(INDEX($A:$AP,ROW(),$C$6)&amp;""))</f>
        <v/>
      </c>
      <c r="AX944" s="2">
        <f>IF($AS944="","",IF($AZ944&lt;&gt;"",SUBSTITUTE(SUBSTITUTE($AZ944,"-","")," ",""),$AY944))</f>
        <v/>
      </c>
      <c r="AY944" s="2">
        <f>IF(OR($AS944="",$E$6=""),"",TRIM(INDEX($A:$AP,ROW(),$E$6)&amp;""))</f>
        <v/>
      </c>
      <c r="AZ944" s="2">
        <f>IF(OR($AS944="",$D$6=""),"",TRIM(INDEX($A:$AP,ROW(),$D$6)&amp;""))</f>
        <v/>
      </c>
      <c r="BA944" s="2">
        <f>IF($AS944="","",IF(AND($AS944&gt;=설정!$B$10,$AS944&lt;=설정!$B$11),"포함","기간 밖"))</f>
        <v/>
      </c>
      <c r="BB944" s="2">
        <f>IF($AS944="","",IF(OR($AT944&lt;0,AND($I$6&lt;&gt;"",ISNUMBER(FIND("수정",INDEX($A:$AP,ROW(),IF($I$6="",1,$I$6))&amp;"")))),"수정","일반"))</f>
        <v/>
      </c>
      <c r="BC944" s="2">
        <f>IF($AS944="","",MID(IF($BA944="기간 밖"," / 기간 밖(신고기간 아님)","")&amp;IF(AND($AW944&lt;&gt;"",COUNTIF($AW$8:$AW$1007,$AW944)&gt;1)," / 승인번호 중복(두 번 붙여넣기?)","")&amp;IF(ABS($AU944-ROUND($AT944*0.1,0))&gt;설정!$B$8,IF($AU944=0," / 세액 0원(영세율·면세 여부 확인)"," / 세액이 공급가액 10%와 다름"),"")&amp;IF($BB944="수정"," / 수정세금계산서(합계에서 자동 가감)",""),4,200))</f>
        <v/>
      </c>
      <c r="BD944" s="2">
        <f>IF($BA944&lt;&gt;"포함","",IF(COUNTIFS($AX$8:$AX944,$AX944,$BA$8:$BA944,"포함")=1,MAX($BD$7:BD943)+1,""))</f>
        <v/>
      </c>
      <c r="BE944" s="2">
        <f>IF($BC944="","",MAX($BE$7:BE943)+1)</f>
        <v/>
      </c>
    </row>
    <row r="945">
      <c r="AR945" s="2">
        <f>IF(OR($A$5="",$B$6="",ROW()&lt;$A$5),"",IF(INDEX($A:$AP,ROW(),$B$6)="","",INDEX($A:$AP,ROW(),$B$6)))</f>
        <v/>
      </c>
      <c r="AS945" s="22">
        <f>IF($AR945="","",IF(ISNUMBER($AR945),IF($AR945&gt;=10000000,IFERROR(DATE(INT($AR945/10000),MOD(INT($AR945/100),100),MOD($AR945,100)),""),INT($AR945)),IFERROR(DATE(--LEFT(LEFT(SUBSTITUTE(SUBSTITUTE(SUBSTITUTE(SUBSTITUTE(TRIM($AR945),"-",""),".",""),"/","")," ",""),8),4),--MID(LEFT(SUBSTITUTE(SUBSTITUTE(SUBSTITUTE(SUBSTITUTE(TRIM($AR945),"-",""),".",""),"/","")," ",""),8),5,2),--MID(LEFT(SUBSTITUTE(SUBSTITUTE(SUBSTITUTE(SUBSTITUTE(TRIM($AR945),"-",""),".",""),"/","")," ",""),8),7,2)),"")))</f>
        <v/>
      </c>
      <c r="AT945" s="23">
        <f>IF($AS945="","",IF($F$6="",0,IF(ISNUMBER(INDEX($A:$AP,ROW(),$F$6)),INDEX($A:$AP,ROW(),$F$6),IFERROR(--SUBSTITUTE(SUBSTITUTE(TRIM(INDEX($A:$AP,ROW(),$F$6)),",",""),"원",""),0))))</f>
        <v/>
      </c>
      <c r="AU945" s="23">
        <f>IF($AS945="","",IF($G$6="",0,IF(ISNUMBER(INDEX($A:$AP,ROW(),$G$6)),INDEX($A:$AP,ROW(),$G$6),IFERROR(--SUBSTITUTE(SUBSTITUTE(TRIM(INDEX($A:$AP,ROW(),$G$6)),",",""),"원",""),0))))</f>
        <v/>
      </c>
      <c r="AV945" s="23">
        <f>IF($AS945="","",IF($H$6="",$AT945+$AU945,IF($H$6="",0,IF(ISNUMBER(INDEX($A:$AP,ROW(),$H$6)),INDEX($A:$AP,ROW(),$H$6),IFERROR(--SUBSTITUTE(SUBSTITUTE(TRIM(INDEX($A:$AP,ROW(),$H$6)),",",""),"원",""),0)))))</f>
        <v/>
      </c>
      <c r="AW945" s="2">
        <f>IF(OR($AS945="",$C$6=""),"",TRIM(INDEX($A:$AP,ROW(),$C$6)&amp;""))</f>
        <v/>
      </c>
      <c r="AX945" s="2">
        <f>IF($AS945="","",IF($AZ945&lt;&gt;"",SUBSTITUTE(SUBSTITUTE($AZ945,"-","")," ",""),$AY945))</f>
        <v/>
      </c>
      <c r="AY945" s="2">
        <f>IF(OR($AS945="",$E$6=""),"",TRIM(INDEX($A:$AP,ROW(),$E$6)&amp;""))</f>
        <v/>
      </c>
      <c r="AZ945" s="2">
        <f>IF(OR($AS945="",$D$6=""),"",TRIM(INDEX($A:$AP,ROW(),$D$6)&amp;""))</f>
        <v/>
      </c>
      <c r="BA945" s="2">
        <f>IF($AS945="","",IF(AND($AS945&gt;=설정!$B$10,$AS945&lt;=설정!$B$11),"포함","기간 밖"))</f>
        <v/>
      </c>
      <c r="BB945" s="2">
        <f>IF($AS945="","",IF(OR($AT945&lt;0,AND($I$6&lt;&gt;"",ISNUMBER(FIND("수정",INDEX($A:$AP,ROW(),IF($I$6="",1,$I$6))&amp;"")))),"수정","일반"))</f>
        <v/>
      </c>
      <c r="BC945" s="2">
        <f>IF($AS945="","",MID(IF($BA945="기간 밖"," / 기간 밖(신고기간 아님)","")&amp;IF(AND($AW945&lt;&gt;"",COUNTIF($AW$8:$AW$1007,$AW945)&gt;1)," / 승인번호 중복(두 번 붙여넣기?)","")&amp;IF(ABS($AU945-ROUND($AT945*0.1,0))&gt;설정!$B$8,IF($AU945=0," / 세액 0원(영세율·면세 여부 확인)"," / 세액이 공급가액 10%와 다름"),"")&amp;IF($BB945="수정"," / 수정세금계산서(합계에서 자동 가감)",""),4,200))</f>
        <v/>
      </c>
      <c r="BD945" s="2">
        <f>IF($BA945&lt;&gt;"포함","",IF(COUNTIFS($AX$8:$AX945,$AX945,$BA$8:$BA945,"포함")=1,MAX($BD$7:BD944)+1,""))</f>
        <v/>
      </c>
      <c r="BE945" s="2">
        <f>IF($BC945="","",MAX($BE$7:BE944)+1)</f>
        <v/>
      </c>
    </row>
    <row r="946">
      <c r="AR946" s="2">
        <f>IF(OR($A$5="",$B$6="",ROW()&lt;$A$5),"",IF(INDEX($A:$AP,ROW(),$B$6)="","",INDEX($A:$AP,ROW(),$B$6)))</f>
        <v/>
      </c>
      <c r="AS946" s="22">
        <f>IF($AR946="","",IF(ISNUMBER($AR946),IF($AR946&gt;=10000000,IFERROR(DATE(INT($AR946/10000),MOD(INT($AR946/100),100),MOD($AR946,100)),""),INT($AR946)),IFERROR(DATE(--LEFT(LEFT(SUBSTITUTE(SUBSTITUTE(SUBSTITUTE(SUBSTITUTE(TRIM($AR946),"-",""),".",""),"/","")," ",""),8),4),--MID(LEFT(SUBSTITUTE(SUBSTITUTE(SUBSTITUTE(SUBSTITUTE(TRIM($AR946),"-",""),".",""),"/","")," ",""),8),5,2),--MID(LEFT(SUBSTITUTE(SUBSTITUTE(SUBSTITUTE(SUBSTITUTE(TRIM($AR946),"-",""),".",""),"/","")," ",""),8),7,2)),"")))</f>
        <v/>
      </c>
      <c r="AT946" s="23">
        <f>IF($AS946="","",IF($F$6="",0,IF(ISNUMBER(INDEX($A:$AP,ROW(),$F$6)),INDEX($A:$AP,ROW(),$F$6),IFERROR(--SUBSTITUTE(SUBSTITUTE(TRIM(INDEX($A:$AP,ROW(),$F$6)),",",""),"원",""),0))))</f>
        <v/>
      </c>
      <c r="AU946" s="23">
        <f>IF($AS946="","",IF($G$6="",0,IF(ISNUMBER(INDEX($A:$AP,ROW(),$G$6)),INDEX($A:$AP,ROW(),$G$6),IFERROR(--SUBSTITUTE(SUBSTITUTE(TRIM(INDEX($A:$AP,ROW(),$G$6)),",",""),"원",""),0))))</f>
        <v/>
      </c>
      <c r="AV946" s="23">
        <f>IF($AS946="","",IF($H$6="",$AT946+$AU946,IF($H$6="",0,IF(ISNUMBER(INDEX($A:$AP,ROW(),$H$6)),INDEX($A:$AP,ROW(),$H$6),IFERROR(--SUBSTITUTE(SUBSTITUTE(TRIM(INDEX($A:$AP,ROW(),$H$6)),",",""),"원",""),0)))))</f>
        <v/>
      </c>
      <c r="AW946" s="2">
        <f>IF(OR($AS946="",$C$6=""),"",TRIM(INDEX($A:$AP,ROW(),$C$6)&amp;""))</f>
        <v/>
      </c>
      <c r="AX946" s="2">
        <f>IF($AS946="","",IF($AZ946&lt;&gt;"",SUBSTITUTE(SUBSTITUTE($AZ946,"-","")," ",""),$AY946))</f>
        <v/>
      </c>
      <c r="AY946" s="2">
        <f>IF(OR($AS946="",$E$6=""),"",TRIM(INDEX($A:$AP,ROW(),$E$6)&amp;""))</f>
        <v/>
      </c>
      <c r="AZ946" s="2">
        <f>IF(OR($AS946="",$D$6=""),"",TRIM(INDEX($A:$AP,ROW(),$D$6)&amp;""))</f>
        <v/>
      </c>
      <c r="BA946" s="2">
        <f>IF($AS946="","",IF(AND($AS946&gt;=설정!$B$10,$AS946&lt;=설정!$B$11),"포함","기간 밖"))</f>
        <v/>
      </c>
      <c r="BB946" s="2">
        <f>IF($AS946="","",IF(OR($AT946&lt;0,AND($I$6&lt;&gt;"",ISNUMBER(FIND("수정",INDEX($A:$AP,ROW(),IF($I$6="",1,$I$6))&amp;"")))),"수정","일반"))</f>
        <v/>
      </c>
      <c r="BC946" s="2">
        <f>IF($AS946="","",MID(IF($BA946="기간 밖"," / 기간 밖(신고기간 아님)","")&amp;IF(AND($AW946&lt;&gt;"",COUNTIF($AW$8:$AW$1007,$AW946)&gt;1)," / 승인번호 중복(두 번 붙여넣기?)","")&amp;IF(ABS($AU946-ROUND($AT946*0.1,0))&gt;설정!$B$8,IF($AU946=0," / 세액 0원(영세율·면세 여부 확인)"," / 세액이 공급가액 10%와 다름"),"")&amp;IF($BB946="수정"," / 수정세금계산서(합계에서 자동 가감)",""),4,200))</f>
        <v/>
      </c>
      <c r="BD946" s="2">
        <f>IF($BA946&lt;&gt;"포함","",IF(COUNTIFS($AX$8:$AX946,$AX946,$BA$8:$BA946,"포함")=1,MAX($BD$7:BD945)+1,""))</f>
        <v/>
      </c>
      <c r="BE946" s="2">
        <f>IF($BC946="","",MAX($BE$7:BE945)+1)</f>
        <v/>
      </c>
    </row>
    <row r="947">
      <c r="AR947" s="2">
        <f>IF(OR($A$5="",$B$6="",ROW()&lt;$A$5),"",IF(INDEX($A:$AP,ROW(),$B$6)="","",INDEX($A:$AP,ROW(),$B$6)))</f>
        <v/>
      </c>
      <c r="AS947" s="22">
        <f>IF($AR947="","",IF(ISNUMBER($AR947),IF($AR947&gt;=10000000,IFERROR(DATE(INT($AR947/10000),MOD(INT($AR947/100),100),MOD($AR947,100)),""),INT($AR947)),IFERROR(DATE(--LEFT(LEFT(SUBSTITUTE(SUBSTITUTE(SUBSTITUTE(SUBSTITUTE(TRIM($AR947),"-",""),".",""),"/","")," ",""),8),4),--MID(LEFT(SUBSTITUTE(SUBSTITUTE(SUBSTITUTE(SUBSTITUTE(TRIM($AR947),"-",""),".",""),"/","")," ",""),8),5,2),--MID(LEFT(SUBSTITUTE(SUBSTITUTE(SUBSTITUTE(SUBSTITUTE(TRIM($AR947),"-",""),".",""),"/","")," ",""),8),7,2)),"")))</f>
        <v/>
      </c>
      <c r="AT947" s="23">
        <f>IF($AS947="","",IF($F$6="",0,IF(ISNUMBER(INDEX($A:$AP,ROW(),$F$6)),INDEX($A:$AP,ROW(),$F$6),IFERROR(--SUBSTITUTE(SUBSTITUTE(TRIM(INDEX($A:$AP,ROW(),$F$6)),",",""),"원",""),0))))</f>
        <v/>
      </c>
      <c r="AU947" s="23">
        <f>IF($AS947="","",IF($G$6="",0,IF(ISNUMBER(INDEX($A:$AP,ROW(),$G$6)),INDEX($A:$AP,ROW(),$G$6),IFERROR(--SUBSTITUTE(SUBSTITUTE(TRIM(INDEX($A:$AP,ROW(),$G$6)),",",""),"원",""),0))))</f>
        <v/>
      </c>
      <c r="AV947" s="23">
        <f>IF($AS947="","",IF($H$6="",$AT947+$AU947,IF($H$6="",0,IF(ISNUMBER(INDEX($A:$AP,ROW(),$H$6)),INDEX($A:$AP,ROW(),$H$6),IFERROR(--SUBSTITUTE(SUBSTITUTE(TRIM(INDEX($A:$AP,ROW(),$H$6)),",",""),"원",""),0)))))</f>
        <v/>
      </c>
      <c r="AW947" s="2">
        <f>IF(OR($AS947="",$C$6=""),"",TRIM(INDEX($A:$AP,ROW(),$C$6)&amp;""))</f>
        <v/>
      </c>
      <c r="AX947" s="2">
        <f>IF($AS947="","",IF($AZ947&lt;&gt;"",SUBSTITUTE(SUBSTITUTE($AZ947,"-","")," ",""),$AY947))</f>
        <v/>
      </c>
      <c r="AY947" s="2">
        <f>IF(OR($AS947="",$E$6=""),"",TRIM(INDEX($A:$AP,ROW(),$E$6)&amp;""))</f>
        <v/>
      </c>
      <c r="AZ947" s="2">
        <f>IF(OR($AS947="",$D$6=""),"",TRIM(INDEX($A:$AP,ROW(),$D$6)&amp;""))</f>
        <v/>
      </c>
      <c r="BA947" s="2">
        <f>IF($AS947="","",IF(AND($AS947&gt;=설정!$B$10,$AS947&lt;=설정!$B$11),"포함","기간 밖"))</f>
        <v/>
      </c>
      <c r="BB947" s="2">
        <f>IF($AS947="","",IF(OR($AT947&lt;0,AND($I$6&lt;&gt;"",ISNUMBER(FIND("수정",INDEX($A:$AP,ROW(),IF($I$6="",1,$I$6))&amp;"")))),"수정","일반"))</f>
        <v/>
      </c>
      <c r="BC947" s="2">
        <f>IF($AS947="","",MID(IF($BA947="기간 밖"," / 기간 밖(신고기간 아님)","")&amp;IF(AND($AW947&lt;&gt;"",COUNTIF($AW$8:$AW$1007,$AW947)&gt;1)," / 승인번호 중복(두 번 붙여넣기?)","")&amp;IF(ABS($AU947-ROUND($AT947*0.1,0))&gt;설정!$B$8,IF($AU947=0," / 세액 0원(영세율·면세 여부 확인)"," / 세액이 공급가액 10%와 다름"),"")&amp;IF($BB947="수정"," / 수정세금계산서(합계에서 자동 가감)",""),4,200))</f>
        <v/>
      </c>
      <c r="BD947" s="2">
        <f>IF($BA947&lt;&gt;"포함","",IF(COUNTIFS($AX$8:$AX947,$AX947,$BA$8:$BA947,"포함")=1,MAX($BD$7:BD946)+1,""))</f>
        <v/>
      </c>
      <c r="BE947" s="2">
        <f>IF($BC947="","",MAX($BE$7:BE946)+1)</f>
        <v/>
      </c>
    </row>
    <row r="948">
      <c r="AR948" s="2">
        <f>IF(OR($A$5="",$B$6="",ROW()&lt;$A$5),"",IF(INDEX($A:$AP,ROW(),$B$6)="","",INDEX($A:$AP,ROW(),$B$6)))</f>
        <v/>
      </c>
      <c r="AS948" s="22">
        <f>IF($AR948="","",IF(ISNUMBER($AR948),IF($AR948&gt;=10000000,IFERROR(DATE(INT($AR948/10000),MOD(INT($AR948/100),100),MOD($AR948,100)),""),INT($AR948)),IFERROR(DATE(--LEFT(LEFT(SUBSTITUTE(SUBSTITUTE(SUBSTITUTE(SUBSTITUTE(TRIM($AR948),"-",""),".",""),"/","")," ",""),8),4),--MID(LEFT(SUBSTITUTE(SUBSTITUTE(SUBSTITUTE(SUBSTITUTE(TRIM($AR948),"-",""),".",""),"/","")," ",""),8),5,2),--MID(LEFT(SUBSTITUTE(SUBSTITUTE(SUBSTITUTE(SUBSTITUTE(TRIM($AR948),"-",""),".",""),"/","")," ",""),8),7,2)),"")))</f>
        <v/>
      </c>
      <c r="AT948" s="23">
        <f>IF($AS948="","",IF($F$6="",0,IF(ISNUMBER(INDEX($A:$AP,ROW(),$F$6)),INDEX($A:$AP,ROW(),$F$6),IFERROR(--SUBSTITUTE(SUBSTITUTE(TRIM(INDEX($A:$AP,ROW(),$F$6)),",",""),"원",""),0))))</f>
        <v/>
      </c>
      <c r="AU948" s="23">
        <f>IF($AS948="","",IF($G$6="",0,IF(ISNUMBER(INDEX($A:$AP,ROW(),$G$6)),INDEX($A:$AP,ROW(),$G$6),IFERROR(--SUBSTITUTE(SUBSTITUTE(TRIM(INDEX($A:$AP,ROW(),$G$6)),",",""),"원",""),0))))</f>
        <v/>
      </c>
      <c r="AV948" s="23">
        <f>IF($AS948="","",IF($H$6="",$AT948+$AU948,IF($H$6="",0,IF(ISNUMBER(INDEX($A:$AP,ROW(),$H$6)),INDEX($A:$AP,ROW(),$H$6),IFERROR(--SUBSTITUTE(SUBSTITUTE(TRIM(INDEX($A:$AP,ROW(),$H$6)),",",""),"원",""),0)))))</f>
        <v/>
      </c>
      <c r="AW948" s="2">
        <f>IF(OR($AS948="",$C$6=""),"",TRIM(INDEX($A:$AP,ROW(),$C$6)&amp;""))</f>
        <v/>
      </c>
      <c r="AX948" s="2">
        <f>IF($AS948="","",IF($AZ948&lt;&gt;"",SUBSTITUTE(SUBSTITUTE($AZ948,"-","")," ",""),$AY948))</f>
        <v/>
      </c>
      <c r="AY948" s="2">
        <f>IF(OR($AS948="",$E$6=""),"",TRIM(INDEX($A:$AP,ROW(),$E$6)&amp;""))</f>
        <v/>
      </c>
      <c r="AZ948" s="2">
        <f>IF(OR($AS948="",$D$6=""),"",TRIM(INDEX($A:$AP,ROW(),$D$6)&amp;""))</f>
        <v/>
      </c>
      <c r="BA948" s="2">
        <f>IF($AS948="","",IF(AND($AS948&gt;=설정!$B$10,$AS948&lt;=설정!$B$11),"포함","기간 밖"))</f>
        <v/>
      </c>
      <c r="BB948" s="2">
        <f>IF($AS948="","",IF(OR($AT948&lt;0,AND($I$6&lt;&gt;"",ISNUMBER(FIND("수정",INDEX($A:$AP,ROW(),IF($I$6="",1,$I$6))&amp;"")))),"수정","일반"))</f>
        <v/>
      </c>
      <c r="BC948" s="2">
        <f>IF($AS948="","",MID(IF($BA948="기간 밖"," / 기간 밖(신고기간 아님)","")&amp;IF(AND($AW948&lt;&gt;"",COUNTIF($AW$8:$AW$1007,$AW948)&gt;1)," / 승인번호 중복(두 번 붙여넣기?)","")&amp;IF(ABS($AU948-ROUND($AT948*0.1,0))&gt;설정!$B$8,IF($AU948=0," / 세액 0원(영세율·면세 여부 확인)"," / 세액이 공급가액 10%와 다름"),"")&amp;IF($BB948="수정"," / 수정세금계산서(합계에서 자동 가감)",""),4,200))</f>
        <v/>
      </c>
      <c r="BD948" s="2">
        <f>IF($BA948&lt;&gt;"포함","",IF(COUNTIFS($AX$8:$AX948,$AX948,$BA$8:$BA948,"포함")=1,MAX($BD$7:BD947)+1,""))</f>
        <v/>
      </c>
      <c r="BE948" s="2">
        <f>IF($BC948="","",MAX($BE$7:BE947)+1)</f>
        <v/>
      </c>
    </row>
    <row r="949">
      <c r="AR949" s="2">
        <f>IF(OR($A$5="",$B$6="",ROW()&lt;$A$5),"",IF(INDEX($A:$AP,ROW(),$B$6)="","",INDEX($A:$AP,ROW(),$B$6)))</f>
        <v/>
      </c>
      <c r="AS949" s="22">
        <f>IF($AR949="","",IF(ISNUMBER($AR949),IF($AR949&gt;=10000000,IFERROR(DATE(INT($AR949/10000),MOD(INT($AR949/100),100),MOD($AR949,100)),""),INT($AR949)),IFERROR(DATE(--LEFT(LEFT(SUBSTITUTE(SUBSTITUTE(SUBSTITUTE(SUBSTITUTE(TRIM($AR949),"-",""),".",""),"/","")," ",""),8),4),--MID(LEFT(SUBSTITUTE(SUBSTITUTE(SUBSTITUTE(SUBSTITUTE(TRIM($AR949),"-",""),".",""),"/","")," ",""),8),5,2),--MID(LEFT(SUBSTITUTE(SUBSTITUTE(SUBSTITUTE(SUBSTITUTE(TRIM($AR949),"-",""),".",""),"/","")," ",""),8),7,2)),"")))</f>
        <v/>
      </c>
      <c r="AT949" s="23">
        <f>IF($AS949="","",IF($F$6="",0,IF(ISNUMBER(INDEX($A:$AP,ROW(),$F$6)),INDEX($A:$AP,ROW(),$F$6),IFERROR(--SUBSTITUTE(SUBSTITUTE(TRIM(INDEX($A:$AP,ROW(),$F$6)),",",""),"원",""),0))))</f>
        <v/>
      </c>
      <c r="AU949" s="23">
        <f>IF($AS949="","",IF($G$6="",0,IF(ISNUMBER(INDEX($A:$AP,ROW(),$G$6)),INDEX($A:$AP,ROW(),$G$6),IFERROR(--SUBSTITUTE(SUBSTITUTE(TRIM(INDEX($A:$AP,ROW(),$G$6)),",",""),"원",""),0))))</f>
        <v/>
      </c>
      <c r="AV949" s="23">
        <f>IF($AS949="","",IF($H$6="",$AT949+$AU949,IF($H$6="",0,IF(ISNUMBER(INDEX($A:$AP,ROW(),$H$6)),INDEX($A:$AP,ROW(),$H$6),IFERROR(--SUBSTITUTE(SUBSTITUTE(TRIM(INDEX($A:$AP,ROW(),$H$6)),",",""),"원",""),0)))))</f>
        <v/>
      </c>
      <c r="AW949" s="2">
        <f>IF(OR($AS949="",$C$6=""),"",TRIM(INDEX($A:$AP,ROW(),$C$6)&amp;""))</f>
        <v/>
      </c>
      <c r="AX949" s="2">
        <f>IF($AS949="","",IF($AZ949&lt;&gt;"",SUBSTITUTE(SUBSTITUTE($AZ949,"-","")," ",""),$AY949))</f>
        <v/>
      </c>
      <c r="AY949" s="2">
        <f>IF(OR($AS949="",$E$6=""),"",TRIM(INDEX($A:$AP,ROW(),$E$6)&amp;""))</f>
        <v/>
      </c>
      <c r="AZ949" s="2">
        <f>IF(OR($AS949="",$D$6=""),"",TRIM(INDEX($A:$AP,ROW(),$D$6)&amp;""))</f>
        <v/>
      </c>
      <c r="BA949" s="2">
        <f>IF($AS949="","",IF(AND($AS949&gt;=설정!$B$10,$AS949&lt;=설정!$B$11),"포함","기간 밖"))</f>
        <v/>
      </c>
      <c r="BB949" s="2">
        <f>IF($AS949="","",IF(OR($AT949&lt;0,AND($I$6&lt;&gt;"",ISNUMBER(FIND("수정",INDEX($A:$AP,ROW(),IF($I$6="",1,$I$6))&amp;"")))),"수정","일반"))</f>
        <v/>
      </c>
      <c r="BC949" s="2">
        <f>IF($AS949="","",MID(IF($BA949="기간 밖"," / 기간 밖(신고기간 아님)","")&amp;IF(AND($AW949&lt;&gt;"",COUNTIF($AW$8:$AW$1007,$AW949)&gt;1)," / 승인번호 중복(두 번 붙여넣기?)","")&amp;IF(ABS($AU949-ROUND($AT949*0.1,0))&gt;설정!$B$8,IF($AU949=0," / 세액 0원(영세율·면세 여부 확인)"," / 세액이 공급가액 10%와 다름"),"")&amp;IF($BB949="수정"," / 수정세금계산서(합계에서 자동 가감)",""),4,200))</f>
        <v/>
      </c>
      <c r="BD949" s="2">
        <f>IF($BA949&lt;&gt;"포함","",IF(COUNTIFS($AX$8:$AX949,$AX949,$BA$8:$BA949,"포함")=1,MAX($BD$7:BD948)+1,""))</f>
        <v/>
      </c>
      <c r="BE949" s="2">
        <f>IF($BC949="","",MAX($BE$7:BE948)+1)</f>
        <v/>
      </c>
    </row>
    <row r="950">
      <c r="AR950" s="2">
        <f>IF(OR($A$5="",$B$6="",ROW()&lt;$A$5),"",IF(INDEX($A:$AP,ROW(),$B$6)="","",INDEX($A:$AP,ROW(),$B$6)))</f>
        <v/>
      </c>
      <c r="AS950" s="22">
        <f>IF($AR950="","",IF(ISNUMBER($AR950),IF($AR950&gt;=10000000,IFERROR(DATE(INT($AR950/10000),MOD(INT($AR950/100),100),MOD($AR950,100)),""),INT($AR950)),IFERROR(DATE(--LEFT(LEFT(SUBSTITUTE(SUBSTITUTE(SUBSTITUTE(SUBSTITUTE(TRIM($AR950),"-",""),".",""),"/","")," ",""),8),4),--MID(LEFT(SUBSTITUTE(SUBSTITUTE(SUBSTITUTE(SUBSTITUTE(TRIM($AR950),"-",""),".",""),"/","")," ",""),8),5,2),--MID(LEFT(SUBSTITUTE(SUBSTITUTE(SUBSTITUTE(SUBSTITUTE(TRIM($AR950),"-",""),".",""),"/","")," ",""),8),7,2)),"")))</f>
        <v/>
      </c>
      <c r="AT950" s="23">
        <f>IF($AS950="","",IF($F$6="",0,IF(ISNUMBER(INDEX($A:$AP,ROW(),$F$6)),INDEX($A:$AP,ROW(),$F$6),IFERROR(--SUBSTITUTE(SUBSTITUTE(TRIM(INDEX($A:$AP,ROW(),$F$6)),",",""),"원",""),0))))</f>
        <v/>
      </c>
      <c r="AU950" s="23">
        <f>IF($AS950="","",IF($G$6="",0,IF(ISNUMBER(INDEX($A:$AP,ROW(),$G$6)),INDEX($A:$AP,ROW(),$G$6),IFERROR(--SUBSTITUTE(SUBSTITUTE(TRIM(INDEX($A:$AP,ROW(),$G$6)),",",""),"원",""),0))))</f>
        <v/>
      </c>
      <c r="AV950" s="23">
        <f>IF($AS950="","",IF($H$6="",$AT950+$AU950,IF($H$6="",0,IF(ISNUMBER(INDEX($A:$AP,ROW(),$H$6)),INDEX($A:$AP,ROW(),$H$6),IFERROR(--SUBSTITUTE(SUBSTITUTE(TRIM(INDEX($A:$AP,ROW(),$H$6)),",",""),"원",""),0)))))</f>
        <v/>
      </c>
      <c r="AW950" s="2">
        <f>IF(OR($AS950="",$C$6=""),"",TRIM(INDEX($A:$AP,ROW(),$C$6)&amp;""))</f>
        <v/>
      </c>
      <c r="AX950" s="2">
        <f>IF($AS950="","",IF($AZ950&lt;&gt;"",SUBSTITUTE(SUBSTITUTE($AZ950,"-","")," ",""),$AY950))</f>
        <v/>
      </c>
      <c r="AY950" s="2">
        <f>IF(OR($AS950="",$E$6=""),"",TRIM(INDEX($A:$AP,ROW(),$E$6)&amp;""))</f>
        <v/>
      </c>
      <c r="AZ950" s="2">
        <f>IF(OR($AS950="",$D$6=""),"",TRIM(INDEX($A:$AP,ROW(),$D$6)&amp;""))</f>
        <v/>
      </c>
      <c r="BA950" s="2">
        <f>IF($AS950="","",IF(AND($AS950&gt;=설정!$B$10,$AS950&lt;=설정!$B$11),"포함","기간 밖"))</f>
        <v/>
      </c>
      <c r="BB950" s="2">
        <f>IF($AS950="","",IF(OR($AT950&lt;0,AND($I$6&lt;&gt;"",ISNUMBER(FIND("수정",INDEX($A:$AP,ROW(),IF($I$6="",1,$I$6))&amp;"")))),"수정","일반"))</f>
        <v/>
      </c>
      <c r="BC950" s="2">
        <f>IF($AS950="","",MID(IF($BA950="기간 밖"," / 기간 밖(신고기간 아님)","")&amp;IF(AND($AW950&lt;&gt;"",COUNTIF($AW$8:$AW$1007,$AW950)&gt;1)," / 승인번호 중복(두 번 붙여넣기?)","")&amp;IF(ABS($AU950-ROUND($AT950*0.1,0))&gt;설정!$B$8,IF($AU950=0," / 세액 0원(영세율·면세 여부 확인)"," / 세액이 공급가액 10%와 다름"),"")&amp;IF($BB950="수정"," / 수정세금계산서(합계에서 자동 가감)",""),4,200))</f>
        <v/>
      </c>
      <c r="BD950" s="2">
        <f>IF($BA950&lt;&gt;"포함","",IF(COUNTIFS($AX$8:$AX950,$AX950,$BA$8:$BA950,"포함")=1,MAX($BD$7:BD949)+1,""))</f>
        <v/>
      </c>
      <c r="BE950" s="2">
        <f>IF($BC950="","",MAX($BE$7:BE949)+1)</f>
        <v/>
      </c>
    </row>
    <row r="951">
      <c r="AR951" s="2">
        <f>IF(OR($A$5="",$B$6="",ROW()&lt;$A$5),"",IF(INDEX($A:$AP,ROW(),$B$6)="","",INDEX($A:$AP,ROW(),$B$6)))</f>
        <v/>
      </c>
      <c r="AS951" s="22">
        <f>IF($AR951="","",IF(ISNUMBER($AR951),IF($AR951&gt;=10000000,IFERROR(DATE(INT($AR951/10000),MOD(INT($AR951/100),100),MOD($AR951,100)),""),INT($AR951)),IFERROR(DATE(--LEFT(LEFT(SUBSTITUTE(SUBSTITUTE(SUBSTITUTE(SUBSTITUTE(TRIM($AR951),"-",""),".",""),"/","")," ",""),8),4),--MID(LEFT(SUBSTITUTE(SUBSTITUTE(SUBSTITUTE(SUBSTITUTE(TRIM($AR951),"-",""),".",""),"/","")," ",""),8),5,2),--MID(LEFT(SUBSTITUTE(SUBSTITUTE(SUBSTITUTE(SUBSTITUTE(TRIM($AR951),"-",""),".",""),"/","")," ",""),8),7,2)),"")))</f>
        <v/>
      </c>
      <c r="AT951" s="23">
        <f>IF($AS951="","",IF($F$6="",0,IF(ISNUMBER(INDEX($A:$AP,ROW(),$F$6)),INDEX($A:$AP,ROW(),$F$6),IFERROR(--SUBSTITUTE(SUBSTITUTE(TRIM(INDEX($A:$AP,ROW(),$F$6)),",",""),"원",""),0))))</f>
        <v/>
      </c>
      <c r="AU951" s="23">
        <f>IF($AS951="","",IF($G$6="",0,IF(ISNUMBER(INDEX($A:$AP,ROW(),$G$6)),INDEX($A:$AP,ROW(),$G$6),IFERROR(--SUBSTITUTE(SUBSTITUTE(TRIM(INDEX($A:$AP,ROW(),$G$6)),",",""),"원",""),0))))</f>
        <v/>
      </c>
      <c r="AV951" s="23">
        <f>IF($AS951="","",IF($H$6="",$AT951+$AU951,IF($H$6="",0,IF(ISNUMBER(INDEX($A:$AP,ROW(),$H$6)),INDEX($A:$AP,ROW(),$H$6),IFERROR(--SUBSTITUTE(SUBSTITUTE(TRIM(INDEX($A:$AP,ROW(),$H$6)),",",""),"원",""),0)))))</f>
        <v/>
      </c>
      <c r="AW951" s="2">
        <f>IF(OR($AS951="",$C$6=""),"",TRIM(INDEX($A:$AP,ROW(),$C$6)&amp;""))</f>
        <v/>
      </c>
      <c r="AX951" s="2">
        <f>IF($AS951="","",IF($AZ951&lt;&gt;"",SUBSTITUTE(SUBSTITUTE($AZ951,"-","")," ",""),$AY951))</f>
        <v/>
      </c>
      <c r="AY951" s="2">
        <f>IF(OR($AS951="",$E$6=""),"",TRIM(INDEX($A:$AP,ROW(),$E$6)&amp;""))</f>
        <v/>
      </c>
      <c r="AZ951" s="2">
        <f>IF(OR($AS951="",$D$6=""),"",TRIM(INDEX($A:$AP,ROW(),$D$6)&amp;""))</f>
        <v/>
      </c>
      <c r="BA951" s="2">
        <f>IF($AS951="","",IF(AND($AS951&gt;=설정!$B$10,$AS951&lt;=설정!$B$11),"포함","기간 밖"))</f>
        <v/>
      </c>
      <c r="BB951" s="2">
        <f>IF($AS951="","",IF(OR($AT951&lt;0,AND($I$6&lt;&gt;"",ISNUMBER(FIND("수정",INDEX($A:$AP,ROW(),IF($I$6="",1,$I$6))&amp;"")))),"수정","일반"))</f>
        <v/>
      </c>
      <c r="BC951" s="2">
        <f>IF($AS951="","",MID(IF($BA951="기간 밖"," / 기간 밖(신고기간 아님)","")&amp;IF(AND($AW951&lt;&gt;"",COUNTIF($AW$8:$AW$1007,$AW951)&gt;1)," / 승인번호 중복(두 번 붙여넣기?)","")&amp;IF(ABS($AU951-ROUND($AT951*0.1,0))&gt;설정!$B$8,IF($AU951=0," / 세액 0원(영세율·면세 여부 확인)"," / 세액이 공급가액 10%와 다름"),"")&amp;IF($BB951="수정"," / 수정세금계산서(합계에서 자동 가감)",""),4,200))</f>
        <v/>
      </c>
      <c r="BD951" s="2">
        <f>IF($BA951&lt;&gt;"포함","",IF(COUNTIFS($AX$8:$AX951,$AX951,$BA$8:$BA951,"포함")=1,MAX($BD$7:BD950)+1,""))</f>
        <v/>
      </c>
      <c r="BE951" s="2">
        <f>IF($BC951="","",MAX($BE$7:BE950)+1)</f>
        <v/>
      </c>
    </row>
    <row r="952">
      <c r="AR952" s="2">
        <f>IF(OR($A$5="",$B$6="",ROW()&lt;$A$5),"",IF(INDEX($A:$AP,ROW(),$B$6)="","",INDEX($A:$AP,ROW(),$B$6)))</f>
        <v/>
      </c>
      <c r="AS952" s="22">
        <f>IF($AR952="","",IF(ISNUMBER($AR952),IF($AR952&gt;=10000000,IFERROR(DATE(INT($AR952/10000),MOD(INT($AR952/100),100),MOD($AR952,100)),""),INT($AR952)),IFERROR(DATE(--LEFT(LEFT(SUBSTITUTE(SUBSTITUTE(SUBSTITUTE(SUBSTITUTE(TRIM($AR952),"-",""),".",""),"/","")," ",""),8),4),--MID(LEFT(SUBSTITUTE(SUBSTITUTE(SUBSTITUTE(SUBSTITUTE(TRIM($AR952),"-",""),".",""),"/","")," ",""),8),5,2),--MID(LEFT(SUBSTITUTE(SUBSTITUTE(SUBSTITUTE(SUBSTITUTE(TRIM($AR952),"-",""),".",""),"/","")," ",""),8),7,2)),"")))</f>
        <v/>
      </c>
      <c r="AT952" s="23">
        <f>IF($AS952="","",IF($F$6="",0,IF(ISNUMBER(INDEX($A:$AP,ROW(),$F$6)),INDEX($A:$AP,ROW(),$F$6),IFERROR(--SUBSTITUTE(SUBSTITUTE(TRIM(INDEX($A:$AP,ROW(),$F$6)),",",""),"원",""),0))))</f>
        <v/>
      </c>
      <c r="AU952" s="23">
        <f>IF($AS952="","",IF($G$6="",0,IF(ISNUMBER(INDEX($A:$AP,ROW(),$G$6)),INDEX($A:$AP,ROW(),$G$6),IFERROR(--SUBSTITUTE(SUBSTITUTE(TRIM(INDEX($A:$AP,ROW(),$G$6)),",",""),"원",""),0))))</f>
        <v/>
      </c>
      <c r="AV952" s="23">
        <f>IF($AS952="","",IF($H$6="",$AT952+$AU952,IF($H$6="",0,IF(ISNUMBER(INDEX($A:$AP,ROW(),$H$6)),INDEX($A:$AP,ROW(),$H$6),IFERROR(--SUBSTITUTE(SUBSTITUTE(TRIM(INDEX($A:$AP,ROW(),$H$6)),",",""),"원",""),0)))))</f>
        <v/>
      </c>
      <c r="AW952" s="2">
        <f>IF(OR($AS952="",$C$6=""),"",TRIM(INDEX($A:$AP,ROW(),$C$6)&amp;""))</f>
        <v/>
      </c>
      <c r="AX952" s="2">
        <f>IF($AS952="","",IF($AZ952&lt;&gt;"",SUBSTITUTE(SUBSTITUTE($AZ952,"-","")," ",""),$AY952))</f>
        <v/>
      </c>
      <c r="AY952" s="2">
        <f>IF(OR($AS952="",$E$6=""),"",TRIM(INDEX($A:$AP,ROW(),$E$6)&amp;""))</f>
        <v/>
      </c>
      <c r="AZ952" s="2">
        <f>IF(OR($AS952="",$D$6=""),"",TRIM(INDEX($A:$AP,ROW(),$D$6)&amp;""))</f>
        <v/>
      </c>
      <c r="BA952" s="2">
        <f>IF($AS952="","",IF(AND($AS952&gt;=설정!$B$10,$AS952&lt;=설정!$B$11),"포함","기간 밖"))</f>
        <v/>
      </c>
      <c r="BB952" s="2">
        <f>IF($AS952="","",IF(OR($AT952&lt;0,AND($I$6&lt;&gt;"",ISNUMBER(FIND("수정",INDEX($A:$AP,ROW(),IF($I$6="",1,$I$6))&amp;"")))),"수정","일반"))</f>
        <v/>
      </c>
      <c r="BC952" s="2">
        <f>IF($AS952="","",MID(IF($BA952="기간 밖"," / 기간 밖(신고기간 아님)","")&amp;IF(AND($AW952&lt;&gt;"",COUNTIF($AW$8:$AW$1007,$AW952)&gt;1)," / 승인번호 중복(두 번 붙여넣기?)","")&amp;IF(ABS($AU952-ROUND($AT952*0.1,0))&gt;설정!$B$8,IF($AU952=0," / 세액 0원(영세율·면세 여부 확인)"," / 세액이 공급가액 10%와 다름"),"")&amp;IF($BB952="수정"," / 수정세금계산서(합계에서 자동 가감)",""),4,200))</f>
        <v/>
      </c>
      <c r="BD952" s="2">
        <f>IF($BA952&lt;&gt;"포함","",IF(COUNTIFS($AX$8:$AX952,$AX952,$BA$8:$BA952,"포함")=1,MAX($BD$7:BD951)+1,""))</f>
        <v/>
      </c>
      <c r="BE952" s="2">
        <f>IF($BC952="","",MAX($BE$7:BE951)+1)</f>
        <v/>
      </c>
    </row>
    <row r="953">
      <c r="AR953" s="2">
        <f>IF(OR($A$5="",$B$6="",ROW()&lt;$A$5),"",IF(INDEX($A:$AP,ROW(),$B$6)="","",INDEX($A:$AP,ROW(),$B$6)))</f>
        <v/>
      </c>
      <c r="AS953" s="22">
        <f>IF($AR953="","",IF(ISNUMBER($AR953),IF($AR953&gt;=10000000,IFERROR(DATE(INT($AR953/10000),MOD(INT($AR953/100),100),MOD($AR953,100)),""),INT($AR953)),IFERROR(DATE(--LEFT(LEFT(SUBSTITUTE(SUBSTITUTE(SUBSTITUTE(SUBSTITUTE(TRIM($AR953),"-",""),".",""),"/","")," ",""),8),4),--MID(LEFT(SUBSTITUTE(SUBSTITUTE(SUBSTITUTE(SUBSTITUTE(TRIM($AR953),"-",""),".",""),"/","")," ",""),8),5,2),--MID(LEFT(SUBSTITUTE(SUBSTITUTE(SUBSTITUTE(SUBSTITUTE(TRIM($AR953),"-",""),".",""),"/","")," ",""),8),7,2)),"")))</f>
        <v/>
      </c>
      <c r="AT953" s="23">
        <f>IF($AS953="","",IF($F$6="",0,IF(ISNUMBER(INDEX($A:$AP,ROW(),$F$6)),INDEX($A:$AP,ROW(),$F$6),IFERROR(--SUBSTITUTE(SUBSTITUTE(TRIM(INDEX($A:$AP,ROW(),$F$6)),",",""),"원",""),0))))</f>
        <v/>
      </c>
      <c r="AU953" s="23">
        <f>IF($AS953="","",IF($G$6="",0,IF(ISNUMBER(INDEX($A:$AP,ROW(),$G$6)),INDEX($A:$AP,ROW(),$G$6),IFERROR(--SUBSTITUTE(SUBSTITUTE(TRIM(INDEX($A:$AP,ROW(),$G$6)),",",""),"원",""),0))))</f>
        <v/>
      </c>
      <c r="AV953" s="23">
        <f>IF($AS953="","",IF($H$6="",$AT953+$AU953,IF($H$6="",0,IF(ISNUMBER(INDEX($A:$AP,ROW(),$H$6)),INDEX($A:$AP,ROW(),$H$6),IFERROR(--SUBSTITUTE(SUBSTITUTE(TRIM(INDEX($A:$AP,ROW(),$H$6)),",",""),"원",""),0)))))</f>
        <v/>
      </c>
      <c r="AW953" s="2">
        <f>IF(OR($AS953="",$C$6=""),"",TRIM(INDEX($A:$AP,ROW(),$C$6)&amp;""))</f>
        <v/>
      </c>
      <c r="AX953" s="2">
        <f>IF($AS953="","",IF($AZ953&lt;&gt;"",SUBSTITUTE(SUBSTITUTE($AZ953,"-","")," ",""),$AY953))</f>
        <v/>
      </c>
      <c r="AY953" s="2">
        <f>IF(OR($AS953="",$E$6=""),"",TRIM(INDEX($A:$AP,ROW(),$E$6)&amp;""))</f>
        <v/>
      </c>
      <c r="AZ953" s="2">
        <f>IF(OR($AS953="",$D$6=""),"",TRIM(INDEX($A:$AP,ROW(),$D$6)&amp;""))</f>
        <v/>
      </c>
      <c r="BA953" s="2">
        <f>IF($AS953="","",IF(AND($AS953&gt;=설정!$B$10,$AS953&lt;=설정!$B$11),"포함","기간 밖"))</f>
        <v/>
      </c>
      <c r="BB953" s="2">
        <f>IF($AS953="","",IF(OR($AT953&lt;0,AND($I$6&lt;&gt;"",ISNUMBER(FIND("수정",INDEX($A:$AP,ROW(),IF($I$6="",1,$I$6))&amp;"")))),"수정","일반"))</f>
        <v/>
      </c>
      <c r="BC953" s="2">
        <f>IF($AS953="","",MID(IF($BA953="기간 밖"," / 기간 밖(신고기간 아님)","")&amp;IF(AND($AW953&lt;&gt;"",COUNTIF($AW$8:$AW$1007,$AW953)&gt;1)," / 승인번호 중복(두 번 붙여넣기?)","")&amp;IF(ABS($AU953-ROUND($AT953*0.1,0))&gt;설정!$B$8,IF($AU953=0," / 세액 0원(영세율·면세 여부 확인)"," / 세액이 공급가액 10%와 다름"),"")&amp;IF($BB953="수정"," / 수정세금계산서(합계에서 자동 가감)",""),4,200))</f>
        <v/>
      </c>
      <c r="BD953" s="2">
        <f>IF($BA953&lt;&gt;"포함","",IF(COUNTIFS($AX$8:$AX953,$AX953,$BA$8:$BA953,"포함")=1,MAX($BD$7:BD952)+1,""))</f>
        <v/>
      </c>
      <c r="BE953" s="2">
        <f>IF($BC953="","",MAX($BE$7:BE952)+1)</f>
        <v/>
      </c>
    </row>
    <row r="954">
      <c r="AR954" s="2">
        <f>IF(OR($A$5="",$B$6="",ROW()&lt;$A$5),"",IF(INDEX($A:$AP,ROW(),$B$6)="","",INDEX($A:$AP,ROW(),$B$6)))</f>
        <v/>
      </c>
      <c r="AS954" s="22">
        <f>IF($AR954="","",IF(ISNUMBER($AR954),IF($AR954&gt;=10000000,IFERROR(DATE(INT($AR954/10000),MOD(INT($AR954/100),100),MOD($AR954,100)),""),INT($AR954)),IFERROR(DATE(--LEFT(LEFT(SUBSTITUTE(SUBSTITUTE(SUBSTITUTE(SUBSTITUTE(TRIM($AR954),"-",""),".",""),"/","")," ",""),8),4),--MID(LEFT(SUBSTITUTE(SUBSTITUTE(SUBSTITUTE(SUBSTITUTE(TRIM($AR954),"-",""),".",""),"/","")," ",""),8),5,2),--MID(LEFT(SUBSTITUTE(SUBSTITUTE(SUBSTITUTE(SUBSTITUTE(TRIM($AR954),"-",""),".",""),"/","")," ",""),8),7,2)),"")))</f>
        <v/>
      </c>
      <c r="AT954" s="23">
        <f>IF($AS954="","",IF($F$6="",0,IF(ISNUMBER(INDEX($A:$AP,ROW(),$F$6)),INDEX($A:$AP,ROW(),$F$6),IFERROR(--SUBSTITUTE(SUBSTITUTE(TRIM(INDEX($A:$AP,ROW(),$F$6)),",",""),"원",""),0))))</f>
        <v/>
      </c>
      <c r="AU954" s="23">
        <f>IF($AS954="","",IF($G$6="",0,IF(ISNUMBER(INDEX($A:$AP,ROW(),$G$6)),INDEX($A:$AP,ROW(),$G$6),IFERROR(--SUBSTITUTE(SUBSTITUTE(TRIM(INDEX($A:$AP,ROW(),$G$6)),",",""),"원",""),0))))</f>
        <v/>
      </c>
      <c r="AV954" s="23">
        <f>IF($AS954="","",IF($H$6="",$AT954+$AU954,IF($H$6="",0,IF(ISNUMBER(INDEX($A:$AP,ROW(),$H$6)),INDEX($A:$AP,ROW(),$H$6),IFERROR(--SUBSTITUTE(SUBSTITUTE(TRIM(INDEX($A:$AP,ROW(),$H$6)),",",""),"원",""),0)))))</f>
        <v/>
      </c>
      <c r="AW954" s="2">
        <f>IF(OR($AS954="",$C$6=""),"",TRIM(INDEX($A:$AP,ROW(),$C$6)&amp;""))</f>
        <v/>
      </c>
      <c r="AX954" s="2">
        <f>IF($AS954="","",IF($AZ954&lt;&gt;"",SUBSTITUTE(SUBSTITUTE($AZ954,"-","")," ",""),$AY954))</f>
        <v/>
      </c>
      <c r="AY954" s="2">
        <f>IF(OR($AS954="",$E$6=""),"",TRIM(INDEX($A:$AP,ROW(),$E$6)&amp;""))</f>
        <v/>
      </c>
      <c r="AZ954" s="2">
        <f>IF(OR($AS954="",$D$6=""),"",TRIM(INDEX($A:$AP,ROW(),$D$6)&amp;""))</f>
        <v/>
      </c>
      <c r="BA954" s="2">
        <f>IF($AS954="","",IF(AND($AS954&gt;=설정!$B$10,$AS954&lt;=설정!$B$11),"포함","기간 밖"))</f>
        <v/>
      </c>
      <c r="BB954" s="2">
        <f>IF($AS954="","",IF(OR($AT954&lt;0,AND($I$6&lt;&gt;"",ISNUMBER(FIND("수정",INDEX($A:$AP,ROW(),IF($I$6="",1,$I$6))&amp;"")))),"수정","일반"))</f>
        <v/>
      </c>
      <c r="BC954" s="2">
        <f>IF($AS954="","",MID(IF($BA954="기간 밖"," / 기간 밖(신고기간 아님)","")&amp;IF(AND($AW954&lt;&gt;"",COUNTIF($AW$8:$AW$1007,$AW954)&gt;1)," / 승인번호 중복(두 번 붙여넣기?)","")&amp;IF(ABS($AU954-ROUND($AT954*0.1,0))&gt;설정!$B$8,IF($AU954=0," / 세액 0원(영세율·면세 여부 확인)"," / 세액이 공급가액 10%와 다름"),"")&amp;IF($BB954="수정"," / 수정세금계산서(합계에서 자동 가감)",""),4,200))</f>
        <v/>
      </c>
      <c r="BD954" s="2">
        <f>IF($BA954&lt;&gt;"포함","",IF(COUNTIFS($AX$8:$AX954,$AX954,$BA$8:$BA954,"포함")=1,MAX($BD$7:BD953)+1,""))</f>
        <v/>
      </c>
      <c r="BE954" s="2">
        <f>IF($BC954="","",MAX($BE$7:BE953)+1)</f>
        <v/>
      </c>
    </row>
    <row r="955">
      <c r="AR955" s="2">
        <f>IF(OR($A$5="",$B$6="",ROW()&lt;$A$5),"",IF(INDEX($A:$AP,ROW(),$B$6)="","",INDEX($A:$AP,ROW(),$B$6)))</f>
        <v/>
      </c>
      <c r="AS955" s="22">
        <f>IF($AR955="","",IF(ISNUMBER($AR955),IF($AR955&gt;=10000000,IFERROR(DATE(INT($AR955/10000),MOD(INT($AR955/100),100),MOD($AR955,100)),""),INT($AR955)),IFERROR(DATE(--LEFT(LEFT(SUBSTITUTE(SUBSTITUTE(SUBSTITUTE(SUBSTITUTE(TRIM($AR955),"-",""),".",""),"/","")," ",""),8),4),--MID(LEFT(SUBSTITUTE(SUBSTITUTE(SUBSTITUTE(SUBSTITUTE(TRIM($AR955),"-",""),".",""),"/","")," ",""),8),5,2),--MID(LEFT(SUBSTITUTE(SUBSTITUTE(SUBSTITUTE(SUBSTITUTE(TRIM($AR955),"-",""),".",""),"/","")," ",""),8),7,2)),"")))</f>
        <v/>
      </c>
      <c r="AT955" s="23">
        <f>IF($AS955="","",IF($F$6="",0,IF(ISNUMBER(INDEX($A:$AP,ROW(),$F$6)),INDEX($A:$AP,ROW(),$F$6),IFERROR(--SUBSTITUTE(SUBSTITUTE(TRIM(INDEX($A:$AP,ROW(),$F$6)),",",""),"원",""),0))))</f>
        <v/>
      </c>
      <c r="AU955" s="23">
        <f>IF($AS955="","",IF($G$6="",0,IF(ISNUMBER(INDEX($A:$AP,ROW(),$G$6)),INDEX($A:$AP,ROW(),$G$6),IFERROR(--SUBSTITUTE(SUBSTITUTE(TRIM(INDEX($A:$AP,ROW(),$G$6)),",",""),"원",""),0))))</f>
        <v/>
      </c>
      <c r="AV955" s="23">
        <f>IF($AS955="","",IF($H$6="",$AT955+$AU955,IF($H$6="",0,IF(ISNUMBER(INDEX($A:$AP,ROW(),$H$6)),INDEX($A:$AP,ROW(),$H$6),IFERROR(--SUBSTITUTE(SUBSTITUTE(TRIM(INDEX($A:$AP,ROW(),$H$6)),",",""),"원",""),0)))))</f>
        <v/>
      </c>
      <c r="AW955" s="2">
        <f>IF(OR($AS955="",$C$6=""),"",TRIM(INDEX($A:$AP,ROW(),$C$6)&amp;""))</f>
        <v/>
      </c>
      <c r="AX955" s="2">
        <f>IF($AS955="","",IF($AZ955&lt;&gt;"",SUBSTITUTE(SUBSTITUTE($AZ955,"-","")," ",""),$AY955))</f>
        <v/>
      </c>
      <c r="AY955" s="2">
        <f>IF(OR($AS955="",$E$6=""),"",TRIM(INDEX($A:$AP,ROW(),$E$6)&amp;""))</f>
        <v/>
      </c>
      <c r="AZ955" s="2">
        <f>IF(OR($AS955="",$D$6=""),"",TRIM(INDEX($A:$AP,ROW(),$D$6)&amp;""))</f>
        <v/>
      </c>
      <c r="BA955" s="2">
        <f>IF($AS955="","",IF(AND($AS955&gt;=설정!$B$10,$AS955&lt;=설정!$B$11),"포함","기간 밖"))</f>
        <v/>
      </c>
      <c r="BB955" s="2">
        <f>IF($AS955="","",IF(OR($AT955&lt;0,AND($I$6&lt;&gt;"",ISNUMBER(FIND("수정",INDEX($A:$AP,ROW(),IF($I$6="",1,$I$6))&amp;"")))),"수정","일반"))</f>
        <v/>
      </c>
      <c r="BC955" s="2">
        <f>IF($AS955="","",MID(IF($BA955="기간 밖"," / 기간 밖(신고기간 아님)","")&amp;IF(AND($AW955&lt;&gt;"",COUNTIF($AW$8:$AW$1007,$AW955)&gt;1)," / 승인번호 중복(두 번 붙여넣기?)","")&amp;IF(ABS($AU955-ROUND($AT955*0.1,0))&gt;설정!$B$8,IF($AU955=0," / 세액 0원(영세율·면세 여부 확인)"," / 세액이 공급가액 10%와 다름"),"")&amp;IF($BB955="수정"," / 수정세금계산서(합계에서 자동 가감)",""),4,200))</f>
        <v/>
      </c>
      <c r="BD955" s="2">
        <f>IF($BA955&lt;&gt;"포함","",IF(COUNTIFS($AX$8:$AX955,$AX955,$BA$8:$BA955,"포함")=1,MAX($BD$7:BD954)+1,""))</f>
        <v/>
      </c>
      <c r="BE955" s="2">
        <f>IF($BC955="","",MAX($BE$7:BE954)+1)</f>
        <v/>
      </c>
    </row>
    <row r="956">
      <c r="AR956" s="2">
        <f>IF(OR($A$5="",$B$6="",ROW()&lt;$A$5),"",IF(INDEX($A:$AP,ROW(),$B$6)="","",INDEX($A:$AP,ROW(),$B$6)))</f>
        <v/>
      </c>
      <c r="AS956" s="22">
        <f>IF($AR956="","",IF(ISNUMBER($AR956),IF($AR956&gt;=10000000,IFERROR(DATE(INT($AR956/10000),MOD(INT($AR956/100),100),MOD($AR956,100)),""),INT($AR956)),IFERROR(DATE(--LEFT(LEFT(SUBSTITUTE(SUBSTITUTE(SUBSTITUTE(SUBSTITUTE(TRIM($AR956),"-",""),".",""),"/","")," ",""),8),4),--MID(LEFT(SUBSTITUTE(SUBSTITUTE(SUBSTITUTE(SUBSTITUTE(TRIM($AR956),"-",""),".",""),"/","")," ",""),8),5,2),--MID(LEFT(SUBSTITUTE(SUBSTITUTE(SUBSTITUTE(SUBSTITUTE(TRIM($AR956),"-",""),".",""),"/","")," ",""),8),7,2)),"")))</f>
        <v/>
      </c>
      <c r="AT956" s="23">
        <f>IF($AS956="","",IF($F$6="",0,IF(ISNUMBER(INDEX($A:$AP,ROW(),$F$6)),INDEX($A:$AP,ROW(),$F$6),IFERROR(--SUBSTITUTE(SUBSTITUTE(TRIM(INDEX($A:$AP,ROW(),$F$6)),",",""),"원",""),0))))</f>
        <v/>
      </c>
      <c r="AU956" s="23">
        <f>IF($AS956="","",IF($G$6="",0,IF(ISNUMBER(INDEX($A:$AP,ROW(),$G$6)),INDEX($A:$AP,ROW(),$G$6),IFERROR(--SUBSTITUTE(SUBSTITUTE(TRIM(INDEX($A:$AP,ROW(),$G$6)),",",""),"원",""),0))))</f>
        <v/>
      </c>
      <c r="AV956" s="23">
        <f>IF($AS956="","",IF($H$6="",$AT956+$AU956,IF($H$6="",0,IF(ISNUMBER(INDEX($A:$AP,ROW(),$H$6)),INDEX($A:$AP,ROW(),$H$6),IFERROR(--SUBSTITUTE(SUBSTITUTE(TRIM(INDEX($A:$AP,ROW(),$H$6)),",",""),"원",""),0)))))</f>
        <v/>
      </c>
      <c r="AW956" s="2">
        <f>IF(OR($AS956="",$C$6=""),"",TRIM(INDEX($A:$AP,ROW(),$C$6)&amp;""))</f>
        <v/>
      </c>
      <c r="AX956" s="2">
        <f>IF($AS956="","",IF($AZ956&lt;&gt;"",SUBSTITUTE(SUBSTITUTE($AZ956,"-","")," ",""),$AY956))</f>
        <v/>
      </c>
      <c r="AY956" s="2">
        <f>IF(OR($AS956="",$E$6=""),"",TRIM(INDEX($A:$AP,ROW(),$E$6)&amp;""))</f>
        <v/>
      </c>
      <c r="AZ956" s="2">
        <f>IF(OR($AS956="",$D$6=""),"",TRIM(INDEX($A:$AP,ROW(),$D$6)&amp;""))</f>
        <v/>
      </c>
      <c r="BA956" s="2">
        <f>IF($AS956="","",IF(AND($AS956&gt;=설정!$B$10,$AS956&lt;=설정!$B$11),"포함","기간 밖"))</f>
        <v/>
      </c>
      <c r="BB956" s="2">
        <f>IF($AS956="","",IF(OR($AT956&lt;0,AND($I$6&lt;&gt;"",ISNUMBER(FIND("수정",INDEX($A:$AP,ROW(),IF($I$6="",1,$I$6))&amp;"")))),"수정","일반"))</f>
        <v/>
      </c>
      <c r="BC956" s="2">
        <f>IF($AS956="","",MID(IF($BA956="기간 밖"," / 기간 밖(신고기간 아님)","")&amp;IF(AND($AW956&lt;&gt;"",COUNTIF($AW$8:$AW$1007,$AW956)&gt;1)," / 승인번호 중복(두 번 붙여넣기?)","")&amp;IF(ABS($AU956-ROUND($AT956*0.1,0))&gt;설정!$B$8,IF($AU956=0," / 세액 0원(영세율·면세 여부 확인)"," / 세액이 공급가액 10%와 다름"),"")&amp;IF($BB956="수정"," / 수정세금계산서(합계에서 자동 가감)",""),4,200))</f>
        <v/>
      </c>
      <c r="BD956" s="2">
        <f>IF($BA956&lt;&gt;"포함","",IF(COUNTIFS($AX$8:$AX956,$AX956,$BA$8:$BA956,"포함")=1,MAX($BD$7:BD955)+1,""))</f>
        <v/>
      </c>
      <c r="BE956" s="2">
        <f>IF($BC956="","",MAX($BE$7:BE955)+1)</f>
        <v/>
      </c>
    </row>
    <row r="957">
      <c r="AR957" s="2">
        <f>IF(OR($A$5="",$B$6="",ROW()&lt;$A$5),"",IF(INDEX($A:$AP,ROW(),$B$6)="","",INDEX($A:$AP,ROW(),$B$6)))</f>
        <v/>
      </c>
      <c r="AS957" s="22">
        <f>IF($AR957="","",IF(ISNUMBER($AR957),IF($AR957&gt;=10000000,IFERROR(DATE(INT($AR957/10000),MOD(INT($AR957/100),100),MOD($AR957,100)),""),INT($AR957)),IFERROR(DATE(--LEFT(LEFT(SUBSTITUTE(SUBSTITUTE(SUBSTITUTE(SUBSTITUTE(TRIM($AR957),"-",""),".",""),"/","")," ",""),8),4),--MID(LEFT(SUBSTITUTE(SUBSTITUTE(SUBSTITUTE(SUBSTITUTE(TRIM($AR957),"-",""),".",""),"/","")," ",""),8),5,2),--MID(LEFT(SUBSTITUTE(SUBSTITUTE(SUBSTITUTE(SUBSTITUTE(TRIM($AR957),"-",""),".",""),"/","")," ",""),8),7,2)),"")))</f>
        <v/>
      </c>
      <c r="AT957" s="23">
        <f>IF($AS957="","",IF($F$6="",0,IF(ISNUMBER(INDEX($A:$AP,ROW(),$F$6)),INDEX($A:$AP,ROW(),$F$6),IFERROR(--SUBSTITUTE(SUBSTITUTE(TRIM(INDEX($A:$AP,ROW(),$F$6)),",",""),"원",""),0))))</f>
        <v/>
      </c>
      <c r="AU957" s="23">
        <f>IF($AS957="","",IF($G$6="",0,IF(ISNUMBER(INDEX($A:$AP,ROW(),$G$6)),INDEX($A:$AP,ROW(),$G$6),IFERROR(--SUBSTITUTE(SUBSTITUTE(TRIM(INDEX($A:$AP,ROW(),$G$6)),",",""),"원",""),0))))</f>
        <v/>
      </c>
      <c r="AV957" s="23">
        <f>IF($AS957="","",IF($H$6="",$AT957+$AU957,IF($H$6="",0,IF(ISNUMBER(INDEX($A:$AP,ROW(),$H$6)),INDEX($A:$AP,ROW(),$H$6),IFERROR(--SUBSTITUTE(SUBSTITUTE(TRIM(INDEX($A:$AP,ROW(),$H$6)),",",""),"원",""),0)))))</f>
        <v/>
      </c>
      <c r="AW957" s="2">
        <f>IF(OR($AS957="",$C$6=""),"",TRIM(INDEX($A:$AP,ROW(),$C$6)&amp;""))</f>
        <v/>
      </c>
      <c r="AX957" s="2">
        <f>IF($AS957="","",IF($AZ957&lt;&gt;"",SUBSTITUTE(SUBSTITUTE($AZ957,"-","")," ",""),$AY957))</f>
        <v/>
      </c>
      <c r="AY957" s="2">
        <f>IF(OR($AS957="",$E$6=""),"",TRIM(INDEX($A:$AP,ROW(),$E$6)&amp;""))</f>
        <v/>
      </c>
      <c r="AZ957" s="2">
        <f>IF(OR($AS957="",$D$6=""),"",TRIM(INDEX($A:$AP,ROW(),$D$6)&amp;""))</f>
        <v/>
      </c>
      <c r="BA957" s="2">
        <f>IF($AS957="","",IF(AND($AS957&gt;=설정!$B$10,$AS957&lt;=설정!$B$11),"포함","기간 밖"))</f>
        <v/>
      </c>
      <c r="BB957" s="2">
        <f>IF($AS957="","",IF(OR($AT957&lt;0,AND($I$6&lt;&gt;"",ISNUMBER(FIND("수정",INDEX($A:$AP,ROW(),IF($I$6="",1,$I$6))&amp;"")))),"수정","일반"))</f>
        <v/>
      </c>
      <c r="BC957" s="2">
        <f>IF($AS957="","",MID(IF($BA957="기간 밖"," / 기간 밖(신고기간 아님)","")&amp;IF(AND($AW957&lt;&gt;"",COUNTIF($AW$8:$AW$1007,$AW957)&gt;1)," / 승인번호 중복(두 번 붙여넣기?)","")&amp;IF(ABS($AU957-ROUND($AT957*0.1,0))&gt;설정!$B$8,IF($AU957=0," / 세액 0원(영세율·면세 여부 확인)"," / 세액이 공급가액 10%와 다름"),"")&amp;IF($BB957="수정"," / 수정세금계산서(합계에서 자동 가감)",""),4,200))</f>
        <v/>
      </c>
      <c r="BD957" s="2">
        <f>IF($BA957&lt;&gt;"포함","",IF(COUNTIFS($AX$8:$AX957,$AX957,$BA$8:$BA957,"포함")=1,MAX($BD$7:BD956)+1,""))</f>
        <v/>
      </c>
      <c r="BE957" s="2">
        <f>IF($BC957="","",MAX($BE$7:BE956)+1)</f>
        <v/>
      </c>
    </row>
    <row r="958">
      <c r="AR958" s="2">
        <f>IF(OR($A$5="",$B$6="",ROW()&lt;$A$5),"",IF(INDEX($A:$AP,ROW(),$B$6)="","",INDEX($A:$AP,ROW(),$B$6)))</f>
        <v/>
      </c>
      <c r="AS958" s="22">
        <f>IF($AR958="","",IF(ISNUMBER($AR958),IF($AR958&gt;=10000000,IFERROR(DATE(INT($AR958/10000),MOD(INT($AR958/100),100),MOD($AR958,100)),""),INT($AR958)),IFERROR(DATE(--LEFT(LEFT(SUBSTITUTE(SUBSTITUTE(SUBSTITUTE(SUBSTITUTE(TRIM($AR958),"-",""),".",""),"/","")," ",""),8),4),--MID(LEFT(SUBSTITUTE(SUBSTITUTE(SUBSTITUTE(SUBSTITUTE(TRIM($AR958),"-",""),".",""),"/","")," ",""),8),5,2),--MID(LEFT(SUBSTITUTE(SUBSTITUTE(SUBSTITUTE(SUBSTITUTE(TRIM($AR958),"-",""),".",""),"/","")," ",""),8),7,2)),"")))</f>
        <v/>
      </c>
      <c r="AT958" s="23">
        <f>IF($AS958="","",IF($F$6="",0,IF(ISNUMBER(INDEX($A:$AP,ROW(),$F$6)),INDEX($A:$AP,ROW(),$F$6),IFERROR(--SUBSTITUTE(SUBSTITUTE(TRIM(INDEX($A:$AP,ROW(),$F$6)),",",""),"원",""),0))))</f>
        <v/>
      </c>
      <c r="AU958" s="23">
        <f>IF($AS958="","",IF($G$6="",0,IF(ISNUMBER(INDEX($A:$AP,ROW(),$G$6)),INDEX($A:$AP,ROW(),$G$6),IFERROR(--SUBSTITUTE(SUBSTITUTE(TRIM(INDEX($A:$AP,ROW(),$G$6)),",",""),"원",""),0))))</f>
        <v/>
      </c>
      <c r="AV958" s="23">
        <f>IF($AS958="","",IF($H$6="",$AT958+$AU958,IF($H$6="",0,IF(ISNUMBER(INDEX($A:$AP,ROW(),$H$6)),INDEX($A:$AP,ROW(),$H$6),IFERROR(--SUBSTITUTE(SUBSTITUTE(TRIM(INDEX($A:$AP,ROW(),$H$6)),",",""),"원",""),0)))))</f>
        <v/>
      </c>
      <c r="AW958" s="2">
        <f>IF(OR($AS958="",$C$6=""),"",TRIM(INDEX($A:$AP,ROW(),$C$6)&amp;""))</f>
        <v/>
      </c>
      <c r="AX958" s="2">
        <f>IF($AS958="","",IF($AZ958&lt;&gt;"",SUBSTITUTE(SUBSTITUTE($AZ958,"-","")," ",""),$AY958))</f>
        <v/>
      </c>
      <c r="AY958" s="2">
        <f>IF(OR($AS958="",$E$6=""),"",TRIM(INDEX($A:$AP,ROW(),$E$6)&amp;""))</f>
        <v/>
      </c>
      <c r="AZ958" s="2">
        <f>IF(OR($AS958="",$D$6=""),"",TRIM(INDEX($A:$AP,ROW(),$D$6)&amp;""))</f>
        <v/>
      </c>
      <c r="BA958" s="2">
        <f>IF($AS958="","",IF(AND($AS958&gt;=설정!$B$10,$AS958&lt;=설정!$B$11),"포함","기간 밖"))</f>
        <v/>
      </c>
      <c r="BB958" s="2">
        <f>IF($AS958="","",IF(OR($AT958&lt;0,AND($I$6&lt;&gt;"",ISNUMBER(FIND("수정",INDEX($A:$AP,ROW(),IF($I$6="",1,$I$6))&amp;"")))),"수정","일반"))</f>
        <v/>
      </c>
      <c r="BC958" s="2">
        <f>IF($AS958="","",MID(IF($BA958="기간 밖"," / 기간 밖(신고기간 아님)","")&amp;IF(AND($AW958&lt;&gt;"",COUNTIF($AW$8:$AW$1007,$AW958)&gt;1)," / 승인번호 중복(두 번 붙여넣기?)","")&amp;IF(ABS($AU958-ROUND($AT958*0.1,0))&gt;설정!$B$8,IF($AU958=0," / 세액 0원(영세율·면세 여부 확인)"," / 세액이 공급가액 10%와 다름"),"")&amp;IF($BB958="수정"," / 수정세금계산서(합계에서 자동 가감)",""),4,200))</f>
        <v/>
      </c>
      <c r="BD958" s="2">
        <f>IF($BA958&lt;&gt;"포함","",IF(COUNTIFS($AX$8:$AX958,$AX958,$BA$8:$BA958,"포함")=1,MAX($BD$7:BD957)+1,""))</f>
        <v/>
      </c>
      <c r="BE958" s="2">
        <f>IF($BC958="","",MAX($BE$7:BE957)+1)</f>
        <v/>
      </c>
    </row>
    <row r="959">
      <c r="AR959" s="2">
        <f>IF(OR($A$5="",$B$6="",ROW()&lt;$A$5),"",IF(INDEX($A:$AP,ROW(),$B$6)="","",INDEX($A:$AP,ROW(),$B$6)))</f>
        <v/>
      </c>
      <c r="AS959" s="22">
        <f>IF($AR959="","",IF(ISNUMBER($AR959),IF($AR959&gt;=10000000,IFERROR(DATE(INT($AR959/10000),MOD(INT($AR959/100),100),MOD($AR959,100)),""),INT($AR959)),IFERROR(DATE(--LEFT(LEFT(SUBSTITUTE(SUBSTITUTE(SUBSTITUTE(SUBSTITUTE(TRIM($AR959),"-",""),".",""),"/","")," ",""),8),4),--MID(LEFT(SUBSTITUTE(SUBSTITUTE(SUBSTITUTE(SUBSTITUTE(TRIM($AR959),"-",""),".",""),"/","")," ",""),8),5,2),--MID(LEFT(SUBSTITUTE(SUBSTITUTE(SUBSTITUTE(SUBSTITUTE(TRIM($AR959),"-",""),".",""),"/","")," ",""),8),7,2)),"")))</f>
        <v/>
      </c>
      <c r="AT959" s="23">
        <f>IF($AS959="","",IF($F$6="",0,IF(ISNUMBER(INDEX($A:$AP,ROW(),$F$6)),INDEX($A:$AP,ROW(),$F$6),IFERROR(--SUBSTITUTE(SUBSTITUTE(TRIM(INDEX($A:$AP,ROW(),$F$6)),",",""),"원",""),0))))</f>
        <v/>
      </c>
      <c r="AU959" s="23">
        <f>IF($AS959="","",IF($G$6="",0,IF(ISNUMBER(INDEX($A:$AP,ROW(),$G$6)),INDEX($A:$AP,ROW(),$G$6),IFERROR(--SUBSTITUTE(SUBSTITUTE(TRIM(INDEX($A:$AP,ROW(),$G$6)),",",""),"원",""),0))))</f>
        <v/>
      </c>
      <c r="AV959" s="23">
        <f>IF($AS959="","",IF($H$6="",$AT959+$AU959,IF($H$6="",0,IF(ISNUMBER(INDEX($A:$AP,ROW(),$H$6)),INDEX($A:$AP,ROW(),$H$6),IFERROR(--SUBSTITUTE(SUBSTITUTE(TRIM(INDEX($A:$AP,ROW(),$H$6)),",",""),"원",""),0)))))</f>
        <v/>
      </c>
      <c r="AW959" s="2">
        <f>IF(OR($AS959="",$C$6=""),"",TRIM(INDEX($A:$AP,ROW(),$C$6)&amp;""))</f>
        <v/>
      </c>
      <c r="AX959" s="2">
        <f>IF($AS959="","",IF($AZ959&lt;&gt;"",SUBSTITUTE(SUBSTITUTE($AZ959,"-","")," ",""),$AY959))</f>
        <v/>
      </c>
      <c r="AY959" s="2">
        <f>IF(OR($AS959="",$E$6=""),"",TRIM(INDEX($A:$AP,ROW(),$E$6)&amp;""))</f>
        <v/>
      </c>
      <c r="AZ959" s="2">
        <f>IF(OR($AS959="",$D$6=""),"",TRIM(INDEX($A:$AP,ROW(),$D$6)&amp;""))</f>
        <v/>
      </c>
      <c r="BA959" s="2">
        <f>IF($AS959="","",IF(AND($AS959&gt;=설정!$B$10,$AS959&lt;=설정!$B$11),"포함","기간 밖"))</f>
        <v/>
      </c>
      <c r="BB959" s="2">
        <f>IF($AS959="","",IF(OR($AT959&lt;0,AND($I$6&lt;&gt;"",ISNUMBER(FIND("수정",INDEX($A:$AP,ROW(),IF($I$6="",1,$I$6))&amp;"")))),"수정","일반"))</f>
        <v/>
      </c>
      <c r="BC959" s="2">
        <f>IF($AS959="","",MID(IF($BA959="기간 밖"," / 기간 밖(신고기간 아님)","")&amp;IF(AND($AW959&lt;&gt;"",COUNTIF($AW$8:$AW$1007,$AW959)&gt;1)," / 승인번호 중복(두 번 붙여넣기?)","")&amp;IF(ABS($AU959-ROUND($AT959*0.1,0))&gt;설정!$B$8,IF($AU959=0," / 세액 0원(영세율·면세 여부 확인)"," / 세액이 공급가액 10%와 다름"),"")&amp;IF($BB959="수정"," / 수정세금계산서(합계에서 자동 가감)",""),4,200))</f>
        <v/>
      </c>
      <c r="BD959" s="2">
        <f>IF($BA959&lt;&gt;"포함","",IF(COUNTIFS($AX$8:$AX959,$AX959,$BA$8:$BA959,"포함")=1,MAX($BD$7:BD958)+1,""))</f>
        <v/>
      </c>
      <c r="BE959" s="2">
        <f>IF($BC959="","",MAX($BE$7:BE958)+1)</f>
        <v/>
      </c>
    </row>
    <row r="960">
      <c r="AR960" s="2">
        <f>IF(OR($A$5="",$B$6="",ROW()&lt;$A$5),"",IF(INDEX($A:$AP,ROW(),$B$6)="","",INDEX($A:$AP,ROW(),$B$6)))</f>
        <v/>
      </c>
      <c r="AS960" s="22">
        <f>IF($AR960="","",IF(ISNUMBER($AR960),IF($AR960&gt;=10000000,IFERROR(DATE(INT($AR960/10000),MOD(INT($AR960/100),100),MOD($AR960,100)),""),INT($AR960)),IFERROR(DATE(--LEFT(LEFT(SUBSTITUTE(SUBSTITUTE(SUBSTITUTE(SUBSTITUTE(TRIM($AR960),"-",""),".",""),"/","")," ",""),8),4),--MID(LEFT(SUBSTITUTE(SUBSTITUTE(SUBSTITUTE(SUBSTITUTE(TRIM($AR960),"-",""),".",""),"/","")," ",""),8),5,2),--MID(LEFT(SUBSTITUTE(SUBSTITUTE(SUBSTITUTE(SUBSTITUTE(TRIM($AR960),"-",""),".",""),"/","")," ",""),8),7,2)),"")))</f>
        <v/>
      </c>
      <c r="AT960" s="23">
        <f>IF($AS960="","",IF($F$6="",0,IF(ISNUMBER(INDEX($A:$AP,ROW(),$F$6)),INDEX($A:$AP,ROW(),$F$6),IFERROR(--SUBSTITUTE(SUBSTITUTE(TRIM(INDEX($A:$AP,ROW(),$F$6)),",",""),"원",""),0))))</f>
        <v/>
      </c>
      <c r="AU960" s="23">
        <f>IF($AS960="","",IF($G$6="",0,IF(ISNUMBER(INDEX($A:$AP,ROW(),$G$6)),INDEX($A:$AP,ROW(),$G$6),IFERROR(--SUBSTITUTE(SUBSTITUTE(TRIM(INDEX($A:$AP,ROW(),$G$6)),",",""),"원",""),0))))</f>
        <v/>
      </c>
      <c r="AV960" s="23">
        <f>IF($AS960="","",IF($H$6="",$AT960+$AU960,IF($H$6="",0,IF(ISNUMBER(INDEX($A:$AP,ROW(),$H$6)),INDEX($A:$AP,ROW(),$H$6),IFERROR(--SUBSTITUTE(SUBSTITUTE(TRIM(INDEX($A:$AP,ROW(),$H$6)),",",""),"원",""),0)))))</f>
        <v/>
      </c>
      <c r="AW960" s="2">
        <f>IF(OR($AS960="",$C$6=""),"",TRIM(INDEX($A:$AP,ROW(),$C$6)&amp;""))</f>
        <v/>
      </c>
      <c r="AX960" s="2">
        <f>IF($AS960="","",IF($AZ960&lt;&gt;"",SUBSTITUTE(SUBSTITUTE($AZ960,"-","")," ",""),$AY960))</f>
        <v/>
      </c>
      <c r="AY960" s="2">
        <f>IF(OR($AS960="",$E$6=""),"",TRIM(INDEX($A:$AP,ROW(),$E$6)&amp;""))</f>
        <v/>
      </c>
      <c r="AZ960" s="2">
        <f>IF(OR($AS960="",$D$6=""),"",TRIM(INDEX($A:$AP,ROW(),$D$6)&amp;""))</f>
        <v/>
      </c>
      <c r="BA960" s="2">
        <f>IF($AS960="","",IF(AND($AS960&gt;=설정!$B$10,$AS960&lt;=설정!$B$11),"포함","기간 밖"))</f>
        <v/>
      </c>
      <c r="BB960" s="2">
        <f>IF($AS960="","",IF(OR($AT960&lt;0,AND($I$6&lt;&gt;"",ISNUMBER(FIND("수정",INDEX($A:$AP,ROW(),IF($I$6="",1,$I$6))&amp;"")))),"수정","일반"))</f>
        <v/>
      </c>
      <c r="BC960" s="2">
        <f>IF($AS960="","",MID(IF($BA960="기간 밖"," / 기간 밖(신고기간 아님)","")&amp;IF(AND($AW960&lt;&gt;"",COUNTIF($AW$8:$AW$1007,$AW960)&gt;1)," / 승인번호 중복(두 번 붙여넣기?)","")&amp;IF(ABS($AU960-ROUND($AT960*0.1,0))&gt;설정!$B$8,IF($AU960=0," / 세액 0원(영세율·면세 여부 확인)"," / 세액이 공급가액 10%와 다름"),"")&amp;IF($BB960="수정"," / 수정세금계산서(합계에서 자동 가감)",""),4,200))</f>
        <v/>
      </c>
      <c r="BD960" s="2">
        <f>IF($BA960&lt;&gt;"포함","",IF(COUNTIFS($AX$8:$AX960,$AX960,$BA$8:$BA960,"포함")=1,MAX($BD$7:BD959)+1,""))</f>
        <v/>
      </c>
      <c r="BE960" s="2">
        <f>IF($BC960="","",MAX($BE$7:BE959)+1)</f>
        <v/>
      </c>
    </row>
    <row r="961">
      <c r="AR961" s="2">
        <f>IF(OR($A$5="",$B$6="",ROW()&lt;$A$5),"",IF(INDEX($A:$AP,ROW(),$B$6)="","",INDEX($A:$AP,ROW(),$B$6)))</f>
        <v/>
      </c>
      <c r="AS961" s="22">
        <f>IF($AR961="","",IF(ISNUMBER($AR961),IF($AR961&gt;=10000000,IFERROR(DATE(INT($AR961/10000),MOD(INT($AR961/100),100),MOD($AR961,100)),""),INT($AR961)),IFERROR(DATE(--LEFT(LEFT(SUBSTITUTE(SUBSTITUTE(SUBSTITUTE(SUBSTITUTE(TRIM($AR961),"-",""),".",""),"/","")," ",""),8),4),--MID(LEFT(SUBSTITUTE(SUBSTITUTE(SUBSTITUTE(SUBSTITUTE(TRIM($AR961),"-",""),".",""),"/","")," ",""),8),5,2),--MID(LEFT(SUBSTITUTE(SUBSTITUTE(SUBSTITUTE(SUBSTITUTE(TRIM($AR961),"-",""),".",""),"/","")," ",""),8),7,2)),"")))</f>
        <v/>
      </c>
      <c r="AT961" s="23">
        <f>IF($AS961="","",IF($F$6="",0,IF(ISNUMBER(INDEX($A:$AP,ROW(),$F$6)),INDEX($A:$AP,ROW(),$F$6),IFERROR(--SUBSTITUTE(SUBSTITUTE(TRIM(INDEX($A:$AP,ROW(),$F$6)),",",""),"원",""),0))))</f>
        <v/>
      </c>
      <c r="AU961" s="23">
        <f>IF($AS961="","",IF($G$6="",0,IF(ISNUMBER(INDEX($A:$AP,ROW(),$G$6)),INDEX($A:$AP,ROW(),$G$6),IFERROR(--SUBSTITUTE(SUBSTITUTE(TRIM(INDEX($A:$AP,ROW(),$G$6)),",",""),"원",""),0))))</f>
        <v/>
      </c>
      <c r="AV961" s="23">
        <f>IF($AS961="","",IF($H$6="",$AT961+$AU961,IF($H$6="",0,IF(ISNUMBER(INDEX($A:$AP,ROW(),$H$6)),INDEX($A:$AP,ROW(),$H$6),IFERROR(--SUBSTITUTE(SUBSTITUTE(TRIM(INDEX($A:$AP,ROW(),$H$6)),",",""),"원",""),0)))))</f>
        <v/>
      </c>
      <c r="AW961" s="2">
        <f>IF(OR($AS961="",$C$6=""),"",TRIM(INDEX($A:$AP,ROW(),$C$6)&amp;""))</f>
        <v/>
      </c>
      <c r="AX961" s="2">
        <f>IF($AS961="","",IF($AZ961&lt;&gt;"",SUBSTITUTE(SUBSTITUTE($AZ961,"-","")," ",""),$AY961))</f>
        <v/>
      </c>
      <c r="AY961" s="2">
        <f>IF(OR($AS961="",$E$6=""),"",TRIM(INDEX($A:$AP,ROW(),$E$6)&amp;""))</f>
        <v/>
      </c>
      <c r="AZ961" s="2">
        <f>IF(OR($AS961="",$D$6=""),"",TRIM(INDEX($A:$AP,ROW(),$D$6)&amp;""))</f>
        <v/>
      </c>
      <c r="BA961" s="2">
        <f>IF($AS961="","",IF(AND($AS961&gt;=설정!$B$10,$AS961&lt;=설정!$B$11),"포함","기간 밖"))</f>
        <v/>
      </c>
      <c r="BB961" s="2">
        <f>IF($AS961="","",IF(OR($AT961&lt;0,AND($I$6&lt;&gt;"",ISNUMBER(FIND("수정",INDEX($A:$AP,ROW(),IF($I$6="",1,$I$6))&amp;"")))),"수정","일반"))</f>
        <v/>
      </c>
      <c r="BC961" s="2">
        <f>IF($AS961="","",MID(IF($BA961="기간 밖"," / 기간 밖(신고기간 아님)","")&amp;IF(AND($AW961&lt;&gt;"",COUNTIF($AW$8:$AW$1007,$AW961)&gt;1)," / 승인번호 중복(두 번 붙여넣기?)","")&amp;IF(ABS($AU961-ROUND($AT961*0.1,0))&gt;설정!$B$8,IF($AU961=0," / 세액 0원(영세율·면세 여부 확인)"," / 세액이 공급가액 10%와 다름"),"")&amp;IF($BB961="수정"," / 수정세금계산서(합계에서 자동 가감)",""),4,200))</f>
        <v/>
      </c>
      <c r="BD961" s="2">
        <f>IF($BA961&lt;&gt;"포함","",IF(COUNTIFS($AX$8:$AX961,$AX961,$BA$8:$BA961,"포함")=1,MAX($BD$7:BD960)+1,""))</f>
        <v/>
      </c>
      <c r="BE961" s="2">
        <f>IF($BC961="","",MAX($BE$7:BE960)+1)</f>
        <v/>
      </c>
    </row>
    <row r="962">
      <c r="AR962" s="2">
        <f>IF(OR($A$5="",$B$6="",ROW()&lt;$A$5),"",IF(INDEX($A:$AP,ROW(),$B$6)="","",INDEX($A:$AP,ROW(),$B$6)))</f>
        <v/>
      </c>
      <c r="AS962" s="22">
        <f>IF($AR962="","",IF(ISNUMBER($AR962),IF($AR962&gt;=10000000,IFERROR(DATE(INT($AR962/10000),MOD(INT($AR962/100),100),MOD($AR962,100)),""),INT($AR962)),IFERROR(DATE(--LEFT(LEFT(SUBSTITUTE(SUBSTITUTE(SUBSTITUTE(SUBSTITUTE(TRIM($AR962),"-",""),".",""),"/","")," ",""),8),4),--MID(LEFT(SUBSTITUTE(SUBSTITUTE(SUBSTITUTE(SUBSTITUTE(TRIM($AR962),"-",""),".",""),"/","")," ",""),8),5,2),--MID(LEFT(SUBSTITUTE(SUBSTITUTE(SUBSTITUTE(SUBSTITUTE(TRIM($AR962),"-",""),".",""),"/","")," ",""),8),7,2)),"")))</f>
        <v/>
      </c>
      <c r="AT962" s="23">
        <f>IF($AS962="","",IF($F$6="",0,IF(ISNUMBER(INDEX($A:$AP,ROW(),$F$6)),INDEX($A:$AP,ROW(),$F$6),IFERROR(--SUBSTITUTE(SUBSTITUTE(TRIM(INDEX($A:$AP,ROW(),$F$6)),",",""),"원",""),0))))</f>
        <v/>
      </c>
      <c r="AU962" s="23">
        <f>IF($AS962="","",IF($G$6="",0,IF(ISNUMBER(INDEX($A:$AP,ROW(),$G$6)),INDEX($A:$AP,ROW(),$G$6),IFERROR(--SUBSTITUTE(SUBSTITUTE(TRIM(INDEX($A:$AP,ROW(),$G$6)),",",""),"원",""),0))))</f>
        <v/>
      </c>
      <c r="AV962" s="23">
        <f>IF($AS962="","",IF($H$6="",$AT962+$AU962,IF($H$6="",0,IF(ISNUMBER(INDEX($A:$AP,ROW(),$H$6)),INDEX($A:$AP,ROW(),$H$6),IFERROR(--SUBSTITUTE(SUBSTITUTE(TRIM(INDEX($A:$AP,ROW(),$H$6)),",",""),"원",""),0)))))</f>
        <v/>
      </c>
      <c r="AW962" s="2">
        <f>IF(OR($AS962="",$C$6=""),"",TRIM(INDEX($A:$AP,ROW(),$C$6)&amp;""))</f>
        <v/>
      </c>
      <c r="AX962" s="2">
        <f>IF($AS962="","",IF($AZ962&lt;&gt;"",SUBSTITUTE(SUBSTITUTE($AZ962,"-","")," ",""),$AY962))</f>
        <v/>
      </c>
      <c r="AY962" s="2">
        <f>IF(OR($AS962="",$E$6=""),"",TRIM(INDEX($A:$AP,ROW(),$E$6)&amp;""))</f>
        <v/>
      </c>
      <c r="AZ962" s="2">
        <f>IF(OR($AS962="",$D$6=""),"",TRIM(INDEX($A:$AP,ROW(),$D$6)&amp;""))</f>
        <v/>
      </c>
      <c r="BA962" s="2">
        <f>IF($AS962="","",IF(AND($AS962&gt;=설정!$B$10,$AS962&lt;=설정!$B$11),"포함","기간 밖"))</f>
        <v/>
      </c>
      <c r="BB962" s="2">
        <f>IF($AS962="","",IF(OR($AT962&lt;0,AND($I$6&lt;&gt;"",ISNUMBER(FIND("수정",INDEX($A:$AP,ROW(),IF($I$6="",1,$I$6))&amp;"")))),"수정","일반"))</f>
        <v/>
      </c>
      <c r="BC962" s="2">
        <f>IF($AS962="","",MID(IF($BA962="기간 밖"," / 기간 밖(신고기간 아님)","")&amp;IF(AND($AW962&lt;&gt;"",COUNTIF($AW$8:$AW$1007,$AW962)&gt;1)," / 승인번호 중복(두 번 붙여넣기?)","")&amp;IF(ABS($AU962-ROUND($AT962*0.1,0))&gt;설정!$B$8,IF($AU962=0," / 세액 0원(영세율·면세 여부 확인)"," / 세액이 공급가액 10%와 다름"),"")&amp;IF($BB962="수정"," / 수정세금계산서(합계에서 자동 가감)",""),4,200))</f>
        <v/>
      </c>
      <c r="BD962" s="2">
        <f>IF($BA962&lt;&gt;"포함","",IF(COUNTIFS($AX$8:$AX962,$AX962,$BA$8:$BA962,"포함")=1,MAX($BD$7:BD961)+1,""))</f>
        <v/>
      </c>
      <c r="BE962" s="2">
        <f>IF($BC962="","",MAX($BE$7:BE961)+1)</f>
        <v/>
      </c>
    </row>
    <row r="963">
      <c r="AR963" s="2">
        <f>IF(OR($A$5="",$B$6="",ROW()&lt;$A$5),"",IF(INDEX($A:$AP,ROW(),$B$6)="","",INDEX($A:$AP,ROW(),$B$6)))</f>
        <v/>
      </c>
      <c r="AS963" s="22">
        <f>IF($AR963="","",IF(ISNUMBER($AR963),IF($AR963&gt;=10000000,IFERROR(DATE(INT($AR963/10000),MOD(INT($AR963/100),100),MOD($AR963,100)),""),INT($AR963)),IFERROR(DATE(--LEFT(LEFT(SUBSTITUTE(SUBSTITUTE(SUBSTITUTE(SUBSTITUTE(TRIM($AR963),"-",""),".",""),"/","")," ",""),8),4),--MID(LEFT(SUBSTITUTE(SUBSTITUTE(SUBSTITUTE(SUBSTITUTE(TRIM($AR963),"-",""),".",""),"/","")," ",""),8),5,2),--MID(LEFT(SUBSTITUTE(SUBSTITUTE(SUBSTITUTE(SUBSTITUTE(TRIM($AR963),"-",""),".",""),"/","")," ",""),8),7,2)),"")))</f>
        <v/>
      </c>
      <c r="AT963" s="23">
        <f>IF($AS963="","",IF($F$6="",0,IF(ISNUMBER(INDEX($A:$AP,ROW(),$F$6)),INDEX($A:$AP,ROW(),$F$6),IFERROR(--SUBSTITUTE(SUBSTITUTE(TRIM(INDEX($A:$AP,ROW(),$F$6)),",",""),"원",""),0))))</f>
        <v/>
      </c>
      <c r="AU963" s="23">
        <f>IF($AS963="","",IF($G$6="",0,IF(ISNUMBER(INDEX($A:$AP,ROW(),$G$6)),INDEX($A:$AP,ROW(),$G$6),IFERROR(--SUBSTITUTE(SUBSTITUTE(TRIM(INDEX($A:$AP,ROW(),$G$6)),",",""),"원",""),0))))</f>
        <v/>
      </c>
      <c r="AV963" s="23">
        <f>IF($AS963="","",IF($H$6="",$AT963+$AU963,IF($H$6="",0,IF(ISNUMBER(INDEX($A:$AP,ROW(),$H$6)),INDEX($A:$AP,ROW(),$H$6),IFERROR(--SUBSTITUTE(SUBSTITUTE(TRIM(INDEX($A:$AP,ROW(),$H$6)),",",""),"원",""),0)))))</f>
        <v/>
      </c>
      <c r="AW963" s="2">
        <f>IF(OR($AS963="",$C$6=""),"",TRIM(INDEX($A:$AP,ROW(),$C$6)&amp;""))</f>
        <v/>
      </c>
      <c r="AX963" s="2">
        <f>IF($AS963="","",IF($AZ963&lt;&gt;"",SUBSTITUTE(SUBSTITUTE($AZ963,"-","")," ",""),$AY963))</f>
        <v/>
      </c>
      <c r="AY963" s="2">
        <f>IF(OR($AS963="",$E$6=""),"",TRIM(INDEX($A:$AP,ROW(),$E$6)&amp;""))</f>
        <v/>
      </c>
      <c r="AZ963" s="2">
        <f>IF(OR($AS963="",$D$6=""),"",TRIM(INDEX($A:$AP,ROW(),$D$6)&amp;""))</f>
        <v/>
      </c>
      <c r="BA963" s="2">
        <f>IF($AS963="","",IF(AND($AS963&gt;=설정!$B$10,$AS963&lt;=설정!$B$11),"포함","기간 밖"))</f>
        <v/>
      </c>
      <c r="BB963" s="2">
        <f>IF($AS963="","",IF(OR($AT963&lt;0,AND($I$6&lt;&gt;"",ISNUMBER(FIND("수정",INDEX($A:$AP,ROW(),IF($I$6="",1,$I$6))&amp;"")))),"수정","일반"))</f>
        <v/>
      </c>
      <c r="BC963" s="2">
        <f>IF($AS963="","",MID(IF($BA963="기간 밖"," / 기간 밖(신고기간 아님)","")&amp;IF(AND($AW963&lt;&gt;"",COUNTIF($AW$8:$AW$1007,$AW963)&gt;1)," / 승인번호 중복(두 번 붙여넣기?)","")&amp;IF(ABS($AU963-ROUND($AT963*0.1,0))&gt;설정!$B$8,IF($AU963=0," / 세액 0원(영세율·면세 여부 확인)"," / 세액이 공급가액 10%와 다름"),"")&amp;IF($BB963="수정"," / 수정세금계산서(합계에서 자동 가감)",""),4,200))</f>
        <v/>
      </c>
      <c r="BD963" s="2">
        <f>IF($BA963&lt;&gt;"포함","",IF(COUNTIFS($AX$8:$AX963,$AX963,$BA$8:$BA963,"포함")=1,MAX($BD$7:BD962)+1,""))</f>
        <v/>
      </c>
      <c r="BE963" s="2">
        <f>IF($BC963="","",MAX($BE$7:BE962)+1)</f>
        <v/>
      </c>
    </row>
    <row r="964">
      <c r="AR964" s="2">
        <f>IF(OR($A$5="",$B$6="",ROW()&lt;$A$5),"",IF(INDEX($A:$AP,ROW(),$B$6)="","",INDEX($A:$AP,ROW(),$B$6)))</f>
        <v/>
      </c>
      <c r="AS964" s="22">
        <f>IF($AR964="","",IF(ISNUMBER($AR964),IF($AR964&gt;=10000000,IFERROR(DATE(INT($AR964/10000),MOD(INT($AR964/100),100),MOD($AR964,100)),""),INT($AR964)),IFERROR(DATE(--LEFT(LEFT(SUBSTITUTE(SUBSTITUTE(SUBSTITUTE(SUBSTITUTE(TRIM($AR964),"-",""),".",""),"/","")," ",""),8),4),--MID(LEFT(SUBSTITUTE(SUBSTITUTE(SUBSTITUTE(SUBSTITUTE(TRIM($AR964),"-",""),".",""),"/","")," ",""),8),5,2),--MID(LEFT(SUBSTITUTE(SUBSTITUTE(SUBSTITUTE(SUBSTITUTE(TRIM($AR964),"-",""),".",""),"/","")," ",""),8),7,2)),"")))</f>
        <v/>
      </c>
      <c r="AT964" s="23">
        <f>IF($AS964="","",IF($F$6="",0,IF(ISNUMBER(INDEX($A:$AP,ROW(),$F$6)),INDEX($A:$AP,ROW(),$F$6),IFERROR(--SUBSTITUTE(SUBSTITUTE(TRIM(INDEX($A:$AP,ROW(),$F$6)),",",""),"원",""),0))))</f>
        <v/>
      </c>
      <c r="AU964" s="23">
        <f>IF($AS964="","",IF($G$6="",0,IF(ISNUMBER(INDEX($A:$AP,ROW(),$G$6)),INDEX($A:$AP,ROW(),$G$6),IFERROR(--SUBSTITUTE(SUBSTITUTE(TRIM(INDEX($A:$AP,ROW(),$G$6)),",",""),"원",""),0))))</f>
        <v/>
      </c>
      <c r="AV964" s="23">
        <f>IF($AS964="","",IF($H$6="",$AT964+$AU964,IF($H$6="",0,IF(ISNUMBER(INDEX($A:$AP,ROW(),$H$6)),INDEX($A:$AP,ROW(),$H$6),IFERROR(--SUBSTITUTE(SUBSTITUTE(TRIM(INDEX($A:$AP,ROW(),$H$6)),",",""),"원",""),0)))))</f>
        <v/>
      </c>
      <c r="AW964" s="2">
        <f>IF(OR($AS964="",$C$6=""),"",TRIM(INDEX($A:$AP,ROW(),$C$6)&amp;""))</f>
        <v/>
      </c>
      <c r="AX964" s="2">
        <f>IF($AS964="","",IF($AZ964&lt;&gt;"",SUBSTITUTE(SUBSTITUTE($AZ964,"-","")," ",""),$AY964))</f>
        <v/>
      </c>
      <c r="AY964" s="2">
        <f>IF(OR($AS964="",$E$6=""),"",TRIM(INDEX($A:$AP,ROW(),$E$6)&amp;""))</f>
        <v/>
      </c>
      <c r="AZ964" s="2">
        <f>IF(OR($AS964="",$D$6=""),"",TRIM(INDEX($A:$AP,ROW(),$D$6)&amp;""))</f>
        <v/>
      </c>
      <c r="BA964" s="2">
        <f>IF($AS964="","",IF(AND($AS964&gt;=설정!$B$10,$AS964&lt;=설정!$B$11),"포함","기간 밖"))</f>
        <v/>
      </c>
      <c r="BB964" s="2">
        <f>IF($AS964="","",IF(OR($AT964&lt;0,AND($I$6&lt;&gt;"",ISNUMBER(FIND("수정",INDEX($A:$AP,ROW(),IF($I$6="",1,$I$6))&amp;"")))),"수정","일반"))</f>
        <v/>
      </c>
      <c r="BC964" s="2">
        <f>IF($AS964="","",MID(IF($BA964="기간 밖"," / 기간 밖(신고기간 아님)","")&amp;IF(AND($AW964&lt;&gt;"",COUNTIF($AW$8:$AW$1007,$AW964)&gt;1)," / 승인번호 중복(두 번 붙여넣기?)","")&amp;IF(ABS($AU964-ROUND($AT964*0.1,0))&gt;설정!$B$8,IF($AU964=0," / 세액 0원(영세율·면세 여부 확인)"," / 세액이 공급가액 10%와 다름"),"")&amp;IF($BB964="수정"," / 수정세금계산서(합계에서 자동 가감)",""),4,200))</f>
        <v/>
      </c>
      <c r="BD964" s="2">
        <f>IF($BA964&lt;&gt;"포함","",IF(COUNTIFS($AX$8:$AX964,$AX964,$BA$8:$BA964,"포함")=1,MAX($BD$7:BD963)+1,""))</f>
        <v/>
      </c>
      <c r="BE964" s="2">
        <f>IF($BC964="","",MAX($BE$7:BE963)+1)</f>
        <v/>
      </c>
    </row>
    <row r="965">
      <c r="AR965" s="2">
        <f>IF(OR($A$5="",$B$6="",ROW()&lt;$A$5),"",IF(INDEX($A:$AP,ROW(),$B$6)="","",INDEX($A:$AP,ROW(),$B$6)))</f>
        <v/>
      </c>
      <c r="AS965" s="22">
        <f>IF($AR965="","",IF(ISNUMBER($AR965),IF($AR965&gt;=10000000,IFERROR(DATE(INT($AR965/10000),MOD(INT($AR965/100),100),MOD($AR965,100)),""),INT($AR965)),IFERROR(DATE(--LEFT(LEFT(SUBSTITUTE(SUBSTITUTE(SUBSTITUTE(SUBSTITUTE(TRIM($AR965),"-",""),".",""),"/","")," ",""),8),4),--MID(LEFT(SUBSTITUTE(SUBSTITUTE(SUBSTITUTE(SUBSTITUTE(TRIM($AR965),"-",""),".",""),"/","")," ",""),8),5,2),--MID(LEFT(SUBSTITUTE(SUBSTITUTE(SUBSTITUTE(SUBSTITUTE(TRIM($AR965),"-",""),".",""),"/","")," ",""),8),7,2)),"")))</f>
        <v/>
      </c>
      <c r="AT965" s="23">
        <f>IF($AS965="","",IF($F$6="",0,IF(ISNUMBER(INDEX($A:$AP,ROW(),$F$6)),INDEX($A:$AP,ROW(),$F$6),IFERROR(--SUBSTITUTE(SUBSTITUTE(TRIM(INDEX($A:$AP,ROW(),$F$6)),",",""),"원",""),0))))</f>
        <v/>
      </c>
      <c r="AU965" s="23">
        <f>IF($AS965="","",IF($G$6="",0,IF(ISNUMBER(INDEX($A:$AP,ROW(),$G$6)),INDEX($A:$AP,ROW(),$G$6),IFERROR(--SUBSTITUTE(SUBSTITUTE(TRIM(INDEX($A:$AP,ROW(),$G$6)),",",""),"원",""),0))))</f>
        <v/>
      </c>
      <c r="AV965" s="23">
        <f>IF($AS965="","",IF($H$6="",$AT965+$AU965,IF($H$6="",0,IF(ISNUMBER(INDEX($A:$AP,ROW(),$H$6)),INDEX($A:$AP,ROW(),$H$6),IFERROR(--SUBSTITUTE(SUBSTITUTE(TRIM(INDEX($A:$AP,ROW(),$H$6)),",",""),"원",""),0)))))</f>
        <v/>
      </c>
      <c r="AW965" s="2">
        <f>IF(OR($AS965="",$C$6=""),"",TRIM(INDEX($A:$AP,ROW(),$C$6)&amp;""))</f>
        <v/>
      </c>
      <c r="AX965" s="2">
        <f>IF($AS965="","",IF($AZ965&lt;&gt;"",SUBSTITUTE(SUBSTITUTE($AZ965,"-","")," ",""),$AY965))</f>
        <v/>
      </c>
      <c r="AY965" s="2">
        <f>IF(OR($AS965="",$E$6=""),"",TRIM(INDEX($A:$AP,ROW(),$E$6)&amp;""))</f>
        <v/>
      </c>
      <c r="AZ965" s="2">
        <f>IF(OR($AS965="",$D$6=""),"",TRIM(INDEX($A:$AP,ROW(),$D$6)&amp;""))</f>
        <v/>
      </c>
      <c r="BA965" s="2">
        <f>IF($AS965="","",IF(AND($AS965&gt;=설정!$B$10,$AS965&lt;=설정!$B$11),"포함","기간 밖"))</f>
        <v/>
      </c>
      <c r="BB965" s="2">
        <f>IF($AS965="","",IF(OR($AT965&lt;0,AND($I$6&lt;&gt;"",ISNUMBER(FIND("수정",INDEX($A:$AP,ROW(),IF($I$6="",1,$I$6))&amp;"")))),"수정","일반"))</f>
        <v/>
      </c>
      <c r="BC965" s="2">
        <f>IF($AS965="","",MID(IF($BA965="기간 밖"," / 기간 밖(신고기간 아님)","")&amp;IF(AND($AW965&lt;&gt;"",COUNTIF($AW$8:$AW$1007,$AW965)&gt;1)," / 승인번호 중복(두 번 붙여넣기?)","")&amp;IF(ABS($AU965-ROUND($AT965*0.1,0))&gt;설정!$B$8,IF($AU965=0," / 세액 0원(영세율·면세 여부 확인)"," / 세액이 공급가액 10%와 다름"),"")&amp;IF($BB965="수정"," / 수정세금계산서(합계에서 자동 가감)",""),4,200))</f>
        <v/>
      </c>
      <c r="BD965" s="2">
        <f>IF($BA965&lt;&gt;"포함","",IF(COUNTIFS($AX$8:$AX965,$AX965,$BA$8:$BA965,"포함")=1,MAX($BD$7:BD964)+1,""))</f>
        <v/>
      </c>
      <c r="BE965" s="2">
        <f>IF($BC965="","",MAX($BE$7:BE964)+1)</f>
        <v/>
      </c>
    </row>
    <row r="966">
      <c r="AR966" s="2">
        <f>IF(OR($A$5="",$B$6="",ROW()&lt;$A$5),"",IF(INDEX($A:$AP,ROW(),$B$6)="","",INDEX($A:$AP,ROW(),$B$6)))</f>
        <v/>
      </c>
      <c r="AS966" s="22">
        <f>IF($AR966="","",IF(ISNUMBER($AR966),IF($AR966&gt;=10000000,IFERROR(DATE(INT($AR966/10000),MOD(INT($AR966/100),100),MOD($AR966,100)),""),INT($AR966)),IFERROR(DATE(--LEFT(LEFT(SUBSTITUTE(SUBSTITUTE(SUBSTITUTE(SUBSTITUTE(TRIM($AR966),"-",""),".",""),"/","")," ",""),8),4),--MID(LEFT(SUBSTITUTE(SUBSTITUTE(SUBSTITUTE(SUBSTITUTE(TRIM($AR966),"-",""),".",""),"/","")," ",""),8),5,2),--MID(LEFT(SUBSTITUTE(SUBSTITUTE(SUBSTITUTE(SUBSTITUTE(TRIM($AR966),"-",""),".",""),"/","")," ",""),8),7,2)),"")))</f>
        <v/>
      </c>
      <c r="AT966" s="23">
        <f>IF($AS966="","",IF($F$6="",0,IF(ISNUMBER(INDEX($A:$AP,ROW(),$F$6)),INDEX($A:$AP,ROW(),$F$6),IFERROR(--SUBSTITUTE(SUBSTITUTE(TRIM(INDEX($A:$AP,ROW(),$F$6)),",",""),"원",""),0))))</f>
        <v/>
      </c>
      <c r="AU966" s="23">
        <f>IF($AS966="","",IF($G$6="",0,IF(ISNUMBER(INDEX($A:$AP,ROW(),$G$6)),INDEX($A:$AP,ROW(),$G$6),IFERROR(--SUBSTITUTE(SUBSTITUTE(TRIM(INDEX($A:$AP,ROW(),$G$6)),",",""),"원",""),0))))</f>
        <v/>
      </c>
      <c r="AV966" s="23">
        <f>IF($AS966="","",IF($H$6="",$AT966+$AU966,IF($H$6="",0,IF(ISNUMBER(INDEX($A:$AP,ROW(),$H$6)),INDEX($A:$AP,ROW(),$H$6),IFERROR(--SUBSTITUTE(SUBSTITUTE(TRIM(INDEX($A:$AP,ROW(),$H$6)),",",""),"원",""),0)))))</f>
        <v/>
      </c>
      <c r="AW966" s="2">
        <f>IF(OR($AS966="",$C$6=""),"",TRIM(INDEX($A:$AP,ROW(),$C$6)&amp;""))</f>
        <v/>
      </c>
      <c r="AX966" s="2">
        <f>IF($AS966="","",IF($AZ966&lt;&gt;"",SUBSTITUTE(SUBSTITUTE($AZ966,"-","")," ",""),$AY966))</f>
        <v/>
      </c>
      <c r="AY966" s="2">
        <f>IF(OR($AS966="",$E$6=""),"",TRIM(INDEX($A:$AP,ROW(),$E$6)&amp;""))</f>
        <v/>
      </c>
      <c r="AZ966" s="2">
        <f>IF(OR($AS966="",$D$6=""),"",TRIM(INDEX($A:$AP,ROW(),$D$6)&amp;""))</f>
        <v/>
      </c>
      <c r="BA966" s="2">
        <f>IF($AS966="","",IF(AND($AS966&gt;=설정!$B$10,$AS966&lt;=설정!$B$11),"포함","기간 밖"))</f>
        <v/>
      </c>
      <c r="BB966" s="2">
        <f>IF($AS966="","",IF(OR($AT966&lt;0,AND($I$6&lt;&gt;"",ISNUMBER(FIND("수정",INDEX($A:$AP,ROW(),IF($I$6="",1,$I$6))&amp;"")))),"수정","일반"))</f>
        <v/>
      </c>
      <c r="BC966" s="2">
        <f>IF($AS966="","",MID(IF($BA966="기간 밖"," / 기간 밖(신고기간 아님)","")&amp;IF(AND($AW966&lt;&gt;"",COUNTIF($AW$8:$AW$1007,$AW966)&gt;1)," / 승인번호 중복(두 번 붙여넣기?)","")&amp;IF(ABS($AU966-ROUND($AT966*0.1,0))&gt;설정!$B$8,IF($AU966=0," / 세액 0원(영세율·면세 여부 확인)"," / 세액이 공급가액 10%와 다름"),"")&amp;IF($BB966="수정"," / 수정세금계산서(합계에서 자동 가감)",""),4,200))</f>
        <v/>
      </c>
      <c r="BD966" s="2">
        <f>IF($BA966&lt;&gt;"포함","",IF(COUNTIFS($AX$8:$AX966,$AX966,$BA$8:$BA966,"포함")=1,MAX($BD$7:BD965)+1,""))</f>
        <v/>
      </c>
      <c r="BE966" s="2">
        <f>IF($BC966="","",MAX($BE$7:BE965)+1)</f>
        <v/>
      </c>
    </row>
    <row r="967">
      <c r="AR967" s="2">
        <f>IF(OR($A$5="",$B$6="",ROW()&lt;$A$5),"",IF(INDEX($A:$AP,ROW(),$B$6)="","",INDEX($A:$AP,ROW(),$B$6)))</f>
        <v/>
      </c>
      <c r="AS967" s="22">
        <f>IF($AR967="","",IF(ISNUMBER($AR967),IF($AR967&gt;=10000000,IFERROR(DATE(INT($AR967/10000),MOD(INT($AR967/100),100),MOD($AR967,100)),""),INT($AR967)),IFERROR(DATE(--LEFT(LEFT(SUBSTITUTE(SUBSTITUTE(SUBSTITUTE(SUBSTITUTE(TRIM($AR967),"-",""),".",""),"/","")," ",""),8),4),--MID(LEFT(SUBSTITUTE(SUBSTITUTE(SUBSTITUTE(SUBSTITUTE(TRIM($AR967),"-",""),".",""),"/","")," ",""),8),5,2),--MID(LEFT(SUBSTITUTE(SUBSTITUTE(SUBSTITUTE(SUBSTITUTE(TRIM($AR967),"-",""),".",""),"/","")," ",""),8),7,2)),"")))</f>
        <v/>
      </c>
      <c r="AT967" s="23">
        <f>IF($AS967="","",IF($F$6="",0,IF(ISNUMBER(INDEX($A:$AP,ROW(),$F$6)),INDEX($A:$AP,ROW(),$F$6),IFERROR(--SUBSTITUTE(SUBSTITUTE(TRIM(INDEX($A:$AP,ROW(),$F$6)),",",""),"원",""),0))))</f>
        <v/>
      </c>
      <c r="AU967" s="23">
        <f>IF($AS967="","",IF($G$6="",0,IF(ISNUMBER(INDEX($A:$AP,ROW(),$G$6)),INDEX($A:$AP,ROW(),$G$6),IFERROR(--SUBSTITUTE(SUBSTITUTE(TRIM(INDEX($A:$AP,ROW(),$G$6)),",",""),"원",""),0))))</f>
        <v/>
      </c>
      <c r="AV967" s="23">
        <f>IF($AS967="","",IF($H$6="",$AT967+$AU967,IF($H$6="",0,IF(ISNUMBER(INDEX($A:$AP,ROW(),$H$6)),INDEX($A:$AP,ROW(),$H$6),IFERROR(--SUBSTITUTE(SUBSTITUTE(TRIM(INDEX($A:$AP,ROW(),$H$6)),",",""),"원",""),0)))))</f>
        <v/>
      </c>
      <c r="AW967" s="2">
        <f>IF(OR($AS967="",$C$6=""),"",TRIM(INDEX($A:$AP,ROW(),$C$6)&amp;""))</f>
        <v/>
      </c>
      <c r="AX967" s="2">
        <f>IF($AS967="","",IF($AZ967&lt;&gt;"",SUBSTITUTE(SUBSTITUTE($AZ967,"-","")," ",""),$AY967))</f>
        <v/>
      </c>
      <c r="AY967" s="2">
        <f>IF(OR($AS967="",$E$6=""),"",TRIM(INDEX($A:$AP,ROW(),$E$6)&amp;""))</f>
        <v/>
      </c>
      <c r="AZ967" s="2">
        <f>IF(OR($AS967="",$D$6=""),"",TRIM(INDEX($A:$AP,ROW(),$D$6)&amp;""))</f>
        <v/>
      </c>
      <c r="BA967" s="2">
        <f>IF($AS967="","",IF(AND($AS967&gt;=설정!$B$10,$AS967&lt;=설정!$B$11),"포함","기간 밖"))</f>
        <v/>
      </c>
      <c r="BB967" s="2">
        <f>IF($AS967="","",IF(OR($AT967&lt;0,AND($I$6&lt;&gt;"",ISNUMBER(FIND("수정",INDEX($A:$AP,ROW(),IF($I$6="",1,$I$6))&amp;"")))),"수정","일반"))</f>
        <v/>
      </c>
      <c r="BC967" s="2">
        <f>IF($AS967="","",MID(IF($BA967="기간 밖"," / 기간 밖(신고기간 아님)","")&amp;IF(AND($AW967&lt;&gt;"",COUNTIF($AW$8:$AW$1007,$AW967)&gt;1)," / 승인번호 중복(두 번 붙여넣기?)","")&amp;IF(ABS($AU967-ROUND($AT967*0.1,0))&gt;설정!$B$8,IF($AU967=0," / 세액 0원(영세율·면세 여부 확인)"," / 세액이 공급가액 10%와 다름"),"")&amp;IF($BB967="수정"," / 수정세금계산서(합계에서 자동 가감)",""),4,200))</f>
        <v/>
      </c>
      <c r="BD967" s="2">
        <f>IF($BA967&lt;&gt;"포함","",IF(COUNTIFS($AX$8:$AX967,$AX967,$BA$8:$BA967,"포함")=1,MAX($BD$7:BD966)+1,""))</f>
        <v/>
      </c>
      <c r="BE967" s="2">
        <f>IF($BC967="","",MAX($BE$7:BE966)+1)</f>
        <v/>
      </c>
    </row>
    <row r="968">
      <c r="AR968" s="2">
        <f>IF(OR($A$5="",$B$6="",ROW()&lt;$A$5),"",IF(INDEX($A:$AP,ROW(),$B$6)="","",INDEX($A:$AP,ROW(),$B$6)))</f>
        <v/>
      </c>
      <c r="AS968" s="22">
        <f>IF($AR968="","",IF(ISNUMBER($AR968),IF($AR968&gt;=10000000,IFERROR(DATE(INT($AR968/10000),MOD(INT($AR968/100),100),MOD($AR968,100)),""),INT($AR968)),IFERROR(DATE(--LEFT(LEFT(SUBSTITUTE(SUBSTITUTE(SUBSTITUTE(SUBSTITUTE(TRIM($AR968),"-",""),".",""),"/","")," ",""),8),4),--MID(LEFT(SUBSTITUTE(SUBSTITUTE(SUBSTITUTE(SUBSTITUTE(TRIM($AR968),"-",""),".",""),"/","")," ",""),8),5,2),--MID(LEFT(SUBSTITUTE(SUBSTITUTE(SUBSTITUTE(SUBSTITUTE(TRIM($AR968),"-",""),".",""),"/","")," ",""),8),7,2)),"")))</f>
        <v/>
      </c>
      <c r="AT968" s="23">
        <f>IF($AS968="","",IF($F$6="",0,IF(ISNUMBER(INDEX($A:$AP,ROW(),$F$6)),INDEX($A:$AP,ROW(),$F$6),IFERROR(--SUBSTITUTE(SUBSTITUTE(TRIM(INDEX($A:$AP,ROW(),$F$6)),",",""),"원",""),0))))</f>
        <v/>
      </c>
      <c r="AU968" s="23">
        <f>IF($AS968="","",IF($G$6="",0,IF(ISNUMBER(INDEX($A:$AP,ROW(),$G$6)),INDEX($A:$AP,ROW(),$G$6),IFERROR(--SUBSTITUTE(SUBSTITUTE(TRIM(INDEX($A:$AP,ROW(),$G$6)),",",""),"원",""),0))))</f>
        <v/>
      </c>
      <c r="AV968" s="23">
        <f>IF($AS968="","",IF($H$6="",$AT968+$AU968,IF($H$6="",0,IF(ISNUMBER(INDEX($A:$AP,ROW(),$H$6)),INDEX($A:$AP,ROW(),$H$6),IFERROR(--SUBSTITUTE(SUBSTITUTE(TRIM(INDEX($A:$AP,ROW(),$H$6)),",",""),"원",""),0)))))</f>
        <v/>
      </c>
      <c r="AW968" s="2">
        <f>IF(OR($AS968="",$C$6=""),"",TRIM(INDEX($A:$AP,ROW(),$C$6)&amp;""))</f>
        <v/>
      </c>
      <c r="AX968" s="2">
        <f>IF($AS968="","",IF($AZ968&lt;&gt;"",SUBSTITUTE(SUBSTITUTE($AZ968,"-","")," ",""),$AY968))</f>
        <v/>
      </c>
      <c r="AY968" s="2">
        <f>IF(OR($AS968="",$E$6=""),"",TRIM(INDEX($A:$AP,ROW(),$E$6)&amp;""))</f>
        <v/>
      </c>
      <c r="AZ968" s="2">
        <f>IF(OR($AS968="",$D$6=""),"",TRIM(INDEX($A:$AP,ROW(),$D$6)&amp;""))</f>
        <v/>
      </c>
      <c r="BA968" s="2">
        <f>IF($AS968="","",IF(AND($AS968&gt;=설정!$B$10,$AS968&lt;=설정!$B$11),"포함","기간 밖"))</f>
        <v/>
      </c>
      <c r="BB968" s="2">
        <f>IF($AS968="","",IF(OR($AT968&lt;0,AND($I$6&lt;&gt;"",ISNUMBER(FIND("수정",INDEX($A:$AP,ROW(),IF($I$6="",1,$I$6))&amp;"")))),"수정","일반"))</f>
        <v/>
      </c>
      <c r="BC968" s="2">
        <f>IF($AS968="","",MID(IF($BA968="기간 밖"," / 기간 밖(신고기간 아님)","")&amp;IF(AND($AW968&lt;&gt;"",COUNTIF($AW$8:$AW$1007,$AW968)&gt;1)," / 승인번호 중복(두 번 붙여넣기?)","")&amp;IF(ABS($AU968-ROUND($AT968*0.1,0))&gt;설정!$B$8,IF($AU968=0," / 세액 0원(영세율·면세 여부 확인)"," / 세액이 공급가액 10%와 다름"),"")&amp;IF($BB968="수정"," / 수정세금계산서(합계에서 자동 가감)",""),4,200))</f>
        <v/>
      </c>
      <c r="BD968" s="2">
        <f>IF($BA968&lt;&gt;"포함","",IF(COUNTIFS($AX$8:$AX968,$AX968,$BA$8:$BA968,"포함")=1,MAX($BD$7:BD967)+1,""))</f>
        <v/>
      </c>
      <c r="BE968" s="2">
        <f>IF($BC968="","",MAX($BE$7:BE967)+1)</f>
        <v/>
      </c>
    </row>
    <row r="969">
      <c r="AR969" s="2">
        <f>IF(OR($A$5="",$B$6="",ROW()&lt;$A$5),"",IF(INDEX($A:$AP,ROW(),$B$6)="","",INDEX($A:$AP,ROW(),$B$6)))</f>
        <v/>
      </c>
      <c r="AS969" s="22">
        <f>IF($AR969="","",IF(ISNUMBER($AR969),IF($AR969&gt;=10000000,IFERROR(DATE(INT($AR969/10000),MOD(INT($AR969/100),100),MOD($AR969,100)),""),INT($AR969)),IFERROR(DATE(--LEFT(LEFT(SUBSTITUTE(SUBSTITUTE(SUBSTITUTE(SUBSTITUTE(TRIM($AR969),"-",""),".",""),"/","")," ",""),8),4),--MID(LEFT(SUBSTITUTE(SUBSTITUTE(SUBSTITUTE(SUBSTITUTE(TRIM($AR969),"-",""),".",""),"/","")," ",""),8),5,2),--MID(LEFT(SUBSTITUTE(SUBSTITUTE(SUBSTITUTE(SUBSTITUTE(TRIM($AR969),"-",""),".",""),"/","")," ",""),8),7,2)),"")))</f>
        <v/>
      </c>
      <c r="AT969" s="23">
        <f>IF($AS969="","",IF($F$6="",0,IF(ISNUMBER(INDEX($A:$AP,ROW(),$F$6)),INDEX($A:$AP,ROW(),$F$6),IFERROR(--SUBSTITUTE(SUBSTITUTE(TRIM(INDEX($A:$AP,ROW(),$F$6)),",",""),"원",""),0))))</f>
        <v/>
      </c>
      <c r="AU969" s="23">
        <f>IF($AS969="","",IF($G$6="",0,IF(ISNUMBER(INDEX($A:$AP,ROW(),$G$6)),INDEX($A:$AP,ROW(),$G$6),IFERROR(--SUBSTITUTE(SUBSTITUTE(TRIM(INDEX($A:$AP,ROW(),$G$6)),",",""),"원",""),0))))</f>
        <v/>
      </c>
      <c r="AV969" s="23">
        <f>IF($AS969="","",IF($H$6="",$AT969+$AU969,IF($H$6="",0,IF(ISNUMBER(INDEX($A:$AP,ROW(),$H$6)),INDEX($A:$AP,ROW(),$H$6),IFERROR(--SUBSTITUTE(SUBSTITUTE(TRIM(INDEX($A:$AP,ROW(),$H$6)),",",""),"원",""),0)))))</f>
        <v/>
      </c>
      <c r="AW969" s="2">
        <f>IF(OR($AS969="",$C$6=""),"",TRIM(INDEX($A:$AP,ROW(),$C$6)&amp;""))</f>
        <v/>
      </c>
      <c r="AX969" s="2">
        <f>IF($AS969="","",IF($AZ969&lt;&gt;"",SUBSTITUTE(SUBSTITUTE($AZ969,"-","")," ",""),$AY969))</f>
        <v/>
      </c>
      <c r="AY969" s="2">
        <f>IF(OR($AS969="",$E$6=""),"",TRIM(INDEX($A:$AP,ROW(),$E$6)&amp;""))</f>
        <v/>
      </c>
      <c r="AZ969" s="2">
        <f>IF(OR($AS969="",$D$6=""),"",TRIM(INDEX($A:$AP,ROW(),$D$6)&amp;""))</f>
        <v/>
      </c>
      <c r="BA969" s="2">
        <f>IF($AS969="","",IF(AND($AS969&gt;=설정!$B$10,$AS969&lt;=설정!$B$11),"포함","기간 밖"))</f>
        <v/>
      </c>
      <c r="BB969" s="2">
        <f>IF($AS969="","",IF(OR($AT969&lt;0,AND($I$6&lt;&gt;"",ISNUMBER(FIND("수정",INDEX($A:$AP,ROW(),IF($I$6="",1,$I$6))&amp;"")))),"수정","일반"))</f>
        <v/>
      </c>
      <c r="BC969" s="2">
        <f>IF($AS969="","",MID(IF($BA969="기간 밖"," / 기간 밖(신고기간 아님)","")&amp;IF(AND($AW969&lt;&gt;"",COUNTIF($AW$8:$AW$1007,$AW969)&gt;1)," / 승인번호 중복(두 번 붙여넣기?)","")&amp;IF(ABS($AU969-ROUND($AT969*0.1,0))&gt;설정!$B$8,IF($AU969=0," / 세액 0원(영세율·면세 여부 확인)"," / 세액이 공급가액 10%와 다름"),"")&amp;IF($BB969="수정"," / 수정세금계산서(합계에서 자동 가감)",""),4,200))</f>
        <v/>
      </c>
      <c r="BD969" s="2">
        <f>IF($BA969&lt;&gt;"포함","",IF(COUNTIFS($AX$8:$AX969,$AX969,$BA$8:$BA969,"포함")=1,MAX($BD$7:BD968)+1,""))</f>
        <v/>
      </c>
      <c r="BE969" s="2">
        <f>IF($BC969="","",MAX($BE$7:BE968)+1)</f>
        <v/>
      </c>
    </row>
    <row r="970">
      <c r="AR970" s="2">
        <f>IF(OR($A$5="",$B$6="",ROW()&lt;$A$5),"",IF(INDEX($A:$AP,ROW(),$B$6)="","",INDEX($A:$AP,ROW(),$B$6)))</f>
        <v/>
      </c>
      <c r="AS970" s="22">
        <f>IF($AR970="","",IF(ISNUMBER($AR970),IF($AR970&gt;=10000000,IFERROR(DATE(INT($AR970/10000),MOD(INT($AR970/100),100),MOD($AR970,100)),""),INT($AR970)),IFERROR(DATE(--LEFT(LEFT(SUBSTITUTE(SUBSTITUTE(SUBSTITUTE(SUBSTITUTE(TRIM($AR970),"-",""),".",""),"/","")," ",""),8),4),--MID(LEFT(SUBSTITUTE(SUBSTITUTE(SUBSTITUTE(SUBSTITUTE(TRIM($AR970),"-",""),".",""),"/","")," ",""),8),5,2),--MID(LEFT(SUBSTITUTE(SUBSTITUTE(SUBSTITUTE(SUBSTITUTE(TRIM($AR970),"-",""),".",""),"/","")," ",""),8),7,2)),"")))</f>
        <v/>
      </c>
      <c r="AT970" s="23">
        <f>IF($AS970="","",IF($F$6="",0,IF(ISNUMBER(INDEX($A:$AP,ROW(),$F$6)),INDEX($A:$AP,ROW(),$F$6),IFERROR(--SUBSTITUTE(SUBSTITUTE(TRIM(INDEX($A:$AP,ROW(),$F$6)),",",""),"원",""),0))))</f>
        <v/>
      </c>
      <c r="AU970" s="23">
        <f>IF($AS970="","",IF($G$6="",0,IF(ISNUMBER(INDEX($A:$AP,ROW(),$G$6)),INDEX($A:$AP,ROW(),$G$6),IFERROR(--SUBSTITUTE(SUBSTITUTE(TRIM(INDEX($A:$AP,ROW(),$G$6)),",",""),"원",""),0))))</f>
        <v/>
      </c>
      <c r="AV970" s="23">
        <f>IF($AS970="","",IF($H$6="",$AT970+$AU970,IF($H$6="",0,IF(ISNUMBER(INDEX($A:$AP,ROW(),$H$6)),INDEX($A:$AP,ROW(),$H$6),IFERROR(--SUBSTITUTE(SUBSTITUTE(TRIM(INDEX($A:$AP,ROW(),$H$6)),",",""),"원",""),0)))))</f>
        <v/>
      </c>
      <c r="AW970" s="2">
        <f>IF(OR($AS970="",$C$6=""),"",TRIM(INDEX($A:$AP,ROW(),$C$6)&amp;""))</f>
        <v/>
      </c>
      <c r="AX970" s="2">
        <f>IF($AS970="","",IF($AZ970&lt;&gt;"",SUBSTITUTE(SUBSTITUTE($AZ970,"-","")," ",""),$AY970))</f>
        <v/>
      </c>
      <c r="AY970" s="2">
        <f>IF(OR($AS970="",$E$6=""),"",TRIM(INDEX($A:$AP,ROW(),$E$6)&amp;""))</f>
        <v/>
      </c>
      <c r="AZ970" s="2">
        <f>IF(OR($AS970="",$D$6=""),"",TRIM(INDEX($A:$AP,ROW(),$D$6)&amp;""))</f>
        <v/>
      </c>
      <c r="BA970" s="2">
        <f>IF($AS970="","",IF(AND($AS970&gt;=설정!$B$10,$AS970&lt;=설정!$B$11),"포함","기간 밖"))</f>
        <v/>
      </c>
      <c r="BB970" s="2">
        <f>IF($AS970="","",IF(OR($AT970&lt;0,AND($I$6&lt;&gt;"",ISNUMBER(FIND("수정",INDEX($A:$AP,ROW(),IF($I$6="",1,$I$6))&amp;"")))),"수정","일반"))</f>
        <v/>
      </c>
      <c r="BC970" s="2">
        <f>IF($AS970="","",MID(IF($BA970="기간 밖"," / 기간 밖(신고기간 아님)","")&amp;IF(AND($AW970&lt;&gt;"",COUNTIF($AW$8:$AW$1007,$AW970)&gt;1)," / 승인번호 중복(두 번 붙여넣기?)","")&amp;IF(ABS($AU970-ROUND($AT970*0.1,0))&gt;설정!$B$8,IF($AU970=0," / 세액 0원(영세율·면세 여부 확인)"," / 세액이 공급가액 10%와 다름"),"")&amp;IF($BB970="수정"," / 수정세금계산서(합계에서 자동 가감)",""),4,200))</f>
        <v/>
      </c>
      <c r="BD970" s="2">
        <f>IF($BA970&lt;&gt;"포함","",IF(COUNTIFS($AX$8:$AX970,$AX970,$BA$8:$BA970,"포함")=1,MAX($BD$7:BD969)+1,""))</f>
        <v/>
      </c>
      <c r="BE970" s="2">
        <f>IF($BC970="","",MAX($BE$7:BE969)+1)</f>
        <v/>
      </c>
    </row>
    <row r="971">
      <c r="AR971" s="2">
        <f>IF(OR($A$5="",$B$6="",ROW()&lt;$A$5),"",IF(INDEX($A:$AP,ROW(),$B$6)="","",INDEX($A:$AP,ROW(),$B$6)))</f>
        <v/>
      </c>
      <c r="AS971" s="22">
        <f>IF($AR971="","",IF(ISNUMBER($AR971),IF($AR971&gt;=10000000,IFERROR(DATE(INT($AR971/10000),MOD(INT($AR971/100),100),MOD($AR971,100)),""),INT($AR971)),IFERROR(DATE(--LEFT(LEFT(SUBSTITUTE(SUBSTITUTE(SUBSTITUTE(SUBSTITUTE(TRIM($AR971),"-",""),".",""),"/","")," ",""),8),4),--MID(LEFT(SUBSTITUTE(SUBSTITUTE(SUBSTITUTE(SUBSTITUTE(TRIM($AR971),"-",""),".",""),"/","")," ",""),8),5,2),--MID(LEFT(SUBSTITUTE(SUBSTITUTE(SUBSTITUTE(SUBSTITUTE(TRIM($AR971),"-",""),".",""),"/","")," ",""),8),7,2)),"")))</f>
        <v/>
      </c>
      <c r="AT971" s="23">
        <f>IF($AS971="","",IF($F$6="",0,IF(ISNUMBER(INDEX($A:$AP,ROW(),$F$6)),INDEX($A:$AP,ROW(),$F$6),IFERROR(--SUBSTITUTE(SUBSTITUTE(TRIM(INDEX($A:$AP,ROW(),$F$6)),",",""),"원",""),0))))</f>
        <v/>
      </c>
      <c r="AU971" s="23">
        <f>IF($AS971="","",IF($G$6="",0,IF(ISNUMBER(INDEX($A:$AP,ROW(),$G$6)),INDEX($A:$AP,ROW(),$G$6),IFERROR(--SUBSTITUTE(SUBSTITUTE(TRIM(INDEX($A:$AP,ROW(),$G$6)),",",""),"원",""),0))))</f>
        <v/>
      </c>
      <c r="AV971" s="23">
        <f>IF($AS971="","",IF($H$6="",$AT971+$AU971,IF($H$6="",0,IF(ISNUMBER(INDEX($A:$AP,ROW(),$H$6)),INDEX($A:$AP,ROW(),$H$6),IFERROR(--SUBSTITUTE(SUBSTITUTE(TRIM(INDEX($A:$AP,ROW(),$H$6)),",",""),"원",""),0)))))</f>
        <v/>
      </c>
      <c r="AW971" s="2">
        <f>IF(OR($AS971="",$C$6=""),"",TRIM(INDEX($A:$AP,ROW(),$C$6)&amp;""))</f>
        <v/>
      </c>
      <c r="AX971" s="2">
        <f>IF($AS971="","",IF($AZ971&lt;&gt;"",SUBSTITUTE(SUBSTITUTE($AZ971,"-","")," ",""),$AY971))</f>
        <v/>
      </c>
      <c r="AY971" s="2">
        <f>IF(OR($AS971="",$E$6=""),"",TRIM(INDEX($A:$AP,ROW(),$E$6)&amp;""))</f>
        <v/>
      </c>
      <c r="AZ971" s="2">
        <f>IF(OR($AS971="",$D$6=""),"",TRIM(INDEX($A:$AP,ROW(),$D$6)&amp;""))</f>
        <v/>
      </c>
      <c r="BA971" s="2">
        <f>IF($AS971="","",IF(AND($AS971&gt;=설정!$B$10,$AS971&lt;=설정!$B$11),"포함","기간 밖"))</f>
        <v/>
      </c>
      <c r="BB971" s="2">
        <f>IF($AS971="","",IF(OR($AT971&lt;0,AND($I$6&lt;&gt;"",ISNUMBER(FIND("수정",INDEX($A:$AP,ROW(),IF($I$6="",1,$I$6))&amp;"")))),"수정","일반"))</f>
        <v/>
      </c>
      <c r="BC971" s="2">
        <f>IF($AS971="","",MID(IF($BA971="기간 밖"," / 기간 밖(신고기간 아님)","")&amp;IF(AND($AW971&lt;&gt;"",COUNTIF($AW$8:$AW$1007,$AW971)&gt;1)," / 승인번호 중복(두 번 붙여넣기?)","")&amp;IF(ABS($AU971-ROUND($AT971*0.1,0))&gt;설정!$B$8,IF($AU971=0," / 세액 0원(영세율·면세 여부 확인)"," / 세액이 공급가액 10%와 다름"),"")&amp;IF($BB971="수정"," / 수정세금계산서(합계에서 자동 가감)",""),4,200))</f>
        <v/>
      </c>
      <c r="BD971" s="2">
        <f>IF($BA971&lt;&gt;"포함","",IF(COUNTIFS($AX$8:$AX971,$AX971,$BA$8:$BA971,"포함")=1,MAX($BD$7:BD970)+1,""))</f>
        <v/>
      </c>
      <c r="BE971" s="2">
        <f>IF($BC971="","",MAX($BE$7:BE970)+1)</f>
        <v/>
      </c>
    </row>
    <row r="972">
      <c r="AR972" s="2">
        <f>IF(OR($A$5="",$B$6="",ROW()&lt;$A$5),"",IF(INDEX($A:$AP,ROW(),$B$6)="","",INDEX($A:$AP,ROW(),$B$6)))</f>
        <v/>
      </c>
      <c r="AS972" s="22">
        <f>IF($AR972="","",IF(ISNUMBER($AR972),IF($AR972&gt;=10000000,IFERROR(DATE(INT($AR972/10000),MOD(INT($AR972/100),100),MOD($AR972,100)),""),INT($AR972)),IFERROR(DATE(--LEFT(LEFT(SUBSTITUTE(SUBSTITUTE(SUBSTITUTE(SUBSTITUTE(TRIM($AR972),"-",""),".",""),"/","")," ",""),8),4),--MID(LEFT(SUBSTITUTE(SUBSTITUTE(SUBSTITUTE(SUBSTITUTE(TRIM($AR972),"-",""),".",""),"/","")," ",""),8),5,2),--MID(LEFT(SUBSTITUTE(SUBSTITUTE(SUBSTITUTE(SUBSTITUTE(TRIM($AR972),"-",""),".",""),"/","")," ",""),8),7,2)),"")))</f>
        <v/>
      </c>
      <c r="AT972" s="23">
        <f>IF($AS972="","",IF($F$6="",0,IF(ISNUMBER(INDEX($A:$AP,ROW(),$F$6)),INDEX($A:$AP,ROW(),$F$6),IFERROR(--SUBSTITUTE(SUBSTITUTE(TRIM(INDEX($A:$AP,ROW(),$F$6)),",",""),"원",""),0))))</f>
        <v/>
      </c>
      <c r="AU972" s="23">
        <f>IF($AS972="","",IF($G$6="",0,IF(ISNUMBER(INDEX($A:$AP,ROW(),$G$6)),INDEX($A:$AP,ROW(),$G$6),IFERROR(--SUBSTITUTE(SUBSTITUTE(TRIM(INDEX($A:$AP,ROW(),$G$6)),",",""),"원",""),0))))</f>
        <v/>
      </c>
      <c r="AV972" s="23">
        <f>IF($AS972="","",IF($H$6="",$AT972+$AU972,IF($H$6="",0,IF(ISNUMBER(INDEX($A:$AP,ROW(),$H$6)),INDEX($A:$AP,ROW(),$H$6),IFERROR(--SUBSTITUTE(SUBSTITUTE(TRIM(INDEX($A:$AP,ROW(),$H$6)),",",""),"원",""),0)))))</f>
        <v/>
      </c>
      <c r="AW972" s="2">
        <f>IF(OR($AS972="",$C$6=""),"",TRIM(INDEX($A:$AP,ROW(),$C$6)&amp;""))</f>
        <v/>
      </c>
      <c r="AX972" s="2">
        <f>IF($AS972="","",IF($AZ972&lt;&gt;"",SUBSTITUTE(SUBSTITUTE($AZ972,"-","")," ",""),$AY972))</f>
        <v/>
      </c>
      <c r="AY972" s="2">
        <f>IF(OR($AS972="",$E$6=""),"",TRIM(INDEX($A:$AP,ROW(),$E$6)&amp;""))</f>
        <v/>
      </c>
      <c r="AZ972" s="2">
        <f>IF(OR($AS972="",$D$6=""),"",TRIM(INDEX($A:$AP,ROW(),$D$6)&amp;""))</f>
        <v/>
      </c>
      <c r="BA972" s="2">
        <f>IF($AS972="","",IF(AND($AS972&gt;=설정!$B$10,$AS972&lt;=설정!$B$11),"포함","기간 밖"))</f>
        <v/>
      </c>
      <c r="BB972" s="2">
        <f>IF($AS972="","",IF(OR($AT972&lt;0,AND($I$6&lt;&gt;"",ISNUMBER(FIND("수정",INDEX($A:$AP,ROW(),IF($I$6="",1,$I$6))&amp;"")))),"수정","일반"))</f>
        <v/>
      </c>
      <c r="BC972" s="2">
        <f>IF($AS972="","",MID(IF($BA972="기간 밖"," / 기간 밖(신고기간 아님)","")&amp;IF(AND($AW972&lt;&gt;"",COUNTIF($AW$8:$AW$1007,$AW972)&gt;1)," / 승인번호 중복(두 번 붙여넣기?)","")&amp;IF(ABS($AU972-ROUND($AT972*0.1,0))&gt;설정!$B$8,IF($AU972=0," / 세액 0원(영세율·면세 여부 확인)"," / 세액이 공급가액 10%와 다름"),"")&amp;IF($BB972="수정"," / 수정세금계산서(합계에서 자동 가감)",""),4,200))</f>
        <v/>
      </c>
      <c r="BD972" s="2">
        <f>IF($BA972&lt;&gt;"포함","",IF(COUNTIFS($AX$8:$AX972,$AX972,$BA$8:$BA972,"포함")=1,MAX($BD$7:BD971)+1,""))</f>
        <v/>
      </c>
      <c r="BE972" s="2">
        <f>IF($BC972="","",MAX($BE$7:BE971)+1)</f>
        <v/>
      </c>
    </row>
    <row r="973">
      <c r="AR973" s="2">
        <f>IF(OR($A$5="",$B$6="",ROW()&lt;$A$5),"",IF(INDEX($A:$AP,ROW(),$B$6)="","",INDEX($A:$AP,ROW(),$B$6)))</f>
        <v/>
      </c>
      <c r="AS973" s="22">
        <f>IF($AR973="","",IF(ISNUMBER($AR973),IF($AR973&gt;=10000000,IFERROR(DATE(INT($AR973/10000),MOD(INT($AR973/100),100),MOD($AR973,100)),""),INT($AR973)),IFERROR(DATE(--LEFT(LEFT(SUBSTITUTE(SUBSTITUTE(SUBSTITUTE(SUBSTITUTE(TRIM($AR973),"-",""),".",""),"/","")," ",""),8),4),--MID(LEFT(SUBSTITUTE(SUBSTITUTE(SUBSTITUTE(SUBSTITUTE(TRIM($AR973),"-",""),".",""),"/","")," ",""),8),5,2),--MID(LEFT(SUBSTITUTE(SUBSTITUTE(SUBSTITUTE(SUBSTITUTE(TRIM($AR973),"-",""),".",""),"/","")," ",""),8),7,2)),"")))</f>
        <v/>
      </c>
      <c r="AT973" s="23">
        <f>IF($AS973="","",IF($F$6="",0,IF(ISNUMBER(INDEX($A:$AP,ROW(),$F$6)),INDEX($A:$AP,ROW(),$F$6),IFERROR(--SUBSTITUTE(SUBSTITUTE(TRIM(INDEX($A:$AP,ROW(),$F$6)),",",""),"원",""),0))))</f>
        <v/>
      </c>
      <c r="AU973" s="23">
        <f>IF($AS973="","",IF($G$6="",0,IF(ISNUMBER(INDEX($A:$AP,ROW(),$G$6)),INDEX($A:$AP,ROW(),$G$6),IFERROR(--SUBSTITUTE(SUBSTITUTE(TRIM(INDEX($A:$AP,ROW(),$G$6)),",",""),"원",""),0))))</f>
        <v/>
      </c>
      <c r="AV973" s="23">
        <f>IF($AS973="","",IF($H$6="",$AT973+$AU973,IF($H$6="",0,IF(ISNUMBER(INDEX($A:$AP,ROW(),$H$6)),INDEX($A:$AP,ROW(),$H$6),IFERROR(--SUBSTITUTE(SUBSTITUTE(TRIM(INDEX($A:$AP,ROW(),$H$6)),",",""),"원",""),0)))))</f>
        <v/>
      </c>
      <c r="AW973" s="2">
        <f>IF(OR($AS973="",$C$6=""),"",TRIM(INDEX($A:$AP,ROW(),$C$6)&amp;""))</f>
        <v/>
      </c>
      <c r="AX973" s="2">
        <f>IF($AS973="","",IF($AZ973&lt;&gt;"",SUBSTITUTE(SUBSTITUTE($AZ973,"-","")," ",""),$AY973))</f>
        <v/>
      </c>
      <c r="AY973" s="2">
        <f>IF(OR($AS973="",$E$6=""),"",TRIM(INDEX($A:$AP,ROW(),$E$6)&amp;""))</f>
        <v/>
      </c>
      <c r="AZ973" s="2">
        <f>IF(OR($AS973="",$D$6=""),"",TRIM(INDEX($A:$AP,ROW(),$D$6)&amp;""))</f>
        <v/>
      </c>
      <c r="BA973" s="2">
        <f>IF($AS973="","",IF(AND($AS973&gt;=설정!$B$10,$AS973&lt;=설정!$B$11),"포함","기간 밖"))</f>
        <v/>
      </c>
      <c r="BB973" s="2">
        <f>IF($AS973="","",IF(OR($AT973&lt;0,AND($I$6&lt;&gt;"",ISNUMBER(FIND("수정",INDEX($A:$AP,ROW(),IF($I$6="",1,$I$6))&amp;"")))),"수정","일반"))</f>
        <v/>
      </c>
      <c r="BC973" s="2">
        <f>IF($AS973="","",MID(IF($BA973="기간 밖"," / 기간 밖(신고기간 아님)","")&amp;IF(AND($AW973&lt;&gt;"",COUNTIF($AW$8:$AW$1007,$AW973)&gt;1)," / 승인번호 중복(두 번 붙여넣기?)","")&amp;IF(ABS($AU973-ROUND($AT973*0.1,0))&gt;설정!$B$8,IF($AU973=0," / 세액 0원(영세율·면세 여부 확인)"," / 세액이 공급가액 10%와 다름"),"")&amp;IF($BB973="수정"," / 수정세금계산서(합계에서 자동 가감)",""),4,200))</f>
        <v/>
      </c>
      <c r="BD973" s="2">
        <f>IF($BA973&lt;&gt;"포함","",IF(COUNTIFS($AX$8:$AX973,$AX973,$BA$8:$BA973,"포함")=1,MAX($BD$7:BD972)+1,""))</f>
        <v/>
      </c>
      <c r="BE973" s="2">
        <f>IF($BC973="","",MAX($BE$7:BE972)+1)</f>
        <v/>
      </c>
    </row>
    <row r="974">
      <c r="AR974" s="2">
        <f>IF(OR($A$5="",$B$6="",ROW()&lt;$A$5),"",IF(INDEX($A:$AP,ROW(),$B$6)="","",INDEX($A:$AP,ROW(),$B$6)))</f>
        <v/>
      </c>
      <c r="AS974" s="22">
        <f>IF($AR974="","",IF(ISNUMBER($AR974),IF($AR974&gt;=10000000,IFERROR(DATE(INT($AR974/10000),MOD(INT($AR974/100),100),MOD($AR974,100)),""),INT($AR974)),IFERROR(DATE(--LEFT(LEFT(SUBSTITUTE(SUBSTITUTE(SUBSTITUTE(SUBSTITUTE(TRIM($AR974),"-",""),".",""),"/","")," ",""),8),4),--MID(LEFT(SUBSTITUTE(SUBSTITUTE(SUBSTITUTE(SUBSTITUTE(TRIM($AR974),"-",""),".",""),"/","")," ",""),8),5,2),--MID(LEFT(SUBSTITUTE(SUBSTITUTE(SUBSTITUTE(SUBSTITUTE(TRIM($AR974),"-",""),".",""),"/","")," ",""),8),7,2)),"")))</f>
        <v/>
      </c>
      <c r="AT974" s="23">
        <f>IF($AS974="","",IF($F$6="",0,IF(ISNUMBER(INDEX($A:$AP,ROW(),$F$6)),INDEX($A:$AP,ROW(),$F$6),IFERROR(--SUBSTITUTE(SUBSTITUTE(TRIM(INDEX($A:$AP,ROW(),$F$6)),",",""),"원",""),0))))</f>
        <v/>
      </c>
      <c r="AU974" s="23">
        <f>IF($AS974="","",IF($G$6="",0,IF(ISNUMBER(INDEX($A:$AP,ROW(),$G$6)),INDEX($A:$AP,ROW(),$G$6),IFERROR(--SUBSTITUTE(SUBSTITUTE(TRIM(INDEX($A:$AP,ROW(),$G$6)),",",""),"원",""),0))))</f>
        <v/>
      </c>
      <c r="AV974" s="23">
        <f>IF($AS974="","",IF($H$6="",$AT974+$AU974,IF($H$6="",0,IF(ISNUMBER(INDEX($A:$AP,ROW(),$H$6)),INDEX($A:$AP,ROW(),$H$6),IFERROR(--SUBSTITUTE(SUBSTITUTE(TRIM(INDEX($A:$AP,ROW(),$H$6)),",",""),"원",""),0)))))</f>
        <v/>
      </c>
      <c r="AW974" s="2">
        <f>IF(OR($AS974="",$C$6=""),"",TRIM(INDEX($A:$AP,ROW(),$C$6)&amp;""))</f>
        <v/>
      </c>
      <c r="AX974" s="2">
        <f>IF($AS974="","",IF($AZ974&lt;&gt;"",SUBSTITUTE(SUBSTITUTE($AZ974,"-","")," ",""),$AY974))</f>
        <v/>
      </c>
      <c r="AY974" s="2">
        <f>IF(OR($AS974="",$E$6=""),"",TRIM(INDEX($A:$AP,ROW(),$E$6)&amp;""))</f>
        <v/>
      </c>
      <c r="AZ974" s="2">
        <f>IF(OR($AS974="",$D$6=""),"",TRIM(INDEX($A:$AP,ROW(),$D$6)&amp;""))</f>
        <v/>
      </c>
      <c r="BA974" s="2">
        <f>IF($AS974="","",IF(AND($AS974&gt;=설정!$B$10,$AS974&lt;=설정!$B$11),"포함","기간 밖"))</f>
        <v/>
      </c>
      <c r="BB974" s="2">
        <f>IF($AS974="","",IF(OR($AT974&lt;0,AND($I$6&lt;&gt;"",ISNUMBER(FIND("수정",INDEX($A:$AP,ROW(),IF($I$6="",1,$I$6))&amp;"")))),"수정","일반"))</f>
        <v/>
      </c>
      <c r="BC974" s="2">
        <f>IF($AS974="","",MID(IF($BA974="기간 밖"," / 기간 밖(신고기간 아님)","")&amp;IF(AND($AW974&lt;&gt;"",COUNTIF($AW$8:$AW$1007,$AW974)&gt;1)," / 승인번호 중복(두 번 붙여넣기?)","")&amp;IF(ABS($AU974-ROUND($AT974*0.1,0))&gt;설정!$B$8,IF($AU974=0," / 세액 0원(영세율·면세 여부 확인)"," / 세액이 공급가액 10%와 다름"),"")&amp;IF($BB974="수정"," / 수정세금계산서(합계에서 자동 가감)",""),4,200))</f>
        <v/>
      </c>
      <c r="BD974" s="2">
        <f>IF($BA974&lt;&gt;"포함","",IF(COUNTIFS($AX$8:$AX974,$AX974,$BA$8:$BA974,"포함")=1,MAX($BD$7:BD973)+1,""))</f>
        <v/>
      </c>
      <c r="BE974" s="2">
        <f>IF($BC974="","",MAX($BE$7:BE973)+1)</f>
        <v/>
      </c>
    </row>
    <row r="975">
      <c r="AR975" s="2">
        <f>IF(OR($A$5="",$B$6="",ROW()&lt;$A$5),"",IF(INDEX($A:$AP,ROW(),$B$6)="","",INDEX($A:$AP,ROW(),$B$6)))</f>
        <v/>
      </c>
      <c r="AS975" s="22">
        <f>IF($AR975="","",IF(ISNUMBER($AR975),IF($AR975&gt;=10000000,IFERROR(DATE(INT($AR975/10000),MOD(INT($AR975/100),100),MOD($AR975,100)),""),INT($AR975)),IFERROR(DATE(--LEFT(LEFT(SUBSTITUTE(SUBSTITUTE(SUBSTITUTE(SUBSTITUTE(TRIM($AR975),"-",""),".",""),"/","")," ",""),8),4),--MID(LEFT(SUBSTITUTE(SUBSTITUTE(SUBSTITUTE(SUBSTITUTE(TRIM($AR975),"-",""),".",""),"/","")," ",""),8),5,2),--MID(LEFT(SUBSTITUTE(SUBSTITUTE(SUBSTITUTE(SUBSTITUTE(TRIM($AR975),"-",""),".",""),"/","")," ",""),8),7,2)),"")))</f>
        <v/>
      </c>
      <c r="AT975" s="23">
        <f>IF($AS975="","",IF($F$6="",0,IF(ISNUMBER(INDEX($A:$AP,ROW(),$F$6)),INDEX($A:$AP,ROW(),$F$6),IFERROR(--SUBSTITUTE(SUBSTITUTE(TRIM(INDEX($A:$AP,ROW(),$F$6)),",",""),"원",""),0))))</f>
        <v/>
      </c>
      <c r="AU975" s="23">
        <f>IF($AS975="","",IF($G$6="",0,IF(ISNUMBER(INDEX($A:$AP,ROW(),$G$6)),INDEX($A:$AP,ROW(),$G$6),IFERROR(--SUBSTITUTE(SUBSTITUTE(TRIM(INDEX($A:$AP,ROW(),$G$6)),",",""),"원",""),0))))</f>
        <v/>
      </c>
      <c r="AV975" s="23">
        <f>IF($AS975="","",IF($H$6="",$AT975+$AU975,IF($H$6="",0,IF(ISNUMBER(INDEX($A:$AP,ROW(),$H$6)),INDEX($A:$AP,ROW(),$H$6),IFERROR(--SUBSTITUTE(SUBSTITUTE(TRIM(INDEX($A:$AP,ROW(),$H$6)),",",""),"원",""),0)))))</f>
        <v/>
      </c>
      <c r="AW975" s="2">
        <f>IF(OR($AS975="",$C$6=""),"",TRIM(INDEX($A:$AP,ROW(),$C$6)&amp;""))</f>
        <v/>
      </c>
      <c r="AX975" s="2">
        <f>IF($AS975="","",IF($AZ975&lt;&gt;"",SUBSTITUTE(SUBSTITUTE($AZ975,"-","")," ",""),$AY975))</f>
        <v/>
      </c>
      <c r="AY975" s="2">
        <f>IF(OR($AS975="",$E$6=""),"",TRIM(INDEX($A:$AP,ROW(),$E$6)&amp;""))</f>
        <v/>
      </c>
      <c r="AZ975" s="2">
        <f>IF(OR($AS975="",$D$6=""),"",TRIM(INDEX($A:$AP,ROW(),$D$6)&amp;""))</f>
        <v/>
      </c>
      <c r="BA975" s="2">
        <f>IF($AS975="","",IF(AND($AS975&gt;=설정!$B$10,$AS975&lt;=설정!$B$11),"포함","기간 밖"))</f>
        <v/>
      </c>
      <c r="BB975" s="2">
        <f>IF($AS975="","",IF(OR($AT975&lt;0,AND($I$6&lt;&gt;"",ISNUMBER(FIND("수정",INDEX($A:$AP,ROW(),IF($I$6="",1,$I$6))&amp;"")))),"수정","일반"))</f>
        <v/>
      </c>
      <c r="BC975" s="2">
        <f>IF($AS975="","",MID(IF($BA975="기간 밖"," / 기간 밖(신고기간 아님)","")&amp;IF(AND($AW975&lt;&gt;"",COUNTIF($AW$8:$AW$1007,$AW975)&gt;1)," / 승인번호 중복(두 번 붙여넣기?)","")&amp;IF(ABS($AU975-ROUND($AT975*0.1,0))&gt;설정!$B$8,IF($AU975=0," / 세액 0원(영세율·면세 여부 확인)"," / 세액이 공급가액 10%와 다름"),"")&amp;IF($BB975="수정"," / 수정세금계산서(합계에서 자동 가감)",""),4,200))</f>
        <v/>
      </c>
      <c r="BD975" s="2">
        <f>IF($BA975&lt;&gt;"포함","",IF(COUNTIFS($AX$8:$AX975,$AX975,$BA$8:$BA975,"포함")=1,MAX($BD$7:BD974)+1,""))</f>
        <v/>
      </c>
      <c r="BE975" s="2">
        <f>IF($BC975="","",MAX($BE$7:BE974)+1)</f>
        <v/>
      </c>
    </row>
    <row r="976">
      <c r="AR976" s="2">
        <f>IF(OR($A$5="",$B$6="",ROW()&lt;$A$5),"",IF(INDEX($A:$AP,ROW(),$B$6)="","",INDEX($A:$AP,ROW(),$B$6)))</f>
        <v/>
      </c>
      <c r="AS976" s="22">
        <f>IF($AR976="","",IF(ISNUMBER($AR976),IF($AR976&gt;=10000000,IFERROR(DATE(INT($AR976/10000),MOD(INT($AR976/100),100),MOD($AR976,100)),""),INT($AR976)),IFERROR(DATE(--LEFT(LEFT(SUBSTITUTE(SUBSTITUTE(SUBSTITUTE(SUBSTITUTE(TRIM($AR976),"-",""),".",""),"/","")," ",""),8),4),--MID(LEFT(SUBSTITUTE(SUBSTITUTE(SUBSTITUTE(SUBSTITUTE(TRIM($AR976),"-",""),".",""),"/","")," ",""),8),5,2),--MID(LEFT(SUBSTITUTE(SUBSTITUTE(SUBSTITUTE(SUBSTITUTE(TRIM($AR976),"-",""),".",""),"/","")," ",""),8),7,2)),"")))</f>
        <v/>
      </c>
      <c r="AT976" s="23">
        <f>IF($AS976="","",IF($F$6="",0,IF(ISNUMBER(INDEX($A:$AP,ROW(),$F$6)),INDEX($A:$AP,ROW(),$F$6),IFERROR(--SUBSTITUTE(SUBSTITUTE(TRIM(INDEX($A:$AP,ROW(),$F$6)),",",""),"원",""),0))))</f>
        <v/>
      </c>
      <c r="AU976" s="23">
        <f>IF($AS976="","",IF($G$6="",0,IF(ISNUMBER(INDEX($A:$AP,ROW(),$G$6)),INDEX($A:$AP,ROW(),$G$6),IFERROR(--SUBSTITUTE(SUBSTITUTE(TRIM(INDEX($A:$AP,ROW(),$G$6)),",",""),"원",""),0))))</f>
        <v/>
      </c>
      <c r="AV976" s="23">
        <f>IF($AS976="","",IF($H$6="",$AT976+$AU976,IF($H$6="",0,IF(ISNUMBER(INDEX($A:$AP,ROW(),$H$6)),INDEX($A:$AP,ROW(),$H$6),IFERROR(--SUBSTITUTE(SUBSTITUTE(TRIM(INDEX($A:$AP,ROW(),$H$6)),",",""),"원",""),0)))))</f>
        <v/>
      </c>
      <c r="AW976" s="2">
        <f>IF(OR($AS976="",$C$6=""),"",TRIM(INDEX($A:$AP,ROW(),$C$6)&amp;""))</f>
        <v/>
      </c>
      <c r="AX976" s="2">
        <f>IF($AS976="","",IF($AZ976&lt;&gt;"",SUBSTITUTE(SUBSTITUTE($AZ976,"-","")," ",""),$AY976))</f>
        <v/>
      </c>
      <c r="AY976" s="2">
        <f>IF(OR($AS976="",$E$6=""),"",TRIM(INDEX($A:$AP,ROW(),$E$6)&amp;""))</f>
        <v/>
      </c>
      <c r="AZ976" s="2">
        <f>IF(OR($AS976="",$D$6=""),"",TRIM(INDEX($A:$AP,ROW(),$D$6)&amp;""))</f>
        <v/>
      </c>
      <c r="BA976" s="2">
        <f>IF($AS976="","",IF(AND($AS976&gt;=설정!$B$10,$AS976&lt;=설정!$B$11),"포함","기간 밖"))</f>
        <v/>
      </c>
      <c r="BB976" s="2">
        <f>IF($AS976="","",IF(OR($AT976&lt;0,AND($I$6&lt;&gt;"",ISNUMBER(FIND("수정",INDEX($A:$AP,ROW(),IF($I$6="",1,$I$6))&amp;"")))),"수정","일반"))</f>
        <v/>
      </c>
      <c r="BC976" s="2">
        <f>IF($AS976="","",MID(IF($BA976="기간 밖"," / 기간 밖(신고기간 아님)","")&amp;IF(AND($AW976&lt;&gt;"",COUNTIF($AW$8:$AW$1007,$AW976)&gt;1)," / 승인번호 중복(두 번 붙여넣기?)","")&amp;IF(ABS($AU976-ROUND($AT976*0.1,0))&gt;설정!$B$8,IF($AU976=0," / 세액 0원(영세율·면세 여부 확인)"," / 세액이 공급가액 10%와 다름"),"")&amp;IF($BB976="수정"," / 수정세금계산서(합계에서 자동 가감)",""),4,200))</f>
        <v/>
      </c>
      <c r="BD976" s="2">
        <f>IF($BA976&lt;&gt;"포함","",IF(COUNTIFS($AX$8:$AX976,$AX976,$BA$8:$BA976,"포함")=1,MAX($BD$7:BD975)+1,""))</f>
        <v/>
      </c>
      <c r="BE976" s="2">
        <f>IF($BC976="","",MAX($BE$7:BE975)+1)</f>
        <v/>
      </c>
    </row>
    <row r="977">
      <c r="AR977" s="2">
        <f>IF(OR($A$5="",$B$6="",ROW()&lt;$A$5),"",IF(INDEX($A:$AP,ROW(),$B$6)="","",INDEX($A:$AP,ROW(),$B$6)))</f>
        <v/>
      </c>
      <c r="AS977" s="22">
        <f>IF($AR977="","",IF(ISNUMBER($AR977),IF($AR977&gt;=10000000,IFERROR(DATE(INT($AR977/10000),MOD(INT($AR977/100),100),MOD($AR977,100)),""),INT($AR977)),IFERROR(DATE(--LEFT(LEFT(SUBSTITUTE(SUBSTITUTE(SUBSTITUTE(SUBSTITUTE(TRIM($AR977),"-",""),".",""),"/","")," ",""),8),4),--MID(LEFT(SUBSTITUTE(SUBSTITUTE(SUBSTITUTE(SUBSTITUTE(TRIM($AR977),"-",""),".",""),"/","")," ",""),8),5,2),--MID(LEFT(SUBSTITUTE(SUBSTITUTE(SUBSTITUTE(SUBSTITUTE(TRIM($AR977),"-",""),".",""),"/","")," ",""),8),7,2)),"")))</f>
        <v/>
      </c>
      <c r="AT977" s="23">
        <f>IF($AS977="","",IF($F$6="",0,IF(ISNUMBER(INDEX($A:$AP,ROW(),$F$6)),INDEX($A:$AP,ROW(),$F$6),IFERROR(--SUBSTITUTE(SUBSTITUTE(TRIM(INDEX($A:$AP,ROW(),$F$6)),",",""),"원",""),0))))</f>
        <v/>
      </c>
      <c r="AU977" s="23">
        <f>IF($AS977="","",IF($G$6="",0,IF(ISNUMBER(INDEX($A:$AP,ROW(),$G$6)),INDEX($A:$AP,ROW(),$G$6),IFERROR(--SUBSTITUTE(SUBSTITUTE(TRIM(INDEX($A:$AP,ROW(),$G$6)),",",""),"원",""),0))))</f>
        <v/>
      </c>
      <c r="AV977" s="23">
        <f>IF($AS977="","",IF($H$6="",$AT977+$AU977,IF($H$6="",0,IF(ISNUMBER(INDEX($A:$AP,ROW(),$H$6)),INDEX($A:$AP,ROW(),$H$6),IFERROR(--SUBSTITUTE(SUBSTITUTE(TRIM(INDEX($A:$AP,ROW(),$H$6)),",",""),"원",""),0)))))</f>
        <v/>
      </c>
      <c r="AW977" s="2">
        <f>IF(OR($AS977="",$C$6=""),"",TRIM(INDEX($A:$AP,ROW(),$C$6)&amp;""))</f>
        <v/>
      </c>
      <c r="AX977" s="2">
        <f>IF($AS977="","",IF($AZ977&lt;&gt;"",SUBSTITUTE(SUBSTITUTE($AZ977,"-","")," ",""),$AY977))</f>
        <v/>
      </c>
      <c r="AY977" s="2">
        <f>IF(OR($AS977="",$E$6=""),"",TRIM(INDEX($A:$AP,ROW(),$E$6)&amp;""))</f>
        <v/>
      </c>
      <c r="AZ977" s="2">
        <f>IF(OR($AS977="",$D$6=""),"",TRIM(INDEX($A:$AP,ROW(),$D$6)&amp;""))</f>
        <v/>
      </c>
      <c r="BA977" s="2">
        <f>IF($AS977="","",IF(AND($AS977&gt;=설정!$B$10,$AS977&lt;=설정!$B$11),"포함","기간 밖"))</f>
        <v/>
      </c>
      <c r="BB977" s="2">
        <f>IF($AS977="","",IF(OR($AT977&lt;0,AND($I$6&lt;&gt;"",ISNUMBER(FIND("수정",INDEX($A:$AP,ROW(),IF($I$6="",1,$I$6))&amp;"")))),"수정","일반"))</f>
        <v/>
      </c>
      <c r="BC977" s="2">
        <f>IF($AS977="","",MID(IF($BA977="기간 밖"," / 기간 밖(신고기간 아님)","")&amp;IF(AND($AW977&lt;&gt;"",COUNTIF($AW$8:$AW$1007,$AW977)&gt;1)," / 승인번호 중복(두 번 붙여넣기?)","")&amp;IF(ABS($AU977-ROUND($AT977*0.1,0))&gt;설정!$B$8,IF($AU977=0," / 세액 0원(영세율·면세 여부 확인)"," / 세액이 공급가액 10%와 다름"),"")&amp;IF($BB977="수정"," / 수정세금계산서(합계에서 자동 가감)",""),4,200))</f>
        <v/>
      </c>
      <c r="BD977" s="2">
        <f>IF($BA977&lt;&gt;"포함","",IF(COUNTIFS($AX$8:$AX977,$AX977,$BA$8:$BA977,"포함")=1,MAX($BD$7:BD976)+1,""))</f>
        <v/>
      </c>
      <c r="BE977" s="2">
        <f>IF($BC977="","",MAX($BE$7:BE976)+1)</f>
        <v/>
      </c>
    </row>
    <row r="978">
      <c r="AR978" s="2">
        <f>IF(OR($A$5="",$B$6="",ROW()&lt;$A$5),"",IF(INDEX($A:$AP,ROW(),$B$6)="","",INDEX($A:$AP,ROW(),$B$6)))</f>
        <v/>
      </c>
      <c r="AS978" s="22">
        <f>IF($AR978="","",IF(ISNUMBER($AR978),IF($AR978&gt;=10000000,IFERROR(DATE(INT($AR978/10000),MOD(INT($AR978/100),100),MOD($AR978,100)),""),INT($AR978)),IFERROR(DATE(--LEFT(LEFT(SUBSTITUTE(SUBSTITUTE(SUBSTITUTE(SUBSTITUTE(TRIM($AR978),"-",""),".",""),"/","")," ",""),8),4),--MID(LEFT(SUBSTITUTE(SUBSTITUTE(SUBSTITUTE(SUBSTITUTE(TRIM($AR978),"-",""),".",""),"/","")," ",""),8),5,2),--MID(LEFT(SUBSTITUTE(SUBSTITUTE(SUBSTITUTE(SUBSTITUTE(TRIM($AR978),"-",""),".",""),"/","")," ",""),8),7,2)),"")))</f>
        <v/>
      </c>
      <c r="AT978" s="23">
        <f>IF($AS978="","",IF($F$6="",0,IF(ISNUMBER(INDEX($A:$AP,ROW(),$F$6)),INDEX($A:$AP,ROW(),$F$6),IFERROR(--SUBSTITUTE(SUBSTITUTE(TRIM(INDEX($A:$AP,ROW(),$F$6)),",",""),"원",""),0))))</f>
        <v/>
      </c>
      <c r="AU978" s="23">
        <f>IF($AS978="","",IF($G$6="",0,IF(ISNUMBER(INDEX($A:$AP,ROW(),$G$6)),INDEX($A:$AP,ROW(),$G$6),IFERROR(--SUBSTITUTE(SUBSTITUTE(TRIM(INDEX($A:$AP,ROW(),$G$6)),",",""),"원",""),0))))</f>
        <v/>
      </c>
      <c r="AV978" s="23">
        <f>IF($AS978="","",IF($H$6="",$AT978+$AU978,IF($H$6="",0,IF(ISNUMBER(INDEX($A:$AP,ROW(),$H$6)),INDEX($A:$AP,ROW(),$H$6),IFERROR(--SUBSTITUTE(SUBSTITUTE(TRIM(INDEX($A:$AP,ROW(),$H$6)),",",""),"원",""),0)))))</f>
        <v/>
      </c>
      <c r="AW978" s="2">
        <f>IF(OR($AS978="",$C$6=""),"",TRIM(INDEX($A:$AP,ROW(),$C$6)&amp;""))</f>
        <v/>
      </c>
      <c r="AX978" s="2">
        <f>IF($AS978="","",IF($AZ978&lt;&gt;"",SUBSTITUTE(SUBSTITUTE($AZ978,"-","")," ",""),$AY978))</f>
        <v/>
      </c>
      <c r="AY978" s="2">
        <f>IF(OR($AS978="",$E$6=""),"",TRIM(INDEX($A:$AP,ROW(),$E$6)&amp;""))</f>
        <v/>
      </c>
      <c r="AZ978" s="2">
        <f>IF(OR($AS978="",$D$6=""),"",TRIM(INDEX($A:$AP,ROW(),$D$6)&amp;""))</f>
        <v/>
      </c>
      <c r="BA978" s="2">
        <f>IF($AS978="","",IF(AND($AS978&gt;=설정!$B$10,$AS978&lt;=설정!$B$11),"포함","기간 밖"))</f>
        <v/>
      </c>
      <c r="BB978" s="2">
        <f>IF($AS978="","",IF(OR($AT978&lt;0,AND($I$6&lt;&gt;"",ISNUMBER(FIND("수정",INDEX($A:$AP,ROW(),IF($I$6="",1,$I$6))&amp;"")))),"수정","일반"))</f>
        <v/>
      </c>
      <c r="BC978" s="2">
        <f>IF($AS978="","",MID(IF($BA978="기간 밖"," / 기간 밖(신고기간 아님)","")&amp;IF(AND($AW978&lt;&gt;"",COUNTIF($AW$8:$AW$1007,$AW978)&gt;1)," / 승인번호 중복(두 번 붙여넣기?)","")&amp;IF(ABS($AU978-ROUND($AT978*0.1,0))&gt;설정!$B$8,IF($AU978=0," / 세액 0원(영세율·면세 여부 확인)"," / 세액이 공급가액 10%와 다름"),"")&amp;IF($BB978="수정"," / 수정세금계산서(합계에서 자동 가감)",""),4,200))</f>
        <v/>
      </c>
      <c r="BD978" s="2">
        <f>IF($BA978&lt;&gt;"포함","",IF(COUNTIFS($AX$8:$AX978,$AX978,$BA$8:$BA978,"포함")=1,MAX($BD$7:BD977)+1,""))</f>
        <v/>
      </c>
      <c r="BE978" s="2">
        <f>IF($BC978="","",MAX($BE$7:BE977)+1)</f>
        <v/>
      </c>
    </row>
    <row r="979">
      <c r="AR979" s="2">
        <f>IF(OR($A$5="",$B$6="",ROW()&lt;$A$5),"",IF(INDEX($A:$AP,ROW(),$B$6)="","",INDEX($A:$AP,ROW(),$B$6)))</f>
        <v/>
      </c>
      <c r="AS979" s="22">
        <f>IF($AR979="","",IF(ISNUMBER($AR979),IF($AR979&gt;=10000000,IFERROR(DATE(INT($AR979/10000),MOD(INT($AR979/100),100),MOD($AR979,100)),""),INT($AR979)),IFERROR(DATE(--LEFT(LEFT(SUBSTITUTE(SUBSTITUTE(SUBSTITUTE(SUBSTITUTE(TRIM($AR979),"-",""),".",""),"/","")," ",""),8),4),--MID(LEFT(SUBSTITUTE(SUBSTITUTE(SUBSTITUTE(SUBSTITUTE(TRIM($AR979),"-",""),".",""),"/","")," ",""),8),5,2),--MID(LEFT(SUBSTITUTE(SUBSTITUTE(SUBSTITUTE(SUBSTITUTE(TRIM($AR979),"-",""),".",""),"/","")," ",""),8),7,2)),"")))</f>
        <v/>
      </c>
      <c r="AT979" s="23">
        <f>IF($AS979="","",IF($F$6="",0,IF(ISNUMBER(INDEX($A:$AP,ROW(),$F$6)),INDEX($A:$AP,ROW(),$F$6),IFERROR(--SUBSTITUTE(SUBSTITUTE(TRIM(INDEX($A:$AP,ROW(),$F$6)),",",""),"원",""),0))))</f>
        <v/>
      </c>
      <c r="AU979" s="23">
        <f>IF($AS979="","",IF($G$6="",0,IF(ISNUMBER(INDEX($A:$AP,ROW(),$G$6)),INDEX($A:$AP,ROW(),$G$6),IFERROR(--SUBSTITUTE(SUBSTITUTE(TRIM(INDEX($A:$AP,ROW(),$G$6)),",",""),"원",""),0))))</f>
        <v/>
      </c>
      <c r="AV979" s="23">
        <f>IF($AS979="","",IF($H$6="",$AT979+$AU979,IF($H$6="",0,IF(ISNUMBER(INDEX($A:$AP,ROW(),$H$6)),INDEX($A:$AP,ROW(),$H$6),IFERROR(--SUBSTITUTE(SUBSTITUTE(TRIM(INDEX($A:$AP,ROW(),$H$6)),",",""),"원",""),0)))))</f>
        <v/>
      </c>
      <c r="AW979" s="2">
        <f>IF(OR($AS979="",$C$6=""),"",TRIM(INDEX($A:$AP,ROW(),$C$6)&amp;""))</f>
        <v/>
      </c>
      <c r="AX979" s="2">
        <f>IF($AS979="","",IF($AZ979&lt;&gt;"",SUBSTITUTE(SUBSTITUTE($AZ979,"-","")," ",""),$AY979))</f>
        <v/>
      </c>
      <c r="AY979" s="2">
        <f>IF(OR($AS979="",$E$6=""),"",TRIM(INDEX($A:$AP,ROW(),$E$6)&amp;""))</f>
        <v/>
      </c>
      <c r="AZ979" s="2">
        <f>IF(OR($AS979="",$D$6=""),"",TRIM(INDEX($A:$AP,ROW(),$D$6)&amp;""))</f>
        <v/>
      </c>
      <c r="BA979" s="2">
        <f>IF($AS979="","",IF(AND($AS979&gt;=설정!$B$10,$AS979&lt;=설정!$B$11),"포함","기간 밖"))</f>
        <v/>
      </c>
      <c r="BB979" s="2">
        <f>IF($AS979="","",IF(OR($AT979&lt;0,AND($I$6&lt;&gt;"",ISNUMBER(FIND("수정",INDEX($A:$AP,ROW(),IF($I$6="",1,$I$6))&amp;"")))),"수정","일반"))</f>
        <v/>
      </c>
      <c r="BC979" s="2">
        <f>IF($AS979="","",MID(IF($BA979="기간 밖"," / 기간 밖(신고기간 아님)","")&amp;IF(AND($AW979&lt;&gt;"",COUNTIF($AW$8:$AW$1007,$AW979)&gt;1)," / 승인번호 중복(두 번 붙여넣기?)","")&amp;IF(ABS($AU979-ROUND($AT979*0.1,0))&gt;설정!$B$8,IF($AU979=0," / 세액 0원(영세율·면세 여부 확인)"," / 세액이 공급가액 10%와 다름"),"")&amp;IF($BB979="수정"," / 수정세금계산서(합계에서 자동 가감)",""),4,200))</f>
        <v/>
      </c>
      <c r="BD979" s="2">
        <f>IF($BA979&lt;&gt;"포함","",IF(COUNTIFS($AX$8:$AX979,$AX979,$BA$8:$BA979,"포함")=1,MAX($BD$7:BD978)+1,""))</f>
        <v/>
      </c>
      <c r="BE979" s="2">
        <f>IF($BC979="","",MAX($BE$7:BE978)+1)</f>
        <v/>
      </c>
    </row>
    <row r="980">
      <c r="AR980" s="2">
        <f>IF(OR($A$5="",$B$6="",ROW()&lt;$A$5),"",IF(INDEX($A:$AP,ROW(),$B$6)="","",INDEX($A:$AP,ROW(),$B$6)))</f>
        <v/>
      </c>
      <c r="AS980" s="22">
        <f>IF($AR980="","",IF(ISNUMBER($AR980),IF($AR980&gt;=10000000,IFERROR(DATE(INT($AR980/10000),MOD(INT($AR980/100),100),MOD($AR980,100)),""),INT($AR980)),IFERROR(DATE(--LEFT(LEFT(SUBSTITUTE(SUBSTITUTE(SUBSTITUTE(SUBSTITUTE(TRIM($AR980),"-",""),".",""),"/","")," ",""),8),4),--MID(LEFT(SUBSTITUTE(SUBSTITUTE(SUBSTITUTE(SUBSTITUTE(TRIM($AR980),"-",""),".",""),"/","")," ",""),8),5,2),--MID(LEFT(SUBSTITUTE(SUBSTITUTE(SUBSTITUTE(SUBSTITUTE(TRIM($AR980),"-",""),".",""),"/","")," ",""),8),7,2)),"")))</f>
        <v/>
      </c>
      <c r="AT980" s="23">
        <f>IF($AS980="","",IF($F$6="",0,IF(ISNUMBER(INDEX($A:$AP,ROW(),$F$6)),INDEX($A:$AP,ROW(),$F$6),IFERROR(--SUBSTITUTE(SUBSTITUTE(TRIM(INDEX($A:$AP,ROW(),$F$6)),",",""),"원",""),0))))</f>
        <v/>
      </c>
      <c r="AU980" s="23">
        <f>IF($AS980="","",IF($G$6="",0,IF(ISNUMBER(INDEX($A:$AP,ROW(),$G$6)),INDEX($A:$AP,ROW(),$G$6),IFERROR(--SUBSTITUTE(SUBSTITUTE(TRIM(INDEX($A:$AP,ROW(),$G$6)),",",""),"원",""),0))))</f>
        <v/>
      </c>
      <c r="AV980" s="23">
        <f>IF($AS980="","",IF($H$6="",$AT980+$AU980,IF($H$6="",0,IF(ISNUMBER(INDEX($A:$AP,ROW(),$H$6)),INDEX($A:$AP,ROW(),$H$6),IFERROR(--SUBSTITUTE(SUBSTITUTE(TRIM(INDEX($A:$AP,ROW(),$H$6)),",",""),"원",""),0)))))</f>
        <v/>
      </c>
      <c r="AW980" s="2">
        <f>IF(OR($AS980="",$C$6=""),"",TRIM(INDEX($A:$AP,ROW(),$C$6)&amp;""))</f>
        <v/>
      </c>
      <c r="AX980" s="2">
        <f>IF($AS980="","",IF($AZ980&lt;&gt;"",SUBSTITUTE(SUBSTITUTE($AZ980,"-","")," ",""),$AY980))</f>
        <v/>
      </c>
      <c r="AY980" s="2">
        <f>IF(OR($AS980="",$E$6=""),"",TRIM(INDEX($A:$AP,ROW(),$E$6)&amp;""))</f>
        <v/>
      </c>
      <c r="AZ980" s="2">
        <f>IF(OR($AS980="",$D$6=""),"",TRIM(INDEX($A:$AP,ROW(),$D$6)&amp;""))</f>
        <v/>
      </c>
      <c r="BA980" s="2">
        <f>IF($AS980="","",IF(AND($AS980&gt;=설정!$B$10,$AS980&lt;=설정!$B$11),"포함","기간 밖"))</f>
        <v/>
      </c>
      <c r="BB980" s="2">
        <f>IF($AS980="","",IF(OR($AT980&lt;0,AND($I$6&lt;&gt;"",ISNUMBER(FIND("수정",INDEX($A:$AP,ROW(),IF($I$6="",1,$I$6))&amp;"")))),"수정","일반"))</f>
        <v/>
      </c>
      <c r="BC980" s="2">
        <f>IF($AS980="","",MID(IF($BA980="기간 밖"," / 기간 밖(신고기간 아님)","")&amp;IF(AND($AW980&lt;&gt;"",COUNTIF($AW$8:$AW$1007,$AW980)&gt;1)," / 승인번호 중복(두 번 붙여넣기?)","")&amp;IF(ABS($AU980-ROUND($AT980*0.1,0))&gt;설정!$B$8,IF($AU980=0," / 세액 0원(영세율·면세 여부 확인)"," / 세액이 공급가액 10%와 다름"),"")&amp;IF($BB980="수정"," / 수정세금계산서(합계에서 자동 가감)",""),4,200))</f>
        <v/>
      </c>
      <c r="BD980" s="2">
        <f>IF($BA980&lt;&gt;"포함","",IF(COUNTIFS($AX$8:$AX980,$AX980,$BA$8:$BA980,"포함")=1,MAX($BD$7:BD979)+1,""))</f>
        <v/>
      </c>
      <c r="BE980" s="2">
        <f>IF($BC980="","",MAX($BE$7:BE979)+1)</f>
        <v/>
      </c>
    </row>
    <row r="981">
      <c r="AR981" s="2">
        <f>IF(OR($A$5="",$B$6="",ROW()&lt;$A$5),"",IF(INDEX($A:$AP,ROW(),$B$6)="","",INDEX($A:$AP,ROW(),$B$6)))</f>
        <v/>
      </c>
      <c r="AS981" s="22">
        <f>IF($AR981="","",IF(ISNUMBER($AR981),IF($AR981&gt;=10000000,IFERROR(DATE(INT($AR981/10000),MOD(INT($AR981/100),100),MOD($AR981,100)),""),INT($AR981)),IFERROR(DATE(--LEFT(LEFT(SUBSTITUTE(SUBSTITUTE(SUBSTITUTE(SUBSTITUTE(TRIM($AR981),"-",""),".",""),"/","")," ",""),8),4),--MID(LEFT(SUBSTITUTE(SUBSTITUTE(SUBSTITUTE(SUBSTITUTE(TRIM($AR981),"-",""),".",""),"/","")," ",""),8),5,2),--MID(LEFT(SUBSTITUTE(SUBSTITUTE(SUBSTITUTE(SUBSTITUTE(TRIM($AR981),"-",""),".",""),"/","")," ",""),8),7,2)),"")))</f>
        <v/>
      </c>
      <c r="AT981" s="23">
        <f>IF($AS981="","",IF($F$6="",0,IF(ISNUMBER(INDEX($A:$AP,ROW(),$F$6)),INDEX($A:$AP,ROW(),$F$6),IFERROR(--SUBSTITUTE(SUBSTITUTE(TRIM(INDEX($A:$AP,ROW(),$F$6)),",",""),"원",""),0))))</f>
        <v/>
      </c>
      <c r="AU981" s="23">
        <f>IF($AS981="","",IF($G$6="",0,IF(ISNUMBER(INDEX($A:$AP,ROW(),$G$6)),INDEX($A:$AP,ROW(),$G$6),IFERROR(--SUBSTITUTE(SUBSTITUTE(TRIM(INDEX($A:$AP,ROW(),$G$6)),",",""),"원",""),0))))</f>
        <v/>
      </c>
      <c r="AV981" s="23">
        <f>IF($AS981="","",IF($H$6="",$AT981+$AU981,IF($H$6="",0,IF(ISNUMBER(INDEX($A:$AP,ROW(),$H$6)),INDEX($A:$AP,ROW(),$H$6),IFERROR(--SUBSTITUTE(SUBSTITUTE(TRIM(INDEX($A:$AP,ROW(),$H$6)),",",""),"원",""),0)))))</f>
        <v/>
      </c>
      <c r="AW981" s="2">
        <f>IF(OR($AS981="",$C$6=""),"",TRIM(INDEX($A:$AP,ROW(),$C$6)&amp;""))</f>
        <v/>
      </c>
      <c r="AX981" s="2">
        <f>IF($AS981="","",IF($AZ981&lt;&gt;"",SUBSTITUTE(SUBSTITUTE($AZ981,"-","")," ",""),$AY981))</f>
        <v/>
      </c>
      <c r="AY981" s="2">
        <f>IF(OR($AS981="",$E$6=""),"",TRIM(INDEX($A:$AP,ROW(),$E$6)&amp;""))</f>
        <v/>
      </c>
      <c r="AZ981" s="2">
        <f>IF(OR($AS981="",$D$6=""),"",TRIM(INDEX($A:$AP,ROW(),$D$6)&amp;""))</f>
        <v/>
      </c>
      <c r="BA981" s="2">
        <f>IF($AS981="","",IF(AND($AS981&gt;=설정!$B$10,$AS981&lt;=설정!$B$11),"포함","기간 밖"))</f>
        <v/>
      </c>
      <c r="BB981" s="2">
        <f>IF($AS981="","",IF(OR($AT981&lt;0,AND($I$6&lt;&gt;"",ISNUMBER(FIND("수정",INDEX($A:$AP,ROW(),IF($I$6="",1,$I$6))&amp;"")))),"수정","일반"))</f>
        <v/>
      </c>
      <c r="BC981" s="2">
        <f>IF($AS981="","",MID(IF($BA981="기간 밖"," / 기간 밖(신고기간 아님)","")&amp;IF(AND($AW981&lt;&gt;"",COUNTIF($AW$8:$AW$1007,$AW981)&gt;1)," / 승인번호 중복(두 번 붙여넣기?)","")&amp;IF(ABS($AU981-ROUND($AT981*0.1,0))&gt;설정!$B$8,IF($AU981=0," / 세액 0원(영세율·면세 여부 확인)"," / 세액이 공급가액 10%와 다름"),"")&amp;IF($BB981="수정"," / 수정세금계산서(합계에서 자동 가감)",""),4,200))</f>
        <v/>
      </c>
      <c r="BD981" s="2">
        <f>IF($BA981&lt;&gt;"포함","",IF(COUNTIFS($AX$8:$AX981,$AX981,$BA$8:$BA981,"포함")=1,MAX($BD$7:BD980)+1,""))</f>
        <v/>
      </c>
      <c r="BE981" s="2">
        <f>IF($BC981="","",MAX($BE$7:BE980)+1)</f>
        <v/>
      </c>
    </row>
    <row r="982">
      <c r="AR982" s="2">
        <f>IF(OR($A$5="",$B$6="",ROW()&lt;$A$5),"",IF(INDEX($A:$AP,ROW(),$B$6)="","",INDEX($A:$AP,ROW(),$B$6)))</f>
        <v/>
      </c>
      <c r="AS982" s="22">
        <f>IF($AR982="","",IF(ISNUMBER($AR982),IF($AR982&gt;=10000000,IFERROR(DATE(INT($AR982/10000),MOD(INT($AR982/100),100),MOD($AR982,100)),""),INT($AR982)),IFERROR(DATE(--LEFT(LEFT(SUBSTITUTE(SUBSTITUTE(SUBSTITUTE(SUBSTITUTE(TRIM($AR982),"-",""),".",""),"/","")," ",""),8),4),--MID(LEFT(SUBSTITUTE(SUBSTITUTE(SUBSTITUTE(SUBSTITUTE(TRIM($AR982),"-",""),".",""),"/","")," ",""),8),5,2),--MID(LEFT(SUBSTITUTE(SUBSTITUTE(SUBSTITUTE(SUBSTITUTE(TRIM($AR982),"-",""),".",""),"/","")," ",""),8),7,2)),"")))</f>
        <v/>
      </c>
      <c r="AT982" s="23">
        <f>IF($AS982="","",IF($F$6="",0,IF(ISNUMBER(INDEX($A:$AP,ROW(),$F$6)),INDEX($A:$AP,ROW(),$F$6),IFERROR(--SUBSTITUTE(SUBSTITUTE(TRIM(INDEX($A:$AP,ROW(),$F$6)),",",""),"원",""),0))))</f>
        <v/>
      </c>
      <c r="AU982" s="23">
        <f>IF($AS982="","",IF($G$6="",0,IF(ISNUMBER(INDEX($A:$AP,ROW(),$G$6)),INDEX($A:$AP,ROW(),$G$6),IFERROR(--SUBSTITUTE(SUBSTITUTE(TRIM(INDEX($A:$AP,ROW(),$G$6)),",",""),"원",""),0))))</f>
        <v/>
      </c>
      <c r="AV982" s="23">
        <f>IF($AS982="","",IF($H$6="",$AT982+$AU982,IF($H$6="",0,IF(ISNUMBER(INDEX($A:$AP,ROW(),$H$6)),INDEX($A:$AP,ROW(),$H$6),IFERROR(--SUBSTITUTE(SUBSTITUTE(TRIM(INDEX($A:$AP,ROW(),$H$6)),",",""),"원",""),0)))))</f>
        <v/>
      </c>
      <c r="AW982" s="2">
        <f>IF(OR($AS982="",$C$6=""),"",TRIM(INDEX($A:$AP,ROW(),$C$6)&amp;""))</f>
        <v/>
      </c>
      <c r="AX982" s="2">
        <f>IF($AS982="","",IF($AZ982&lt;&gt;"",SUBSTITUTE(SUBSTITUTE($AZ982,"-","")," ",""),$AY982))</f>
        <v/>
      </c>
      <c r="AY982" s="2">
        <f>IF(OR($AS982="",$E$6=""),"",TRIM(INDEX($A:$AP,ROW(),$E$6)&amp;""))</f>
        <v/>
      </c>
      <c r="AZ982" s="2">
        <f>IF(OR($AS982="",$D$6=""),"",TRIM(INDEX($A:$AP,ROW(),$D$6)&amp;""))</f>
        <v/>
      </c>
      <c r="BA982" s="2">
        <f>IF($AS982="","",IF(AND($AS982&gt;=설정!$B$10,$AS982&lt;=설정!$B$11),"포함","기간 밖"))</f>
        <v/>
      </c>
      <c r="BB982" s="2">
        <f>IF($AS982="","",IF(OR($AT982&lt;0,AND($I$6&lt;&gt;"",ISNUMBER(FIND("수정",INDEX($A:$AP,ROW(),IF($I$6="",1,$I$6))&amp;"")))),"수정","일반"))</f>
        <v/>
      </c>
      <c r="BC982" s="2">
        <f>IF($AS982="","",MID(IF($BA982="기간 밖"," / 기간 밖(신고기간 아님)","")&amp;IF(AND($AW982&lt;&gt;"",COUNTIF($AW$8:$AW$1007,$AW982)&gt;1)," / 승인번호 중복(두 번 붙여넣기?)","")&amp;IF(ABS($AU982-ROUND($AT982*0.1,0))&gt;설정!$B$8,IF($AU982=0," / 세액 0원(영세율·면세 여부 확인)"," / 세액이 공급가액 10%와 다름"),"")&amp;IF($BB982="수정"," / 수정세금계산서(합계에서 자동 가감)",""),4,200))</f>
        <v/>
      </c>
      <c r="BD982" s="2">
        <f>IF($BA982&lt;&gt;"포함","",IF(COUNTIFS($AX$8:$AX982,$AX982,$BA$8:$BA982,"포함")=1,MAX($BD$7:BD981)+1,""))</f>
        <v/>
      </c>
      <c r="BE982" s="2">
        <f>IF($BC982="","",MAX($BE$7:BE981)+1)</f>
        <v/>
      </c>
    </row>
    <row r="983">
      <c r="AR983" s="2">
        <f>IF(OR($A$5="",$B$6="",ROW()&lt;$A$5),"",IF(INDEX($A:$AP,ROW(),$B$6)="","",INDEX($A:$AP,ROW(),$B$6)))</f>
        <v/>
      </c>
      <c r="AS983" s="22">
        <f>IF($AR983="","",IF(ISNUMBER($AR983),IF($AR983&gt;=10000000,IFERROR(DATE(INT($AR983/10000),MOD(INT($AR983/100),100),MOD($AR983,100)),""),INT($AR983)),IFERROR(DATE(--LEFT(LEFT(SUBSTITUTE(SUBSTITUTE(SUBSTITUTE(SUBSTITUTE(TRIM($AR983),"-",""),".",""),"/","")," ",""),8),4),--MID(LEFT(SUBSTITUTE(SUBSTITUTE(SUBSTITUTE(SUBSTITUTE(TRIM($AR983),"-",""),".",""),"/","")," ",""),8),5,2),--MID(LEFT(SUBSTITUTE(SUBSTITUTE(SUBSTITUTE(SUBSTITUTE(TRIM($AR983),"-",""),".",""),"/","")," ",""),8),7,2)),"")))</f>
        <v/>
      </c>
      <c r="AT983" s="23">
        <f>IF($AS983="","",IF($F$6="",0,IF(ISNUMBER(INDEX($A:$AP,ROW(),$F$6)),INDEX($A:$AP,ROW(),$F$6),IFERROR(--SUBSTITUTE(SUBSTITUTE(TRIM(INDEX($A:$AP,ROW(),$F$6)),",",""),"원",""),0))))</f>
        <v/>
      </c>
      <c r="AU983" s="23">
        <f>IF($AS983="","",IF($G$6="",0,IF(ISNUMBER(INDEX($A:$AP,ROW(),$G$6)),INDEX($A:$AP,ROW(),$G$6),IFERROR(--SUBSTITUTE(SUBSTITUTE(TRIM(INDEX($A:$AP,ROW(),$G$6)),",",""),"원",""),0))))</f>
        <v/>
      </c>
      <c r="AV983" s="23">
        <f>IF($AS983="","",IF($H$6="",$AT983+$AU983,IF($H$6="",0,IF(ISNUMBER(INDEX($A:$AP,ROW(),$H$6)),INDEX($A:$AP,ROW(),$H$6),IFERROR(--SUBSTITUTE(SUBSTITUTE(TRIM(INDEX($A:$AP,ROW(),$H$6)),",",""),"원",""),0)))))</f>
        <v/>
      </c>
      <c r="AW983" s="2">
        <f>IF(OR($AS983="",$C$6=""),"",TRIM(INDEX($A:$AP,ROW(),$C$6)&amp;""))</f>
        <v/>
      </c>
      <c r="AX983" s="2">
        <f>IF($AS983="","",IF($AZ983&lt;&gt;"",SUBSTITUTE(SUBSTITUTE($AZ983,"-","")," ",""),$AY983))</f>
        <v/>
      </c>
      <c r="AY983" s="2">
        <f>IF(OR($AS983="",$E$6=""),"",TRIM(INDEX($A:$AP,ROW(),$E$6)&amp;""))</f>
        <v/>
      </c>
      <c r="AZ983" s="2">
        <f>IF(OR($AS983="",$D$6=""),"",TRIM(INDEX($A:$AP,ROW(),$D$6)&amp;""))</f>
        <v/>
      </c>
      <c r="BA983" s="2">
        <f>IF($AS983="","",IF(AND($AS983&gt;=설정!$B$10,$AS983&lt;=설정!$B$11),"포함","기간 밖"))</f>
        <v/>
      </c>
      <c r="BB983" s="2">
        <f>IF($AS983="","",IF(OR($AT983&lt;0,AND($I$6&lt;&gt;"",ISNUMBER(FIND("수정",INDEX($A:$AP,ROW(),IF($I$6="",1,$I$6))&amp;"")))),"수정","일반"))</f>
        <v/>
      </c>
      <c r="BC983" s="2">
        <f>IF($AS983="","",MID(IF($BA983="기간 밖"," / 기간 밖(신고기간 아님)","")&amp;IF(AND($AW983&lt;&gt;"",COUNTIF($AW$8:$AW$1007,$AW983)&gt;1)," / 승인번호 중복(두 번 붙여넣기?)","")&amp;IF(ABS($AU983-ROUND($AT983*0.1,0))&gt;설정!$B$8,IF($AU983=0," / 세액 0원(영세율·면세 여부 확인)"," / 세액이 공급가액 10%와 다름"),"")&amp;IF($BB983="수정"," / 수정세금계산서(합계에서 자동 가감)",""),4,200))</f>
        <v/>
      </c>
      <c r="BD983" s="2">
        <f>IF($BA983&lt;&gt;"포함","",IF(COUNTIFS($AX$8:$AX983,$AX983,$BA$8:$BA983,"포함")=1,MAX($BD$7:BD982)+1,""))</f>
        <v/>
      </c>
      <c r="BE983" s="2">
        <f>IF($BC983="","",MAX($BE$7:BE982)+1)</f>
        <v/>
      </c>
    </row>
    <row r="984">
      <c r="AR984" s="2">
        <f>IF(OR($A$5="",$B$6="",ROW()&lt;$A$5),"",IF(INDEX($A:$AP,ROW(),$B$6)="","",INDEX($A:$AP,ROW(),$B$6)))</f>
        <v/>
      </c>
      <c r="AS984" s="22">
        <f>IF($AR984="","",IF(ISNUMBER($AR984),IF($AR984&gt;=10000000,IFERROR(DATE(INT($AR984/10000),MOD(INT($AR984/100),100),MOD($AR984,100)),""),INT($AR984)),IFERROR(DATE(--LEFT(LEFT(SUBSTITUTE(SUBSTITUTE(SUBSTITUTE(SUBSTITUTE(TRIM($AR984),"-",""),".",""),"/","")," ",""),8),4),--MID(LEFT(SUBSTITUTE(SUBSTITUTE(SUBSTITUTE(SUBSTITUTE(TRIM($AR984),"-",""),".",""),"/","")," ",""),8),5,2),--MID(LEFT(SUBSTITUTE(SUBSTITUTE(SUBSTITUTE(SUBSTITUTE(TRIM($AR984),"-",""),".",""),"/","")," ",""),8),7,2)),"")))</f>
        <v/>
      </c>
      <c r="AT984" s="23">
        <f>IF($AS984="","",IF($F$6="",0,IF(ISNUMBER(INDEX($A:$AP,ROW(),$F$6)),INDEX($A:$AP,ROW(),$F$6),IFERROR(--SUBSTITUTE(SUBSTITUTE(TRIM(INDEX($A:$AP,ROW(),$F$6)),",",""),"원",""),0))))</f>
        <v/>
      </c>
      <c r="AU984" s="23">
        <f>IF($AS984="","",IF($G$6="",0,IF(ISNUMBER(INDEX($A:$AP,ROW(),$G$6)),INDEX($A:$AP,ROW(),$G$6),IFERROR(--SUBSTITUTE(SUBSTITUTE(TRIM(INDEX($A:$AP,ROW(),$G$6)),",",""),"원",""),0))))</f>
        <v/>
      </c>
      <c r="AV984" s="23">
        <f>IF($AS984="","",IF($H$6="",$AT984+$AU984,IF($H$6="",0,IF(ISNUMBER(INDEX($A:$AP,ROW(),$H$6)),INDEX($A:$AP,ROW(),$H$6),IFERROR(--SUBSTITUTE(SUBSTITUTE(TRIM(INDEX($A:$AP,ROW(),$H$6)),",",""),"원",""),0)))))</f>
        <v/>
      </c>
      <c r="AW984" s="2">
        <f>IF(OR($AS984="",$C$6=""),"",TRIM(INDEX($A:$AP,ROW(),$C$6)&amp;""))</f>
        <v/>
      </c>
      <c r="AX984" s="2">
        <f>IF($AS984="","",IF($AZ984&lt;&gt;"",SUBSTITUTE(SUBSTITUTE($AZ984,"-","")," ",""),$AY984))</f>
        <v/>
      </c>
      <c r="AY984" s="2">
        <f>IF(OR($AS984="",$E$6=""),"",TRIM(INDEX($A:$AP,ROW(),$E$6)&amp;""))</f>
        <v/>
      </c>
      <c r="AZ984" s="2">
        <f>IF(OR($AS984="",$D$6=""),"",TRIM(INDEX($A:$AP,ROW(),$D$6)&amp;""))</f>
        <v/>
      </c>
      <c r="BA984" s="2">
        <f>IF($AS984="","",IF(AND($AS984&gt;=설정!$B$10,$AS984&lt;=설정!$B$11),"포함","기간 밖"))</f>
        <v/>
      </c>
      <c r="BB984" s="2">
        <f>IF($AS984="","",IF(OR($AT984&lt;0,AND($I$6&lt;&gt;"",ISNUMBER(FIND("수정",INDEX($A:$AP,ROW(),IF($I$6="",1,$I$6))&amp;"")))),"수정","일반"))</f>
        <v/>
      </c>
      <c r="BC984" s="2">
        <f>IF($AS984="","",MID(IF($BA984="기간 밖"," / 기간 밖(신고기간 아님)","")&amp;IF(AND($AW984&lt;&gt;"",COUNTIF($AW$8:$AW$1007,$AW984)&gt;1)," / 승인번호 중복(두 번 붙여넣기?)","")&amp;IF(ABS($AU984-ROUND($AT984*0.1,0))&gt;설정!$B$8,IF($AU984=0," / 세액 0원(영세율·면세 여부 확인)"," / 세액이 공급가액 10%와 다름"),"")&amp;IF($BB984="수정"," / 수정세금계산서(합계에서 자동 가감)",""),4,200))</f>
        <v/>
      </c>
      <c r="BD984" s="2">
        <f>IF($BA984&lt;&gt;"포함","",IF(COUNTIFS($AX$8:$AX984,$AX984,$BA$8:$BA984,"포함")=1,MAX($BD$7:BD983)+1,""))</f>
        <v/>
      </c>
      <c r="BE984" s="2">
        <f>IF($BC984="","",MAX($BE$7:BE983)+1)</f>
        <v/>
      </c>
    </row>
    <row r="985">
      <c r="AR985" s="2">
        <f>IF(OR($A$5="",$B$6="",ROW()&lt;$A$5),"",IF(INDEX($A:$AP,ROW(),$B$6)="","",INDEX($A:$AP,ROW(),$B$6)))</f>
        <v/>
      </c>
      <c r="AS985" s="22">
        <f>IF($AR985="","",IF(ISNUMBER($AR985),IF($AR985&gt;=10000000,IFERROR(DATE(INT($AR985/10000),MOD(INT($AR985/100),100),MOD($AR985,100)),""),INT($AR985)),IFERROR(DATE(--LEFT(LEFT(SUBSTITUTE(SUBSTITUTE(SUBSTITUTE(SUBSTITUTE(TRIM($AR985),"-",""),".",""),"/","")," ",""),8),4),--MID(LEFT(SUBSTITUTE(SUBSTITUTE(SUBSTITUTE(SUBSTITUTE(TRIM($AR985),"-",""),".",""),"/","")," ",""),8),5,2),--MID(LEFT(SUBSTITUTE(SUBSTITUTE(SUBSTITUTE(SUBSTITUTE(TRIM($AR985),"-",""),".",""),"/","")," ",""),8),7,2)),"")))</f>
        <v/>
      </c>
      <c r="AT985" s="23">
        <f>IF($AS985="","",IF($F$6="",0,IF(ISNUMBER(INDEX($A:$AP,ROW(),$F$6)),INDEX($A:$AP,ROW(),$F$6),IFERROR(--SUBSTITUTE(SUBSTITUTE(TRIM(INDEX($A:$AP,ROW(),$F$6)),",",""),"원",""),0))))</f>
        <v/>
      </c>
      <c r="AU985" s="23">
        <f>IF($AS985="","",IF($G$6="",0,IF(ISNUMBER(INDEX($A:$AP,ROW(),$G$6)),INDEX($A:$AP,ROW(),$G$6),IFERROR(--SUBSTITUTE(SUBSTITUTE(TRIM(INDEX($A:$AP,ROW(),$G$6)),",",""),"원",""),0))))</f>
        <v/>
      </c>
      <c r="AV985" s="23">
        <f>IF($AS985="","",IF($H$6="",$AT985+$AU985,IF($H$6="",0,IF(ISNUMBER(INDEX($A:$AP,ROW(),$H$6)),INDEX($A:$AP,ROW(),$H$6),IFERROR(--SUBSTITUTE(SUBSTITUTE(TRIM(INDEX($A:$AP,ROW(),$H$6)),",",""),"원",""),0)))))</f>
        <v/>
      </c>
      <c r="AW985" s="2">
        <f>IF(OR($AS985="",$C$6=""),"",TRIM(INDEX($A:$AP,ROW(),$C$6)&amp;""))</f>
        <v/>
      </c>
      <c r="AX985" s="2">
        <f>IF($AS985="","",IF($AZ985&lt;&gt;"",SUBSTITUTE(SUBSTITUTE($AZ985,"-","")," ",""),$AY985))</f>
        <v/>
      </c>
      <c r="AY985" s="2">
        <f>IF(OR($AS985="",$E$6=""),"",TRIM(INDEX($A:$AP,ROW(),$E$6)&amp;""))</f>
        <v/>
      </c>
      <c r="AZ985" s="2">
        <f>IF(OR($AS985="",$D$6=""),"",TRIM(INDEX($A:$AP,ROW(),$D$6)&amp;""))</f>
        <v/>
      </c>
      <c r="BA985" s="2">
        <f>IF($AS985="","",IF(AND($AS985&gt;=설정!$B$10,$AS985&lt;=설정!$B$11),"포함","기간 밖"))</f>
        <v/>
      </c>
      <c r="BB985" s="2">
        <f>IF($AS985="","",IF(OR($AT985&lt;0,AND($I$6&lt;&gt;"",ISNUMBER(FIND("수정",INDEX($A:$AP,ROW(),IF($I$6="",1,$I$6))&amp;"")))),"수정","일반"))</f>
        <v/>
      </c>
      <c r="BC985" s="2">
        <f>IF($AS985="","",MID(IF($BA985="기간 밖"," / 기간 밖(신고기간 아님)","")&amp;IF(AND($AW985&lt;&gt;"",COUNTIF($AW$8:$AW$1007,$AW985)&gt;1)," / 승인번호 중복(두 번 붙여넣기?)","")&amp;IF(ABS($AU985-ROUND($AT985*0.1,0))&gt;설정!$B$8,IF($AU985=0," / 세액 0원(영세율·면세 여부 확인)"," / 세액이 공급가액 10%와 다름"),"")&amp;IF($BB985="수정"," / 수정세금계산서(합계에서 자동 가감)",""),4,200))</f>
        <v/>
      </c>
      <c r="BD985" s="2">
        <f>IF($BA985&lt;&gt;"포함","",IF(COUNTIFS($AX$8:$AX985,$AX985,$BA$8:$BA985,"포함")=1,MAX($BD$7:BD984)+1,""))</f>
        <v/>
      </c>
      <c r="BE985" s="2">
        <f>IF($BC985="","",MAX($BE$7:BE984)+1)</f>
        <v/>
      </c>
    </row>
    <row r="986">
      <c r="AR986" s="2">
        <f>IF(OR($A$5="",$B$6="",ROW()&lt;$A$5),"",IF(INDEX($A:$AP,ROW(),$B$6)="","",INDEX($A:$AP,ROW(),$B$6)))</f>
        <v/>
      </c>
      <c r="AS986" s="22">
        <f>IF($AR986="","",IF(ISNUMBER($AR986),IF($AR986&gt;=10000000,IFERROR(DATE(INT($AR986/10000),MOD(INT($AR986/100),100),MOD($AR986,100)),""),INT($AR986)),IFERROR(DATE(--LEFT(LEFT(SUBSTITUTE(SUBSTITUTE(SUBSTITUTE(SUBSTITUTE(TRIM($AR986),"-",""),".",""),"/","")," ",""),8),4),--MID(LEFT(SUBSTITUTE(SUBSTITUTE(SUBSTITUTE(SUBSTITUTE(TRIM($AR986),"-",""),".",""),"/","")," ",""),8),5,2),--MID(LEFT(SUBSTITUTE(SUBSTITUTE(SUBSTITUTE(SUBSTITUTE(TRIM($AR986),"-",""),".",""),"/","")," ",""),8),7,2)),"")))</f>
        <v/>
      </c>
      <c r="AT986" s="23">
        <f>IF($AS986="","",IF($F$6="",0,IF(ISNUMBER(INDEX($A:$AP,ROW(),$F$6)),INDEX($A:$AP,ROW(),$F$6),IFERROR(--SUBSTITUTE(SUBSTITUTE(TRIM(INDEX($A:$AP,ROW(),$F$6)),",",""),"원",""),0))))</f>
        <v/>
      </c>
      <c r="AU986" s="23">
        <f>IF($AS986="","",IF($G$6="",0,IF(ISNUMBER(INDEX($A:$AP,ROW(),$G$6)),INDEX($A:$AP,ROW(),$G$6),IFERROR(--SUBSTITUTE(SUBSTITUTE(TRIM(INDEX($A:$AP,ROW(),$G$6)),",",""),"원",""),0))))</f>
        <v/>
      </c>
      <c r="AV986" s="23">
        <f>IF($AS986="","",IF($H$6="",$AT986+$AU986,IF($H$6="",0,IF(ISNUMBER(INDEX($A:$AP,ROW(),$H$6)),INDEX($A:$AP,ROW(),$H$6),IFERROR(--SUBSTITUTE(SUBSTITUTE(TRIM(INDEX($A:$AP,ROW(),$H$6)),",",""),"원",""),0)))))</f>
        <v/>
      </c>
      <c r="AW986" s="2">
        <f>IF(OR($AS986="",$C$6=""),"",TRIM(INDEX($A:$AP,ROW(),$C$6)&amp;""))</f>
        <v/>
      </c>
      <c r="AX986" s="2">
        <f>IF($AS986="","",IF($AZ986&lt;&gt;"",SUBSTITUTE(SUBSTITUTE($AZ986,"-","")," ",""),$AY986))</f>
        <v/>
      </c>
      <c r="AY986" s="2">
        <f>IF(OR($AS986="",$E$6=""),"",TRIM(INDEX($A:$AP,ROW(),$E$6)&amp;""))</f>
        <v/>
      </c>
      <c r="AZ986" s="2">
        <f>IF(OR($AS986="",$D$6=""),"",TRIM(INDEX($A:$AP,ROW(),$D$6)&amp;""))</f>
        <v/>
      </c>
      <c r="BA986" s="2">
        <f>IF($AS986="","",IF(AND($AS986&gt;=설정!$B$10,$AS986&lt;=설정!$B$11),"포함","기간 밖"))</f>
        <v/>
      </c>
      <c r="BB986" s="2">
        <f>IF($AS986="","",IF(OR($AT986&lt;0,AND($I$6&lt;&gt;"",ISNUMBER(FIND("수정",INDEX($A:$AP,ROW(),IF($I$6="",1,$I$6))&amp;"")))),"수정","일반"))</f>
        <v/>
      </c>
      <c r="BC986" s="2">
        <f>IF($AS986="","",MID(IF($BA986="기간 밖"," / 기간 밖(신고기간 아님)","")&amp;IF(AND($AW986&lt;&gt;"",COUNTIF($AW$8:$AW$1007,$AW986)&gt;1)," / 승인번호 중복(두 번 붙여넣기?)","")&amp;IF(ABS($AU986-ROUND($AT986*0.1,0))&gt;설정!$B$8,IF($AU986=0," / 세액 0원(영세율·면세 여부 확인)"," / 세액이 공급가액 10%와 다름"),"")&amp;IF($BB986="수정"," / 수정세금계산서(합계에서 자동 가감)",""),4,200))</f>
        <v/>
      </c>
      <c r="BD986" s="2">
        <f>IF($BA986&lt;&gt;"포함","",IF(COUNTIFS($AX$8:$AX986,$AX986,$BA$8:$BA986,"포함")=1,MAX($BD$7:BD985)+1,""))</f>
        <v/>
      </c>
      <c r="BE986" s="2">
        <f>IF($BC986="","",MAX($BE$7:BE985)+1)</f>
        <v/>
      </c>
    </row>
    <row r="987">
      <c r="AR987" s="2">
        <f>IF(OR($A$5="",$B$6="",ROW()&lt;$A$5),"",IF(INDEX($A:$AP,ROW(),$B$6)="","",INDEX($A:$AP,ROW(),$B$6)))</f>
        <v/>
      </c>
      <c r="AS987" s="22">
        <f>IF($AR987="","",IF(ISNUMBER($AR987),IF($AR987&gt;=10000000,IFERROR(DATE(INT($AR987/10000),MOD(INT($AR987/100),100),MOD($AR987,100)),""),INT($AR987)),IFERROR(DATE(--LEFT(LEFT(SUBSTITUTE(SUBSTITUTE(SUBSTITUTE(SUBSTITUTE(TRIM($AR987),"-",""),".",""),"/","")," ",""),8),4),--MID(LEFT(SUBSTITUTE(SUBSTITUTE(SUBSTITUTE(SUBSTITUTE(TRIM($AR987),"-",""),".",""),"/","")," ",""),8),5,2),--MID(LEFT(SUBSTITUTE(SUBSTITUTE(SUBSTITUTE(SUBSTITUTE(TRIM($AR987),"-",""),".",""),"/","")," ",""),8),7,2)),"")))</f>
        <v/>
      </c>
      <c r="AT987" s="23">
        <f>IF($AS987="","",IF($F$6="",0,IF(ISNUMBER(INDEX($A:$AP,ROW(),$F$6)),INDEX($A:$AP,ROW(),$F$6),IFERROR(--SUBSTITUTE(SUBSTITUTE(TRIM(INDEX($A:$AP,ROW(),$F$6)),",",""),"원",""),0))))</f>
        <v/>
      </c>
      <c r="AU987" s="23">
        <f>IF($AS987="","",IF($G$6="",0,IF(ISNUMBER(INDEX($A:$AP,ROW(),$G$6)),INDEX($A:$AP,ROW(),$G$6),IFERROR(--SUBSTITUTE(SUBSTITUTE(TRIM(INDEX($A:$AP,ROW(),$G$6)),",",""),"원",""),0))))</f>
        <v/>
      </c>
      <c r="AV987" s="23">
        <f>IF($AS987="","",IF($H$6="",$AT987+$AU987,IF($H$6="",0,IF(ISNUMBER(INDEX($A:$AP,ROW(),$H$6)),INDEX($A:$AP,ROW(),$H$6),IFERROR(--SUBSTITUTE(SUBSTITUTE(TRIM(INDEX($A:$AP,ROW(),$H$6)),",",""),"원",""),0)))))</f>
        <v/>
      </c>
      <c r="AW987" s="2">
        <f>IF(OR($AS987="",$C$6=""),"",TRIM(INDEX($A:$AP,ROW(),$C$6)&amp;""))</f>
        <v/>
      </c>
      <c r="AX987" s="2">
        <f>IF($AS987="","",IF($AZ987&lt;&gt;"",SUBSTITUTE(SUBSTITUTE($AZ987,"-","")," ",""),$AY987))</f>
        <v/>
      </c>
      <c r="AY987" s="2">
        <f>IF(OR($AS987="",$E$6=""),"",TRIM(INDEX($A:$AP,ROW(),$E$6)&amp;""))</f>
        <v/>
      </c>
      <c r="AZ987" s="2">
        <f>IF(OR($AS987="",$D$6=""),"",TRIM(INDEX($A:$AP,ROW(),$D$6)&amp;""))</f>
        <v/>
      </c>
      <c r="BA987" s="2">
        <f>IF($AS987="","",IF(AND($AS987&gt;=설정!$B$10,$AS987&lt;=설정!$B$11),"포함","기간 밖"))</f>
        <v/>
      </c>
      <c r="BB987" s="2">
        <f>IF($AS987="","",IF(OR($AT987&lt;0,AND($I$6&lt;&gt;"",ISNUMBER(FIND("수정",INDEX($A:$AP,ROW(),IF($I$6="",1,$I$6))&amp;"")))),"수정","일반"))</f>
        <v/>
      </c>
      <c r="BC987" s="2">
        <f>IF($AS987="","",MID(IF($BA987="기간 밖"," / 기간 밖(신고기간 아님)","")&amp;IF(AND($AW987&lt;&gt;"",COUNTIF($AW$8:$AW$1007,$AW987)&gt;1)," / 승인번호 중복(두 번 붙여넣기?)","")&amp;IF(ABS($AU987-ROUND($AT987*0.1,0))&gt;설정!$B$8,IF($AU987=0," / 세액 0원(영세율·면세 여부 확인)"," / 세액이 공급가액 10%와 다름"),"")&amp;IF($BB987="수정"," / 수정세금계산서(합계에서 자동 가감)",""),4,200))</f>
        <v/>
      </c>
      <c r="BD987" s="2">
        <f>IF($BA987&lt;&gt;"포함","",IF(COUNTIFS($AX$8:$AX987,$AX987,$BA$8:$BA987,"포함")=1,MAX($BD$7:BD986)+1,""))</f>
        <v/>
      </c>
      <c r="BE987" s="2">
        <f>IF($BC987="","",MAX($BE$7:BE986)+1)</f>
        <v/>
      </c>
    </row>
    <row r="988">
      <c r="AR988" s="2">
        <f>IF(OR($A$5="",$B$6="",ROW()&lt;$A$5),"",IF(INDEX($A:$AP,ROW(),$B$6)="","",INDEX($A:$AP,ROW(),$B$6)))</f>
        <v/>
      </c>
      <c r="AS988" s="22">
        <f>IF($AR988="","",IF(ISNUMBER($AR988),IF($AR988&gt;=10000000,IFERROR(DATE(INT($AR988/10000),MOD(INT($AR988/100),100),MOD($AR988,100)),""),INT($AR988)),IFERROR(DATE(--LEFT(LEFT(SUBSTITUTE(SUBSTITUTE(SUBSTITUTE(SUBSTITUTE(TRIM($AR988),"-",""),".",""),"/","")," ",""),8),4),--MID(LEFT(SUBSTITUTE(SUBSTITUTE(SUBSTITUTE(SUBSTITUTE(TRIM($AR988),"-",""),".",""),"/","")," ",""),8),5,2),--MID(LEFT(SUBSTITUTE(SUBSTITUTE(SUBSTITUTE(SUBSTITUTE(TRIM($AR988),"-",""),".",""),"/","")," ",""),8),7,2)),"")))</f>
        <v/>
      </c>
      <c r="AT988" s="23">
        <f>IF($AS988="","",IF($F$6="",0,IF(ISNUMBER(INDEX($A:$AP,ROW(),$F$6)),INDEX($A:$AP,ROW(),$F$6),IFERROR(--SUBSTITUTE(SUBSTITUTE(TRIM(INDEX($A:$AP,ROW(),$F$6)),",",""),"원",""),0))))</f>
        <v/>
      </c>
      <c r="AU988" s="23">
        <f>IF($AS988="","",IF($G$6="",0,IF(ISNUMBER(INDEX($A:$AP,ROW(),$G$6)),INDEX($A:$AP,ROW(),$G$6),IFERROR(--SUBSTITUTE(SUBSTITUTE(TRIM(INDEX($A:$AP,ROW(),$G$6)),",",""),"원",""),0))))</f>
        <v/>
      </c>
      <c r="AV988" s="23">
        <f>IF($AS988="","",IF($H$6="",$AT988+$AU988,IF($H$6="",0,IF(ISNUMBER(INDEX($A:$AP,ROW(),$H$6)),INDEX($A:$AP,ROW(),$H$6),IFERROR(--SUBSTITUTE(SUBSTITUTE(TRIM(INDEX($A:$AP,ROW(),$H$6)),",",""),"원",""),0)))))</f>
        <v/>
      </c>
      <c r="AW988" s="2">
        <f>IF(OR($AS988="",$C$6=""),"",TRIM(INDEX($A:$AP,ROW(),$C$6)&amp;""))</f>
        <v/>
      </c>
      <c r="AX988" s="2">
        <f>IF($AS988="","",IF($AZ988&lt;&gt;"",SUBSTITUTE(SUBSTITUTE($AZ988,"-","")," ",""),$AY988))</f>
        <v/>
      </c>
      <c r="AY988" s="2">
        <f>IF(OR($AS988="",$E$6=""),"",TRIM(INDEX($A:$AP,ROW(),$E$6)&amp;""))</f>
        <v/>
      </c>
      <c r="AZ988" s="2">
        <f>IF(OR($AS988="",$D$6=""),"",TRIM(INDEX($A:$AP,ROW(),$D$6)&amp;""))</f>
        <v/>
      </c>
      <c r="BA988" s="2">
        <f>IF($AS988="","",IF(AND($AS988&gt;=설정!$B$10,$AS988&lt;=설정!$B$11),"포함","기간 밖"))</f>
        <v/>
      </c>
      <c r="BB988" s="2">
        <f>IF($AS988="","",IF(OR($AT988&lt;0,AND($I$6&lt;&gt;"",ISNUMBER(FIND("수정",INDEX($A:$AP,ROW(),IF($I$6="",1,$I$6))&amp;"")))),"수정","일반"))</f>
        <v/>
      </c>
      <c r="BC988" s="2">
        <f>IF($AS988="","",MID(IF($BA988="기간 밖"," / 기간 밖(신고기간 아님)","")&amp;IF(AND($AW988&lt;&gt;"",COUNTIF($AW$8:$AW$1007,$AW988)&gt;1)," / 승인번호 중복(두 번 붙여넣기?)","")&amp;IF(ABS($AU988-ROUND($AT988*0.1,0))&gt;설정!$B$8,IF($AU988=0," / 세액 0원(영세율·면세 여부 확인)"," / 세액이 공급가액 10%와 다름"),"")&amp;IF($BB988="수정"," / 수정세금계산서(합계에서 자동 가감)",""),4,200))</f>
        <v/>
      </c>
      <c r="BD988" s="2">
        <f>IF($BA988&lt;&gt;"포함","",IF(COUNTIFS($AX$8:$AX988,$AX988,$BA$8:$BA988,"포함")=1,MAX($BD$7:BD987)+1,""))</f>
        <v/>
      </c>
      <c r="BE988" s="2">
        <f>IF($BC988="","",MAX($BE$7:BE987)+1)</f>
        <v/>
      </c>
    </row>
    <row r="989">
      <c r="AR989" s="2">
        <f>IF(OR($A$5="",$B$6="",ROW()&lt;$A$5),"",IF(INDEX($A:$AP,ROW(),$B$6)="","",INDEX($A:$AP,ROW(),$B$6)))</f>
        <v/>
      </c>
      <c r="AS989" s="22">
        <f>IF($AR989="","",IF(ISNUMBER($AR989),IF($AR989&gt;=10000000,IFERROR(DATE(INT($AR989/10000),MOD(INT($AR989/100),100),MOD($AR989,100)),""),INT($AR989)),IFERROR(DATE(--LEFT(LEFT(SUBSTITUTE(SUBSTITUTE(SUBSTITUTE(SUBSTITUTE(TRIM($AR989),"-",""),".",""),"/","")," ",""),8),4),--MID(LEFT(SUBSTITUTE(SUBSTITUTE(SUBSTITUTE(SUBSTITUTE(TRIM($AR989),"-",""),".",""),"/","")," ",""),8),5,2),--MID(LEFT(SUBSTITUTE(SUBSTITUTE(SUBSTITUTE(SUBSTITUTE(TRIM($AR989),"-",""),".",""),"/","")," ",""),8),7,2)),"")))</f>
        <v/>
      </c>
      <c r="AT989" s="23">
        <f>IF($AS989="","",IF($F$6="",0,IF(ISNUMBER(INDEX($A:$AP,ROW(),$F$6)),INDEX($A:$AP,ROW(),$F$6),IFERROR(--SUBSTITUTE(SUBSTITUTE(TRIM(INDEX($A:$AP,ROW(),$F$6)),",",""),"원",""),0))))</f>
        <v/>
      </c>
      <c r="AU989" s="23">
        <f>IF($AS989="","",IF($G$6="",0,IF(ISNUMBER(INDEX($A:$AP,ROW(),$G$6)),INDEX($A:$AP,ROW(),$G$6),IFERROR(--SUBSTITUTE(SUBSTITUTE(TRIM(INDEX($A:$AP,ROW(),$G$6)),",",""),"원",""),0))))</f>
        <v/>
      </c>
      <c r="AV989" s="23">
        <f>IF($AS989="","",IF($H$6="",$AT989+$AU989,IF($H$6="",0,IF(ISNUMBER(INDEX($A:$AP,ROW(),$H$6)),INDEX($A:$AP,ROW(),$H$6),IFERROR(--SUBSTITUTE(SUBSTITUTE(TRIM(INDEX($A:$AP,ROW(),$H$6)),",",""),"원",""),0)))))</f>
        <v/>
      </c>
      <c r="AW989" s="2">
        <f>IF(OR($AS989="",$C$6=""),"",TRIM(INDEX($A:$AP,ROW(),$C$6)&amp;""))</f>
        <v/>
      </c>
      <c r="AX989" s="2">
        <f>IF($AS989="","",IF($AZ989&lt;&gt;"",SUBSTITUTE(SUBSTITUTE($AZ989,"-","")," ",""),$AY989))</f>
        <v/>
      </c>
      <c r="AY989" s="2">
        <f>IF(OR($AS989="",$E$6=""),"",TRIM(INDEX($A:$AP,ROW(),$E$6)&amp;""))</f>
        <v/>
      </c>
      <c r="AZ989" s="2">
        <f>IF(OR($AS989="",$D$6=""),"",TRIM(INDEX($A:$AP,ROW(),$D$6)&amp;""))</f>
        <v/>
      </c>
      <c r="BA989" s="2">
        <f>IF($AS989="","",IF(AND($AS989&gt;=설정!$B$10,$AS989&lt;=설정!$B$11),"포함","기간 밖"))</f>
        <v/>
      </c>
      <c r="BB989" s="2">
        <f>IF($AS989="","",IF(OR($AT989&lt;0,AND($I$6&lt;&gt;"",ISNUMBER(FIND("수정",INDEX($A:$AP,ROW(),IF($I$6="",1,$I$6))&amp;"")))),"수정","일반"))</f>
        <v/>
      </c>
      <c r="BC989" s="2">
        <f>IF($AS989="","",MID(IF($BA989="기간 밖"," / 기간 밖(신고기간 아님)","")&amp;IF(AND($AW989&lt;&gt;"",COUNTIF($AW$8:$AW$1007,$AW989)&gt;1)," / 승인번호 중복(두 번 붙여넣기?)","")&amp;IF(ABS($AU989-ROUND($AT989*0.1,0))&gt;설정!$B$8,IF($AU989=0," / 세액 0원(영세율·면세 여부 확인)"," / 세액이 공급가액 10%와 다름"),"")&amp;IF($BB989="수정"," / 수정세금계산서(합계에서 자동 가감)",""),4,200))</f>
        <v/>
      </c>
      <c r="BD989" s="2">
        <f>IF($BA989&lt;&gt;"포함","",IF(COUNTIFS($AX$8:$AX989,$AX989,$BA$8:$BA989,"포함")=1,MAX($BD$7:BD988)+1,""))</f>
        <v/>
      </c>
      <c r="BE989" s="2">
        <f>IF($BC989="","",MAX($BE$7:BE988)+1)</f>
        <v/>
      </c>
    </row>
    <row r="990">
      <c r="AR990" s="2">
        <f>IF(OR($A$5="",$B$6="",ROW()&lt;$A$5),"",IF(INDEX($A:$AP,ROW(),$B$6)="","",INDEX($A:$AP,ROW(),$B$6)))</f>
        <v/>
      </c>
      <c r="AS990" s="22">
        <f>IF($AR990="","",IF(ISNUMBER($AR990),IF($AR990&gt;=10000000,IFERROR(DATE(INT($AR990/10000),MOD(INT($AR990/100),100),MOD($AR990,100)),""),INT($AR990)),IFERROR(DATE(--LEFT(LEFT(SUBSTITUTE(SUBSTITUTE(SUBSTITUTE(SUBSTITUTE(TRIM($AR990),"-",""),".",""),"/","")," ",""),8),4),--MID(LEFT(SUBSTITUTE(SUBSTITUTE(SUBSTITUTE(SUBSTITUTE(TRIM($AR990),"-",""),".",""),"/","")," ",""),8),5,2),--MID(LEFT(SUBSTITUTE(SUBSTITUTE(SUBSTITUTE(SUBSTITUTE(TRIM($AR990),"-",""),".",""),"/","")," ",""),8),7,2)),"")))</f>
        <v/>
      </c>
      <c r="AT990" s="23">
        <f>IF($AS990="","",IF($F$6="",0,IF(ISNUMBER(INDEX($A:$AP,ROW(),$F$6)),INDEX($A:$AP,ROW(),$F$6),IFERROR(--SUBSTITUTE(SUBSTITUTE(TRIM(INDEX($A:$AP,ROW(),$F$6)),",",""),"원",""),0))))</f>
        <v/>
      </c>
      <c r="AU990" s="23">
        <f>IF($AS990="","",IF($G$6="",0,IF(ISNUMBER(INDEX($A:$AP,ROW(),$G$6)),INDEX($A:$AP,ROW(),$G$6),IFERROR(--SUBSTITUTE(SUBSTITUTE(TRIM(INDEX($A:$AP,ROW(),$G$6)),",",""),"원",""),0))))</f>
        <v/>
      </c>
      <c r="AV990" s="23">
        <f>IF($AS990="","",IF($H$6="",$AT990+$AU990,IF($H$6="",0,IF(ISNUMBER(INDEX($A:$AP,ROW(),$H$6)),INDEX($A:$AP,ROW(),$H$6),IFERROR(--SUBSTITUTE(SUBSTITUTE(TRIM(INDEX($A:$AP,ROW(),$H$6)),",",""),"원",""),0)))))</f>
        <v/>
      </c>
      <c r="AW990" s="2">
        <f>IF(OR($AS990="",$C$6=""),"",TRIM(INDEX($A:$AP,ROW(),$C$6)&amp;""))</f>
        <v/>
      </c>
      <c r="AX990" s="2">
        <f>IF($AS990="","",IF($AZ990&lt;&gt;"",SUBSTITUTE(SUBSTITUTE($AZ990,"-","")," ",""),$AY990))</f>
        <v/>
      </c>
      <c r="AY990" s="2">
        <f>IF(OR($AS990="",$E$6=""),"",TRIM(INDEX($A:$AP,ROW(),$E$6)&amp;""))</f>
        <v/>
      </c>
      <c r="AZ990" s="2">
        <f>IF(OR($AS990="",$D$6=""),"",TRIM(INDEX($A:$AP,ROW(),$D$6)&amp;""))</f>
        <v/>
      </c>
      <c r="BA990" s="2">
        <f>IF($AS990="","",IF(AND($AS990&gt;=설정!$B$10,$AS990&lt;=설정!$B$11),"포함","기간 밖"))</f>
        <v/>
      </c>
      <c r="BB990" s="2">
        <f>IF($AS990="","",IF(OR($AT990&lt;0,AND($I$6&lt;&gt;"",ISNUMBER(FIND("수정",INDEX($A:$AP,ROW(),IF($I$6="",1,$I$6))&amp;"")))),"수정","일반"))</f>
        <v/>
      </c>
      <c r="BC990" s="2">
        <f>IF($AS990="","",MID(IF($BA990="기간 밖"," / 기간 밖(신고기간 아님)","")&amp;IF(AND($AW990&lt;&gt;"",COUNTIF($AW$8:$AW$1007,$AW990)&gt;1)," / 승인번호 중복(두 번 붙여넣기?)","")&amp;IF(ABS($AU990-ROUND($AT990*0.1,0))&gt;설정!$B$8,IF($AU990=0," / 세액 0원(영세율·면세 여부 확인)"," / 세액이 공급가액 10%와 다름"),"")&amp;IF($BB990="수정"," / 수정세금계산서(합계에서 자동 가감)",""),4,200))</f>
        <v/>
      </c>
      <c r="BD990" s="2">
        <f>IF($BA990&lt;&gt;"포함","",IF(COUNTIFS($AX$8:$AX990,$AX990,$BA$8:$BA990,"포함")=1,MAX($BD$7:BD989)+1,""))</f>
        <v/>
      </c>
      <c r="BE990" s="2">
        <f>IF($BC990="","",MAX($BE$7:BE989)+1)</f>
        <v/>
      </c>
    </row>
    <row r="991">
      <c r="AR991" s="2">
        <f>IF(OR($A$5="",$B$6="",ROW()&lt;$A$5),"",IF(INDEX($A:$AP,ROW(),$B$6)="","",INDEX($A:$AP,ROW(),$B$6)))</f>
        <v/>
      </c>
      <c r="AS991" s="22">
        <f>IF($AR991="","",IF(ISNUMBER($AR991),IF($AR991&gt;=10000000,IFERROR(DATE(INT($AR991/10000),MOD(INT($AR991/100),100),MOD($AR991,100)),""),INT($AR991)),IFERROR(DATE(--LEFT(LEFT(SUBSTITUTE(SUBSTITUTE(SUBSTITUTE(SUBSTITUTE(TRIM($AR991),"-",""),".",""),"/","")," ",""),8),4),--MID(LEFT(SUBSTITUTE(SUBSTITUTE(SUBSTITUTE(SUBSTITUTE(TRIM($AR991),"-",""),".",""),"/","")," ",""),8),5,2),--MID(LEFT(SUBSTITUTE(SUBSTITUTE(SUBSTITUTE(SUBSTITUTE(TRIM($AR991),"-",""),".",""),"/","")," ",""),8),7,2)),"")))</f>
        <v/>
      </c>
      <c r="AT991" s="23">
        <f>IF($AS991="","",IF($F$6="",0,IF(ISNUMBER(INDEX($A:$AP,ROW(),$F$6)),INDEX($A:$AP,ROW(),$F$6),IFERROR(--SUBSTITUTE(SUBSTITUTE(TRIM(INDEX($A:$AP,ROW(),$F$6)),",",""),"원",""),0))))</f>
        <v/>
      </c>
      <c r="AU991" s="23">
        <f>IF($AS991="","",IF($G$6="",0,IF(ISNUMBER(INDEX($A:$AP,ROW(),$G$6)),INDEX($A:$AP,ROW(),$G$6),IFERROR(--SUBSTITUTE(SUBSTITUTE(TRIM(INDEX($A:$AP,ROW(),$G$6)),",",""),"원",""),0))))</f>
        <v/>
      </c>
      <c r="AV991" s="23">
        <f>IF($AS991="","",IF($H$6="",$AT991+$AU991,IF($H$6="",0,IF(ISNUMBER(INDEX($A:$AP,ROW(),$H$6)),INDEX($A:$AP,ROW(),$H$6),IFERROR(--SUBSTITUTE(SUBSTITUTE(TRIM(INDEX($A:$AP,ROW(),$H$6)),",",""),"원",""),0)))))</f>
        <v/>
      </c>
      <c r="AW991" s="2">
        <f>IF(OR($AS991="",$C$6=""),"",TRIM(INDEX($A:$AP,ROW(),$C$6)&amp;""))</f>
        <v/>
      </c>
      <c r="AX991" s="2">
        <f>IF($AS991="","",IF($AZ991&lt;&gt;"",SUBSTITUTE(SUBSTITUTE($AZ991,"-","")," ",""),$AY991))</f>
        <v/>
      </c>
      <c r="AY991" s="2">
        <f>IF(OR($AS991="",$E$6=""),"",TRIM(INDEX($A:$AP,ROW(),$E$6)&amp;""))</f>
        <v/>
      </c>
      <c r="AZ991" s="2">
        <f>IF(OR($AS991="",$D$6=""),"",TRIM(INDEX($A:$AP,ROW(),$D$6)&amp;""))</f>
        <v/>
      </c>
      <c r="BA991" s="2">
        <f>IF($AS991="","",IF(AND($AS991&gt;=설정!$B$10,$AS991&lt;=설정!$B$11),"포함","기간 밖"))</f>
        <v/>
      </c>
      <c r="BB991" s="2">
        <f>IF($AS991="","",IF(OR($AT991&lt;0,AND($I$6&lt;&gt;"",ISNUMBER(FIND("수정",INDEX($A:$AP,ROW(),IF($I$6="",1,$I$6))&amp;"")))),"수정","일반"))</f>
        <v/>
      </c>
      <c r="BC991" s="2">
        <f>IF($AS991="","",MID(IF($BA991="기간 밖"," / 기간 밖(신고기간 아님)","")&amp;IF(AND($AW991&lt;&gt;"",COUNTIF($AW$8:$AW$1007,$AW991)&gt;1)," / 승인번호 중복(두 번 붙여넣기?)","")&amp;IF(ABS($AU991-ROUND($AT991*0.1,0))&gt;설정!$B$8,IF($AU991=0," / 세액 0원(영세율·면세 여부 확인)"," / 세액이 공급가액 10%와 다름"),"")&amp;IF($BB991="수정"," / 수정세금계산서(합계에서 자동 가감)",""),4,200))</f>
        <v/>
      </c>
      <c r="BD991" s="2">
        <f>IF($BA991&lt;&gt;"포함","",IF(COUNTIFS($AX$8:$AX991,$AX991,$BA$8:$BA991,"포함")=1,MAX($BD$7:BD990)+1,""))</f>
        <v/>
      </c>
      <c r="BE991" s="2">
        <f>IF($BC991="","",MAX($BE$7:BE990)+1)</f>
        <v/>
      </c>
    </row>
    <row r="992">
      <c r="AR992" s="2">
        <f>IF(OR($A$5="",$B$6="",ROW()&lt;$A$5),"",IF(INDEX($A:$AP,ROW(),$B$6)="","",INDEX($A:$AP,ROW(),$B$6)))</f>
        <v/>
      </c>
      <c r="AS992" s="22">
        <f>IF($AR992="","",IF(ISNUMBER($AR992),IF($AR992&gt;=10000000,IFERROR(DATE(INT($AR992/10000),MOD(INT($AR992/100),100),MOD($AR992,100)),""),INT($AR992)),IFERROR(DATE(--LEFT(LEFT(SUBSTITUTE(SUBSTITUTE(SUBSTITUTE(SUBSTITUTE(TRIM($AR992),"-",""),".",""),"/","")," ",""),8),4),--MID(LEFT(SUBSTITUTE(SUBSTITUTE(SUBSTITUTE(SUBSTITUTE(TRIM($AR992),"-",""),".",""),"/","")," ",""),8),5,2),--MID(LEFT(SUBSTITUTE(SUBSTITUTE(SUBSTITUTE(SUBSTITUTE(TRIM($AR992),"-",""),".",""),"/","")," ",""),8),7,2)),"")))</f>
        <v/>
      </c>
      <c r="AT992" s="23">
        <f>IF($AS992="","",IF($F$6="",0,IF(ISNUMBER(INDEX($A:$AP,ROW(),$F$6)),INDEX($A:$AP,ROW(),$F$6),IFERROR(--SUBSTITUTE(SUBSTITUTE(TRIM(INDEX($A:$AP,ROW(),$F$6)),",",""),"원",""),0))))</f>
        <v/>
      </c>
      <c r="AU992" s="23">
        <f>IF($AS992="","",IF($G$6="",0,IF(ISNUMBER(INDEX($A:$AP,ROW(),$G$6)),INDEX($A:$AP,ROW(),$G$6),IFERROR(--SUBSTITUTE(SUBSTITUTE(TRIM(INDEX($A:$AP,ROW(),$G$6)),",",""),"원",""),0))))</f>
        <v/>
      </c>
      <c r="AV992" s="23">
        <f>IF($AS992="","",IF($H$6="",$AT992+$AU992,IF($H$6="",0,IF(ISNUMBER(INDEX($A:$AP,ROW(),$H$6)),INDEX($A:$AP,ROW(),$H$6),IFERROR(--SUBSTITUTE(SUBSTITUTE(TRIM(INDEX($A:$AP,ROW(),$H$6)),",",""),"원",""),0)))))</f>
        <v/>
      </c>
      <c r="AW992" s="2">
        <f>IF(OR($AS992="",$C$6=""),"",TRIM(INDEX($A:$AP,ROW(),$C$6)&amp;""))</f>
        <v/>
      </c>
      <c r="AX992" s="2">
        <f>IF($AS992="","",IF($AZ992&lt;&gt;"",SUBSTITUTE(SUBSTITUTE($AZ992,"-","")," ",""),$AY992))</f>
        <v/>
      </c>
      <c r="AY992" s="2">
        <f>IF(OR($AS992="",$E$6=""),"",TRIM(INDEX($A:$AP,ROW(),$E$6)&amp;""))</f>
        <v/>
      </c>
      <c r="AZ992" s="2">
        <f>IF(OR($AS992="",$D$6=""),"",TRIM(INDEX($A:$AP,ROW(),$D$6)&amp;""))</f>
        <v/>
      </c>
      <c r="BA992" s="2">
        <f>IF($AS992="","",IF(AND($AS992&gt;=설정!$B$10,$AS992&lt;=설정!$B$11),"포함","기간 밖"))</f>
        <v/>
      </c>
      <c r="BB992" s="2">
        <f>IF($AS992="","",IF(OR($AT992&lt;0,AND($I$6&lt;&gt;"",ISNUMBER(FIND("수정",INDEX($A:$AP,ROW(),IF($I$6="",1,$I$6))&amp;"")))),"수정","일반"))</f>
        <v/>
      </c>
      <c r="BC992" s="2">
        <f>IF($AS992="","",MID(IF($BA992="기간 밖"," / 기간 밖(신고기간 아님)","")&amp;IF(AND($AW992&lt;&gt;"",COUNTIF($AW$8:$AW$1007,$AW992)&gt;1)," / 승인번호 중복(두 번 붙여넣기?)","")&amp;IF(ABS($AU992-ROUND($AT992*0.1,0))&gt;설정!$B$8,IF($AU992=0," / 세액 0원(영세율·면세 여부 확인)"," / 세액이 공급가액 10%와 다름"),"")&amp;IF($BB992="수정"," / 수정세금계산서(합계에서 자동 가감)",""),4,200))</f>
        <v/>
      </c>
      <c r="BD992" s="2">
        <f>IF($BA992&lt;&gt;"포함","",IF(COUNTIFS($AX$8:$AX992,$AX992,$BA$8:$BA992,"포함")=1,MAX($BD$7:BD991)+1,""))</f>
        <v/>
      </c>
      <c r="BE992" s="2">
        <f>IF($BC992="","",MAX($BE$7:BE991)+1)</f>
        <v/>
      </c>
    </row>
    <row r="993">
      <c r="AR993" s="2">
        <f>IF(OR($A$5="",$B$6="",ROW()&lt;$A$5),"",IF(INDEX($A:$AP,ROW(),$B$6)="","",INDEX($A:$AP,ROW(),$B$6)))</f>
        <v/>
      </c>
      <c r="AS993" s="22">
        <f>IF($AR993="","",IF(ISNUMBER($AR993),IF($AR993&gt;=10000000,IFERROR(DATE(INT($AR993/10000),MOD(INT($AR993/100),100),MOD($AR993,100)),""),INT($AR993)),IFERROR(DATE(--LEFT(LEFT(SUBSTITUTE(SUBSTITUTE(SUBSTITUTE(SUBSTITUTE(TRIM($AR993),"-",""),".",""),"/","")," ",""),8),4),--MID(LEFT(SUBSTITUTE(SUBSTITUTE(SUBSTITUTE(SUBSTITUTE(TRIM($AR993),"-",""),".",""),"/","")," ",""),8),5,2),--MID(LEFT(SUBSTITUTE(SUBSTITUTE(SUBSTITUTE(SUBSTITUTE(TRIM($AR993),"-",""),".",""),"/","")," ",""),8),7,2)),"")))</f>
        <v/>
      </c>
      <c r="AT993" s="23">
        <f>IF($AS993="","",IF($F$6="",0,IF(ISNUMBER(INDEX($A:$AP,ROW(),$F$6)),INDEX($A:$AP,ROW(),$F$6),IFERROR(--SUBSTITUTE(SUBSTITUTE(TRIM(INDEX($A:$AP,ROW(),$F$6)),",",""),"원",""),0))))</f>
        <v/>
      </c>
      <c r="AU993" s="23">
        <f>IF($AS993="","",IF($G$6="",0,IF(ISNUMBER(INDEX($A:$AP,ROW(),$G$6)),INDEX($A:$AP,ROW(),$G$6),IFERROR(--SUBSTITUTE(SUBSTITUTE(TRIM(INDEX($A:$AP,ROW(),$G$6)),",",""),"원",""),0))))</f>
        <v/>
      </c>
      <c r="AV993" s="23">
        <f>IF($AS993="","",IF($H$6="",$AT993+$AU993,IF($H$6="",0,IF(ISNUMBER(INDEX($A:$AP,ROW(),$H$6)),INDEX($A:$AP,ROW(),$H$6),IFERROR(--SUBSTITUTE(SUBSTITUTE(TRIM(INDEX($A:$AP,ROW(),$H$6)),",",""),"원",""),0)))))</f>
        <v/>
      </c>
      <c r="AW993" s="2">
        <f>IF(OR($AS993="",$C$6=""),"",TRIM(INDEX($A:$AP,ROW(),$C$6)&amp;""))</f>
        <v/>
      </c>
      <c r="AX993" s="2">
        <f>IF($AS993="","",IF($AZ993&lt;&gt;"",SUBSTITUTE(SUBSTITUTE($AZ993,"-","")," ",""),$AY993))</f>
        <v/>
      </c>
      <c r="AY993" s="2">
        <f>IF(OR($AS993="",$E$6=""),"",TRIM(INDEX($A:$AP,ROW(),$E$6)&amp;""))</f>
        <v/>
      </c>
      <c r="AZ993" s="2">
        <f>IF(OR($AS993="",$D$6=""),"",TRIM(INDEX($A:$AP,ROW(),$D$6)&amp;""))</f>
        <v/>
      </c>
      <c r="BA993" s="2">
        <f>IF($AS993="","",IF(AND($AS993&gt;=설정!$B$10,$AS993&lt;=설정!$B$11),"포함","기간 밖"))</f>
        <v/>
      </c>
      <c r="BB993" s="2">
        <f>IF($AS993="","",IF(OR($AT993&lt;0,AND($I$6&lt;&gt;"",ISNUMBER(FIND("수정",INDEX($A:$AP,ROW(),IF($I$6="",1,$I$6))&amp;"")))),"수정","일반"))</f>
        <v/>
      </c>
      <c r="BC993" s="2">
        <f>IF($AS993="","",MID(IF($BA993="기간 밖"," / 기간 밖(신고기간 아님)","")&amp;IF(AND($AW993&lt;&gt;"",COUNTIF($AW$8:$AW$1007,$AW993)&gt;1)," / 승인번호 중복(두 번 붙여넣기?)","")&amp;IF(ABS($AU993-ROUND($AT993*0.1,0))&gt;설정!$B$8,IF($AU993=0," / 세액 0원(영세율·면세 여부 확인)"," / 세액이 공급가액 10%와 다름"),"")&amp;IF($BB993="수정"," / 수정세금계산서(합계에서 자동 가감)",""),4,200))</f>
        <v/>
      </c>
      <c r="BD993" s="2">
        <f>IF($BA993&lt;&gt;"포함","",IF(COUNTIFS($AX$8:$AX993,$AX993,$BA$8:$BA993,"포함")=1,MAX($BD$7:BD992)+1,""))</f>
        <v/>
      </c>
      <c r="BE993" s="2">
        <f>IF($BC993="","",MAX($BE$7:BE992)+1)</f>
        <v/>
      </c>
    </row>
    <row r="994">
      <c r="AR994" s="2">
        <f>IF(OR($A$5="",$B$6="",ROW()&lt;$A$5),"",IF(INDEX($A:$AP,ROW(),$B$6)="","",INDEX($A:$AP,ROW(),$B$6)))</f>
        <v/>
      </c>
      <c r="AS994" s="22">
        <f>IF($AR994="","",IF(ISNUMBER($AR994),IF($AR994&gt;=10000000,IFERROR(DATE(INT($AR994/10000),MOD(INT($AR994/100),100),MOD($AR994,100)),""),INT($AR994)),IFERROR(DATE(--LEFT(LEFT(SUBSTITUTE(SUBSTITUTE(SUBSTITUTE(SUBSTITUTE(TRIM($AR994),"-",""),".",""),"/","")," ",""),8),4),--MID(LEFT(SUBSTITUTE(SUBSTITUTE(SUBSTITUTE(SUBSTITUTE(TRIM($AR994),"-",""),".",""),"/","")," ",""),8),5,2),--MID(LEFT(SUBSTITUTE(SUBSTITUTE(SUBSTITUTE(SUBSTITUTE(TRIM($AR994),"-",""),".",""),"/","")," ",""),8),7,2)),"")))</f>
        <v/>
      </c>
      <c r="AT994" s="23">
        <f>IF($AS994="","",IF($F$6="",0,IF(ISNUMBER(INDEX($A:$AP,ROW(),$F$6)),INDEX($A:$AP,ROW(),$F$6),IFERROR(--SUBSTITUTE(SUBSTITUTE(TRIM(INDEX($A:$AP,ROW(),$F$6)),",",""),"원",""),0))))</f>
        <v/>
      </c>
      <c r="AU994" s="23">
        <f>IF($AS994="","",IF($G$6="",0,IF(ISNUMBER(INDEX($A:$AP,ROW(),$G$6)),INDEX($A:$AP,ROW(),$G$6),IFERROR(--SUBSTITUTE(SUBSTITUTE(TRIM(INDEX($A:$AP,ROW(),$G$6)),",",""),"원",""),0))))</f>
        <v/>
      </c>
      <c r="AV994" s="23">
        <f>IF($AS994="","",IF($H$6="",$AT994+$AU994,IF($H$6="",0,IF(ISNUMBER(INDEX($A:$AP,ROW(),$H$6)),INDEX($A:$AP,ROW(),$H$6),IFERROR(--SUBSTITUTE(SUBSTITUTE(TRIM(INDEX($A:$AP,ROW(),$H$6)),",",""),"원",""),0)))))</f>
        <v/>
      </c>
      <c r="AW994" s="2">
        <f>IF(OR($AS994="",$C$6=""),"",TRIM(INDEX($A:$AP,ROW(),$C$6)&amp;""))</f>
        <v/>
      </c>
      <c r="AX994" s="2">
        <f>IF($AS994="","",IF($AZ994&lt;&gt;"",SUBSTITUTE(SUBSTITUTE($AZ994,"-","")," ",""),$AY994))</f>
        <v/>
      </c>
      <c r="AY994" s="2">
        <f>IF(OR($AS994="",$E$6=""),"",TRIM(INDEX($A:$AP,ROW(),$E$6)&amp;""))</f>
        <v/>
      </c>
      <c r="AZ994" s="2">
        <f>IF(OR($AS994="",$D$6=""),"",TRIM(INDEX($A:$AP,ROW(),$D$6)&amp;""))</f>
        <v/>
      </c>
      <c r="BA994" s="2">
        <f>IF($AS994="","",IF(AND($AS994&gt;=설정!$B$10,$AS994&lt;=설정!$B$11),"포함","기간 밖"))</f>
        <v/>
      </c>
      <c r="BB994" s="2">
        <f>IF($AS994="","",IF(OR($AT994&lt;0,AND($I$6&lt;&gt;"",ISNUMBER(FIND("수정",INDEX($A:$AP,ROW(),IF($I$6="",1,$I$6))&amp;"")))),"수정","일반"))</f>
        <v/>
      </c>
      <c r="BC994" s="2">
        <f>IF($AS994="","",MID(IF($BA994="기간 밖"," / 기간 밖(신고기간 아님)","")&amp;IF(AND($AW994&lt;&gt;"",COUNTIF($AW$8:$AW$1007,$AW994)&gt;1)," / 승인번호 중복(두 번 붙여넣기?)","")&amp;IF(ABS($AU994-ROUND($AT994*0.1,0))&gt;설정!$B$8,IF($AU994=0," / 세액 0원(영세율·면세 여부 확인)"," / 세액이 공급가액 10%와 다름"),"")&amp;IF($BB994="수정"," / 수정세금계산서(합계에서 자동 가감)",""),4,200))</f>
        <v/>
      </c>
      <c r="BD994" s="2">
        <f>IF($BA994&lt;&gt;"포함","",IF(COUNTIFS($AX$8:$AX994,$AX994,$BA$8:$BA994,"포함")=1,MAX($BD$7:BD993)+1,""))</f>
        <v/>
      </c>
      <c r="BE994" s="2">
        <f>IF($BC994="","",MAX($BE$7:BE993)+1)</f>
        <v/>
      </c>
    </row>
    <row r="995">
      <c r="AR995" s="2">
        <f>IF(OR($A$5="",$B$6="",ROW()&lt;$A$5),"",IF(INDEX($A:$AP,ROW(),$B$6)="","",INDEX($A:$AP,ROW(),$B$6)))</f>
        <v/>
      </c>
      <c r="AS995" s="22">
        <f>IF($AR995="","",IF(ISNUMBER($AR995),IF($AR995&gt;=10000000,IFERROR(DATE(INT($AR995/10000),MOD(INT($AR995/100),100),MOD($AR995,100)),""),INT($AR995)),IFERROR(DATE(--LEFT(LEFT(SUBSTITUTE(SUBSTITUTE(SUBSTITUTE(SUBSTITUTE(TRIM($AR995),"-",""),".",""),"/","")," ",""),8),4),--MID(LEFT(SUBSTITUTE(SUBSTITUTE(SUBSTITUTE(SUBSTITUTE(TRIM($AR995),"-",""),".",""),"/","")," ",""),8),5,2),--MID(LEFT(SUBSTITUTE(SUBSTITUTE(SUBSTITUTE(SUBSTITUTE(TRIM($AR995),"-",""),".",""),"/","")," ",""),8),7,2)),"")))</f>
        <v/>
      </c>
      <c r="AT995" s="23">
        <f>IF($AS995="","",IF($F$6="",0,IF(ISNUMBER(INDEX($A:$AP,ROW(),$F$6)),INDEX($A:$AP,ROW(),$F$6),IFERROR(--SUBSTITUTE(SUBSTITUTE(TRIM(INDEX($A:$AP,ROW(),$F$6)),",",""),"원",""),0))))</f>
        <v/>
      </c>
      <c r="AU995" s="23">
        <f>IF($AS995="","",IF($G$6="",0,IF(ISNUMBER(INDEX($A:$AP,ROW(),$G$6)),INDEX($A:$AP,ROW(),$G$6),IFERROR(--SUBSTITUTE(SUBSTITUTE(TRIM(INDEX($A:$AP,ROW(),$G$6)),",",""),"원",""),0))))</f>
        <v/>
      </c>
      <c r="AV995" s="23">
        <f>IF($AS995="","",IF($H$6="",$AT995+$AU995,IF($H$6="",0,IF(ISNUMBER(INDEX($A:$AP,ROW(),$H$6)),INDEX($A:$AP,ROW(),$H$6),IFERROR(--SUBSTITUTE(SUBSTITUTE(TRIM(INDEX($A:$AP,ROW(),$H$6)),",",""),"원",""),0)))))</f>
        <v/>
      </c>
      <c r="AW995" s="2">
        <f>IF(OR($AS995="",$C$6=""),"",TRIM(INDEX($A:$AP,ROW(),$C$6)&amp;""))</f>
        <v/>
      </c>
      <c r="AX995" s="2">
        <f>IF($AS995="","",IF($AZ995&lt;&gt;"",SUBSTITUTE(SUBSTITUTE($AZ995,"-","")," ",""),$AY995))</f>
        <v/>
      </c>
      <c r="AY995" s="2">
        <f>IF(OR($AS995="",$E$6=""),"",TRIM(INDEX($A:$AP,ROW(),$E$6)&amp;""))</f>
        <v/>
      </c>
      <c r="AZ995" s="2">
        <f>IF(OR($AS995="",$D$6=""),"",TRIM(INDEX($A:$AP,ROW(),$D$6)&amp;""))</f>
        <v/>
      </c>
      <c r="BA995" s="2">
        <f>IF($AS995="","",IF(AND($AS995&gt;=설정!$B$10,$AS995&lt;=설정!$B$11),"포함","기간 밖"))</f>
        <v/>
      </c>
      <c r="BB995" s="2">
        <f>IF($AS995="","",IF(OR($AT995&lt;0,AND($I$6&lt;&gt;"",ISNUMBER(FIND("수정",INDEX($A:$AP,ROW(),IF($I$6="",1,$I$6))&amp;"")))),"수정","일반"))</f>
        <v/>
      </c>
      <c r="BC995" s="2">
        <f>IF($AS995="","",MID(IF($BA995="기간 밖"," / 기간 밖(신고기간 아님)","")&amp;IF(AND($AW995&lt;&gt;"",COUNTIF($AW$8:$AW$1007,$AW995)&gt;1)," / 승인번호 중복(두 번 붙여넣기?)","")&amp;IF(ABS($AU995-ROUND($AT995*0.1,0))&gt;설정!$B$8,IF($AU995=0," / 세액 0원(영세율·면세 여부 확인)"," / 세액이 공급가액 10%와 다름"),"")&amp;IF($BB995="수정"," / 수정세금계산서(합계에서 자동 가감)",""),4,200))</f>
        <v/>
      </c>
      <c r="BD995" s="2">
        <f>IF($BA995&lt;&gt;"포함","",IF(COUNTIFS($AX$8:$AX995,$AX995,$BA$8:$BA995,"포함")=1,MAX($BD$7:BD994)+1,""))</f>
        <v/>
      </c>
      <c r="BE995" s="2">
        <f>IF($BC995="","",MAX($BE$7:BE994)+1)</f>
        <v/>
      </c>
    </row>
    <row r="996">
      <c r="AR996" s="2">
        <f>IF(OR($A$5="",$B$6="",ROW()&lt;$A$5),"",IF(INDEX($A:$AP,ROW(),$B$6)="","",INDEX($A:$AP,ROW(),$B$6)))</f>
        <v/>
      </c>
      <c r="AS996" s="22">
        <f>IF($AR996="","",IF(ISNUMBER($AR996),IF($AR996&gt;=10000000,IFERROR(DATE(INT($AR996/10000),MOD(INT($AR996/100),100),MOD($AR996,100)),""),INT($AR996)),IFERROR(DATE(--LEFT(LEFT(SUBSTITUTE(SUBSTITUTE(SUBSTITUTE(SUBSTITUTE(TRIM($AR996),"-",""),".",""),"/","")," ",""),8),4),--MID(LEFT(SUBSTITUTE(SUBSTITUTE(SUBSTITUTE(SUBSTITUTE(TRIM($AR996),"-",""),".",""),"/","")," ",""),8),5,2),--MID(LEFT(SUBSTITUTE(SUBSTITUTE(SUBSTITUTE(SUBSTITUTE(TRIM($AR996),"-",""),".",""),"/","")," ",""),8),7,2)),"")))</f>
        <v/>
      </c>
      <c r="AT996" s="23">
        <f>IF($AS996="","",IF($F$6="",0,IF(ISNUMBER(INDEX($A:$AP,ROW(),$F$6)),INDEX($A:$AP,ROW(),$F$6),IFERROR(--SUBSTITUTE(SUBSTITUTE(TRIM(INDEX($A:$AP,ROW(),$F$6)),",",""),"원",""),0))))</f>
        <v/>
      </c>
      <c r="AU996" s="23">
        <f>IF($AS996="","",IF($G$6="",0,IF(ISNUMBER(INDEX($A:$AP,ROW(),$G$6)),INDEX($A:$AP,ROW(),$G$6),IFERROR(--SUBSTITUTE(SUBSTITUTE(TRIM(INDEX($A:$AP,ROW(),$G$6)),",",""),"원",""),0))))</f>
        <v/>
      </c>
      <c r="AV996" s="23">
        <f>IF($AS996="","",IF($H$6="",$AT996+$AU996,IF($H$6="",0,IF(ISNUMBER(INDEX($A:$AP,ROW(),$H$6)),INDEX($A:$AP,ROW(),$H$6),IFERROR(--SUBSTITUTE(SUBSTITUTE(TRIM(INDEX($A:$AP,ROW(),$H$6)),",",""),"원",""),0)))))</f>
        <v/>
      </c>
      <c r="AW996" s="2">
        <f>IF(OR($AS996="",$C$6=""),"",TRIM(INDEX($A:$AP,ROW(),$C$6)&amp;""))</f>
        <v/>
      </c>
      <c r="AX996" s="2">
        <f>IF($AS996="","",IF($AZ996&lt;&gt;"",SUBSTITUTE(SUBSTITUTE($AZ996,"-","")," ",""),$AY996))</f>
        <v/>
      </c>
      <c r="AY996" s="2">
        <f>IF(OR($AS996="",$E$6=""),"",TRIM(INDEX($A:$AP,ROW(),$E$6)&amp;""))</f>
        <v/>
      </c>
      <c r="AZ996" s="2">
        <f>IF(OR($AS996="",$D$6=""),"",TRIM(INDEX($A:$AP,ROW(),$D$6)&amp;""))</f>
        <v/>
      </c>
      <c r="BA996" s="2">
        <f>IF($AS996="","",IF(AND($AS996&gt;=설정!$B$10,$AS996&lt;=설정!$B$11),"포함","기간 밖"))</f>
        <v/>
      </c>
      <c r="BB996" s="2">
        <f>IF($AS996="","",IF(OR($AT996&lt;0,AND($I$6&lt;&gt;"",ISNUMBER(FIND("수정",INDEX($A:$AP,ROW(),IF($I$6="",1,$I$6))&amp;"")))),"수정","일반"))</f>
        <v/>
      </c>
      <c r="BC996" s="2">
        <f>IF($AS996="","",MID(IF($BA996="기간 밖"," / 기간 밖(신고기간 아님)","")&amp;IF(AND($AW996&lt;&gt;"",COUNTIF($AW$8:$AW$1007,$AW996)&gt;1)," / 승인번호 중복(두 번 붙여넣기?)","")&amp;IF(ABS($AU996-ROUND($AT996*0.1,0))&gt;설정!$B$8,IF($AU996=0," / 세액 0원(영세율·면세 여부 확인)"," / 세액이 공급가액 10%와 다름"),"")&amp;IF($BB996="수정"," / 수정세금계산서(합계에서 자동 가감)",""),4,200))</f>
        <v/>
      </c>
      <c r="BD996" s="2">
        <f>IF($BA996&lt;&gt;"포함","",IF(COUNTIFS($AX$8:$AX996,$AX996,$BA$8:$BA996,"포함")=1,MAX($BD$7:BD995)+1,""))</f>
        <v/>
      </c>
      <c r="BE996" s="2">
        <f>IF($BC996="","",MAX($BE$7:BE995)+1)</f>
        <v/>
      </c>
    </row>
    <row r="997">
      <c r="AR997" s="2">
        <f>IF(OR($A$5="",$B$6="",ROW()&lt;$A$5),"",IF(INDEX($A:$AP,ROW(),$B$6)="","",INDEX($A:$AP,ROW(),$B$6)))</f>
        <v/>
      </c>
      <c r="AS997" s="22">
        <f>IF($AR997="","",IF(ISNUMBER($AR997),IF($AR997&gt;=10000000,IFERROR(DATE(INT($AR997/10000),MOD(INT($AR997/100),100),MOD($AR997,100)),""),INT($AR997)),IFERROR(DATE(--LEFT(LEFT(SUBSTITUTE(SUBSTITUTE(SUBSTITUTE(SUBSTITUTE(TRIM($AR997),"-",""),".",""),"/","")," ",""),8),4),--MID(LEFT(SUBSTITUTE(SUBSTITUTE(SUBSTITUTE(SUBSTITUTE(TRIM($AR997),"-",""),".",""),"/","")," ",""),8),5,2),--MID(LEFT(SUBSTITUTE(SUBSTITUTE(SUBSTITUTE(SUBSTITUTE(TRIM($AR997),"-",""),".",""),"/","")," ",""),8),7,2)),"")))</f>
        <v/>
      </c>
      <c r="AT997" s="23">
        <f>IF($AS997="","",IF($F$6="",0,IF(ISNUMBER(INDEX($A:$AP,ROW(),$F$6)),INDEX($A:$AP,ROW(),$F$6),IFERROR(--SUBSTITUTE(SUBSTITUTE(TRIM(INDEX($A:$AP,ROW(),$F$6)),",",""),"원",""),0))))</f>
        <v/>
      </c>
      <c r="AU997" s="23">
        <f>IF($AS997="","",IF($G$6="",0,IF(ISNUMBER(INDEX($A:$AP,ROW(),$G$6)),INDEX($A:$AP,ROW(),$G$6),IFERROR(--SUBSTITUTE(SUBSTITUTE(TRIM(INDEX($A:$AP,ROW(),$G$6)),",",""),"원",""),0))))</f>
        <v/>
      </c>
      <c r="AV997" s="23">
        <f>IF($AS997="","",IF($H$6="",$AT997+$AU997,IF($H$6="",0,IF(ISNUMBER(INDEX($A:$AP,ROW(),$H$6)),INDEX($A:$AP,ROW(),$H$6),IFERROR(--SUBSTITUTE(SUBSTITUTE(TRIM(INDEX($A:$AP,ROW(),$H$6)),",",""),"원",""),0)))))</f>
        <v/>
      </c>
      <c r="AW997" s="2">
        <f>IF(OR($AS997="",$C$6=""),"",TRIM(INDEX($A:$AP,ROW(),$C$6)&amp;""))</f>
        <v/>
      </c>
      <c r="AX997" s="2">
        <f>IF($AS997="","",IF($AZ997&lt;&gt;"",SUBSTITUTE(SUBSTITUTE($AZ997,"-","")," ",""),$AY997))</f>
        <v/>
      </c>
      <c r="AY997" s="2">
        <f>IF(OR($AS997="",$E$6=""),"",TRIM(INDEX($A:$AP,ROW(),$E$6)&amp;""))</f>
        <v/>
      </c>
      <c r="AZ997" s="2">
        <f>IF(OR($AS997="",$D$6=""),"",TRIM(INDEX($A:$AP,ROW(),$D$6)&amp;""))</f>
        <v/>
      </c>
      <c r="BA997" s="2">
        <f>IF($AS997="","",IF(AND($AS997&gt;=설정!$B$10,$AS997&lt;=설정!$B$11),"포함","기간 밖"))</f>
        <v/>
      </c>
      <c r="BB997" s="2">
        <f>IF($AS997="","",IF(OR($AT997&lt;0,AND($I$6&lt;&gt;"",ISNUMBER(FIND("수정",INDEX($A:$AP,ROW(),IF($I$6="",1,$I$6))&amp;"")))),"수정","일반"))</f>
        <v/>
      </c>
      <c r="BC997" s="2">
        <f>IF($AS997="","",MID(IF($BA997="기간 밖"," / 기간 밖(신고기간 아님)","")&amp;IF(AND($AW997&lt;&gt;"",COUNTIF($AW$8:$AW$1007,$AW997)&gt;1)," / 승인번호 중복(두 번 붙여넣기?)","")&amp;IF(ABS($AU997-ROUND($AT997*0.1,0))&gt;설정!$B$8,IF($AU997=0," / 세액 0원(영세율·면세 여부 확인)"," / 세액이 공급가액 10%와 다름"),"")&amp;IF($BB997="수정"," / 수정세금계산서(합계에서 자동 가감)",""),4,200))</f>
        <v/>
      </c>
      <c r="BD997" s="2">
        <f>IF($BA997&lt;&gt;"포함","",IF(COUNTIFS($AX$8:$AX997,$AX997,$BA$8:$BA997,"포함")=1,MAX($BD$7:BD996)+1,""))</f>
        <v/>
      </c>
      <c r="BE997" s="2">
        <f>IF($BC997="","",MAX($BE$7:BE996)+1)</f>
        <v/>
      </c>
    </row>
    <row r="998">
      <c r="AR998" s="2">
        <f>IF(OR($A$5="",$B$6="",ROW()&lt;$A$5),"",IF(INDEX($A:$AP,ROW(),$B$6)="","",INDEX($A:$AP,ROW(),$B$6)))</f>
        <v/>
      </c>
      <c r="AS998" s="22">
        <f>IF($AR998="","",IF(ISNUMBER($AR998),IF($AR998&gt;=10000000,IFERROR(DATE(INT($AR998/10000),MOD(INT($AR998/100),100),MOD($AR998,100)),""),INT($AR998)),IFERROR(DATE(--LEFT(LEFT(SUBSTITUTE(SUBSTITUTE(SUBSTITUTE(SUBSTITUTE(TRIM($AR998),"-",""),".",""),"/","")," ",""),8),4),--MID(LEFT(SUBSTITUTE(SUBSTITUTE(SUBSTITUTE(SUBSTITUTE(TRIM($AR998),"-",""),".",""),"/","")," ",""),8),5,2),--MID(LEFT(SUBSTITUTE(SUBSTITUTE(SUBSTITUTE(SUBSTITUTE(TRIM($AR998),"-",""),".",""),"/","")," ",""),8),7,2)),"")))</f>
        <v/>
      </c>
      <c r="AT998" s="23">
        <f>IF($AS998="","",IF($F$6="",0,IF(ISNUMBER(INDEX($A:$AP,ROW(),$F$6)),INDEX($A:$AP,ROW(),$F$6),IFERROR(--SUBSTITUTE(SUBSTITUTE(TRIM(INDEX($A:$AP,ROW(),$F$6)),",",""),"원",""),0))))</f>
        <v/>
      </c>
      <c r="AU998" s="23">
        <f>IF($AS998="","",IF($G$6="",0,IF(ISNUMBER(INDEX($A:$AP,ROW(),$G$6)),INDEX($A:$AP,ROW(),$G$6),IFERROR(--SUBSTITUTE(SUBSTITUTE(TRIM(INDEX($A:$AP,ROW(),$G$6)),",",""),"원",""),0))))</f>
        <v/>
      </c>
      <c r="AV998" s="23">
        <f>IF($AS998="","",IF($H$6="",$AT998+$AU998,IF($H$6="",0,IF(ISNUMBER(INDEX($A:$AP,ROW(),$H$6)),INDEX($A:$AP,ROW(),$H$6),IFERROR(--SUBSTITUTE(SUBSTITUTE(TRIM(INDEX($A:$AP,ROW(),$H$6)),",",""),"원",""),0)))))</f>
        <v/>
      </c>
      <c r="AW998" s="2">
        <f>IF(OR($AS998="",$C$6=""),"",TRIM(INDEX($A:$AP,ROW(),$C$6)&amp;""))</f>
        <v/>
      </c>
      <c r="AX998" s="2">
        <f>IF($AS998="","",IF($AZ998&lt;&gt;"",SUBSTITUTE(SUBSTITUTE($AZ998,"-","")," ",""),$AY998))</f>
        <v/>
      </c>
      <c r="AY998" s="2">
        <f>IF(OR($AS998="",$E$6=""),"",TRIM(INDEX($A:$AP,ROW(),$E$6)&amp;""))</f>
        <v/>
      </c>
      <c r="AZ998" s="2">
        <f>IF(OR($AS998="",$D$6=""),"",TRIM(INDEX($A:$AP,ROW(),$D$6)&amp;""))</f>
        <v/>
      </c>
      <c r="BA998" s="2">
        <f>IF($AS998="","",IF(AND($AS998&gt;=설정!$B$10,$AS998&lt;=설정!$B$11),"포함","기간 밖"))</f>
        <v/>
      </c>
      <c r="BB998" s="2">
        <f>IF($AS998="","",IF(OR($AT998&lt;0,AND($I$6&lt;&gt;"",ISNUMBER(FIND("수정",INDEX($A:$AP,ROW(),IF($I$6="",1,$I$6))&amp;"")))),"수정","일반"))</f>
        <v/>
      </c>
      <c r="BC998" s="2">
        <f>IF($AS998="","",MID(IF($BA998="기간 밖"," / 기간 밖(신고기간 아님)","")&amp;IF(AND($AW998&lt;&gt;"",COUNTIF($AW$8:$AW$1007,$AW998)&gt;1)," / 승인번호 중복(두 번 붙여넣기?)","")&amp;IF(ABS($AU998-ROUND($AT998*0.1,0))&gt;설정!$B$8,IF($AU998=0," / 세액 0원(영세율·면세 여부 확인)"," / 세액이 공급가액 10%와 다름"),"")&amp;IF($BB998="수정"," / 수정세금계산서(합계에서 자동 가감)",""),4,200))</f>
        <v/>
      </c>
      <c r="BD998" s="2">
        <f>IF($BA998&lt;&gt;"포함","",IF(COUNTIFS($AX$8:$AX998,$AX998,$BA$8:$BA998,"포함")=1,MAX($BD$7:BD997)+1,""))</f>
        <v/>
      </c>
      <c r="BE998" s="2">
        <f>IF($BC998="","",MAX($BE$7:BE997)+1)</f>
        <v/>
      </c>
    </row>
    <row r="999">
      <c r="AR999" s="2">
        <f>IF(OR($A$5="",$B$6="",ROW()&lt;$A$5),"",IF(INDEX($A:$AP,ROW(),$B$6)="","",INDEX($A:$AP,ROW(),$B$6)))</f>
        <v/>
      </c>
      <c r="AS999" s="22">
        <f>IF($AR999="","",IF(ISNUMBER($AR999),IF($AR999&gt;=10000000,IFERROR(DATE(INT($AR999/10000),MOD(INT($AR999/100),100),MOD($AR999,100)),""),INT($AR999)),IFERROR(DATE(--LEFT(LEFT(SUBSTITUTE(SUBSTITUTE(SUBSTITUTE(SUBSTITUTE(TRIM($AR999),"-",""),".",""),"/","")," ",""),8),4),--MID(LEFT(SUBSTITUTE(SUBSTITUTE(SUBSTITUTE(SUBSTITUTE(TRIM($AR999),"-",""),".",""),"/","")," ",""),8),5,2),--MID(LEFT(SUBSTITUTE(SUBSTITUTE(SUBSTITUTE(SUBSTITUTE(TRIM($AR999),"-",""),".",""),"/","")," ",""),8),7,2)),"")))</f>
        <v/>
      </c>
      <c r="AT999" s="23">
        <f>IF($AS999="","",IF($F$6="",0,IF(ISNUMBER(INDEX($A:$AP,ROW(),$F$6)),INDEX($A:$AP,ROW(),$F$6),IFERROR(--SUBSTITUTE(SUBSTITUTE(TRIM(INDEX($A:$AP,ROW(),$F$6)),",",""),"원",""),0))))</f>
        <v/>
      </c>
      <c r="AU999" s="23">
        <f>IF($AS999="","",IF($G$6="",0,IF(ISNUMBER(INDEX($A:$AP,ROW(),$G$6)),INDEX($A:$AP,ROW(),$G$6),IFERROR(--SUBSTITUTE(SUBSTITUTE(TRIM(INDEX($A:$AP,ROW(),$G$6)),",",""),"원",""),0))))</f>
        <v/>
      </c>
      <c r="AV999" s="23">
        <f>IF($AS999="","",IF($H$6="",$AT999+$AU999,IF($H$6="",0,IF(ISNUMBER(INDEX($A:$AP,ROW(),$H$6)),INDEX($A:$AP,ROW(),$H$6),IFERROR(--SUBSTITUTE(SUBSTITUTE(TRIM(INDEX($A:$AP,ROW(),$H$6)),",",""),"원",""),0)))))</f>
        <v/>
      </c>
      <c r="AW999" s="2">
        <f>IF(OR($AS999="",$C$6=""),"",TRIM(INDEX($A:$AP,ROW(),$C$6)&amp;""))</f>
        <v/>
      </c>
      <c r="AX999" s="2">
        <f>IF($AS999="","",IF($AZ999&lt;&gt;"",SUBSTITUTE(SUBSTITUTE($AZ999,"-","")," ",""),$AY999))</f>
        <v/>
      </c>
      <c r="AY999" s="2">
        <f>IF(OR($AS999="",$E$6=""),"",TRIM(INDEX($A:$AP,ROW(),$E$6)&amp;""))</f>
        <v/>
      </c>
      <c r="AZ999" s="2">
        <f>IF(OR($AS999="",$D$6=""),"",TRIM(INDEX($A:$AP,ROW(),$D$6)&amp;""))</f>
        <v/>
      </c>
      <c r="BA999" s="2">
        <f>IF($AS999="","",IF(AND($AS999&gt;=설정!$B$10,$AS999&lt;=설정!$B$11),"포함","기간 밖"))</f>
        <v/>
      </c>
      <c r="BB999" s="2">
        <f>IF($AS999="","",IF(OR($AT999&lt;0,AND($I$6&lt;&gt;"",ISNUMBER(FIND("수정",INDEX($A:$AP,ROW(),IF($I$6="",1,$I$6))&amp;"")))),"수정","일반"))</f>
        <v/>
      </c>
      <c r="BC999" s="2">
        <f>IF($AS999="","",MID(IF($BA999="기간 밖"," / 기간 밖(신고기간 아님)","")&amp;IF(AND($AW999&lt;&gt;"",COUNTIF($AW$8:$AW$1007,$AW999)&gt;1)," / 승인번호 중복(두 번 붙여넣기?)","")&amp;IF(ABS($AU999-ROUND($AT999*0.1,0))&gt;설정!$B$8,IF($AU999=0," / 세액 0원(영세율·면세 여부 확인)"," / 세액이 공급가액 10%와 다름"),"")&amp;IF($BB999="수정"," / 수정세금계산서(합계에서 자동 가감)",""),4,200))</f>
        <v/>
      </c>
      <c r="BD999" s="2">
        <f>IF($BA999&lt;&gt;"포함","",IF(COUNTIFS($AX$8:$AX999,$AX999,$BA$8:$BA999,"포함")=1,MAX($BD$7:BD998)+1,""))</f>
        <v/>
      </c>
      <c r="BE999" s="2">
        <f>IF($BC999="","",MAX($BE$7:BE998)+1)</f>
        <v/>
      </c>
    </row>
    <row r="1000">
      <c r="AR1000" s="2">
        <f>IF(OR($A$5="",$B$6="",ROW()&lt;$A$5),"",IF(INDEX($A:$AP,ROW(),$B$6)="","",INDEX($A:$AP,ROW(),$B$6)))</f>
        <v/>
      </c>
      <c r="AS1000" s="22">
        <f>IF($AR1000="","",IF(ISNUMBER($AR1000),IF($AR1000&gt;=10000000,IFERROR(DATE(INT($AR1000/10000),MOD(INT($AR1000/100),100),MOD($AR1000,100)),""),INT($AR1000)),IFERROR(DATE(--LEFT(LEFT(SUBSTITUTE(SUBSTITUTE(SUBSTITUTE(SUBSTITUTE(TRIM($AR1000),"-",""),".",""),"/","")," ",""),8),4),--MID(LEFT(SUBSTITUTE(SUBSTITUTE(SUBSTITUTE(SUBSTITUTE(TRIM($AR1000),"-",""),".",""),"/","")," ",""),8),5,2),--MID(LEFT(SUBSTITUTE(SUBSTITUTE(SUBSTITUTE(SUBSTITUTE(TRIM($AR1000),"-",""),".",""),"/","")," ",""),8),7,2)),"")))</f>
        <v/>
      </c>
      <c r="AT1000" s="23">
        <f>IF($AS1000="","",IF($F$6="",0,IF(ISNUMBER(INDEX($A:$AP,ROW(),$F$6)),INDEX($A:$AP,ROW(),$F$6),IFERROR(--SUBSTITUTE(SUBSTITUTE(TRIM(INDEX($A:$AP,ROW(),$F$6)),",",""),"원",""),0))))</f>
        <v/>
      </c>
      <c r="AU1000" s="23">
        <f>IF($AS1000="","",IF($G$6="",0,IF(ISNUMBER(INDEX($A:$AP,ROW(),$G$6)),INDEX($A:$AP,ROW(),$G$6),IFERROR(--SUBSTITUTE(SUBSTITUTE(TRIM(INDEX($A:$AP,ROW(),$G$6)),",",""),"원",""),0))))</f>
        <v/>
      </c>
      <c r="AV1000" s="23">
        <f>IF($AS1000="","",IF($H$6="",$AT1000+$AU1000,IF($H$6="",0,IF(ISNUMBER(INDEX($A:$AP,ROW(),$H$6)),INDEX($A:$AP,ROW(),$H$6),IFERROR(--SUBSTITUTE(SUBSTITUTE(TRIM(INDEX($A:$AP,ROW(),$H$6)),",",""),"원",""),0)))))</f>
        <v/>
      </c>
      <c r="AW1000" s="2">
        <f>IF(OR($AS1000="",$C$6=""),"",TRIM(INDEX($A:$AP,ROW(),$C$6)&amp;""))</f>
        <v/>
      </c>
      <c r="AX1000" s="2">
        <f>IF($AS1000="","",IF($AZ1000&lt;&gt;"",SUBSTITUTE(SUBSTITUTE($AZ1000,"-","")," ",""),$AY1000))</f>
        <v/>
      </c>
      <c r="AY1000" s="2">
        <f>IF(OR($AS1000="",$E$6=""),"",TRIM(INDEX($A:$AP,ROW(),$E$6)&amp;""))</f>
        <v/>
      </c>
      <c r="AZ1000" s="2">
        <f>IF(OR($AS1000="",$D$6=""),"",TRIM(INDEX($A:$AP,ROW(),$D$6)&amp;""))</f>
        <v/>
      </c>
      <c r="BA1000" s="2">
        <f>IF($AS1000="","",IF(AND($AS1000&gt;=설정!$B$10,$AS1000&lt;=설정!$B$11),"포함","기간 밖"))</f>
        <v/>
      </c>
      <c r="BB1000" s="2">
        <f>IF($AS1000="","",IF(OR($AT1000&lt;0,AND($I$6&lt;&gt;"",ISNUMBER(FIND("수정",INDEX($A:$AP,ROW(),IF($I$6="",1,$I$6))&amp;"")))),"수정","일반"))</f>
        <v/>
      </c>
      <c r="BC1000" s="2">
        <f>IF($AS1000="","",MID(IF($BA1000="기간 밖"," / 기간 밖(신고기간 아님)","")&amp;IF(AND($AW1000&lt;&gt;"",COUNTIF($AW$8:$AW$1007,$AW1000)&gt;1)," / 승인번호 중복(두 번 붙여넣기?)","")&amp;IF(ABS($AU1000-ROUND($AT1000*0.1,0))&gt;설정!$B$8,IF($AU1000=0," / 세액 0원(영세율·면세 여부 확인)"," / 세액이 공급가액 10%와 다름"),"")&amp;IF($BB1000="수정"," / 수정세금계산서(합계에서 자동 가감)",""),4,200))</f>
        <v/>
      </c>
      <c r="BD1000" s="2">
        <f>IF($BA1000&lt;&gt;"포함","",IF(COUNTIFS($AX$8:$AX1000,$AX1000,$BA$8:$BA1000,"포함")=1,MAX($BD$7:BD999)+1,""))</f>
        <v/>
      </c>
      <c r="BE1000" s="2">
        <f>IF($BC1000="","",MAX($BE$7:BE999)+1)</f>
        <v/>
      </c>
    </row>
    <row r="1001">
      <c r="AR1001" s="2">
        <f>IF(OR($A$5="",$B$6="",ROW()&lt;$A$5),"",IF(INDEX($A:$AP,ROW(),$B$6)="","",INDEX($A:$AP,ROW(),$B$6)))</f>
        <v/>
      </c>
      <c r="AS1001" s="22">
        <f>IF($AR1001="","",IF(ISNUMBER($AR1001),IF($AR1001&gt;=10000000,IFERROR(DATE(INT($AR1001/10000),MOD(INT($AR1001/100),100),MOD($AR1001,100)),""),INT($AR1001)),IFERROR(DATE(--LEFT(LEFT(SUBSTITUTE(SUBSTITUTE(SUBSTITUTE(SUBSTITUTE(TRIM($AR1001),"-",""),".",""),"/","")," ",""),8),4),--MID(LEFT(SUBSTITUTE(SUBSTITUTE(SUBSTITUTE(SUBSTITUTE(TRIM($AR1001),"-",""),".",""),"/","")," ",""),8),5,2),--MID(LEFT(SUBSTITUTE(SUBSTITUTE(SUBSTITUTE(SUBSTITUTE(TRIM($AR1001),"-",""),".",""),"/","")," ",""),8),7,2)),"")))</f>
        <v/>
      </c>
      <c r="AT1001" s="23">
        <f>IF($AS1001="","",IF($F$6="",0,IF(ISNUMBER(INDEX($A:$AP,ROW(),$F$6)),INDEX($A:$AP,ROW(),$F$6),IFERROR(--SUBSTITUTE(SUBSTITUTE(TRIM(INDEX($A:$AP,ROW(),$F$6)),",",""),"원",""),0))))</f>
        <v/>
      </c>
      <c r="AU1001" s="23">
        <f>IF($AS1001="","",IF($G$6="",0,IF(ISNUMBER(INDEX($A:$AP,ROW(),$G$6)),INDEX($A:$AP,ROW(),$G$6),IFERROR(--SUBSTITUTE(SUBSTITUTE(TRIM(INDEX($A:$AP,ROW(),$G$6)),",",""),"원",""),0))))</f>
        <v/>
      </c>
      <c r="AV1001" s="23">
        <f>IF($AS1001="","",IF($H$6="",$AT1001+$AU1001,IF($H$6="",0,IF(ISNUMBER(INDEX($A:$AP,ROW(),$H$6)),INDEX($A:$AP,ROW(),$H$6),IFERROR(--SUBSTITUTE(SUBSTITUTE(TRIM(INDEX($A:$AP,ROW(),$H$6)),",",""),"원",""),0)))))</f>
        <v/>
      </c>
      <c r="AW1001" s="2">
        <f>IF(OR($AS1001="",$C$6=""),"",TRIM(INDEX($A:$AP,ROW(),$C$6)&amp;""))</f>
        <v/>
      </c>
      <c r="AX1001" s="2">
        <f>IF($AS1001="","",IF($AZ1001&lt;&gt;"",SUBSTITUTE(SUBSTITUTE($AZ1001,"-","")," ",""),$AY1001))</f>
        <v/>
      </c>
      <c r="AY1001" s="2">
        <f>IF(OR($AS1001="",$E$6=""),"",TRIM(INDEX($A:$AP,ROW(),$E$6)&amp;""))</f>
        <v/>
      </c>
      <c r="AZ1001" s="2">
        <f>IF(OR($AS1001="",$D$6=""),"",TRIM(INDEX($A:$AP,ROW(),$D$6)&amp;""))</f>
        <v/>
      </c>
      <c r="BA1001" s="2">
        <f>IF($AS1001="","",IF(AND($AS1001&gt;=설정!$B$10,$AS1001&lt;=설정!$B$11),"포함","기간 밖"))</f>
        <v/>
      </c>
      <c r="BB1001" s="2">
        <f>IF($AS1001="","",IF(OR($AT1001&lt;0,AND($I$6&lt;&gt;"",ISNUMBER(FIND("수정",INDEX($A:$AP,ROW(),IF($I$6="",1,$I$6))&amp;"")))),"수정","일반"))</f>
        <v/>
      </c>
      <c r="BC1001" s="2">
        <f>IF($AS1001="","",MID(IF($BA1001="기간 밖"," / 기간 밖(신고기간 아님)","")&amp;IF(AND($AW1001&lt;&gt;"",COUNTIF($AW$8:$AW$1007,$AW1001)&gt;1)," / 승인번호 중복(두 번 붙여넣기?)","")&amp;IF(ABS($AU1001-ROUND($AT1001*0.1,0))&gt;설정!$B$8,IF($AU1001=0," / 세액 0원(영세율·면세 여부 확인)"," / 세액이 공급가액 10%와 다름"),"")&amp;IF($BB1001="수정"," / 수정세금계산서(합계에서 자동 가감)",""),4,200))</f>
        <v/>
      </c>
      <c r="BD1001" s="2">
        <f>IF($BA1001&lt;&gt;"포함","",IF(COUNTIFS($AX$8:$AX1001,$AX1001,$BA$8:$BA1001,"포함")=1,MAX($BD$7:BD1000)+1,""))</f>
        <v/>
      </c>
      <c r="BE1001" s="2">
        <f>IF($BC1001="","",MAX($BE$7:BE1000)+1)</f>
        <v/>
      </c>
    </row>
    <row r="1002">
      <c r="AR1002" s="2">
        <f>IF(OR($A$5="",$B$6="",ROW()&lt;$A$5),"",IF(INDEX($A:$AP,ROW(),$B$6)="","",INDEX($A:$AP,ROW(),$B$6)))</f>
        <v/>
      </c>
      <c r="AS1002" s="22">
        <f>IF($AR1002="","",IF(ISNUMBER($AR1002),IF($AR1002&gt;=10000000,IFERROR(DATE(INT($AR1002/10000),MOD(INT($AR1002/100),100),MOD($AR1002,100)),""),INT($AR1002)),IFERROR(DATE(--LEFT(LEFT(SUBSTITUTE(SUBSTITUTE(SUBSTITUTE(SUBSTITUTE(TRIM($AR1002),"-",""),".",""),"/","")," ",""),8),4),--MID(LEFT(SUBSTITUTE(SUBSTITUTE(SUBSTITUTE(SUBSTITUTE(TRIM($AR1002),"-",""),".",""),"/","")," ",""),8),5,2),--MID(LEFT(SUBSTITUTE(SUBSTITUTE(SUBSTITUTE(SUBSTITUTE(TRIM($AR1002),"-",""),".",""),"/","")," ",""),8),7,2)),"")))</f>
        <v/>
      </c>
      <c r="AT1002" s="23">
        <f>IF($AS1002="","",IF($F$6="",0,IF(ISNUMBER(INDEX($A:$AP,ROW(),$F$6)),INDEX($A:$AP,ROW(),$F$6),IFERROR(--SUBSTITUTE(SUBSTITUTE(TRIM(INDEX($A:$AP,ROW(),$F$6)),",",""),"원",""),0))))</f>
        <v/>
      </c>
      <c r="AU1002" s="23">
        <f>IF($AS1002="","",IF($G$6="",0,IF(ISNUMBER(INDEX($A:$AP,ROW(),$G$6)),INDEX($A:$AP,ROW(),$G$6),IFERROR(--SUBSTITUTE(SUBSTITUTE(TRIM(INDEX($A:$AP,ROW(),$G$6)),",",""),"원",""),0))))</f>
        <v/>
      </c>
      <c r="AV1002" s="23">
        <f>IF($AS1002="","",IF($H$6="",$AT1002+$AU1002,IF($H$6="",0,IF(ISNUMBER(INDEX($A:$AP,ROW(),$H$6)),INDEX($A:$AP,ROW(),$H$6),IFERROR(--SUBSTITUTE(SUBSTITUTE(TRIM(INDEX($A:$AP,ROW(),$H$6)),",",""),"원",""),0)))))</f>
        <v/>
      </c>
      <c r="AW1002" s="2">
        <f>IF(OR($AS1002="",$C$6=""),"",TRIM(INDEX($A:$AP,ROW(),$C$6)&amp;""))</f>
        <v/>
      </c>
      <c r="AX1002" s="2">
        <f>IF($AS1002="","",IF($AZ1002&lt;&gt;"",SUBSTITUTE(SUBSTITUTE($AZ1002,"-","")," ",""),$AY1002))</f>
        <v/>
      </c>
      <c r="AY1002" s="2">
        <f>IF(OR($AS1002="",$E$6=""),"",TRIM(INDEX($A:$AP,ROW(),$E$6)&amp;""))</f>
        <v/>
      </c>
      <c r="AZ1002" s="2">
        <f>IF(OR($AS1002="",$D$6=""),"",TRIM(INDEX($A:$AP,ROW(),$D$6)&amp;""))</f>
        <v/>
      </c>
      <c r="BA1002" s="2">
        <f>IF($AS1002="","",IF(AND($AS1002&gt;=설정!$B$10,$AS1002&lt;=설정!$B$11),"포함","기간 밖"))</f>
        <v/>
      </c>
      <c r="BB1002" s="2">
        <f>IF($AS1002="","",IF(OR($AT1002&lt;0,AND($I$6&lt;&gt;"",ISNUMBER(FIND("수정",INDEX($A:$AP,ROW(),IF($I$6="",1,$I$6))&amp;"")))),"수정","일반"))</f>
        <v/>
      </c>
      <c r="BC1002" s="2">
        <f>IF($AS1002="","",MID(IF($BA1002="기간 밖"," / 기간 밖(신고기간 아님)","")&amp;IF(AND($AW1002&lt;&gt;"",COUNTIF($AW$8:$AW$1007,$AW1002)&gt;1)," / 승인번호 중복(두 번 붙여넣기?)","")&amp;IF(ABS($AU1002-ROUND($AT1002*0.1,0))&gt;설정!$B$8,IF($AU1002=0," / 세액 0원(영세율·면세 여부 확인)"," / 세액이 공급가액 10%와 다름"),"")&amp;IF($BB1002="수정"," / 수정세금계산서(합계에서 자동 가감)",""),4,200))</f>
        <v/>
      </c>
      <c r="BD1002" s="2">
        <f>IF($BA1002&lt;&gt;"포함","",IF(COUNTIFS($AX$8:$AX1002,$AX1002,$BA$8:$BA1002,"포함")=1,MAX($BD$7:BD1001)+1,""))</f>
        <v/>
      </c>
      <c r="BE1002" s="2">
        <f>IF($BC1002="","",MAX($BE$7:BE1001)+1)</f>
        <v/>
      </c>
    </row>
    <row r="1003">
      <c r="AR1003" s="2">
        <f>IF(OR($A$5="",$B$6="",ROW()&lt;$A$5),"",IF(INDEX($A:$AP,ROW(),$B$6)="","",INDEX($A:$AP,ROW(),$B$6)))</f>
        <v/>
      </c>
      <c r="AS1003" s="22">
        <f>IF($AR1003="","",IF(ISNUMBER($AR1003),IF($AR1003&gt;=10000000,IFERROR(DATE(INT($AR1003/10000),MOD(INT($AR1003/100),100),MOD($AR1003,100)),""),INT($AR1003)),IFERROR(DATE(--LEFT(LEFT(SUBSTITUTE(SUBSTITUTE(SUBSTITUTE(SUBSTITUTE(TRIM($AR1003),"-",""),".",""),"/","")," ",""),8),4),--MID(LEFT(SUBSTITUTE(SUBSTITUTE(SUBSTITUTE(SUBSTITUTE(TRIM($AR1003),"-",""),".",""),"/","")," ",""),8),5,2),--MID(LEFT(SUBSTITUTE(SUBSTITUTE(SUBSTITUTE(SUBSTITUTE(TRIM($AR1003),"-",""),".",""),"/","")," ",""),8),7,2)),"")))</f>
        <v/>
      </c>
      <c r="AT1003" s="23">
        <f>IF($AS1003="","",IF($F$6="",0,IF(ISNUMBER(INDEX($A:$AP,ROW(),$F$6)),INDEX($A:$AP,ROW(),$F$6),IFERROR(--SUBSTITUTE(SUBSTITUTE(TRIM(INDEX($A:$AP,ROW(),$F$6)),",",""),"원",""),0))))</f>
        <v/>
      </c>
      <c r="AU1003" s="23">
        <f>IF($AS1003="","",IF($G$6="",0,IF(ISNUMBER(INDEX($A:$AP,ROW(),$G$6)),INDEX($A:$AP,ROW(),$G$6),IFERROR(--SUBSTITUTE(SUBSTITUTE(TRIM(INDEX($A:$AP,ROW(),$G$6)),",",""),"원",""),0))))</f>
        <v/>
      </c>
      <c r="AV1003" s="23">
        <f>IF($AS1003="","",IF($H$6="",$AT1003+$AU1003,IF($H$6="",0,IF(ISNUMBER(INDEX($A:$AP,ROW(),$H$6)),INDEX($A:$AP,ROW(),$H$6),IFERROR(--SUBSTITUTE(SUBSTITUTE(TRIM(INDEX($A:$AP,ROW(),$H$6)),",",""),"원",""),0)))))</f>
        <v/>
      </c>
      <c r="AW1003" s="2">
        <f>IF(OR($AS1003="",$C$6=""),"",TRIM(INDEX($A:$AP,ROW(),$C$6)&amp;""))</f>
        <v/>
      </c>
      <c r="AX1003" s="2">
        <f>IF($AS1003="","",IF($AZ1003&lt;&gt;"",SUBSTITUTE(SUBSTITUTE($AZ1003,"-","")," ",""),$AY1003))</f>
        <v/>
      </c>
      <c r="AY1003" s="2">
        <f>IF(OR($AS1003="",$E$6=""),"",TRIM(INDEX($A:$AP,ROW(),$E$6)&amp;""))</f>
        <v/>
      </c>
      <c r="AZ1003" s="2">
        <f>IF(OR($AS1003="",$D$6=""),"",TRIM(INDEX($A:$AP,ROW(),$D$6)&amp;""))</f>
        <v/>
      </c>
      <c r="BA1003" s="2">
        <f>IF($AS1003="","",IF(AND($AS1003&gt;=설정!$B$10,$AS1003&lt;=설정!$B$11),"포함","기간 밖"))</f>
        <v/>
      </c>
      <c r="BB1003" s="2">
        <f>IF($AS1003="","",IF(OR($AT1003&lt;0,AND($I$6&lt;&gt;"",ISNUMBER(FIND("수정",INDEX($A:$AP,ROW(),IF($I$6="",1,$I$6))&amp;"")))),"수정","일반"))</f>
        <v/>
      </c>
      <c r="BC1003" s="2">
        <f>IF($AS1003="","",MID(IF($BA1003="기간 밖"," / 기간 밖(신고기간 아님)","")&amp;IF(AND($AW1003&lt;&gt;"",COUNTIF($AW$8:$AW$1007,$AW1003)&gt;1)," / 승인번호 중복(두 번 붙여넣기?)","")&amp;IF(ABS($AU1003-ROUND($AT1003*0.1,0))&gt;설정!$B$8,IF($AU1003=0," / 세액 0원(영세율·면세 여부 확인)"," / 세액이 공급가액 10%와 다름"),"")&amp;IF($BB1003="수정"," / 수정세금계산서(합계에서 자동 가감)",""),4,200))</f>
        <v/>
      </c>
      <c r="BD1003" s="2">
        <f>IF($BA1003&lt;&gt;"포함","",IF(COUNTIFS($AX$8:$AX1003,$AX1003,$BA$8:$BA1003,"포함")=1,MAX($BD$7:BD1002)+1,""))</f>
        <v/>
      </c>
      <c r="BE1003" s="2">
        <f>IF($BC1003="","",MAX($BE$7:BE1002)+1)</f>
        <v/>
      </c>
    </row>
    <row r="1004">
      <c r="AR1004" s="2">
        <f>IF(OR($A$5="",$B$6="",ROW()&lt;$A$5),"",IF(INDEX($A:$AP,ROW(),$B$6)="","",INDEX($A:$AP,ROW(),$B$6)))</f>
        <v/>
      </c>
      <c r="AS1004" s="22">
        <f>IF($AR1004="","",IF(ISNUMBER($AR1004),IF($AR1004&gt;=10000000,IFERROR(DATE(INT($AR1004/10000),MOD(INT($AR1004/100),100),MOD($AR1004,100)),""),INT($AR1004)),IFERROR(DATE(--LEFT(LEFT(SUBSTITUTE(SUBSTITUTE(SUBSTITUTE(SUBSTITUTE(TRIM($AR1004),"-",""),".",""),"/","")," ",""),8),4),--MID(LEFT(SUBSTITUTE(SUBSTITUTE(SUBSTITUTE(SUBSTITUTE(TRIM($AR1004),"-",""),".",""),"/","")," ",""),8),5,2),--MID(LEFT(SUBSTITUTE(SUBSTITUTE(SUBSTITUTE(SUBSTITUTE(TRIM($AR1004),"-",""),".",""),"/","")," ",""),8),7,2)),"")))</f>
        <v/>
      </c>
      <c r="AT1004" s="23">
        <f>IF($AS1004="","",IF($F$6="",0,IF(ISNUMBER(INDEX($A:$AP,ROW(),$F$6)),INDEX($A:$AP,ROW(),$F$6),IFERROR(--SUBSTITUTE(SUBSTITUTE(TRIM(INDEX($A:$AP,ROW(),$F$6)),",",""),"원",""),0))))</f>
        <v/>
      </c>
      <c r="AU1004" s="23">
        <f>IF($AS1004="","",IF($G$6="",0,IF(ISNUMBER(INDEX($A:$AP,ROW(),$G$6)),INDEX($A:$AP,ROW(),$G$6),IFERROR(--SUBSTITUTE(SUBSTITUTE(TRIM(INDEX($A:$AP,ROW(),$G$6)),",",""),"원",""),0))))</f>
        <v/>
      </c>
      <c r="AV1004" s="23">
        <f>IF($AS1004="","",IF($H$6="",$AT1004+$AU1004,IF($H$6="",0,IF(ISNUMBER(INDEX($A:$AP,ROW(),$H$6)),INDEX($A:$AP,ROW(),$H$6),IFERROR(--SUBSTITUTE(SUBSTITUTE(TRIM(INDEX($A:$AP,ROW(),$H$6)),",",""),"원",""),0)))))</f>
        <v/>
      </c>
      <c r="AW1004" s="2">
        <f>IF(OR($AS1004="",$C$6=""),"",TRIM(INDEX($A:$AP,ROW(),$C$6)&amp;""))</f>
        <v/>
      </c>
      <c r="AX1004" s="2">
        <f>IF($AS1004="","",IF($AZ1004&lt;&gt;"",SUBSTITUTE(SUBSTITUTE($AZ1004,"-","")," ",""),$AY1004))</f>
        <v/>
      </c>
      <c r="AY1004" s="2">
        <f>IF(OR($AS1004="",$E$6=""),"",TRIM(INDEX($A:$AP,ROW(),$E$6)&amp;""))</f>
        <v/>
      </c>
      <c r="AZ1004" s="2">
        <f>IF(OR($AS1004="",$D$6=""),"",TRIM(INDEX($A:$AP,ROW(),$D$6)&amp;""))</f>
        <v/>
      </c>
      <c r="BA1004" s="2">
        <f>IF($AS1004="","",IF(AND($AS1004&gt;=설정!$B$10,$AS1004&lt;=설정!$B$11),"포함","기간 밖"))</f>
        <v/>
      </c>
      <c r="BB1004" s="2">
        <f>IF($AS1004="","",IF(OR($AT1004&lt;0,AND($I$6&lt;&gt;"",ISNUMBER(FIND("수정",INDEX($A:$AP,ROW(),IF($I$6="",1,$I$6))&amp;"")))),"수정","일반"))</f>
        <v/>
      </c>
      <c r="BC1004" s="2">
        <f>IF($AS1004="","",MID(IF($BA1004="기간 밖"," / 기간 밖(신고기간 아님)","")&amp;IF(AND($AW1004&lt;&gt;"",COUNTIF($AW$8:$AW$1007,$AW1004)&gt;1)," / 승인번호 중복(두 번 붙여넣기?)","")&amp;IF(ABS($AU1004-ROUND($AT1004*0.1,0))&gt;설정!$B$8,IF($AU1004=0," / 세액 0원(영세율·면세 여부 확인)"," / 세액이 공급가액 10%와 다름"),"")&amp;IF($BB1004="수정"," / 수정세금계산서(합계에서 자동 가감)",""),4,200))</f>
        <v/>
      </c>
      <c r="BD1004" s="2">
        <f>IF($BA1004&lt;&gt;"포함","",IF(COUNTIFS($AX$8:$AX1004,$AX1004,$BA$8:$BA1004,"포함")=1,MAX($BD$7:BD1003)+1,""))</f>
        <v/>
      </c>
      <c r="BE1004" s="2">
        <f>IF($BC1004="","",MAX($BE$7:BE1003)+1)</f>
        <v/>
      </c>
    </row>
    <row r="1005">
      <c r="AR1005" s="2">
        <f>IF(OR($A$5="",$B$6="",ROW()&lt;$A$5),"",IF(INDEX($A:$AP,ROW(),$B$6)="","",INDEX($A:$AP,ROW(),$B$6)))</f>
        <v/>
      </c>
      <c r="AS1005" s="22">
        <f>IF($AR1005="","",IF(ISNUMBER($AR1005),IF($AR1005&gt;=10000000,IFERROR(DATE(INT($AR1005/10000),MOD(INT($AR1005/100),100),MOD($AR1005,100)),""),INT($AR1005)),IFERROR(DATE(--LEFT(LEFT(SUBSTITUTE(SUBSTITUTE(SUBSTITUTE(SUBSTITUTE(TRIM($AR1005),"-",""),".",""),"/","")," ",""),8),4),--MID(LEFT(SUBSTITUTE(SUBSTITUTE(SUBSTITUTE(SUBSTITUTE(TRIM($AR1005),"-",""),".",""),"/","")," ",""),8),5,2),--MID(LEFT(SUBSTITUTE(SUBSTITUTE(SUBSTITUTE(SUBSTITUTE(TRIM($AR1005),"-",""),".",""),"/","")," ",""),8),7,2)),"")))</f>
        <v/>
      </c>
      <c r="AT1005" s="23">
        <f>IF($AS1005="","",IF($F$6="",0,IF(ISNUMBER(INDEX($A:$AP,ROW(),$F$6)),INDEX($A:$AP,ROW(),$F$6),IFERROR(--SUBSTITUTE(SUBSTITUTE(TRIM(INDEX($A:$AP,ROW(),$F$6)),",",""),"원",""),0))))</f>
        <v/>
      </c>
      <c r="AU1005" s="23">
        <f>IF($AS1005="","",IF($G$6="",0,IF(ISNUMBER(INDEX($A:$AP,ROW(),$G$6)),INDEX($A:$AP,ROW(),$G$6),IFERROR(--SUBSTITUTE(SUBSTITUTE(TRIM(INDEX($A:$AP,ROW(),$G$6)),",",""),"원",""),0))))</f>
        <v/>
      </c>
      <c r="AV1005" s="23">
        <f>IF($AS1005="","",IF($H$6="",$AT1005+$AU1005,IF($H$6="",0,IF(ISNUMBER(INDEX($A:$AP,ROW(),$H$6)),INDEX($A:$AP,ROW(),$H$6),IFERROR(--SUBSTITUTE(SUBSTITUTE(TRIM(INDEX($A:$AP,ROW(),$H$6)),",",""),"원",""),0)))))</f>
        <v/>
      </c>
      <c r="AW1005" s="2">
        <f>IF(OR($AS1005="",$C$6=""),"",TRIM(INDEX($A:$AP,ROW(),$C$6)&amp;""))</f>
        <v/>
      </c>
      <c r="AX1005" s="2">
        <f>IF($AS1005="","",IF($AZ1005&lt;&gt;"",SUBSTITUTE(SUBSTITUTE($AZ1005,"-","")," ",""),$AY1005))</f>
        <v/>
      </c>
      <c r="AY1005" s="2">
        <f>IF(OR($AS1005="",$E$6=""),"",TRIM(INDEX($A:$AP,ROW(),$E$6)&amp;""))</f>
        <v/>
      </c>
      <c r="AZ1005" s="2">
        <f>IF(OR($AS1005="",$D$6=""),"",TRIM(INDEX($A:$AP,ROW(),$D$6)&amp;""))</f>
        <v/>
      </c>
      <c r="BA1005" s="2">
        <f>IF($AS1005="","",IF(AND($AS1005&gt;=설정!$B$10,$AS1005&lt;=설정!$B$11),"포함","기간 밖"))</f>
        <v/>
      </c>
      <c r="BB1005" s="2">
        <f>IF($AS1005="","",IF(OR($AT1005&lt;0,AND($I$6&lt;&gt;"",ISNUMBER(FIND("수정",INDEX($A:$AP,ROW(),IF($I$6="",1,$I$6))&amp;"")))),"수정","일반"))</f>
        <v/>
      </c>
      <c r="BC1005" s="2">
        <f>IF($AS1005="","",MID(IF($BA1005="기간 밖"," / 기간 밖(신고기간 아님)","")&amp;IF(AND($AW1005&lt;&gt;"",COUNTIF($AW$8:$AW$1007,$AW1005)&gt;1)," / 승인번호 중복(두 번 붙여넣기?)","")&amp;IF(ABS($AU1005-ROUND($AT1005*0.1,0))&gt;설정!$B$8,IF($AU1005=0," / 세액 0원(영세율·면세 여부 확인)"," / 세액이 공급가액 10%와 다름"),"")&amp;IF($BB1005="수정"," / 수정세금계산서(합계에서 자동 가감)",""),4,200))</f>
        <v/>
      </c>
      <c r="BD1005" s="2">
        <f>IF($BA1005&lt;&gt;"포함","",IF(COUNTIFS($AX$8:$AX1005,$AX1005,$BA$8:$BA1005,"포함")=1,MAX($BD$7:BD1004)+1,""))</f>
        <v/>
      </c>
      <c r="BE1005" s="2">
        <f>IF($BC1005="","",MAX($BE$7:BE1004)+1)</f>
        <v/>
      </c>
    </row>
    <row r="1006">
      <c r="AR1006" s="2">
        <f>IF(OR($A$5="",$B$6="",ROW()&lt;$A$5),"",IF(INDEX($A:$AP,ROW(),$B$6)="","",INDEX($A:$AP,ROW(),$B$6)))</f>
        <v/>
      </c>
      <c r="AS1006" s="22">
        <f>IF($AR1006="","",IF(ISNUMBER($AR1006),IF($AR1006&gt;=10000000,IFERROR(DATE(INT($AR1006/10000),MOD(INT($AR1006/100),100),MOD($AR1006,100)),""),INT($AR1006)),IFERROR(DATE(--LEFT(LEFT(SUBSTITUTE(SUBSTITUTE(SUBSTITUTE(SUBSTITUTE(TRIM($AR1006),"-",""),".",""),"/","")," ",""),8),4),--MID(LEFT(SUBSTITUTE(SUBSTITUTE(SUBSTITUTE(SUBSTITUTE(TRIM($AR1006),"-",""),".",""),"/","")," ",""),8),5,2),--MID(LEFT(SUBSTITUTE(SUBSTITUTE(SUBSTITUTE(SUBSTITUTE(TRIM($AR1006),"-",""),".",""),"/","")," ",""),8),7,2)),"")))</f>
        <v/>
      </c>
      <c r="AT1006" s="23">
        <f>IF($AS1006="","",IF($F$6="",0,IF(ISNUMBER(INDEX($A:$AP,ROW(),$F$6)),INDEX($A:$AP,ROW(),$F$6),IFERROR(--SUBSTITUTE(SUBSTITUTE(TRIM(INDEX($A:$AP,ROW(),$F$6)),",",""),"원",""),0))))</f>
        <v/>
      </c>
      <c r="AU1006" s="23">
        <f>IF($AS1006="","",IF($G$6="",0,IF(ISNUMBER(INDEX($A:$AP,ROW(),$G$6)),INDEX($A:$AP,ROW(),$G$6),IFERROR(--SUBSTITUTE(SUBSTITUTE(TRIM(INDEX($A:$AP,ROW(),$G$6)),",",""),"원",""),0))))</f>
        <v/>
      </c>
      <c r="AV1006" s="23">
        <f>IF($AS1006="","",IF($H$6="",$AT1006+$AU1006,IF($H$6="",0,IF(ISNUMBER(INDEX($A:$AP,ROW(),$H$6)),INDEX($A:$AP,ROW(),$H$6),IFERROR(--SUBSTITUTE(SUBSTITUTE(TRIM(INDEX($A:$AP,ROW(),$H$6)),",",""),"원",""),0)))))</f>
        <v/>
      </c>
      <c r="AW1006" s="2">
        <f>IF(OR($AS1006="",$C$6=""),"",TRIM(INDEX($A:$AP,ROW(),$C$6)&amp;""))</f>
        <v/>
      </c>
      <c r="AX1006" s="2">
        <f>IF($AS1006="","",IF($AZ1006&lt;&gt;"",SUBSTITUTE(SUBSTITUTE($AZ1006,"-","")," ",""),$AY1006))</f>
        <v/>
      </c>
      <c r="AY1006" s="2">
        <f>IF(OR($AS1006="",$E$6=""),"",TRIM(INDEX($A:$AP,ROW(),$E$6)&amp;""))</f>
        <v/>
      </c>
      <c r="AZ1006" s="2">
        <f>IF(OR($AS1006="",$D$6=""),"",TRIM(INDEX($A:$AP,ROW(),$D$6)&amp;""))</f>
        <v/>
      </c>
      <c r="BA1006" s="2">
        <f>IF($AS1006="","",IF(AND($AS1006&gt;=설정!$B$10,$AS1006&lt;=설정!$B$11),"포함","기간 밖"))</f>
        <v/>
      </c>
      <c r="BB1006" s="2">
        <f>IF($AS1006="","",IF(OR($AT1006&lt;0,AND($I$6&lt;&gt;"",ISNUMBER(FIND("수정",INDEX($A:$AP,ROW(),IF($I$6="",1,$I$6))&amp;"")))),"수정","일반"))</f>
        <v/>
      </c>
      <c r="BC1006" s="2">
        <f>IF($AS1006="","",MID(IF($BA1006="기간 밖"," / 기간 밖(신고기간 아님)","")&amp;IF(AND($AW1006&lt;&gt;"",COUNTIF($AW$8:$AW$1007,$AW1006)&gt;1)," / 승인번호 중복(두 번 붙여넣기?)","")&amp;IF(ABS($AU1006-ROUND($AT1006*0.1,0))&gt;설정!$B$8,IF($AU1006=0," / 세액 0원(영세율·면세 여부 확인)"," / 세액이 공급가액 10%와 다름"),"")&amp;IF($BB1006="수정"," / 수정세금계산서(합계에서 자동 가감)",""),4,200))</f>
        <v/>
      </c>
      <c r="BD1006" s="2">
        <f>IF($BA1006&lt;&gt;"포함","",IF(COUNTIFS($AX$8:$AX1006,$AX1006,$BA$8:$BA1006,"포함")=1,MAX($BD$7:BD1005)+1,""))</f>
        <v/>
      </c>
      <c r="BE1006" s="2">
        <f>IF($BC1006="","",MAX($BE$7:BE1005)+1)</f>
        <v/>
      </c>
    </row>
    <row r="1007">
      <c r="AR1007" s="2">
        <f>IF(OR($A$5="",$B$6="",ROW()&lt;$A$5),"",IF(INDEX($A:$AP,ROW(),$B$6)="","",INDEX($A:$AP,ROW(),$B$6)))</f>
        <v/>
      </c>
      <c r="AS1007" s="22">
        <f>IF($AR1007="","",IF(ISNUMBER($AR1007),IF($AR1007&gt;=10000000,IFERROR(DATE(INT($AR1007/10000),MOD(INT($AR1007/100),100),MOD($AR1007,100)),""),INT($AR1007)),IFERROR(DATE(--LEFT(LEFT(SUBSTITUTE(SUBSTITUTE(SUBSTITUTE(SUBSTITUTE(TRIM($AR1007),"-",""),".",""),"/","")," ",""),8),4),--MID(LEFT(SUBSTITUTE(SUBSTITUTE(SUBSTITUTE(SUBSTITUTE(TRIM($AR1007),"-",""),".",""),"/","")," ",""),8),5,2),--MID(LEFT(SUBSTITUTE(SUBSTITUTE(SUBSTITUTE(SUBSTITUTE(TRIM($AR1007),"-",""),".",""),"/","")," ",""),8),7,2)),"")))</f>
        <v/>
      </c>
      <c r="AT1007" s="23">
        <f>IF($AS1007="","",IF($F$6="",0,IF(ISNUMBER(INDEX($A:$AP,ROW(),$F$6)),INDEX($A:$AP,ROW(),$F$6),IFERROR(--SUBSTITUTE(SUBSTITUTE(TRIM(INDEX($A:$AP,ROW(),$F$6)),",",""),"원",""),0))))</f>
        <v/>
      </c>
      <c r="AU1007" s="23">
        <f>IF($AS1007="","",IF($G$6="",0,IF(ISNUMBER(INDEX($A:$AP,ROW(),$G$6)),INDEX($A:$AP,ROW(),$G$6),IFERROR(--SUBSTITUTE(SUBSTITUTE(TRIM(INDEX($A:$AP,ROW(),$G$6)),",",""),"원",""),0))))</f>
        <v/>
      </c>
      <c r="AV1007" s="23">
        <f>IF($AS1007="","",IF($H$6="",$AT1007+$AU1007,IF($H$6="",0,IF(ISNUMBER(INDEX($A:$AP,ROW(),$H$6)),INDEX($A:$AP,ROW(),$H$6),IFERROR(--SUBSTITUTE(SUBSTITUTE(TRIM(INDEX($A:$AP,ROW(),$H$6)),",",""),"원",""),0)))))</f>
        <v/>
      </c>
      <c r="AW1007" s="2">
        <f>IF(OR($AS1007="",$C$6=""),"",TRIM(INDEX($A:$AP,ROW(),$C$6)&amp;""))</f>
        <v/>
      </c>
      <c r="AX1007" s="2">
        <f>IF($AS1007="","",IF($AZ1007&lt;&gt;"",SUBSTITUTE(SUBSTITUTE($AZ1007,"-","")," ",""),$AY1007))</f>
        <v/>
      </c>
      <c r="AY1007" s="2">
        <f>IF(OR($AS1007="",$E$6=""),"",TRIM(INDEX($A:$AP,ROW(),$E$6)&amp;""))</f>
        <v/>
      </c>
      <c r="AZ1007" s="2">
        <f>IF(OR($AS1007="",$D$6=""),"",TRIM(INDEX($A:$AP,ROW(),$D$6)&amp;""))</f>
        <v/>
      </c>
      <c r="BA1007" s="2">
        <f>IF($AS1007="","",IF(AND($AS1007&gt;=설정!$B$10,$AS1007&lt;=설정!$B$11),"포함","기간 밖"))</f>
        <v/>
      </c>
      <c r="BB1007" s="2">
        <f>IF($AS1007="","",IF(OR($AT1007&lt;0,AND($I$6&lt;&gt;"",ISNUMBER(FIND("수정",INDEX($A:$AP,ROW(),IF($I$6="",1,$I$6))&amp;"")))),"수정","일반"))</f>
        <v/>
      </c>
      <c r="BC1007" s="2">
        <f>IF($AS1007="","",MID(IF($BA1007="기간 밖"," / 기간 밖(신고기간 아님)","")&amp;IF(AND($AW1007&lt;&gt;"",COUNTIF($AW$8:$AW$1007,$AW1007)&gt;1)," / 승인번호 중복(두 번 붙여넣기?)","")&amp;IF(ABS($AU1007-ROUND($AT1007*0.1,0))&gt;설정!$B$8,IF($AU1007=0," / 세액 0원(영세율·면세 여부 확인)"," / 세액이 공급가액 10%와 다름"),"")&amp;IF($BB1007="수정"," / 수정세금계산서(합계에서 자동 가감)",""),4,200))</f>
        <v/>
      </c>
      <c r="BD1007" s="2">
        <f>IF($BA1007&lt;&gt;"포함","",IF(COUNTIFS($AX$8:$AX1007,$AX1007,$BA$8:$BA1007,"포함")=1,MAX($BD$7:BD1006)+1,""))</f>
        <v/>
      </c>
      <c r="BE1007" s="2">
        <f>IF($BC1007="","",MAX($BE$7:BE1006)+1)</f>
        <v/>
      </c>
    </row>
  </sheetData>
  <conditionalFormatting sqref="K5">
    <cfRule type="expression" priority="1" dxfId="0">
      <formula>ISNUMBER(FIND("⚠",$K$5))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D966"/>
    <outlinePr summaryBelow="1" summaryRight="1"/>
    <pageSetUpPr/>
  </sheetPr>
  <dimension ref="A1:BE10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5" customWidth="1" min="5" max="5"/>
    <col width="13" customWidth="1" min="6" max="6"/>
    <col width="15" customWidth="1" min="7" max="7"/>
    <col width="13" customWidth="1" min="8" max="8"/>
    <col width="13" customWidth="1" min="9" max="9"/>
    <col width="15" customWidth="1" min="10" max="10"/>
    <col width="15" customWidth="1" min="12" max="12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40" customWidth="1" min="55" max="55"/>
    <col width="12" customWidth="1" min="56" max="56"/>
    <col width="12" customWidth="1" min="57" max="57"/>
  </cols>
  <sheetData>
    <row r="1">
      <c r="A1" s="14" t="inlineStr">
        <is>
          <t>① 매입원본 — 홈택스 매입 전자세금계산서 목록 붙여넣기</t>
        </is>
      </c>
    </row>
    <row r="2">
      <c r="A2" s="15" t="inlineStr">
        <is>
          <t>✍ 직접 입력: 홈택스에서 내려받은 매입 목록 엑셀을 A8 셀부터 통째로 붙여넣고('값' 붙여넣기 권장), 5행 노란 칸에 데이터 시작 행과 열 문자를 확인하세요. 거래처 열은 공급자(거래처) 쪽입니다.</t>
        </is>
      </c>
    </row>
    <row r="3">
      <c r="A3" s="2" t="inlineStr">
        <is>
          <t>⚙ 자동 계산: AR~BE열 회색 수식이 날짜·금액을 변환하고 기간·중복·세액을 점검합니다 — 수정 금지. 오른쪽 '인식 결과'에 ✔가 뜨면 성공.</t>
        </is>
      </c>
    </row>
    <row r="4">
      <c r="A4" s="16" t="inlineStr">
        <is>
          <t>데이터 시작 행</t>
        </is>
      </c>
      <c r="B4" s="16" t="inlineStr">
        <is>
          <t>작성일자 열</t>
        </is>
      </c>
      <c r="C4" s="16" t="inlineStr">
        <is>
          <t>승인번호 열</t>
        </is>
      </c>
      <c r="D4" s="16" t="inlineStr">
        <is>
          <t>거래처 사업자번호 열</t>
        </is>
      </c>
      <c r="E4" s="16" t="inlineStr">
        <is>
          <t>거래처 상호 열</t>
        </is>
      </c>
      <c r="F4" s="16" t="inlineStr">
        <is>
          <t>공급가액 열</t>
        </is>
      </c>
      <c r="G4" s="16" t="inlineStr">
        <is>
          <t>세액 열</t>
        </is>
      </c>
      <c r="H4" s="16" t="inlineStr">
        <is>
          <t>합계 열(선택)</t>
        </is>
      </c>
      <c r="I4" s="16" t="inlineStr">
        <is>
          <t>분류 열(선택)</t>
        </is>
      </c>
      <c r="K4" s="16" t="inlineStr">
        <is>
          <t>인식 결과 (자동)</t>
        </is>
      </c>
    </row>
    <row r="5">
      <c r="A5" s="17" t="n">
        <v>14</v>
      </c>
      <c r="B5" s="17" t="inlineStr">
        <is>
          <t>A</t>
        </is>
      </c>
      <c r="C5" s="17" t="inlineStr">
        <is>
          <t>B</t>
        </is>
      </c>
      <c r="D5" s="17" t="inlineStr">
        <is>
          <t>E</t>
        </is>
      </c>
      <c r="E5" s="17" t="inlineStr">
        <is>
          <t>G</t>
        </is>
      </c>
      <c r="F5" s="17" t="inlineStr">
        <is>
          <t>P</t>
        </is>
      </c>
      <c r="G5" s="17" t="inlineStr">
        <is>
          <t>Q</t>
        </is>
      </c>
      <c r="H5" s="17" t="inlineStr">
        <is>
          <t>O</t>
        </is>
      </c>
      <c r="I5" s="17" t="inlineStr">
        <is>
          <t>R</t>
        </is>
      </c>
      <c r="K5" s="18">
        <f>IF(COUNT($AS$8:$AS$1007)=0,"아직 인식된 세금계산서가 없습니다 — 붙여넣기 위치와 열 설정을 확인하세요","✔ 매입 "&amp;COUNT($AS$8:$AS$1007)&amp;"건 · "&amp;TEXT(MIN($AS$8:$AS$1007),"YYYY-MM-DD")&amp;" ~ "&amp;TEXT(MAX($AS$8:$AS$1007),"YYYY-MM-DD")&amp;" · 공급가액 "&amp;TEXT(SUM($AT$8:$AT$1007),"#,##0")&amp;"원 · 이 중 신고기간 "&amp;COUNTIF($BA$8:$BA$1007,"포함")&amp;"건 — 홈택스 화면 합계와 같은지 확인")&amp;IF(COUNTIF($AZ$8:$AZ$1007,"999-*")&gt;0,"   ⚠ 예시(가상) 데이터 "&amp;COUNTIF($AZ$8:$AZ$1007,"999-*")&amp;"줄이 남아 있습니다 — 8행 아래를 모두 지우고 다시 붙여넣으세요","")</f>
        <v/>
      </c>
    </row>
    <row r="6">
      <c r="A6" s="19" t="inlineStr">
        <is>
          <t>▼ 8행(A8 셀)부터 붙여넣기  ·  처음 쓸 때: 8행 아래 예시를 전체 선택 → Delete로 지운 뒤 붙여넣기</t>
        </is>
      </c>
      <c r="B6" s="20">
        <f>IF($B$5="","",IF(LEN(TRIM($B$5))=1,CODE(UPPER(TRIM($B$5)))-64,(CODE(UPPER(LEFT(TRIM($B$5),1)))-64)*26+CODE(UPPER(RIGHT(TRIM($B$5),1)))-64))</f>
        <v/>
      </c>
      <c r="C6" s="20">
        <f>IF($C$5="","",IF(LEN(TRIM($C$5))=1,CODE(UPPER(TRIM($C$5)))-64,(CODE(UPPER(LEFT(TRIM($C$5),1)))-64)*26+CODE(UPPER(RIGHT(TRIM($C$5),1)))-64))</f>
        <v/>
      </c>
      <c r="D6" s="20">
        <f>IF($D$5="","",IF(LEN(TRIM($D$5))=1,CODE(UPPER(TRIM($D$5)))-64,(CODE(UPPER(LEFT(TRIM($D$5),1)))-64)*26+CODE(UPPER(RIGHT(TRIM($D$5),1)))-64))</f>
        <v/>
      </c>
      <c r="E6" s="20">
        <f>IF($E$5="","",IF(LEN(TRIM($E$5))=1,CODE(UPPER(TRIM($E$5)))-64,(CODE(UPPER(LEFT(TRIM($E$5),1)))-64)*26+CODE(UPPER(RIGHT(TRIM($E$5),1)))-64))</f>
        <v/>
      </c>
      <c r="F6" s="20">
        <f>IF($F$5="","",IF(LEN(TRIM($F$5))=1,CODE(UPPER(TRIM($F$5)))-64,(CODE(UPPER(LEFT(TRIM($F$5),1)))-64)*26+CODE(UPPER(RIGHT(TRIM($F$5),1)))-64))</f>
        <v/>
      </c>
      <c r="G6" s="20">
        <f>IF($G$5="","",IF(LEN(TRIM($G$5))=1,CODE(UPPER(TRIM($G$5)))-64,(CODE(UPPER(LEFT(TRIM($G$5),1)))-64)*26+CODE(UPPER(RIGHT(TRIM($G$5),1)))-64))</f>
        <v/>
      </c>
      <c r="H6" s="20">
        <f>IF($H$5="","",IF(LEN(TRIM($H$5))=1,CODE(UPPER(TRIM($H$5)))-64,(CODE(UPPER(LEFT(TRIM($H$5),1)))-64)*26+CODE(UPPER(RIGHT(TRIM($H$5),1)))-64))</f>
        <v/>
      </c>
      <c r="I6" s="20">
        <f>IF($I$5="","",IF(LEN(TRIM($I$5))=1,CODE(UPPER(TRIM($I$5)))-64,(CODE(UPPER(LEFT(TRIM($I$5),1)))-64)*26+CODE(UPPER(RIGHT(TRIM($I$5),1)))-64))</f>
        <v/>
      </c>
    </row>
    <row r="7">
      <c r="AR7" s="16" t="inlineStr">
        <is>
          <t>원본일자(자동)</t>
        </is>
      </c>
      <c r="AS7" s="16" t="inlineStr">
        <is>
          <t>작성일자(자동)</t>
        </is>
      </c>
      <c r="AT7" s="16" t="inlineStr">
        <is>
          <t>공급가액(자동)</t>
        </is>
      </c>
      <c r="AU7" s="16" t="inlineStr">
        <is>
          <t>세액(자동)</t>
        </is>
      </c>
      <c r="AV7" s="16" t="inlineStr">
        <is>
          <t>합계(자동)</t>
        </is>
      </c>
      <c r="AW7" s="16" t="inlineStr">
        <is>
          <t>승인번호(자동)</t>
        </is>
      </c>
      <c r="AX7" s="16" t="inlineStr">
        <is>
          <t>거래처키(자동)</t>
        </is>
      </c>
      <c r="AY7" s="16" t="inlineStr">
        <is>
          <t>거래처 상호(자동)</t>
        </is>
      </c>
      <c r="AZ7" s="16" t="inlineStr">
        <is>
          <t>원본 사업자번호(자동)</t>
        </is>
      </c>
      <c r="BA7" s="16" t="inlineStr">
        <is>
          <t>기간(자동)</t>
        </is>
      </c>
      <c r="BB7" s="16" t="inlineStr">
        <is>
          <t>구분(자동)</t>
        </is>
      </c>
      <c r="BC7" s="16" t="inlineStr">
        <is>
          <t>점검(자동)</t>
        </is>
      </c>
      <c r="BD7" s="16" t="inlineStr">
        <is>
          <t>거래처순번(자동)</t>
        </is>
      </c>
      <c r="BE7" s="16" t="inlineStr">
        <is>
          <t>점검순번(자동)</t>
        </is>
      </c>
    </row>
    <row r="8">
      <c r="A8" s="21" t="inlineStr">
        <is>
          <t>매입 전자(세금)계산서 목록 조회 (예시 · 전부 가상 데이터)</t>
        </is>
      </c>
      <c r="AR8" s="2">
        <f>IF(OR($A$5="",$B$6="",ROW()&lt;$A$5),"",IF(INDEX($A:$AP,ROW(),$B$6)="","",INDEX($A:$AP,ROW(),$B$6)))</f>
        <v/>
      </c>
      <c r="AS8" s="22">
        <f>IF($AR8="","",IF(ISNUMBER($AR8),IF($AR8&gt;=10000000,IFERROR(DATE(INT($AR8/10000),MOD(INT($AR8/100),100),MOD($AR8,100)),""),INT($AR8)),IFERROR(DATE(--LEFT(LEFT(SUBSTITUTE(SUBSTITUTE(SUBSTITUTE(SUBSTITUTE(TRIM($AR8),"-",""),".",""),"/","")," ",""),8),4),--MID(LEFT(SUBSTITUTE(SUBSTITUTE(SUBSTITUTE(SUBSTITUTE(TRIM($AR8),"-",""),".",""),"/","")," ",""),8),5,2),--MID(LEFT(SUBSTITUTE(SUBSTITUTE(SUBSTITUTE(SUBSTITUTE(TRIM($AR8),"-",""),".",""),"/","")," ",""),8),7,2)),"")))</f>
        <v/>
      </c>
      <c r="AT8" s="23">
        <f>IF($AS8="","",IF($F$6="",0,IF(ISNUMBER(INDEX($A:$AP,ROW(),$F$6)),INDEX($A:$AP,ROW(),$F$6),IFERROR(--SUBSTITUTE(SUBSTITUTE(TRIM(INDEX($A:$AP,ROW(),$F$6)),",",""),"원",""),0))))</f>
        <v/>
      </c>
      <c r="AU8" s="23">
        <f>IF($AS8="","",IF($G$6="",0,IF(ISNUMBER(INDEX($A:$AP,ROW(),$G$6)),INDEX($A:$AP,ROW(),$G$6),IFERROR(--SUBSTITUTE(SUBSTITUTE(TRIM(INDEX($A:$AP,ROW(),$G$6)),",",""),"원",""),0))))</f>
        <v/>
      </c>
      <c r="AV8" s="23">
        <f>IF($AS8="","",IF($H$6="",$AT8+$AU8,IF($H$6="",0,IF(ISNUMBER(INDEX($A:$AP,ROW(),$H$6)),INDEX($A:$AP,ROW(),$H$6),IFERROR(--SUBSTITUTE(SUBSTITUTE(TRIM(INDEX($A:$AP,ROW(),$H$6)),",",""),"원",""),0)))))</f>
        <v/>
      </c>
      <c r="AW8" s="2">
        <f>IF(OR($AS8="",$C$6=""),"",TRIM(INDEX($A:$AP,ROW(),$C$6)&amp;""))</f>
        <v/>
      </c>
      <c r="AX8" s="2">
        <f>IF($AS8="","",IF($AZ8&lt;&gt;"",SUBSTITUTE(SUBSTITUTE($AZ8,"-","")," ",""),$AY8))</f>
        <v/>
      </c>
      <c r="AY8" s="2">
        <f>IF(OR($AS8="",$E$6=""),"",TRIM(INDEX($A:$AP,ROW(),$E$6)&amp;""))</f>
        <v/>
      </c>
      <c r="AZ8" s="2">
        <f>IF(OR($AS8="",$D$6=""),"",TRIM(INDEX($A:$AP,ROW(),$D$6)&amp;""))</f>
        <v/>
      </c>
      <c r="BA8" s="2">
        <f>IF($AS8="","",IF(AND($AS8&gt;=설정!$B$10,$AS8&lt;=설정!$B$11),"포함","기간 밖"))</f>
        <v/>
      </c>
      <c r="BB8" s="2">
        <f>IF($AS8="","",IF(OR($AT8&lt;0,AND($I$6&lt;&gt;"",ISNUMBER(FIND("수정",INDEX($A:$AP,ROW(),IF($I$6="",1,$I$6))&amp;"")))),"수정","일반"))</f>
        <v/>
      </c>
      <c r="BC8" s="2">
        <f>IF($AS8="","",MID(IF($BA8="기간 밖"," / 기간 밖(신고기간 아님)","")&amp;IF(AND($AW8&lt;&gt;"",COUNTIF($AW$8:$AW$1007,$AW8)&gt;1)," / 승인번호 중복(두 번 붙여넣기?)","")&amp;IF(ABS($AU8-ROUND($AT8*0.1,0))&gt;설정!$B$8,IF($AU8=0," / 세액 0원(영세율·면세 여부 확인)"," / 세액이 공급가액 10%와 다름"),"")&amp;IF($BB8="수정"," / 수정세금계산서(합계에서 자동 가감)",""),4,200))</f>
        <v/>
      </c>
      <c r="BD8" s="2">
        <f>IF($BA8&lt;&gt;"포함","",IF(COUNTIFS($AX$8:$AX8,$AX8,$BA$8:$BA8,"포함")=1,MAX($BD$7:BD7)+1,""))</f>
        <v/>
      </c>
      <c r="BE8" s="2">
        <f>IF($BC8="","",MAX($BE$7:BE7)+1)</f>
        <v/>
      </c>
    </row>
    <row r="9">
      <c r="AR9" s="2">
        <f>IF(OR($A$5="",$B$6="",ROW()&lt;$A$5),"",IF(INDEX($A:$AP,ROW(),$B$6)="","",INDEX($A:$AP,ROW(),$B$6)))</f>
        <v/>
      </c>
      <c r="AS9" s="22">
        <f>IF($AR9="","",IF(ISNUMBER($AR9),IF($AR9&gt;=10000000,IFERROR(DATE(INT($AR9/10000),MOD(INT($AR9/100),100),MOD($AR9,100)),""),INT($AR9)),IFERROR(DATE(--LEFT(LEFT(SUBSTITUTE(SUBSTITUTE(SUBSTITUTE(SUBSTITUTE(TRIM($AR9),"-",""),".",""),"/","")," ",""),8),4),--MID(LEFT(SUBSTITUTE(SUBSTITUTE(SUBSTITUTE(SUBSTITUTE(TRIM($AR9),"-",""),".",""),"/","")," ",""),8),5,2),--MID(LEFT(SUBSTITUTE(SUBSTITUTE(SUBSTITUTE(SUBSTITUTE(TRIM($AR9),"-",""),".",""),"/","")," ",""),8),7,2)),"")))</f>
        <v/>
      </c>
      <c r="AT9" s="23">
        <f>IF($AS9="","",IF($F$6="",0,IF(ISNUMBER(INDEX($A:$AP,ROW(),$F$6)),INDEX($A:$AP,ROW(),$F$6),IFERROR(--SUBSTITUTE(SUBSTITUTE(TRIM(INDEX($A:$AP,ROW(),$F$6)),",",""),"원",""),0))))</f>
        <v/>
      </c>
      <c r="AU9" s="23">
        <f>IF($AS9="","",IF($G$6="",0,IF(ISNUMBER(INDEX($A:$AP,ROW(),$G$6)),INDEX($A:$AP,ROW(),$G$6),IFERROR(--SUBSTITUTE(SUBSTITUTE(TRIM(INDEX($A:$AP,ROW(),$G$6)),",",""),"원",""),0))))</f>
        <v/>
      </c>
      <c r="AV9" s="23">
        <f>IF($AS9="","",IF($H$6="",$AT9+$AU9,IF($H$6="",0,IF(ISNUMBER(INDEX($A:$AP,ROW(),$H$6)),INDEX($A:$AP,ROW(),$H$6),IFERROR(--SUBSTITUTE(SUBSTITUTE(TRIM(INDEX($A:$AP,ROW(),$H$6)),",",""),"원",""),0)))))</f>
        <v/>
      </c>
      <c r="AW9" s="2">
        <f>IF(OR($AS9="",$C$6=""),"",TRIM(INDEX($A:$AP,ROW(),$C$6)&amp;""))</f>
        <v/>
      </c>
      <c r="AX9" s="2">
        <f>IF($AS9="","",IF($AZ9&lt;&gt;"",SUBSTITUTE(SUBSTITUTE($AZ9,"-","")," ",""),$AY9))</f>
        <v/>
      </c>
      <c r="AY9" s="2">
        <f>IF(OR($AS9="",$E$6=""),"",TRIM(INDEX($A:$AP,ROW(),$E$6)&amp;""))</f>
        <v/>
      </c>
      <c r="AZ9" s="2">
        <f>IF(OR($AS9="",$D$6=""),"",TRIM(INDEX($A:$AP,ROW(),$D$6)&amp;""))</f>
        <v/>
      </c>
      <c r="BA9" s="2">
        <f>IF($AS9="","",IF(AND($AS9&gt;=설정!$B$10,$AS9&lt;=설정!$B$11),"포함","기간 밖"))</f>
        <v/>
      </c>
      <c r="BB9" s="2">
        <f>IF($AS9="","",IF(OR($AT9&lt;0,AND($I$6&lt;&gt;"",ISNUMBER(FIND("수정",INDEX($A:$AP,ROW(),IF($I$6="",1,$I$6))&amp;"")))),"수정","일반"))</f>
        <v/>
      </c>
      <c r="BC9" s="2">
        <f>IF($AS9="","",MID(IF($BA9="기간 밖"," / 기간 밖(신고기간 아님)","")&amp;IF(AND($AW9&lt;&gt;"",COUNTIF($AW$8:$AW$1007,$AW9)&gt;1)," / 승인번호 중복(두 번 붙여넣기?)","")&amp;IF(ABS($AU9-ROUND($AT9*0.1,0))&gt;설정!$B$8,IF($AU9=0," / 세액 0원(영세율·면세 여부 확인)"," / 세액이 공급가액 10%와 다름"),"")&amp;IF($BB9="수정"," / 수정세금계산서(합계에서 자동 가감)",""),4,200))</f>
        <v/>
      </c>
      <c r="BD9" s="2">
        <f>IF($BA9&lt;&gt;"포함","",IF(COUNTIFS($AX$8:$AX9,$AX9,$BA$8:$BA9,"포함")=1,MAX($BD$7:BD8)+1,""))</f>
        <v/>
      </c>
      <c r="BE9" s="2">
        <f>IF($BC9="","",MAX($BE$7:BE8)+1)</f>
        <v/>
      </c>
    </row>
    <row r="10">
      <c r="A10" s="21" t="inlineStr">
        <is>
          <t>조회기간 : 2026-07-01 ~ 2026-09-30</t>
        </is>
      </c>
      <c r="AR10" s="2">
        <f>IF(OR($A$5="",$B$6="",ROW()&lt;$A$5),"",IF(INDEX($A:$AP,ROW(),$B$6)="","",INDEX($A:$AP,ROW(),$B$6)))</f>
        <v/>
      </c>
      <c r="AS10" s="22">
        <f>IF($AR10="","",IF(ISNUMBER($AR10),IF($AR10&gt;=10000000,IFERROR(DATE(INT($AR10/10000),MOD(INT($AR10/100),100),MOD($AR10,100)),""),INT($AR10)),IFERROR(DATE(--LEFT(LEFT(SUBSTITUTE(SUBSTITUTE(SUBSTITUTE(SUBSTITUTE(TRIM($AR10),"-",""),".",""),"/","")," ",""),8),4),--MID(LEFT(SUBSTITUTE(SUBSTITUTE(SUBSTITUTE(SUBSTITUTE(TRIM($AR10),"-",""),".",""),"/","")," ",""),8),5,2),--MID(LEFT(SUBSTITUTE(SUBSTITUTE(SUBSTITUTE(SUBSTITUTE(TRIM($AR10),"-",""),".",""),"/","")," ",""),8),7,2)),"")))</f>
        <v/>
      </c>
      <c r="AT10" s="23">
        <f>IF($AS10="","",IF($F$6="",0,IF(ISNUMBER(INDEX($A:$AP,ROW(),$F$6)),INDEX($A:$AP,ROW(),$F$6),IFERROR(--SUBSTITUTE(SUBSTITUTE(TRIM(INDEX($A:$AP,ROW(),$F$6)),",",""),"원",""),0))))</f>
        <v/>
      </c>
      <c r="AU10" s="23">
        <f>IF($AS10="","",IF($G$6="",0,IF(ISNUMBER(INDEX($A:$AP,ROW(),$G$6)),INDEX($A:$AP,ROW(),$G$6),IFERROR(--SUBSTITUTE(SUBSTITUTE(TRIM(INDEX($A:$AP,ROW(),$G$6)),",",""),"원",""),0))))</f>
        <v/>
      </c>
      <c r="AV10" s="23">
        <f>IF($AS10="","",IF($H$6="",$AT10+$AU10,IF($H$6="",0,IF(ISNUMBER(INDEX($A:$AP,ROW(),$H$6)),INDEX($A:$AP,ROW(),$H$6),IFERROR(--SUBSTITUTE(SUBSTITUTE(TRIM(INDEX($A:$AP,ROW(),$H$6)),",",""),"원",""),0)))))</f>
        <v/>
      </c>
      <c r="AW10" s="2">
        <f>IF(OR($AS10="",$C$6=""),"",TRIM(INDEX($A:$AP,ROW(),$C$6)&amp;""))</f>
        <v/>
      </c>
      <c r="AX10" s="2">
        <f>IF($AS10="","",IF($AZ10&lt;&gt;"",SUBSTITUTE(SUBSTITUTE($AZ10,"-","")," ",""),$AY10))</f>
        <v/>
      </c>
      <c r="AY10" s="2">
        <f>IF(OR($AS10="",$E$6=""),"",TRIM(INDEX($A:$AP,ROW(),$E$6)&amp;""))</f>
        <v/>
      </c>
      <c r="AZ10" s="2">
        <f>IF(OR($AS10="",$D$6=""),"",TRIM(INDEX($A:$AP,ROW(),$D$6)&amp;""))</f>
        <v/>
      </c>
      <c r="BA10" s="2">
        <f>IF($AS10="","",IF(AND($AS10&gt;=설정!$B$10,$AS10&lt;=설정!$B$11),"포함","기간 밖"))</f>
        <v/>
      </c>
      <c r="BB10" s="2">
        <f>IF($AS10="","",IF(OR($AT10&lt;0,AND($I$6&lt;&gt;"",ISNUMBER(FIND("수정",INDEX($A:$AP,ROW(),IF($I$6="",1,$I$6))&amp;"")))),"수정","일반"))</f>
        <v/>
      </c>
      <c r="BC10" s="2">
        <f>IF($AS10="","",MID(IF($BA10="기간 밖"," / 기간 밖(신고기간 아님)","")&amp;IF(AND($AW10&lt;&gt;"",COUNTIF($AW$8:$AW$1007,$AW10)&gt;1)," / 승인번호 중복(두 번 붙여넣기?)","")&amp;IF(ABS($AU10-ROUND($AT10*0.1,0))&gt;설정!$B$8,IF($AU10=0," / 세액 0원(영세율·면세 여부 확인)"," / 세액이 공급가액 10%와 다름"),"")&amp;IF($BB10="수정"," / 수정세금계산서(합계에서 자동 가감)",""),4,200))</f>
        <v/>
      </c>
      <c r="BD10" s="2">
        <f>IF($BA10&lt;&gt;"포함","",IF(COUNTIFS($AX$8:$AX10,$AX10,$BA$8:$BA10,"포함")=1,MAX($BD$7:BD9)+1,""))</f>
        <v/>
      </c>
      <c r="BE10" s="2">
        <f>IF($BC10="","",MAX($BE$7:BE9)+1)</f>
        <v/>
      </c>
    </row>
    <row r="11">
      <c r="A11" s="21" t="inlineStr">
        <is>
          <t>사업자등록번호 : 999-81-00001 (가상)</t>
        </is>
      </c>
      <c r="AR11" s="2">
        <f>IF(OR($A$5="",$B$6="",ROW()&lt;$A$5),"",IF(INDEX($A:$AP,ROW(),$B$6)="","",INDEX($A:$AP,ROW(),$B$6)))</f>
        <v/>
      </c>
      <c r="AS11" s="22">
        <f>IF($AR11="","",IF(ISNUMBER($AR11),IF($AR11&gt;=10000000,IFERROR(DATE(INT($AR11/10000),MOD(INT($AR11/100),100),MOD($AR11,100)),""),INT($AR11)),IFERROR(DATE(--LEFT(LEFT(SUBSTITUTE(SUBSTITUTE(SUBSTITUTE(SUBSTITUTE(TRIM($AR11),"-",""),".",""),"/","")," ",""),8),4),--MID(LEFT(SUBSTITUTE(SUBSTITUTE(SUBSTITUTE(SUBSTITUTE(TRIM($AR11),"-",""),".",""),"/","")," ",""),8),5,2),--MID(LEFT(SUBSTITUTE(SUBSTITUTE(SUBSTITUTE(SUBSTITUTE(TRIM($AR11),"-",""),".",""),"/","")," ",""),8),7,2)),"")))</f>
        <v/>
      </c>
      <c r="AT11" s="23">
        <f>IF($AS11="","",IF($F$6="",0,IF(ISNUMBER(INDEX($A:$AP,ROW(),$F$6)),INDEX($A:$AP,ROW(),$F$6),IFERROR(--SUBSTITUTE(SUBSTITUTE(TRIM(INDEX($A:$AP,ROW(),$F$6)),",",""),"원",""),0))))</f>
        <v/>
      </c>
      <c r="AU11" s="23">
        <f>IF($AS11="","",IF($G$6="",0,IF(ISNUMBER(INDEX($A:$AP,ROW(),$G$6)),INDEX($A:$AP,ROW(),$G$6),IFERROR(--SUBSTITUTE(SUBSTITUTE(TRIM(INDEX($A:$AP,ROW(),$G$6)),",",""),"원",""),0))))</f>
        <v/>
      </c>
      <c r="AV11" s="23">
        <f>IF($AS11="","",IF($H$6="",$AT11+$AU11,IF($H$6="",0,IF(ISNUMBER(INDEX($A:$AP,ROW(),$H$6)),INDEX($A:$AP,ROW(),$H$6),IFERROR(--SUBSTITUTE(SUBSTITUTE(TRIM(INDEX($A:$AP,ROW(),$H$6)),",",""),"원",""),0)))))</f>
        <v/>
      </c>
      <c r="AW11" s="2">
        <f>IF(OR($AS11="",$C$6=""),"",TRIM(INDEX($A:$AP,ROW(),$C$6)&amp;""))</f>
        <v/>
      </c>
      <c r="AX11" s="2">
        <f>IF($AS11="","",IF($AZ11&lt;&gt;"",SUBSTITUTE(SUBSTITUTE($AZ11,"-","")," ",""),$AY11))</f>
        <v/>
      </c>
      <c r="AY11" s="2">
        <f>IF(OR($AS11="",$E$6=""),"",TRIM(INDEX($A:$AP,ROW(),$E$6)&amp;""))</f>
        <v/>
      </c>
      <c r="AZ11" s="2">
        <f>IF(OR($AS11="",$D$6=""),"",TRIM(INDEX($A:$AP,ROW(),$D$6)&amp;""))</f>
        <v/>
      </c>
      <c r="BA11" s="2">
        <f>IF($AS11="","",IF(AND($AS11&gt;=설정!$B$10,$AS11&lt;=설정!$B$11),"포함","기간 밖"))</f>
        <v/>
      </c>
      <c r="BB11" s="2">
        <f>IF($AS11="","",IF(OR($AT11&lt;0,AND($I$6&lt;&gt;"",ISNUMBER(FIND("수정",INDEX($A:$AP,ROW(),IF($I$6="",1,$I$6))&amp;"")))),"수정","일반"))</f>
        <v/>
      </c>
      <c r="BC11" s="2">
        <f>IF($AS11="","",MID(IF($BA11="기간 밖"," / 기간 밖(신고기간 아님)","")&amp;IF(AND($AW11&lt;&gt;"",COUNTIF($AW$8:$AW$1007,$AW11)&gt;1)," / 승인번호 중복(두 번 붙여넣기?)","")&amp;IF(ABS($AU11-ROUND($AT11*0.1,0))&gt;설정!$B$8,IF($AU11=0," / 세액 0원(영세율·면세 여부 확인)"," / 세액이 공급가액 10%와 다름"),"")&amp;IF($BB11="수정"," / 수정세금계산서(합계에서 자동 가감)",""),4,200))</f>
        <v/>
      </c>
      <c r="BD11" s="2">
        <f>IF($BA11&lt;&gt;"포함","",IF(COUNTIFS($AX$8:$AX11,$AX11,$BA$8:$BA11,"포함")=1,MAX($BD$7:BD10)+1,""))</f>
        <v/>
      </c>
      <c r="BE11" s="2">
        <f>IF($BC11="","",MAX($BE$7:BE10)+1)</f>
        <v/>
      </c>
    </row>
    <row r="12">
      <c r="AR12" s="2">
        <f>IF(OR($A$5="",$B$6="",ROW()&lt;$A$5),"",IF(INDEX($A:$AP,ROW(),$B$6)="","",INDEX($A:$AP,ROW(),$B$6)))</f>
        <v/>
      </c>
      <c r="AS12" s="22">
        <f>IF($AR12="","",IF(ISNUMBER($AR12),IF($AR12&gt;=10000000,IFERROR(DATE(INT($AR12/10000),MOD(INT($AR12/100),100),MOD($AR12,100)),""),INT($AR12)),IFERROR(DATE(--LEFT(LEFT(SUBSTITUTE(SUBSTITUTE(SUBSTITUTE(SUBSTITUTE(TRIM($AR12),"-",""),".",""),"/","")," ",""),8),4),--MID(LEFT(SUBSTITUTE(SUBSTITUTE(SUBSTITUTE(SUBSTITUTE(TRIM($AR12),"-",""),".",""),"/","")," ",""),8),5,2),--MID(LEFT(SUBSTITUTE(SUBSTITUTE(SUBSTITUTE(SUBSTITUTE(TRIM($AR12),"-",""),".",""),"/","")," ",""),8),7,2)),"")))</f>
        <v/>
      </c>
      <c r="AT12" s="23">
        <f>IF($AS12="","",IF($F$6="",0,IF(ISNUMBER(INDEX($A:$AP,ROW(),$F$6)),INDEX($A:$AP,ROW(),$F$6),IFERROR(--SUBSTITUTE(SUBSTITUTE(TRIM(INDEX($A:$AP,ROW(),$F$6)),",",""),"원",""),0))))</f>
        <v/>
      </c>
      <c r="AU12" s="23">
        <f>IF($AS12="","",IF($G$6="",0,IF(ISNUMBER(INDEX($A:$AP,ROW(),$G$6)),INDEX($A:$AP,ROW(),$G$6),IFERROR(--SUBSTITUTE(SUBSTITUTE(TRIM(INDEX($A:$AP,ROW(),$G$6)),",",""),"원",""),0))))</f>
        <v/>
      </c>
      <c r="AV12" s="23">
        <f>IF($AS12="","",IF($H$6="",$AT12+$AU12,IF($H$6="",0,IF(ISNUMBER(INDEX($A:$AP,ROW(),$H$6)),INDEX($A:$AP,ROW(),$H$6),IFERROR(--SUBSTITUTE(SUBSTITUTE(TRIM(INDEX($A:$AP,ROW(),$H$6)),",",""),"원",""),0)))))</f>
        <v/>
      </c>
      <c r="AW12" s="2">
        <f>IF(OR($AS12="",$C$6=""),"",TRIM(INDEX($A:$AP,ROW(),$C$6)&amp;""))</f>
        <v/>
      </c>
      <c r="AX12" s="2">
        <f>IF($AS12="","",IF($AZ12&lt;&gt;"",SUBSTITUTE(SUBSTITUTE($AZ12,"-","")," ",""),$AY12))</f>
        <v/>
      </c>
      <c r="AY12" s="2">
        <f>IF(OR($AS12="",$E$6=""),"",TRIM(INDEX($A:$AP,ROW(),$E$6)&amp;""))</f>
        <v/>
      </c>
      <c r="AZ12" s="2">
        <f>IF(OR($AS12="",$D$6=""),"",TRIM(INDEX($A:$AP,ROW(),$D$6)&amp;""))</f>
        <v/>
      </c>
      <c r="BA12" s="2">
        <f>IF($AS12="","",IF(AND($AS12&gt;=설정!$B$10,$AS12&lt;=설정!$B$11),"포함","기간 밖"))</f>
        <v/>
      </c>
      <c r="BB12" s="2">
        <f>IF($AS12="","",IF(OR($AT12&lt;0,AND($I$6&lt;&gt;"",ISNUMBER(FIND("수정",INDEX($A:$AP,ROW(),IF($I$6="",1,$I$6))&amp;"")))),"수정","일반"))</f>
        <v/>
      </c>
      <c r="BC12" s="2">
        <f>IF($AS12="","",MID(IF($BA12="기간 밖"," / 기간 밖(신고기간 아님)","")&amp;IF(AND($AW12&lt;&gt;"",COUNTIF($AW$8:$AW$1007,$AW12)&gt;1)," / 승인번호 중복(두 번 붙여넣기?)","")&amp;IF(ABS($AU12-ROUND($AT12*0.1,0))&gt;설정!$B$8,IF($AU12=0," / 세액 0원(영세율·면세 여부 확인)"," / 세액이 공급가액 10%와 다름"),"")&amp;IF($BB12="수정"," / 수정세금계산서(합계에서 자동 가감)",""),4,200))</f>
        <v/>
      </c>
      <c r="BD12" s="2">
        <f>IF($BA12&lt;&gt;"포함","",IF(COUNTIFS($AX$8:$AX12,$AX12,$BA$8:$BA12,"포함")=1,MAX($BD$7:BD11)+1,""))</f>
        <v/>
      </c>
      <c r="BE12" s="2">
        <f>IF($BC12="","",MAX($BE$7:BE11)+1)</f>
        <v/>
      </c>
    </row>
    <row r="13">
      <c r="A13" s="21" t="inlineStr">
        <is>
          <t>작성일자</t>
        </is>
      </c>
      <c r="B13" s="21" t="inlineStr">
        <is>
          <t>승인번호</t>
        </is>
      </c>
      <c r="C13" s="21" t="inlineStr">
        <is>
          <t>발급일자</t>
        </is>
      </c>
      <c r="D13" s="21" t="inlineStr">
        <is>
          <t>전송일자</t>
        </is>
      </c>
      <c r="E13" s="21" t="inlineStr">
        <is>
          <t>공급자사업자등록번호</t>
        </is>
      </c>
      <c r="F13" s="21" t="inlineStr">
        <is>
          <t>종사업장번호</t>
        </is>
      </c>
      <c r="G13" s="21" t="inlineStr">
        <is>
          <t>상호</t>
        </is>
      </c>
      <c r="H13" s="21" t="inlineStr">
        <is>
          <t>대표자명</t>
        </is>
      </c>
      <c r="I13" s="21" t="inlineStr">
        <is>
          <t>주소</t>
        </is>
      </c>
      <c r="J13" s="21" t="inlineStr">
        <is>
          <t>공급받는자사업자등록번호</t>
        </is>
      </c>
      <c r="K13" s="21" t="inlineStr">
        <is>
          <t>종사업장번호</t>
        </is>
      </c>
      <c r="L13" s="21" t="inlineStr">
        <is>
          <t>상호</t>
        </is>
      </c>
      <c r="M13" s="21" t="inlineStr">
        <is>
          <t>대표자명</t>
        </is>
      </c>
      <c r="N13" s="21" t="inlineStr">
        <is>
          <t>주소</t>
        </is>
      </c>
      <c r="O13" s="21" t="inlineStr">
        <is>
          <t>합계금액</t>
        </is>
      </c>
      <c r="P13" s="21" t="inlineStr">
        <is>
          <t>공급가액</t>
        </is>
      </c>
      <c r="Q13" s="21" t="inlineStr">
        <is>
          <t>세액</t>
        </is>
      </c>
      <c r="R13" s="21" t="inlineStr">
        <is>
          <t>전자세금계산서분류</t>
        </is>
      </c>
      <c r="S13" s="21" t="inlineStr">
        <is>
          <t>전자세금계산서종류</t>
        </is>
      </c>
      <c r="T13" s="21" t="inlineStr">
        <is>
          <t>발급유형</t>
        </is>
      </c>
      <c r="U13" s="21" t="inlineStr">
        <is>
          <t>비고</t>
        </is>
      </c>
      <c r="V13" s="21" t="inlineStr">
        <is>
          <t>영수/청구 구분</t>
        </is>
      </c>
      <c r="W13" s="21" t="inlineStr">
        <is>
          <t>공급자 이메일</t>
        </is>
      </c>
      <c r="X13" s="21" t="inlineStr">
        <is>
          <t>공급받는자 이메일1</t>
        </is>
      </c>
      <c r="Y13" s="21" t="inlineStr">
        <is>
          <t>공급받는자 이메일2</t>
        </is>
      </c>
      <c r="Z13" s="21" t="inlineStr">
        <is>
          <t>품목일자</t>
        </is>
      </c>
      <c r="AA13" s="21" t="inlineStr">
        <is>
          <t>품목명</t>
        </is>
      </c>
      <c r="AR13" s="2">
        <f>IF(OR($A$5="",$B$6="",ROW()&lt;$A$5),"",IF(INDEX($A:$AP,ROW(),$B$6)="","",INDEX($A:$AP,ROW(),$B$6)))</f>
        <v/>
      </c>
      <c r="AS13" s="22">
        <f>IF($AR13="","",IF(ISNUMBER($AR13),IF($AR13&gt;=10000000,IFERROR(DATE(INT($AR13/10000),MOD(INT($AR13/100),100),MOD($AR13,100)),""),INT($AR13)),IFERROR(DATE(--LEFT(LEFT(SUBSTITUTE(SUBSTITUTE(SUBSTITUTE(SUBSTITUTE(TRIM($AR13),"-",""),".",""),"/","")," ",""),8),4),--MID(LEFT(SUBSTITUTE(SUBSTITUTE(SUBSTITUTE(SUBSTITUTE(TRIM($AR13),"-",""),".",""),"/","")," ",""),8),5,2),--MID(LEFT(SUBSTITUTE(SUBSTITUTE(SUBSTITUTE(SUBSTITUTE(TRIM($AR13),"-",""),".",""),"/","")," ",""),8),7,2)),"")))</f>
        <v/>
      </c>
      <c r="AT13" s="23">
        <f>IF($AS13="","",IF($F$6="",0,IF(ISNUMBER(INDEX($A:$AP,ROW(),$F$6)),INDEX($A:$AP,ROW(),$F$6),IFERROR(--SUBSTITUTE(SUBSTITUTE(TRIM(INDEX($A:$AP,ROW(),$F$6)),",",""),"원",""),0))))</f>
        <v/>
      </c>
      <c r="AU13" s="23">
        <f>IF($AS13="","",IF($G$6="",0,IF(ISNUMBER(INDEX($A:$AP,ROW(),$G$6)),INDEX($A:$AP,ROW(),$G$6),IFERROR(--SUBSTITUTE(SUBSTITUTE(TRIM(INDEX($A:$AP,ROW(),$G$6)),",",""),"원",""),0))))</f>
        <v/>
      </c>
      <c r="AV13" s="23">
        <f>IF($AS13="","",IF($H$6="",$AT13+$AU13,IF($H$6="",0,IF(ISNUMBER(INDEX($A:$AP,ROW(),$H$6)),INDEX($A:$AP,ROW(),$H$6),IFERROR(--SUBSTITUTE(SUBSTITUTE(TRIM(INDEX($A:$AP,ROW(),$H$6)),",",""),"원",""),0)))))</f>
        <v/>
      </c>
      <c r="AW13" s="2">
        <f>IF(OR($AS13="",$C$6=""),"",TRIM(INDEX($A:$AP,ROW(),$C$6)&amp;""))</f>
        <v/>
      </c>
      <c r="AX13" s="2">
        <f>IF($AS13="","",IF($AZ13&lt;&gt;"",SUBSTITUTE(SUBSTITUTE($AZ13,"-","")," ",""),$AY13))</f>
        <v/>
      </c>
      <c r="AY13" s="2">
        <f>IF(OR($AS13="",$E$6=""),"",TRIM(INDEX($A:$AP,ROW(),$E$6)&amp;""))</f>
        <v/>
      </c>
      <c r="AZ13" s="2">
        <f>IF(OR($AS13="",$D$6=""),"",TRIM(INDEX($A:$AP,ROW(),$D$6)&amp;""))</f>
        <v/>
      </c>
      <c r="BA13" s="2">
        <f>IF($AS13="","",IF(AND($AS13&gt;=설정!$B$10,$AS13&lt;=설정!$B$11),"포함","기간 밖"))</f>
        <v/>
      </c>
      <c r="BB13" s="2">
        <f>IF($AS13="","",IF(OR($AT13&lt;0,AND($I$6&lt;&gt;"",ISNUMBER(FIND("수정",INDEX($A:$AP,ROW(),IF($I$6="",1,$I$6))&amp;"")))),"수정","일반"))</f>
        <v/>
      </c>
      <c r="BC13" s="2">
        <f>IF($AS13="","",MID(IF($BA13="기간 밖"," / 기간 밖(신고기간 아님)","")&amp;IF(AND($AW13&lt;&gt;"",COUNTIF($AW$8:$AW$1007,$AW13)&gt;1)," / 승인번호 중복(두 번 붙여넣기?)","")&amp;IF(ABS($AU13-ROUND($AT13*0.1,0))&gt;설정!$B$8,IF($AU13=0," / 세액 0원(영세율·면세 여부 확인)"," / 세액이 공급가액 10%와 다름"),"")&amp;IF($BB13="수정"," / 수정세금계산서(합계에서 자동 가감)",""),4,200))</f>
        <v/>
      </c>
      <c r="BD13" s="2">
        <f>IF($BA13&lt;&gt;"포함","",IF(COUNTIFS($AX$8:$AX13,$AX13,$BA$8:$BA13,"포함")=1,MAX($BD$7:BD12)+1,""))</f>
        <v/>
      </c>
      <c r="BE13" s="2">
        <f>IF($BC13="","",MAX($BE$7:BE12)+1)</f>
        <v/>
      </c>
    </row>
    <row r="14">
      <c r="A14" s="21" t="inlineStr">
        <is>
          <t>2026-07-05</t>
        </is>
      </c>
      <c r="B14" s="21" t="inlineStr">
        <is>
          <t>20260705-41000101-21535642</t>
        </is>
      </c>
      <c r="C14" s="21" t="inlineStr">
        <is>
          <t>2026-07-05</t>
        </is>
      </c>
      <c r="D14" s="21" t="inlineStr">
        <is>
          <t>2026-07-05</t>
        </is>
      </c>
      <c r="E14" s="21" t="inlineStr">
        <is>
          <t>999-81-20001</t>
        </is>
      </c>
      <c r="G14" s="21" t="inlineStr">
        <is>
          <t>한결소재(주)</t>
        </is>
      </c>
      <c r="H14" s="21" t="inlineStr">
        <is>
          <t>윤한결</t>
        </is>
      </c>
      <c r="I14" s="21" t="inlineStr">
        <is>
          <t>가상 주소</t>
        </is>
      </c>
      <c r="J14" s="21" t="inlineStr">
        <is>
          <t>999-81-00001</t>
        </is>
      </c>
      <c r="L14" s="21" t="inlineStr">
        <is>
          <t>(주)가온상사</t>
        </is>
      </c>
      <c r="M14" s="21" t="inlineStr">
        <is>
          <t>김가온</t>
        </is>
      </c>
      <c r="N14" s="21" t="inlineStr">
        <is>
          <t>가상 주소</t>
        </is>
      </c>
      <c r="O14" s="24" t="n">
        <v>7040000</v>
      </c>
      <c r="P14" s="24" t="n">
        <v>6400000</v>
      </c>
      <c r="Q14" s="24" t="n">
        <v>640000</v>
      </c>
      <c r="R14" s="21" t="inlineStr">
        <is>
          <t>세금계산서</t>
        </is>
      </c>
      <c r="S14" s="21" t="inlineStr">
        <is>
          <t>일반</t>
        </is>
      </c>
      <c r="T14" s="21" t="inlineStr">
        <is>
          <t>직접발급</t>
        </is>
      </c>
      <c r="V14" s="21" t="inlineStr">
        <is>
          <t>청구</t>
        </is>
      </c>
      <c r="Z14" s="21" t="inlineStr">
        <is>
          <t>2026-07-05</t>
        </is>
      </c>
      <c r="AA14" s="21" t="inlineStr">
        <is>
          <t>원재료·용역</t>
        </is>
      </c>
      <c r="AR14" s="2">
        <f>IF(OR($A$5="",$B$6="",ROW()&lt;$A$5),"",IF(INDEX($A:$AP,ROW(),$B$6)="","",INDEX($A:$AP,ROW(),$B$6)))</f>
        <v/>
      </c>
      <c r="AS14" s="22">
        <f>IF($AR14="","",IF(ISNUMBER($AR14),IF($AR14&gt;=10000000,IFERROR(DATE(INT($AR14/10000),MOD(INT($AR14/100),100),MOD($AR14,100)),""),INT($AR14)),IFERROR(DATE(--LEFT(LEFT(SUBSTITUTE(SUBSTITUTE(SUBSTITUTE(SUBSTITUTE(TRIM($AR14),"-",""),".",""),"/","")," ",""),8),4),--MID(LEFT(SUBSTITUTE(SUBSTITUTE(SUBSTITUTE(SUBSTITUTE(TRIM($AR14),"-",""),".",""),"/","")," ",""),8),5,2),--MID(LEFT(SUBSTITUTE(SUBSTITUTE(SUBSTITUTE(SUBSTITUTE(TRIM($AR14),"-",""),".",""),"/","")," ",""),8),7,2)),"")))</f>
        <v/>
      </c>
      <c r="AT14" s="23">
        <f>IF($AS14="","",IF($F$6="",0,IF(ISNUMBER(INDEX($A:$AP,ROW(),$F$6)),INDEX($A:$AP,ROW(),$F$6),IFERROR(--SUBSTITUTE(SUBSTITUTE(TRIM(INDEX($A:$AP,ROW(),$F$6)),",",""),"원",""),0))))</f>
        <v/>
      </c>
      <c r="AU14" s="23">
        <f>IF($AS14="","",IF($G$6="",0,IF(ISNUMBER(INDEX($A:$AP,ROW(),$G$6)),INDEX($A:$AP,ROW(),$G$6),IFERROR(--SUBSTITUTE(SUBSTITUTE(TRIM(INDEX($A:$AP,ROW(),$G$6)),",",""),"원",""),0))))</f>
        <v/>
      </c>
      <c r="AV14" s="23">
        <f>IF($AS14="","",IF($H$6="",$AT14+$AU14,IF($H$6="",0,IF(ISNUMBER(INDEX($A:$AP,ROW(),$H$6)),INDEX($A:$AP,ROW(),$H$6),IFERROR(--SUBSTITUTE(SUBSTITUTE(TRIM(INDEX($A:$AP,ROW(),$H$6)),",",""),"원",""),0)))))</f>
        <v/>
      </c>
      <c r="AW14" s="2">
        <f>IF(OR($AS14="",$C$6=""),"",TRIM(INDEX($A:$AP,ROW(),$C$6)&amp;""))</f>
        <v/>
      </c>
      <c r="AX14" s="2">
        <f>IF($AS14="","",IF($AZ14&lt;&gt;"",SUBSTITUTE(SUBSTITUTE($AZ14,"-","")," ",""),$AY14))</f>
        <v/>
      </c>
      <c r="AY14" s="2">
        <f>IF(OR($AS14="",$E$6=""),"",TRIM(INDEX($A:$AP,ROW(),$E$6)&amp;""))</f>
        <v/>
      </c>
      <c r="AZ14" s="2">
        <f>IF(OR($AS14="",$D$6=""),"",TRIM(INDEX($A:$AP,ROW(),$D$6)&amp;""))</f>
        <v/>
      </c>
      <c r="BA14" s="2">
        <f>IF($AS14="","",IF(AND($AS14&gt;=설정!$B$10,$AS14&lt;=설정!$B$11),"포함","기간 밖"))</f>
        <v/>
      </c>
      <c r="BB14" s="2">
        <f>IF($AS14="","",IF(OR($AT14&lt;0,AND($I$6&lt;&gt;"",ISNUMBER(FIND("수정",INDEX($A:$AP,ROW(),IF($I$6="",1,$I$6))&amp;"")))),"수정","일반"))</f>
        <v/>
      </c>
      <c r="BC14" s="2">
        <f>IF($AS14="","",MID(IF($BA14="기간 밖"," / 기간 밖(신고기간 아님)","")&amp;IF(AND($AW14&lt;&gt;"",COUNTIF($AW$8:$AW$1007,$AW14)&gt;1)," / 승인번호 중복(두 번 붙여넣기?)","")&amp;IF(ABS($AU14-ROUND($AT14*0.1,0))&gt;설정!$B$8,IF($AU14=0," / 세액 0원(영세율·면세 여부 확인)"," / 세액이 공급가액 10%와 다름"),"")&amp;IF($BB14="수정"," / 수정세금계산서(합계에서 자동 가감)",""),4,200))</f>
        <v/>
      </c>
      <c r="BD14" s="2">
        <f>IF($BA14&lt;&gt;"포함","",IF(COUNTIFS($AX$8:$AX14,$AX14,$BA$8:$BA14,"포함")=1,MAX($BD$7:BD13)+1,""))</f>
        <v/>
      </c>
      <c r="BE14" s="2">
        <f>IF($BC14="","",MAX($BE$7:BE13)+1)</f>
        <v/>
      </c>
    </row>
    <row r="15">
      <c r="A15" s="21" t="inlineStr">
        <is>
          <t>2026-07-31</t>
        </is>
      </c>
      <c r="B15" s="21" t="inlineStr">
        <is>
          <t>20260731-41000102-68202938</t>
        </is>
      </c>
      <c r="C15" s="21" t="inlineStr">
        <is>
          <t>2026-07-31</t>
        </is>
      </c>
      <c r="D15" s="21" t="inlineStr">
        <is>
          <t>2026-07-31</t>
        </is>
      </c>
      <c r="E15" s="21" t="inlineStr">
        <is>
          <t>999-85-20002</t>
        </is>
      </c>
      <c r="G15" s="21" t="inlineStr">
        <is>
          <t>새봄물류</t>
        </is>
      </c>
      <c r="H15" s="21" t="inlineStr">
        <is>
          <t>오새봄</t>
        </is>
      </c>
      <c r="I15" s="21" t="inlineStr">
        <is>
          <t>가상 주소</t>
        </is>
      </c>
      <c r="J15" s="21" t="inlineStr">
        <is>
          <t>999-81-00001</t>
        </is>
      </c>
      <c r="L15" s="21" t="inlineStr">
        <is>
          <t>(주)가온상사</t>
        </is>
      </c>
      <c r="M15" s="21" t="inlineStr">
        <is>
          <t>김가온</t>
        </is>
      </c>
      <c r="N15" s="21" t="inlineStr">
        <is>
          <t>가상 주소</t>
        </is>
      </c>
      <c r="O15" s="24" t="n">
        <v>968000</v>
      </c>
      <c r="P15" s="24" t="n">
        <v>880000</v>
      </c>
      <c r="Q15" s="24" t="n">
        <v>88000</v>
      </c>
      <c r="R15" s="21" t="inlineStr">
        <is>
          <t>세금계산서</t>
        </is>
      </c>
      <c r="S15" s="21" t="inlineStr">
        <is>
          <t>일반</t>
        </is>
      </c>
      <c r="T15" s="21" t="inlineStr">
        <is>
          <t>직접발급</t>
        </is>
      </c>
      <c r="V15" s="21" t="inlineStr">
        <is>
          <t>청구</t>
        </is>
      </c>
      <c r="Z15" s="21" t="inlineStr">
        <is>
          <t>2026-07-31</t>
        </is>
      </c>
      <c r="AA15" s="21" t="inlineStr">
        <is>
          <t>원재료·용역</t>
        </is>
      </c>
      <c r="AR15" s="2">
        <f>IF(OR($A$5="",$B$6="",ROW()&lt;$A$5),"",IF(INDEX($A:$AP,ROW(),$B$6)="","",INDEX($A:$AP,ROW(),$B$6)))</f>
        <v/>
      </c>
      <c r="AS15" s="22">
        <f>IF($AR15="","",IF(ISNUMBER($AR15),IF($AR15&gt;=10000000,IFERROR(DATE(INT($AR15/10000),MOD(INT($AR15/100),100),MOD($AR15,100)),""),INT($AR15)),IFERROR(DATE(--LEFT(LEFT(SUBSTITUTE(SUBSTITUTE(SUBSTITUTE(SUBSTITUTE(TRIM($AR15),"-",""),".",""),"/","")," ",""),8),4),--MID(LEFT(SUBSTITUTE(SUBSTITUTE(SUBSTITUTE(SUBSTITUTE(TRIM($AR15),"-",""),".",""),"/","")," ",""),8),5,2),--MID(LEFT(SUBSTITUTE(SUBSTITUTE(SUBSTITUTE(SUBSTITUTE(TRIM($AR15),"-",""),".",""),"/","")," ",""),8),7,2)),"")))</f>
        <v/>
      </c>
      <c r="AT15" s="23">
        <f>IF($AS15="","",IF($F$6="",0,IF(ISNUMBER(INDEX($A:$AP,ROW(),$F$6)),INDEX($A:$AP,ROW(),$F$6),IFERROR(--SUBSTITUTE(SUBSTITUTE(TRIM(INDEX($A:$AP,ROW(),$F$6)),",",""),"원",""),0))))</f>
        <v/>
      </c>
      <c r="AU15" s="23">
        <f>IF($AS15="","",IF($G$6="",0,IF(ISNUMBER(INDEX($A:$AP,ROW(),$G$6)),INDEX($A:$AP,ROW(),$G$6),IFERROR(--SUBSTITUTE(SUBSTITUTE(TRIM(INDEX($A:$AP,ROW(),$G$6)),",",""),"원",""),0))))</f>
        <v/>
      </c>
      <c r="AV15" s="23">
        <f>IF($AS15="","",IF($H$6="",$AT15+$AU15,IF($H$6="",0,IF(ISNUMBER(INDEX($A:$AP,ROW(),$H$6)),INDEX($A:$AP,ROW(),$H$6),IFERROR(--SUBSTITUTE(SUBSTITUTE(TRIM(INDEX($A:$AP,ROW(),$H$6)),",",""),"원",""),0)))))</f>
        <v/>
      </c>
      <c r="AW15" s="2">
        <f>IF(OR($AS15="",$C$6=""),"",TRIM(INDEX($A:$AP,ROW(),$C$6)&amp;""))</f>
        <v/>
      </c>
      <c r="AX15" s="2">
        <f>IF($AS15="","",IF($AZ15&lt;&gt;"",SUBSTITUTE(SUBSTITUTE($AZ15,"-","")," ",""),$AY15))</f>
        <v/>
      </c>
      <c r="AY15" s="2">
        <f>IF(OR($AS15="",$E$6=""),"",TRIM(INDEX($A:$AP,ROW(),$E$6)&amp;""))</f>
        <v/>
      </c>
      <c r="AZ15" s="2">
        <f>IF(OR($AS15="",$D$6=""),"",TRIM(INDEX($A:$AP,ROW(),$D$6)&amp;""))</f>
        <v/>
      </c>
      <c r="BA15" s="2">
        <f>IF($AS15="","",IF(AND($AS15&gt;=설정!$B$10,$AS15&lt;=설정!$B$11),"포함","기간 밖"))</f>
        <v/>
      </c>
      <c r="BB15" s="2">
        <f>IF($AS15="","",IF(OR($AT15&lt;0,AND($I$6&lt;&gt;"",ISNUMBER(FIND("수정",INDEX($A:$AP,ROW(),IF($I$6="",1,$I$6))&amp;"")))),"수정","일반"))</f>
        <v/>
      </c>
      <c r="BC15" s="2">
        <f>IF($AS15="","",MID(IF($BA15="기간 밖"," / 기간 밖(신고기간 아님)","")&amp;IF(AND($AW15&lt;&gt;"",COUNTIF($AW$8:$AW$1007,$AW15)&gt;1)," / 승인번호 중복(두 번 붙여넣기?)","")&amp;IF(ABS($AU15-ROUND($AT15*0.1,0))&gt;설정!$B$8,IF($AU15=0," / 세액 0원(영세율·면세 여부 확인)"," / 세액이 공급가액 10%와 다름"),"")&amp;IF($BB15="수정"," / 수정세금계산서(합계에서 자동 가감)",""),4,200))</f>
        <v/>
      </c>
      <c r="BD15" s="2">
        <f>IF($BA15&lt;&gt;"포함","",IF(COUNTIFS($AX$8:$AX15,$AX15,$BA$8:$BA15,"포함")=1,MAX($BD$7:BD14)+1,""))</f>
        <v/>
      </c>
      <c r="BE15" s="2">
        <f>IF($BC15="","",MAX($BE$7:BE14)+1)</f>
        <v/>
      </c>
    </row>
    <row r="16">
      <c r="A16" s="21" t="inlineStr">
        <is>
          <t>2026-07-31</t>
        </is>
      </c>
      <c r="B16" s="21" t="inlineStr">
        <is>
          <t>20260731-41000103-66126116</t>
        </is>
      </c>
      <c r="C16" s="21" t="inlineStr">
        <is>
          <t>2026-07-31</t>
        </is>
      </c>
      <c r="D16" s="21" t="inlineStr">
        <is>
          <t>2026-07-31</t>
        </is>
      </c>
      <c r="E16" s="21" t="inlineStr">
        <is>
          <t>999-86-20003</t>
        </is>
      </c>
      <c r="G16" s="21" t="inlineStr">
        <is>
          <t>온빛인쇄</t>
        </is>
      </c>
      <c r="H16" s="21" t="inlineStr">
        <is>
          <t>서온빛</t>
        </is>
      </c>
      <c r="I16" s="21" t="inlineStr">
        <is>
          <t>가상 주소</t>
        </is>
      </c>
      <c r="J16" s="21" t="inlineStr">
        <is>
          <t>999-81-00001</t>
        </is>
      </c>
      <c r="L16" s="21" t="inlineStr">
        <is>
          <t>(주)가온상사</t>
        </is>
      </c>
      <c r="M16" s="21" t="inlineStr">
        <is>
          <t>김가온</t>
        </is>
      </c>
      <c r="N16" s="21" t="inlineStr">
        <is>
          <t>가상 주소</t>
        </is>
      </c>
      <c r="O16" s="24" t="n">
        <v>379500</v>
      </c>
      <c r="P16" s="24" t="n">
        <v>345000</v>
      </c>
      <c r="Q16" s="24" t="n">
        <v>34500</v>
      </c>
      <c r="R16" s="21" t="inlineStr">
        <is>
          <t>세금계산서</t>
        </is>
      </c>
      <c r="S16" s="21" t="inlineStr">
        <is>
          <t>일반</t>
        </is>
      </c>
      <c r="T16" s="21" t="inlineStr">
        <is>
          <t>직접발급</t>
        </is>
      </c>
      <c r="V16" s="21" t="inlineStr">
        <is>
          <t>청구</t>
        </is>
      </c>
      <c r="Z16" s="21" t="inlineStr">
        <is>
          <t>2026-07-31</t>
        </is>
      </c>
      <c r="AA16" s="21" t="inlineStr">
        <is>
          <t>원재료·용역</t>
        </is>
      </c>
      <c r="AR16" s="2">
        <f>IF(OR($A$5="",$B$6="",ROW()&lt;$A$5),"",IF(INDEX($A:$AP,ROW(),$B$6)="","",INDEX($A:$AP,ROW(),$B$6)))</f>
        <v/>
      </c>
      <c r="AS16" s="22">
        <f>IF($AR16="","",IF(ISNUMBER($AR16),IF($AR16&gt;=10000000,IFERROR(DATE(INT($AR16/10000),MOD(INT($AR16/100),100),MOD($AR16,100)),""),INT($AR16)),IFERROR(DATE(--LEFT(LEFT(SUBSTITUTE(SUBSTITUTE(SUBSTITUTE(SUBSTITUTE(TRIM($AR16),"-",""),".",""),"/","")," ",""),8),4),--MID(LEFT(SUBSTITUTE(SUBSTITUTE(SUBSTITUTE(SUBSTITUTE(TRIM($AR16),"-",""),".",""),"/","")," ",""),8),5,2),--MID(LEFT(SUBSTITUTE(SUBSTITUTE(SUBSTITUTE(SUBSTITUTE(TRIM($AR16),"-",""),".",""),"/","")," ",""),8),7,2)),"")))</f>
        <v/>
      </c>
      <c r="AT16" s="23">
        <f>IF($AS16="","",IF($F$6="",0,IF(ISNUMBER(INDEX($A:$AP,ROW(),$F$6)),INDEX($A:$AP,ROW(),$F$6),IFERROR(--SUBSTITUTE(SUBSTITUTE(TRIM(INDEX($A:$AP,ROW(),$F$6)),",",""),"원",""),0))))</f>
        <v/>
      </c>
      <c r="AU16" s="23">
        <f>IF($AS16="","",IF($G$6="",0,IF(ISNUMBER(INDEX($A:$AP,ROW(),$G$6)),INDEX($A:$AP,ROW(),$G$6),IFERROR(--SUBSTITUTE(SUBSTITUTE(TRIM(INDEX($A:$AP,ROW(),$G$6)),",",""),"원",""),0))))</f>
        <v/>
      </c>
      <c r="AV16" s="23">
        <f>IF($AS16="","",IF($H$6="",$AT16+$AU16,IF($H$6="",0,IF(ISNUMBER(INDEX($A:$AP,ROW(),$H$6)),INDEX($A:$AP,ROW(),$H$6),IFERROR(--SUBSTITUTE(SUBSTITUTE(TRIM(INDEX($A:$AP,ROW(),$H$6)),",",""),"원",""),0)))))</f>
        <v/>
      </c>
      <c r="AW16" s="2">
        <f>IF(OR($AS16="",$C$6=""),"",TRIM(INDEX($A:$AP,ROW(),$C$6)&amp;""))</f>
        <v/>
      </c>
      <c r="AX16" s="2">
        <f>IF($AS16="","",IF($AZ16&lt;&gt;"",SUBSTITUTE(SUBSTITUTE($AZ16,"-","")," ",""),$AY16))</f>
        <v/>
      </c>
      <c r="AY16" s="2">
        <f>IF(OR($AS16="",$E$6=""),"",TRIM(INDEX($A:$AP,ROW(),$E$6)&amp;""))</f>
        <v/>
      </c>
      <c r="AZ16" s="2">
        <f>IF(OR($AS16="",$D$6=""),"",TRIM(INDEX($A:$AP,ROW(),$D$6)&amp;""))</f>
        <v/>
      </c>
      <c r="BA16" s="2">
        <f>IF($AS16="","",IF(AND($AS16&gt;=설정!$B$10,$AS16&lt;=설정!$B$11),"포함","기간 밖"))</f>
        <v/>
      </c>
      <c r="BB16" s="2">
        <f>IF($AS16="","",IF(OR($AT16&lt;0,AND($I$6&lt;&gt;"",ISNUMBER(FIND("수정",INDEX($A:$AP,ROW(),IF($I$6="",1,$I$6))&amp;"")))),"수정","일반"))</f>
        <v/>
      </c>
      <c r="BC16" s="2">
        <f>IF($AS16="","",MID(IF($BA16="기간 밖"," / 기간 밖(신고기간 아님)","")&amp;IF(AND($AW16&lt;&gt;"",COUNTIF($AW$8:$AW$1007,$AW16)&gt;1)," / 승인번호 중복(두 번 붙여넣기?)","")&amp;IF(ABS($AU16-ROUND($AT16*0.1,0))&gt;설정!$B$8,IF($AU16=0," / 세액 0원(영세율·면세 여부 확인)"," / 세액이 공급가액 10%와 다름"),"")&amp;IF($BB16="수정"," / 수정세금계산서(합계에서 자동 가감)",""),4,200))</f>
        <v/>
      </c>
      <c r="BD16" s="2">
        <f>IF($BA16&lt;&gt;"포함","",IF(COUNTIFS($AX$8:$AX16,$AX16,$BA$8:$BA16,"포함")=1,MAX($BD$7:BD15)+1,""))</f>
        <v/>
      </c>
      <c r="BE16" s="2">
        <f>IF($BC16="","",MAX($BE$7:BE15)+1)</f>
        <v/>
      </c>
    </row>
    <row r="17">
      <c r="A17" s="21" t="inlineStr">
        <is>
          <t>2026-08-03</t>
        </is>
      </c>
      <c r="B17" s="21" t="inlineStr">
        <is>
          <t>20260803-41000104-19375836</t>
        </is>
      </c>
      <c r="C17" s="21" t="inlineStr">
        <is>
          <t>2026-08-03</t>
        </is>
      </c>
      <c r="D17" s="21" t="inlineStr">
        <is>
          <t>2026-08-03</t>
        </is>
      </c>
      <c r="E17" s="21" t="inlineStr">
        <is>
          <t>999-81-20001</t>
        </is>
      </c>
      <c r="G17" s="21" t="inlineStr">
        <is>
          <t>한결소재(주)</t>
        </is>
      </c>
      <c r="H17" s="21" t="inlineStr">
        <is>
          <t>윤한결</t>
        </is>
      </c>
      <c r="I17" s="21" t="inlineStr">
        <is>
          <t>가상 주소</t>
        </is>
      </c>
      <c r="J17" s="21" t="inlineStr">
        <is>
          <t>999-81-00001</t>
        </is>
      </c>
      <c r="L17" s="21" t="inlineStr">
        <is>
          <t>(주)가온상사</t>
        </is>
      </c>
      <c r="M17" s="21" t="inlineStr">
        <is>
          <t>김가온</t>
        </is>
      </c>
      <c r="N17" s="21" t="inlineStr">
        <is>
          <t>가상 주소</t>
        </is>
      </c>
      <c r="O17" s="24" t="n">
        <v>6490000</v>
      </c>
      <c r="P17" s="24" t="n">
        <v>5900000</v>
      </c>
      <c r="Q17" s="24" t="n">
        <v>590000</v>
      </c>
      <c r="R17" s="21" t="inlineStr">
        <is>
          <t>세금계산서</t>
        </is>
      </c>
      <c r="S17" s="21" t="inlineStr">
        <is>
          <t>일반</t>
        </is>
      </c>
      <c r="T17" s="21" t="inlineStr">
        <is>
          <t>직접발급</t>
        </is>
      </c>
      <c r="V17" s="21" t="inlineStr">
        <is>
          <t>청구</t>
        </is>
      </c>
      <c r="Z17" s="21" t="inlineStr">
        <is>
          <t>2026-08-03</t>
        </is>
      </c>
      <c r="AA17" s="21" t="inlineStr">
        <is>
          <t>원재료·용역</t>
        </is>
      </c>
      <c r="AR17" s="2">
        <f>IF(OR($A$5="",$B$6="",ROW()&lt;$A$5),"",IF(INDEX($A:$AP,ROW(),$B$6)="","",INDEX($A:$AP,ROW(),$B$6)))</f>
        <v/>
      </c>
      <c r="AS17" s="22">
        <f>IF($AR17="","",IF(ISNUMBER($AR17),IF($AR17&gt;=10000000,IFERROR(DATE(INT($AR17/10000),MOD(INT($AR17/100),100),MOD($AR17,100)),""),INT($AR17)),IFERROR(DATE(--LEFT(LEFT(SUBSTITUTE(SUBSTITUTE(SUBSTITUTE(SUBSTITUTE(TRIM($AR17),"-",""),".",""),"/","")," ",""),8),4),--MID(LEFT(SUBSTITUTE(SUBSTITUTE(SUBSTITUTE(SUBSTITUTE(TRIM($AR17),"-",""),".",""),"/","")," ",""),8),5,2),--MID(LEFT(SUBSTITUTE(SUBSTITUTE(SUBSTITUTE(SUBSTITUTE(TRIM($AR17),"-",""),".",""),"/","")," ",""),8),7,2)),"")))</f>
        <v/>
      </c>
      <c r="AT17" s="23">
        <f>IF($AS17="","",IF($F$6="",0,IF(ISNUMBER(INDEX($A:$AP,ROW(),$F$6)),INDEX($A:$AP,ROW(),$F$6),IFERROR(--SUBSTITUTE(SUBSTITUTE(TRIM(INDEX($A:$AP,ROW(),$F$6)),",",""),"원",""),0))))</f>
        <v/>
      </c>
      <c r="AU17" s="23">
        <f>IF($AS17="","",IF($G$6="",0,IF(ISNUMBER(INDEX($A:$AP,ROW(),$G$6)),INDEX($A:$AP,ROW(),$G$6),IFERROR(--SUBSTITUTE(SUBSTITUTE(TRIM(INDEX($A:$AP,ROW(),$G$6)),",",""),"원",""),0))))</f>
        <v/>
      </c>
      <c r="AV17" s="23">
        <f>IF($AS17="","",IF($H$6="",$AT17+$AU17,IF($H$6="",0,IF(ISNUMBER(INDEX($A:$AP,ROW(),$H$6)),INDEX($A:$AP,ROW(),$H$6),IFERROR(--SUBSTITUTE(SUBSTITUTE(TRIM(INDEX($A:$AP,ROW(),$H$6)),",",""),"원",""),0)))))</f>
        <v/>
      </c>
      <c r="AW17" s="2">
        <f>IF(OR($AS17="",$C$6=""),"",TRIM(INDEX($A:$AP,ROW(),$C$6)&amp;""))</f>
        <v/>
      </c>
      <c r="AX17" s="2">
        <f>IF($AS17="","",IF($AZ17&lt;&gt;"",SUBSTITUTE(SUBSTITUTE($AZ17,"-","")," ",""),$AY17))</f>
        <v/>
      </c>
      <c r="AY17" s="2">
        <f>IF(OR($AS17="",$E$6=""),"",TRIM(INDEX($A:$AP,ROW(),$E$6)&amp;""))</f>
        <v/>
      </c>
      <c r="AZ17" s="2">
        <f>IF(OR($AS17="",$D$6=""),"",TRIM(INDEX($A:$AP,ROW(),$D$6)&amp;""))</f>
        <v/>
      </c>
      <c r="BA17" s="2">
        <f>IF($AS17="","",IF(AND($AS17&gt;=설정!$B$10,$AS17&lt;=설정!$B$11),"포함","기간 밖"))</f>
        <v/>
      </c>
      <c r="BB17" s="2">
        <f>IF($AS17="","",IF(OR($AT17&lt;0,AND($I$6&lt;&gt;"",ISNUMBER(FIND("수정",INDEX($A:$AP,ROW(),IF($I$6="",1,$I$6))&amp;"")))),"수정","일반"))</f>
        <v/>
      </c>
      <c r="BC17" s="2">
        <f>IF($AS17="","",MID(IF($BA17="기간 밖"," / 기간 밖(신고기간 아님)","")&amp;IF(AND($AW17&lt;&gt;"",COUNTIF($AW$8:$AW$1007,$AW17)&gt;1)," / 승인번호 중복(두 번 붙여넣기?)","")&amp;IF(ABS($AU17-ROUND($AT17*0.1,0))&gt;설정!$B$8,IF($AU17=0," / 세액 0원(영세율·면세 여부 확인)"," / 세액이 공급가액 10%와 다름"),"")&amp;IF($BB17="수정"," / 수정세금계산서(합계에서 자동 가감)",""),4,200))</f>
        <v/>
      </c>
      <c r="BD17" s="2">
        <f>IF($BA17&lt;&gt;"포함","",IF(COUNTIFS($AX$8:$AX17,$AX17,$BA$8:$BA17,"포함")=1,MAX($BD$7:BD16)+1,""))</f>
        <v/>
      </c>
      <c r="BE17" s="2">
        <f>IF($BC17="","",MAX($BE$7:BE16)+1)</f>
        <v/>
      </c>
    </row>
    <row r="18">
      <c r="A18" s="21" t="inlineStr">
        <is>
          <t>2026-08-17</t>
        </is>
      </c>
      <c r="B18" s="21" t="inlineStr">
        <is>
          <t>20260817-41000105-42301241</t>
        </is>
      </c>
      <c r="C18" s="21" t="inlineStr">
        <is>
          <t>2026-08-17</t>
        </is>
      </c>
      <c r="D18" s="21" t="inlineStr">
        <is>
          <t>2026-08-17</t>
        </is>
      </c>
      <c r="E18" s="21" t="inlineStr">
        <is>
          <t>999-81-20004</t>
        </is>
      </c>
      <c r="G18" s="21" t="inlineStr">
        <is>
          <t>(주)미르전자</t>
        </is>
      </c>
      <c r="H18" s="21" t="inlineStr">
        <is>
          <t>강미르</t>
        </is>
      </c>
      <c r="I18" s="21" t="inlineStr">
        <is>
          <t>가상 주소</t>
        </is>
      </c>
      <c r="J18" s="21" t="inlineStr">
        <is>
          <t>999-81-00001</t>
        </is>
      </c>
      <c r="L18" s="21" t="inlineStr">
        <is>
          <t>(주)가온상사</t>
        </is>
      </c>
      <c r="M18" s="21" t="inlineStr">
        <is>
          <t>김가온</t>
        </is>
      </c>
      <c r="N18" s="21" t="inlineStr">
        <is>
          <t>가상 주소</t>
        </is>
      </c>
      <c r="O18" s="24" t="n">
        <v>3025000</v>
      </c>
      <c r="P18" s="24" t="n">
        <v>2750000</v>
      </c>
      <c r="Q18" s="24" t="n">
        <v>275000</v>
      </c>
      <c r="R18" s="21" t="inlineStr">
        <is>
          <t>세금계산서</t>
        </is>
      </c>
      <c r="S18" s="21" t="inlineStr">
        <is>
          <t>일반</t>
        </is>
      </c>
      <c r="T18" s="21" t="inlineStr">
        <is>
          <t>직접발급</t>
        </is>
      </c>
      <c r="V18" s="21" t="inlineStr">
        <is>
          <t>청구</t>
        </is>
      </c>
      <c r="Z18" s="21" t="inlineStr">
        <is>
          <t>2026-08-17</t>
        </is>
      </c>
      <c r="AA18" s="21" t="inlineStr">
        <is>
          <t>원재료·용역</t>
        </is>
      </c>
      <c r="AR18" s="2">
        <f>IF(OR($A$5="",$B$6="",ROW()&lt;$A$5),"",IF(INDEX($A:$AP,ROW(),$B$6)="","",INDEX($A:$AP,ROW(),$B$6)))</f>
        <v/>
      </c>
      <c r="AS18" s="22">
        <f>IF($AR18="","",IF(ISNUMBER($AR18),IF($AR18&gt;=10000000,IFERROR(DATE(INT($AR18/10000),MOD(INT($AR18/100),100),MOD($AR18,100)),""),INT($AR18)),IFERROR(DATE(--LEFT(LEFT(SUBSTITUTE(SUBSTITUTE(SUBSTITUTE(SUBSTITUTE(TRIM($AR18),"-",""),".",""),"/","")," ",""),8),4),--MID(LEFT(SUBSTITUTE(SUBSTITUTE(SUBSTITUTE(SUBSTITUTE(TRIM($AR18),"-",""),".",""),"/","")," ",""),8),5,2),--MID(LEFT(SUBSTITUTE(SUBSTITUTE(SUBSTITUTE(SUBSTITUTE(TRIM($AR18),"-",""),".",""),"/","")," ",""),8),7,2)),"")))</f>
        <v/>
      </c>
      <c r="AT18" s="23">
        <f>IF($AS18="","",IF($F$6="",0,IF(ISNUMBER(INDEX($A:$AP,ROW(),$F$6)),INDEX($A:$AP,ROW(),$F$6),IFERROR(--SUBSTITUTE(SUBSTITUTE(TRIM(INDEX($A:$AP,ROW(),$F$6)),",",""),"원",""),0))))</f>
        <v/>
      </c>
      <c r="AU18" s="23">
        <f>IF($AS18="","",IF($G$6="",0,IF(ISNUMBER(INDEX($A:$AP,ROW(),$G$6)),INDEX($A:$AP,ROW(),$G$6),IFERROR(--SUBSTITUTE(SUBSTITUTE(TRIM(INDEX($A:$AP,ROW(),$G$6)),",",""),"원",""),0))))</f>
        <v/>
      </c>
      <c r="AV18" s="23">
        <f>IF($AS18="","",IF($H$6="",$AT18+$AU18,IF($H$6="",0,IF(ISNUMBER(INDEX($A:$AP,ROW(),$H$6)),INDEX($A:$AP,ROW(),$H$6),IFERROR(--SUBSTITUTE(SUBSTITUTE(TRIM(INDEX($A:$AP,ROW(),$H$6)),",",""),"원",""),0)))))</f>
        <v/>
      </c>
      <c r="AW18" s="2">
        <f>IF(OR($AS18="",$C$6=""),"",TRIM(INDEX($A:$AP,ROW(),$C$6)&amp;""))</f>
        <v/>
      </c>
      <c r="AX18" s="2">
        <f>IF($AS18="","",IF($AZ18&lt;&gt;"",SUBSTITUTE(SUBSTITUTE($AZ18,"-","")," ",""),$AY18))</f>
        <v/>
      </c>
      <c r="AY18" s="2">
        <f>IF(OR($AS18="",$E$6=""),"",TRIM(INDEX($A:$AP,ROW(),$E$6)&amp;""))</f>
        <v/>
      </c>
      <c r="AZ18" s="2">
        <f>IF(OR($AS18="",$D$6=""),"",TRIM(INDEX($A:$AP,ROW(),$D$6)&amp;""))</f>
        <v/>
      </c>
      <c r="BA18" s="2">
        <f>IF($AS18="","",IF(AND($AS18&gt;=설정!$B$10,$AS18&lt;=설정!$B$11),"포함","기간 밖"))</f>
        <v/>
      </c>
      <c r="BB18" s="2">
        <f>IF($AS18="","",IF(OR($AT18&lt;0,AND($I$6&lt;&gt;"",ISNUMBER(FIND("수정",INDEX($A:$AP,ROW(),IF($I$6="",1,$I$6))&amp;"")))),"수정","일반"))</f>
        <v/>
      </c>
      <c r="BC18" s="2">
        <f>IF($AS18="","",MID(IF($BA18="기간 밖"," / 기간 밖(신고기간 아님)","")&amp;IF(AND($AW18&lt;&gt;"",COUNTIF($AW$8:$AW$1007,$AW18)&gt;1)," / 승인번호 중복(두 번 붙여넣기?)","")&amp;IF(ABS($AU18-ROUND($AT18*0.1,0))&gt;설정!$B$8,IF($AU18=0," / 세액 0원(영세율·면세 여부 확인)"," / 세액이 공급가액 10%와 다름"),"")&amp;IF($BB18="수정"," / 수정세금계산서(합계에서 자동 가감)",""),4,200))</f>
        <v/>
      </c>
      <c r="BD18" s="2">
        <f>IF($BA18&lt;&gt;"포함","",IF(COUNTIFS($AX$8:$AX18,$AX18,$BA$8:$BA18,"포함")=1,MAX($BD$7:BD17)+1,""))</f>
        <v/>
      </c>
      <c r="BE18" s="2">
        <f>IF($BC18="","",MAX($BE$7:BE17)+1)</f>
        <v/>
      </c>
    </row>
    <row r="19">
      <c r="A19" s="21" t="inlineStr">
        <is>
          <t>2026-08-31</t>
        </is>
      </c>
      <c r="B19" s="21" t="inlineStr">
        <is>
          <t>20260831-41000106-22175294</t>
        </is>
      </c>
      <c r="C19" s="21" t="inlineStr">
        <is>
          <t>2026-08-31</t>
        </is>
      </c>
      <c r="D19" s="21" t="inlineStr">
        <is>
          <t>2026-08-31</t>
        </is>
      </c>
      <c r="E19" s="21" t="inlineStr">
        <is>
          <t>999-85-20002</t>
        </is>
      </c>
      <c r="G19" s="21" t="inlineStr">
        <is>
          <t>새봄물류</t>
        </is>
      </c>
      <c r="H19" s="21" t="inlineStr">
        <is>
          <t>오새봄</t>
        </is>
      </c>
      <c r="I19" s="21" t="inlineStr">
        <is>
          <t>가상 주소</t>
        </is>
      </c>
      <c r="J19" s="21" t="inlineStr">
        <is>
          <t>999-81-00001</t>
        </is>
      </c>
      <c r="L19" s="21" t="inlineStr">
        <is>
          <t>(주)가온상사</t>
        </is>
      </c>
      <c r="M19" s="21" t="inlineStr">
        <is>
          <t>김가온</t>
        </is>
      </c>
      <c r="N19" s="21" t="inlineStr">
        <is>
          <t>가상 주소</t>
        </is>
      </c>
      <c r="O19" s="24" t="n">
        <v>1012000</v>
      </c>
      <c r="P19" s="24" t="n">
        <v>920000</v>
      </c>
      <c r="Q19" s="24" t="n">
        <v>92000</v>
      </c>
      <c r="R19" s="21" t="inlineStr">
        <is>
          <t>세금계산서</t>
        </is>
      </c>
      <c r="S19" s="21" t="inlineStr">
        <is>
          <t>일반</t>
        </is>
      </c>
      <c r="T19" s="21" t="inlineStr">
        <is>
          <t>직접발급</t>
        </is>
      </c>
      <c r="V19" s="21" t="inlineStr">
        <is>
          <t>청구</t>
        </is>
      </c>
      <c r="Z19" s="21" t="inlineStr">
        <is>
          <t>2026-08-31</t>
        </is>
      </c>
      <c r="AA19" s="21" t="inlineStr">
        <is>
          <t>원재료·용역</t>
        </is>
      </c>
      <c r="AR19" s="2">
        <f>IF(OR($A$5="",$B$6="",ROW()&lt;$A$5),"",IF(INDEX($A:$AP,ROW(),$B$6)="","",INDEX($A:$AP,ROW(),$B$6)))</f>
        <v/>
      </c>
      <c r="AS19" s="22">
        <f>IF($AR19="","",IF(ISNUMBER($AR19),IF($AR19&gt;=10000000,IFERROR(DATE(INT($AR19/10000),MOD(INT($AR19/100),100),MOD($AR19,100)),""),INT($AR19)),IFERROR(DATE(--LEFT(LEFT(SUBSTITUTE(SUBSTITUTE(SUBSTITUTE(SUBSTITUTE(TRIM($AR19),"-",""),".",""),"/","")," ",""),8),4),--MID(LEFT(SUBSTITUTE(SUBSTITUTE(SUBSTITUTE(SUBSTITUTE(TRIM($AR19),"-",""),".",""),"/","")," ",""),8),5,2),--MID(LEFT(SUBSTITUTE(SUBSTITUTE(SUBSTITUTE(SUBSTITUTE(TRIM($AR19),"-",""),".",""),"/","")," ",""),8),7,2)),"")))</f>
        <v/>
      </c>
      <c r="AT19" s="23">
        <f>IF($AS19="","",IF($F$6="",0,IF(ISNUMBER(INDEX($A:$AP,ROW(),$F$6)),INDEX($A:$AP,ROW(),$F$6),IFERROR(--SUBSTITUTE(SUBSTITUTE(TRIM(INDEX($A:$AP,ROW(),$F$6)),",",""),"원",""),0))))</f>
        <v/>
      </c>
      <c r="AU19" s="23">
        <f>IF($AS19="","",IF($G$6="",0,IF(ISNUMBER(INDEX($A:$AP,ROW(),$G$6)),INDEX($A:$AP,ROW(),$G$6),IFERROR(--SUBSTITUTE(SUBSTITUTE(TRIM(INDEX($A:$AP,ROW(),$G$6)),",",""),"원",""),0))))</f>
        <v/>
      </c>
      <c r="AV19" s="23">
        <f>IF($AS19="","",IF($H$6="",$AT19+$AU19,IF($H$6="",0,IF(ISNUMBER(INDEX($A:$AP,ROW(),$H$6)),INDEX($A:$AP,ROW(),$H$6),IFERROR(--SUBSTITUTE(SUBSTITUTE(TRIM(INDEX($A:$AP,ROW(),$H$6)),",",""),"원",""),0)))))</f>
        <v/>
      </c>
      <c r="AW19" s="2">
        <f>IF(OR($AS19="",$C$6=""),"",TRIM(INDEX($A:$AP,ROW(),$C$6)&amp;""))</f>
        <v/>
      </c>
      <c r="AX19" s="2">
        <f>IF($AS19="","",IF($AZ19&lt;&gt;"",SUBSTITUTE(SUBSTITUTE($AZ19,"-","")," ",""),$AY19))</f>
        <v/>
      </c>
      <c r="AY19" s="2">
        <f>IF(OR($AS19="",$E$6=""),"",TRIM(INDEX($A:$AP,ROW(),$E$6)&amp;""))</f>
        <v/>
      </c>
      <c r="AZ19" s="2">
        <f>IF(OR($AS19="",$D$6=""),"",TRIM(INDEX($A:$AP,ROW(),$D$6)&amp;""))</f>
        <v/>
      </c>
      <c r="BA19" s="2">
        <f>IF($AS19="","",IF(AND($AS19&gt;=설정!$B$10,$AS19&lt;=설정!$B$11),"포함","기간 밖"))</f>
        <v/>
      </c>
      <c r="BB19" s="2">
        <f>IF($AS19="","",IF(OR($AT19&lt;0,AND($I$6&lt;&gt;"",ISNUMBER(FIND("수정",INDEX($A:$AP,ROW(),IF($I$6="",1,$I$6))&amp;"")))),"수정","일반"))</f>
        <v/>
      </c>
      <c r="BC19" s="2">
        <f>IF($AS19="","",MID(IF($BA19="기간 밖"," / 기간 밖(신고기간 아님)","")&amp;IF(AND($AW19&lt;&gt;"",COUNTIF($AW$8:$AW$1007,$AW19)&gt;1)," / 승인번호 중복(두 번 붙여넣기?)","")&amp;IF(ABS($AU19-ROUND($AT19*0.1,0))&gt;설정!$B$8,IF($AU19=0," / 세액 0원(영세율·면세 여부 확인)"," / 세액이 공급가액 10%와 다름"),"")&amp;IF($BB19="수정"," / 수정세금계산서(합계에서 자동 가감)",""),4,200))</f>
        <v/>
      </c>
      <c r="BD19" s="2">
        <f>IF($BA19&lt;&gt;"포함","",IF(COUNTIFS($AX$8:$AX19,$AX19,$BA$8:$BA19,"포함")=1,MAX($BD$7:BD18)+1,""))</f>
        <v/>
      </c>
      <c r="BE19" s="2">
        <f>IF($BC19="","",MAX($BE$7:BE18)+1)</f>
        <v/>
      </c>
    </row>
    <row r="20">
      <c r="A20" s="21" t="inlineStr">
        <is>
          <t>2026-09-02</t>
        </is>
      </c>
      <c r="B20" s="21" t="inlineStr">
        <is>
          <t>20260902-41000107-83960310</t>
        </is>
      </c>
      <c r="C20" s="21" t="inlineStr">
        <is>
          <t>2026-09-02</t>
        </is>
      </c>
      <c r="D20" s="21" t="inlineStr">
        <is>
          <t>2026-09-02</t>
        </is>
      </c>
      <c r="E20" s="21" t="inlineStr">
        <is>
          <t>999-81-20001</t>
        </is>
      </c>
      <c r="G20" s="21" t="inlineStr">
        <is>
          <t>한결소재(주)</t>
        </is>
      </c>
      <c r="H20" s="21" t="inlineStr">
        <is>
          <t>윤한결</t>
        </is>
      </c>
      <c r="I20" s="21" t="inlineStr">
        <is>
          <t>가상 주소</t>
        </is>
      </c>
      <c r="J20" s="21" t="inlineStr">
        <is>
          <t>999-81-00001</t>
        </is>
      </c>
      <c r="L20" s="21" t="inlineStr">
        <is>
          <t>(주)가온상사</t>
        </is>
      </c>
      <c r="M20" s="21" t="inlineStr">
        <is>
          <t>김가온</t>
        </is>
      </c>
      <c r="N20" s="21" t="inlineStr">
        <is>
          <t>가상 주소</t>
        </is>
      </c>
      <c r="O20" s="24" t="n">
        <v>6765000</v>
      </c>
      <c r="P20" s="24" t="n">
        <v>6150000</v>
      </c>
      <c r="Q20" s="24" t="n">
        <v>615000</v>
      </c>
      <c r="R20" s="21" t="inlineStr">
        <is>
          <t>세금계산서</t>
        </is>
      </c>
      <c r="S20" s="21" t="inlineStr">
        <is>
          <t>일반</t>
        </is>
      </c>
      <c r="T20" s="21" t="inlineStr">
        <is>
          <t>직접발급</t>
        </is>
      </c>
      <c r="V20" s="21" t="inlineStr">
        <is>
          <t>청구</t>
        </is>
      </c>
      <c r="Z20" s="21" t="inlineStr">
        <is>
          <t>2026-09-02</t>
        </is>
      </c>
      <c r="AA20" s="21" t="inlineStr">
        <is>
          <t>원재료·용역</t>
        </is>
      </c>
      <c r="AR20" s="2">
        <f>IF(OR($A$5="",$B$6="",ROW()&lt;$A$5),"",IF(INDEX($A:$AP,ROW(),$B$6)="","",INDEX($A:$AP,ROW(),$B$6)))</f>
        <v/>
      </c>
      <c r="AS20" s="22">
        <f>IF($AR20="","",IF(ISNUMBER($AR20),IF($AR20&gt;=10000000,IFERROR(DATE(INT($AR20/10000),MOD(INT($AR20/100),100),MOD($AR20,100)),""),INT($AR20)),IFERROR(DATE(--LEFT(LEFT(SUBSTITUTE(SUBSTITUTE(SUBSTITUTE(SUBSTITUTE(TRIM($AR20),"-",""),".",""),"/","")," ",""),8),4),--MID(LEFT(SUBSTITUTE(SUBSTITUTE(SUBSTITUTE(SUBSTITUTE(TRIM($AR20),"-",""),".",""),"/","")," ",""),8),5,2),--MID(LEFT(SUBSTITUTE(SUBSTITUTE(SUBSTITUTE(SUBSTITUTE(TRIM($AR20),"-",""),".",""),"/","")," ",""),8),7,2)),"")))</f>
        <v/>
      </c>
      <c r="AT20" s="23">
        <f>IF($AS20="","",IF($F$6="",0,IF(ISNUMBER(INDEX($A:$AP,ROW(),$F$6)),INDEX($A:$AP,ROW(),$F$6),IFERROR(--SUBSTITUTE(SUBSTITUTE(TRIM(INDEX($A:$AP,ROW(),$F$6)),",",""),"원",""),0))))</f>
        <v/>
      </c>
      <c r="AU20" s="23">
        <f>IF($AS20="","",IF($G$6="",0,IF(ISNUMBER(INDEX($A:$AP,ROW(),$G$6)),INDEX($A:$AP,ROW(),$G$6),IFERROR(--SUBSTITUTE(SUBSTITUTE(TRIM(INDEX($A:$AP,ROW(),$G$6)),",",""),"원",""),0))))</f>
        <v/>
      </c>
      <c r="AV20" s="23">
        <f>IF($AS20="","",IF($H$6="",$AT20+$AU20,IF($H$6="",0,IF(ISNUMBER(INDEX($A:$AP,ROW(),$H$6)),INDEX($A:$AP,ROW(),$H$6),IFERROR(--SUBSTITUTE(SUBSTITUTE(TRIM(INDEX($A:$AP,ROW(),$H$6)),",",""),"원",""),0)))))</f>
        <v/>
      </c>
      <c r="AW20" s="2">
        <f>IF(OR($AS20="",$C$6=""),"",TRIM(INDEX($A:$AP,ROW(),$C$6)&amp;""))</f>
        <v/>
      </c>
      <c r="AX20" s="2">
        <f>IF($AS20="","",IF($AZ20&lt;&gt;"",SUBSTITUTE(SUBSTITUTE($AZ20,"-","")," ",""),$AY20))</f>
        <v/>
      </c>
      <c r="AY20" s="2">
        <f>IF(OR($AS20="",$E$6=""),"",TRIM(INDEX($A:$AP,ROW(),$E$6)&amp;""))</f>
        <v/>
      </c>
      <c r="AZ20" s="2">
        <f>IF(OR($AS20="",$D$6=""),"",TRIM(INDEX($A:$AP,ROW(),$D$6)&amp;""))</f>
        <v/>
      </c>
      <c r="BA20" s="2">
        <f>IF($AS20="","",IF(AND($AS20&gt;=설정!$B$10,$AS20&lt;=설정!$B$11),"포함","기간 밖"))</f>
        <v/>
      </c>
      <c r="BB20" s="2">
        <f>IF($AS20="","",IF(OR($AT20&lt;0,AND($I$6&lt;&gt;"",ISNUMBER(FIND("수정",INDEX($A:$AP,ROW(),IF($I$6="",1,$I$6))&amp;"")))),"수정","일반"))</f>
        <v/>
      </c>
      <c r="BC20" s="2">
        <f>IF($AS20="","",MID(IF($BA20="기간 밖"," / 기간 밖(신고기간 아님)","")&amp;IF(AND($AW20&lt;&gt;"",COUNTIF($AW$8:$AW$1007,$AW20)&gt;1)," / 승인번호 중복(두 번 붙여넣기?)","")&amp;IF(ABS($AU20-ROUND($AT20*0.1,0))&gt;설정!$B$8,IF($AU20=0," / 세액 0원(영세율·면세 여부 확인)"," / 세액이 공급가액 10%와 다름"),"")&amp;IF($BB20="수정"," / 수정세금계산서(합계에서 자동 가감)",""),4,200))</f>
        <v/>
      </c>
      <c r="BD20" s="2">
        <f>IF($BA20&lt;&gt;"포함","",IF(COUNTIFS($AX$8:$AX20,$AX20,$BA$8:$BA20,"포함")=1,MAX($BD$7:BD19)+1,""))</f>
        <v/>
      </c>
      <c r="BE20" s="2">
        <f>IF($BC20="","",MAX($BE$7:BE19)+1)</f>
        <v/>
      </c>
    </row>
    <row r="21">
      <c r="A21" s="21" t="inlineStr">
        <is>
          <t>2026-09-15</t>
        </is>
      </c>
      <c r="B21" s="21" t="inlineStr">
        <is>
          <t>20260915-41000108-66978001</t>
        </is>
      </c>
      <c r="C21" s="21" t="inlineStr">
        <is>
          <t>2026-09-15</t>
        </is>
      </c>
      <c r="D21" s="21" t="inlineStr">
        <is>
          <t>2026-09-15</t>
        </is>
      </c>
      <c r="E21" s="21" t="inlineStr">
        <is>
          <t>999-81-20005</t>
        </is>
      </c>
      <c r="G21" s="21" t="inlineStr">
        <is>
          <t>(주)바른기계</t>
        </is>
      </c>
      <c r="H21" s="21" t="inlineStr">
        <is>
          <t>임바른</t>
        </is>
      </c>
      <c r="I21" s="21" t="inlineStr">
        <is>
          <t>가상 주소</t>
        </is>
      </c>
      <c r="J21" s="21" t="inlineStr">
        <is>
          <t>999-81-00001</t>
        </is>
      </c>
      <c r="L21" s="21" t="inlineStr">
        <is>
          <t>(주)가온상사</t>
        </is>
      </c>
      <c r="M21" s="21" t="inlineStr">
        <is>
          <t>김가온</t>
        </is>
      </c>
      <c r="N21" s="21" t="inlineStr">
        <is>
          <t>가상 주소</t>
        </is>
      </c>
      <c r="O21" s="24" t="n">
        <v>19800000</v>
      </c>
      <c r="P21" s="24" t="n">
        <v>18000000</v>
      </c>
      <c r="Q21" s="24" t="n">
        <v>1800000</v>
      </c>
      <c r="R21" s="21" t="inlineStr">
        <is>
          <t>세금계산서</t>
        </is>
      </c>
      <c r="S21" s="21" t="inlineStr">
        <is>
          <t>일반</t>
        </is>
      </c>
      <c r="T21" s="21" t="inlineStr">
        <is>
          <t>직접발급</t>
        </is>
      </c>
      <c r="V21" s="21" t="inlineStr">
        <is>
          <t>청구</t>
        </is>
      </c>
      <c r="Z21" s="21" t="inlineStr">
        <is>
          <t>2026-09-15</t>
        </is>
      </c>
      <c r="AA21" s="21" t="inlineStr">
        <is>
          <t>원재료·용역</t>
        </is>
      </c>
      <c r="AR21" s="2">
        <f>IF(OR($A$5="",$B$6="",ROW()&lt;$A$5),"",IF(INDEX($A:$AP,ROW(),$B$6)="","",INDEX($A:$AP,ROW(),$B$6)))</f>
        <v/>
      </c>
      <c r="AS21" s="22">
        <f>IF($AR21="","",IF(ISNUMBER($AR21),IF($AR21&gt;=10000000,IFERROR(DATE(INT($AR21/10000),MOD(INT($AR21/100),100),MOD($AR21,100)),""),INT($AR21)),IFERROR(DATE(--LEFT(LEFT(SUBSTITUTE(SUBSTITUTE(SUBSTITUTE(SUBSTITUTE(TRIM($AR21),"-",""),".",""),"/","")," ",""),8),4),--MID(LEFT(SUBSTITUTE(SUBSTITUTE(SUBSTITUTE(SUBSTITUTE(TRIM($AR21),"-",""),".",""),"/","")," ",""),8),5,2),--MID(LEFT(SUBSTITUTE(SUBSTITUTE(SUBSTITUTE(SUBSTITUTE(TRIM($AR21),"-",""),".",""),"/","")," ",""),8),7,2)),"")))</f>
        <v/>
      </c>
      <c r="AT21" s="23">
        <f>IF($AS21="","",IF($F$6="",0,IF(ISNUMBER(INDEX($A:$AP,ROW(),$F$6)),INDEX($A:$AP,ROW(),$F$6),IFERROR(--SUBSTITUTE(SUBSTITUTE(TRIM(INDEX($A:$AP,ROW(),$F$6)),",",""),"원",""),0))))</f>
        <v/>
      </c>
      <c r="AU21" s="23">
        <f>IF($AS21="","",IF($G$6="",0,IF(ISNUMBER(INDEX($A:$AP,ROW(),$G$6)),INDEX($A:$AP,ROW(),$G$6),IFERROR(--SUBSTITUTE(SUBSTITUTE(TRIM(INDEX($A:$AP,ROW(),$G$6)),",",""),"원",""),0))))</f>
        <v/>
      </c>
      <c r="AV21" s="23">
        <f>IF($AS21="","",IF($H$6="",$AT21+$AU21,IF($H$6="",0,IF(ISNUMBER(INDEX($A:$AP,ROW(),$H$6)),INDEX($A:$AP,ROW(),$H$6),IFERROR(--SUBSTITUTE(SUBSTITUTE(TRIM(INDEX($A:$AP,ROW(),$H$6)),",",""),"원",""),0)))))</f>
        <v/>
      </c>
      <c r="AW21" s="2">
        <f>IF(OR($AS21="",$C$6=""),"",TRIM(INDEX($A:$AP,ROW(),$C$6)&amp;""))</f>
        <v/>
      </c>
      <c r="AX21" s="2">
        <f>IF($AS21="","",IF($AZ21&lt;&gt;"",SUBSTITUTE(SUBSTITUTE($AZ21,"-","")," ",""),$AY21))</f>
        <v/>
      </c>
      <c r="AY21" s="2">
        <f>IF(OR($AS21="",$E$6=""),"",TRIM(INDEX($A:$AP,ROW(),$E$6)&amp;""))</f>
        <v/>
      </c>
      <c r="AZ21" s="2">
        <f>IF(OR($AS21="",$D$6=""),"",TRIM(INDEX($A:$AP,ROW(),$D$6)&amp;""))</f>
        <v/>
      </c>
      <c r="BA21" s="2">
        <f>IF($AS21="","",IF(AND($AS21&gt;=설정!$B$10,$AS21&lt;=설정!$B$11),"포함","기간 밖"))</f>
        <v/>
      </c>
      <c r="BB21" s="2">
        <f>IF($AS21="","",IF(OR($AT21&lt;0,AND($I$6&lt;&gt;"",ISNUMBER(FIND("수정",INDEX($A:$AP,ROW(),IF($I$6="",1,$I$6))&amp;"")))),"수정","일반"))</f>
        <v/>
      </c>
      <c r="BC21" s="2">
        <f>IF($AS21="","",MID(IF($BA21="기간 밖"," / 기간 밖(신고기간 아님)","")&amp;IF(AND($AW21&lt;&gt;"",COUNTIF($AW$8:$AW$1007,$AW21)&gt;1)," / 승인번호 중복(두 번 붙여넣기?)","")&amp;IF(ABS($AU21-ROUND($AT21*0.1,0))&gt;설정!$B$8,IF($AU21=0," / 세액 0원(영세율·면세 여부 확인)"," / 세액이 공급가액 10%와 다름"),"")&amp;IF($BB21="수정"," / 수정세금계산서(합계에서 자동 가감)",""),4,200))</f>
        <v/>
      </c>
      <c r="BD21" s="2">
        <f>IF($BA21&lt;&gt;"포함","",IF(COUNTIFS($AX$8:$AX21,$AX21,$BA$8:$BA21,"포함")=1,MAX($BD$7:BD20)+1,""))</f>
        <v/>
      </c>
      <c r="BE21" s="2">
        <f>IF($BC21="","",MAX($BE$7:BE20)+1)</f>
        <v/>
      </c>
    </row>
    <row r="22">
      <c r="A22" s="21" t="inlineStr">
        <is>
          <t>2026-09-30</t>
        </is>
      </c>
      <c r="B22" s="21" t="inlineStr">
        <is>
          <t>20260930-41000109-17933677</t>
        </is>
      </c>
      <c r="C22" s="21" t="inlineStr">
        <is>
          <t>2026-09-30</t>
        </is>
      </c>
      <c r="D22" s="21" t="inlineStr">
        <is>
          <t>2026-09-30</t>
        </is>
      </c>
      <c r="E22" s="21" t="inlineStr">
        <is>
          <t>999-85-20002</t>
        </is>
      </c>
      <c r="G22" s="21" t="inlineStr">
        <is>
          <t>새봄물류</t>
        </is>
      </c>
      <c r="H22" s="21" t="inlineStr">
        <is>
          <t>오새봄</t>
        </is>
      </c>
      <c r="I22" s="21" t="inlineStr">
        <is>
          <t>가상 주소</t>
        </is>
      </c>
      <c r="J22" s="21" t="inlineStr">
        <is>
          <t>999-81-00001</t>
        </is>
      </c>
      <c r="L22" s="21" t="inlineStr">
        <is>
          <t>(주)가온상사</t>
        </is>
      </c>
      <c r="M22" s="21" t="inlineStr">
        <is>
          <t>김가온</t>
        </is>
      </c>
      <c r="N22" s="21" t="inlineStr">
        <is>
          <t>가상 주소</t>
        </is>
      </c>
      <c r="O22" s="24" t="n">
        <v>1001000</v>
      </c>
      <c r="P22" s="24" t="n">
        <v>910000</v>
      </c>
      <c r="Q22" s="24" t="n">
        <v>91000</v>
      </c>
      <c r="R22" s="21" t="inlineStr">
        <is>
          <t>세금계산서</t>
        </is>
      </c>
      <c r="S22" s="21" t="inlineStr">
        <is>
          <t>일반</t>
        </is>
      </c>
      <c r="T22" s="21" t="inlineStr">
        <is>
          <t>직접발급</t>
        </is>
      </c>
      <c r="V22" s="21" t="inlineStr">
        <is>
          <t>청구</t>
        </is>
      </c>
      <c r="Z22" s="21" t="inlineStr">
        <is>
          <t>2026-09-30</t>
        </is>
      </c>
      <c r="AA22" s="21" t="inlineStr">
        <is>
          <t>원재료·용역</t>
        </is>
      </c>
      <c r="AR22" s="2">
        <f>IF(OR($A$5="",$B$6="",ROW()&lt;$A$5),"",IF(INDEX($A:$AP,ROW(),$B$6)="","",INDEX($A:$AP,ROW(),$B$6)))</f>
        <v/>
      </c>
      <c r="AS22" s="22">
        <f>IF($AR22="","",IF(ISNUMBER($AR22),IF($AR22&gt;=10000000,IFERROR(DATE(INT($AR22/10000),MOD(INT($AR22/100),100),MOD($AR22,100)),""),INT($AR22)),IFERROR(DATE(--LEFT(LEFT(SUBSTITUTE(SUBSTITUTE(SUBSTITUTE(SUBSTITUTE(TRIM($AR22),"-",""),".",""),"/","")," ",""),8),4),--MID(LEFT(SUBSTITUTE(SUBSTITUTE(SUBSTITUTE(SUBSTITUTE(TRIM($AR22),"-",""),".",""),"/","")," ",""),8),5,2),--MID(LEFT(SUBSTITUTE(SUBSTITUTE(SUBSTITUTE(SUBSTITUTE(TRIM($AR22),"-",""),".",""),"/","")," ",""),8),7,2)),"")))</f>
        <v/>
      </c>
      <c r="AT22" s="23">
        <f>IF($AS22="","",IF($F$6="",0,IF(ISNUMBER(INDEX($A:$AP,ROW(),$F$6)),INDEX($A:$AP,ROW(),$F$6),IFERROR(--SUBSTITUTE(SUBSTITUTE(TRIM(INDEX($A:$AP,ROW(),$F$6)),",",""),"원",""),0))))</f>
        <v/>
      </c>
      <c r="AU22" s="23">
        <f>IF($AS22="","",IF($G$6="",0,IF(ISNUMBER(INDEX($A:$AP,ROW(),$G$6)),INDEX($A:$AP,ROW(),$G$6),IFERROR(--SUBSTITUTE(SUBSTITUTE(TRIM(INDEX($A:$AP,ROW(),$G$6)),",",""),"원",""),0))))</f>
        <v/>
      </c>
      <c r="AV22" s="23">
        <f>IF($AS22="","",IF($H$6="",$AT22+$AU22,IF($H$6="",0,IF(ISNUMBER(INDEX($A:$AP,ROW(),$H$6)),INDEX($A:$AP,ROW(),$H$6),IFERROR(--SUBSTITUTE(SUBSTITUTE(TRIM(INDEX($A:$AP,ROW(),$H$6)),",",""),"원",""),0)))))</f>
        <v/>
      </c>
      <c r="AW22" s="2">
        <f>IF(OR($AS22="",$C$6=""),"",TRIM(INDEX($A:$AP,ROW(),$C$6)&amp;""))</f>
        <v/>
      </c>
      <c r="AX22" s="2">
        <f>IF($AS22="","",IF($AZ22&lt;&gt;"",SUBSTITUTE(SUBSTITUTE($AZ22,"-","")," ",""),$AY22))</f>
        <v/>
      </c>
      <c r="AY22" s="2">
        <f>IF(OR($AS22="",$E$6=""),"",TRIM(INDEX($A:$AP,ROW(),$E$6)&amp;""))</f>
        <v/>
      </c>
      <c r="AZ22" s="2">
        <f>IF(OR($AS22="",$D$6=""),"",TRIM(INDEX($A:$AP,ROW(),$D$6)&amp;""))</f>
        <v/>
      </c>
      <c r="BA22" s="2">
        <f>IF($AS22="","",IF(AND($AS22&gt;=설정!$B$10,$AS22&lt;=설정!$B$11),"포함","기간 밖"))</f>
        <v/>
      </c>
      <c r="BB22" s="2">
        <f>IF($AS22="","",IF(OR($AT22&lt;0,AND($I$6&lt;&gt;"",ISNUMBER(FIND("수정",INDEX($A:$AP,ROW(),IF($I$6="",1,$I$6))&amp;"")))),"수정","일반"))</f>
        <v/>
      </c>
      <c r="BC22" s="2">
        <f>IF($AS22="","",MID(IF($BA22="기간 밖"," / 기간 밖(신고기간 아님)","")&amp;IF(AND($AW22&lt;&gt;"",COUNTIF($AW$8:$AW$1007,$AW22)&gt;1)," / 승인번호 중복(두 번 붙여넣기?)","")&amp;IF(ABS($AU22-ROUND($AT22*0.1,0))&gt;설정!$B$8,IF($AU22=0," / 세액 0원(영세율·면세 여부 확인)"," / 세액이 공급가액 10%와 다름"),"")&amp;IF($BB22="수정"," / 수정세금계산서(합계에서 자동 가감)",""),4,200))</f>
        <v/>
      </c>
      <c r="BD22" s="2">
        <f>IF($BA22&lt;&gt;"포함","",IF(COUNTIFS($AX$8:$AX22,$AX22,$BA$8:$BA22,"포함")=1,MAX($BD$7:BD21)+1,""))</f>
        <v/>
      </c>
      <c r="BE22" s="2">
        <f>IF($BC22="","",MAX($BE$7:BE21)+1)</f>
        <v/>
      </c>
    </row>
    <row r="23">
      <c r="A23" s="21" t="inlineStr">
        <is>
          <t>2026-09-30</t>
        </is>
      </c>
      <c r="B23" s="21" t="inlineStr">
        <is>
          <t>20260930-41000110-85893910</t>
        </is>
      </c>
      <c r="C23" s="21" t="inlineStr">
        <is>
          <t>2026-09-30</t>
        </is>
      </c>
      <c r="D23" s="21" t="inlineStr">
        <is>
          <t>2026-09-30</t>
        </is>
      </c>
      <c r="E23" s="21" t="inlineStr">
        <is>
          <t>999-86-20003</t>
        </is>
      </c>
      <c r="G23" s="21" t="inlineStr">
        <is>
          <t>온빛인쇄</t>
        </is>
      </c>
      <c r="H23" s="21" t="inlineStr">
        <is>
          <t>서온빛</t>
        </is>
      </c>
      <c r="I23" s="21" t="inlineStr">
        <is>
          <t>가상 주소</t>
        </is>
      </c>
      <c r="J23" s="21" t="inlineStr">
        <is>
          <t>999-81-00001</t>
        </is>
      </c>
      <c r="L23" s="21" t="inlineStr">
        <is>
          <t>(주)가온상사</t>
        </is>
      </c>
      <c r="M23" s="21" t="inlineStr">
        <is>
          <t>김가온</t>
        </is>
      </c>
      <c r="N23" s="21" t="inlineStr">
        <is>
          <t>가상 주소</t>
        </is>
      </c>
      <c r="O23" s="24" t="n">
        <v>453250</v>
      </c>
      <c r="P23" s="24" t="n">
        <v>412000</v>
      </c>
      <c r="Q23" s="24" t="n">
        <v>41250</v>
      </c>
      <c r="R23" s="21" t="inlineStr">
        <is>
          <t>세금계산서</t>
        </is>
      </c>
      <c r="S23" s="21" t="inlineStr">
        <is>
          <t>일반</t>
        </is>
      </c>
      <c r="T23" s="21" t="inlineStr">
        <is>
          <t>직접발급</t>
        </is>
      </c>
      <c r="V23" s="21" t="inlineStr">
        <is>
          <t>청구</t>
        </is>
      </c>
      <c r="Z23" s="21" t="inlineStr">
        <is>
          <t>2026-09-30</t>
        </is>
      </c>
      <c r="AA23" s="21" t="inlineStr">
        <is>
          <t>원재료·용역</t>
        </is>
      </c>
      <c r="AR23" s="2">
        <f>IF(OR($A$5="",$B$6="",ROW()&lt;$A$5),"",IF(INDEX($A:$AP,ROW(),$B$6)="","",INDEX($A:$AP,ROW(),$B$6)))</f>
        <v/>
      </c>
      <c r="AS23" s="22">
        <f>IF($AR23="","",IF(ISNUMBER($AR23),IF($AR23&gt;=10000000,IFERROR(DATE(INT($AR23/10000),MOD(INT($AR23/100),100),MOD($AR23,100)),""),INT($AR23)),IFERROR(DATE(--LEFT(LEFT(SUBSTITUTE(SUBSTITUTE(SUBSTITUTE(SUBSTITUTE(TRIM($AR23),"-",""),".",""),"/","")," ",""),8),4),--MID(LEFT(SUBSTITUTE(SUBSTITUTE(SUBSTITUTE(SUBSTITUTE(TRIM($AR23),"-",""),".",""),"/","")," ",""),8),5,2),--MID(LEFT(SUBSTITUTE(SUBSTITUTE(SUBSTITUTE(SUBSTITUTE(TRIM($AR23),"-",""),".",""),"/","")," ",""),8),7,2)),"")))</f>
        <v/>
      </c>
      <c r="AT23" s="23">
        <f>IF($AS23="","",IF($F$6="",0,IF(ISNUMBER(INDEX($A:$AP,ROW(),$F$6)),INDEX($A:$AP,ROW(),$F$6),IFERROR(--SUBSTITUTE(SUBSTITUTE(TRIM(INDEX($A:$AP,ROW(),$F$6)),",",""),"원",""),0))))</f>
        <v/>
      </c>
      <c r="AU23" s="23">
        <f>IF($AS23="","",IF($G$6="",0,IF(ISNUMBER(INDEX($A:$AP,ROW(),$G$6)),INDEX($A:$AP,ROW(),$G$6),IFERROR(--SUBSTITUTE(SUBSTITUTE(TRIM(INDEX($A:$AP,ROW(),$G$6)),",",""),"원",""),0))))</f>
        <v/>
      </c>
      <c r="AV23" s="23">
        <f>IF($AS23="","",IF($H$6="",$AT23+$AU23,IF($H$6="",0,IF(ISNUMBER(INDEX($A:$AP,ROW(),$H$6)),INDEX($A:$AP,ROW(),$H$6),IFERROR(--SUBSTITUTE(SUBSTITUTE(TRIM(INDEX($A:$AP,ROW(),$H$6)),",",""),"원",""),0)))))</f>
        <v/>
      </c>
      <c r="AW23" s="2">
        <f>IF(OR($AS23="",$C$6=""),"",TRIM(INDEX($A:$AP,ROW(),$C$6)&amp;""))</f>
        <v/>
      </c>
      <c r="AX23" s="2">
        <f>IF($AS23="","",IF($AZ23&lt;&gt;"",SUBSTITUTE(SUBSTITUTE($AZ23,"-","")," ",""),$AY23))</f>
        <v/>
      </c>
      <c r="AY23" s="2">
        <f>IF(OR($AS23="",$E$6=""),"",TRIM(INDEX($A:$AP,ROW(),$E$6)&amp;""))</f>
        <v/>
      </c>
      <c r="AZ23" s="2">
        <f>IF(OR($AS23="",$D$6=""),"",TRIM(INDEX($A:$AP,ROW(),$D$6)&amp;""))</f>
        <v/>
      </c>
      <c r="BA23" s="2">
        <f>IF($AS23="","",IF(AND($AS23&gt;=설정!$B$10,$AS23&lt;=설정!$B$11),"포함","기간 밖"))</f>
        <v/>
      </c>
      <c r="BB23" s="2">
        <f>IF($AS23="","",IF(OR($AT23&lt;0,AND($I$6&lt;&gt;"",ISNUMBER(FIND("수정",INDEX($A:$AP,ROW(),IF($I$6="",1,$I$6))&amp;"")))),"수정","일반"))</f>
        <v/>
      </c>
      <c r="BC23" s="2">
        <f>IF($AS23="","",MID(IF($BA23="기간 밖"," / 기간 밖(신고기간 아님)","")&amp;IF(AND($AW23&lt;&gt;"",COUNTIF($AW$8:$AW$1007,$AW23)&gt;1)," / 승인번호 중복(두 번 붙여넣기?)","")&amp;IF(ABS($AU23-ROUND($AT23*0.1,0))&gt;설정!$B$8,IF($AU23=0," / 세액 0원(영세율·면세 여부 확인)"," / 세액이 공급가액 10%와 다름"),"")&amp;IF($BB23="수정"," / 수정세금계산서(합계에서 자동 가감)",""),4,200))</f>
        <v/>
      </c>
      <c r="BD23" s="2">
        <f>IF($BA23&lt;&gt;"포함","",IF(COUNTIFS($AX$8:$AX23,$AX23,$BA$8:$BA23,"포함")=1,MAX($BD$7:BD22)+1,""))</f>
        <v/>
      </c>
      <c r="BE23" s="2">
        <f>IF($BC23="","",MAX($BE$7:BE22)+1)</f>
        <v/>
      </c>
    </row>
    <row r="24">
      <c r="A24" s="21" t="inlineStr">
        <is>
          <t>2026-07-31</t>
        </is>
      </c>
      <c r="B24" s="21" t="inlineStr">
        <is>
          <t>20260731-41000103-66126116</t>
        </is>
      </c>
      <c r="C24" s="21" t="inlineStr">
        <is>
          <t>2026-07-31</t>
        </is>
      </c>
      <c r="D24" s="21" t="inlineStr">
        <is>
          <t>2026-07-31</t>
        </is>
      </c>
      <c r="E24" s="21" t="inlineStr">
        <is>
          <t>999-86-20003</t>
        </is>
      </c>
      <c r="G24" s="21" t="inlineStr">
        <is>
          <t>온빛인쇄</t>
        </is>
      </c>
      <c r="H24" s="21" t="inlineStr">
        <is>
          <t>서온빛</t>
        </is>
      </c>
      <c r="I24" s="21" t="inlineStr">
        <is>
          <t>가상 주소</t>
        </is>
      </c>
      <c r="J24" s="21" t="inlineStr">
        <is>
          <t>999-81-00001</t>
        </is>
      </c>
      <c r="L24" s="21" t="inlineStr">
        <is>
          <t>(주)가온상사</t>
        </is>
      </c>
      <c r="M24" s="21" t="inlineStr">
        <is>
          <t>김가온</t>
        </is>
      </c>
      <c r="N24" s="21" t="inlineStr">
        <is>
          <t>가상 주소</t>
        </is>
      </c>
      <c r="O24" s="24" t="n">
        <v>379500</v>
      </c>
      <c r="P24" s="24" t="n">
        <v>345000</v>
      </c>
      <c r="Q24" s="24" t="n">
        <v>34500</v>
      </c>
      <c r="R24" s="21" t="inlineStr">
        <is>
          <t>세금계산서</t>
        </is>
      </c>
      <c r="S24" s="21" t="inlineStr">
        <is>
          <t>일반</t>
        </is>
      </c>
      <c r="T24" s="21" t="inlineStr">
        <is>
          <t>직접발급</t>
        </is>
      </c>
      <c r="V24" s="21" t="inlineStr">
        <is>
          <t>청구</t>
        </is>
      </c>
      <c r="Z24" s="21" t="inlineStr">
        <is>
          <t>2026-07-31</t>
        </is>
      </c>
      <c r="AA24" s="21" t="inlineStr">
        <is>
          <t>원재료·용역</t>
        </is>
      </c>
      <c r="AR24" s="2">
        <f>IF(OR($A$5="",$B$6="",ROW()&lt;$A$5),"",IF(INDEX($A:$AP,ROW(),$B$6)="","",INDEX($A:$AP,ROW(),$B$6)))</f>
        <v/>
      </c>
      <c r="AS24" s="22">
        <f>IF($AR24="","",IF(ISNUMBER($AR24),IF($AR24&gt;=10000000,IFERROR(DATE(INT($AR24/10000),MOD(INT($AR24/100),100),MOD($AR24,100)),""),INT($AR24)),IFERROR(DATE(--LEFT(LEFT(SUBSTITUTE(SUBSTITUTE(SUBSTITUTE(SUBSTITUTE(TRIM($AR24),"-",""),".",""),"/","")," ",""),8),4),--MID(LEFT(SUBSTITUTE(SUBSTITUTE(SUBSTITUTE(SUBSTITUTE(TRIM($AR24),"-",""),".",""),"/","")," ",""),8),5,2),--MID(LEFT(SUBSTITUTE(SUBSTITUTE(SUBSTITUTE(SUBSTITUTE(TRIM($AR24),"-",""),".",""),"/","")," ",""),8),7,2)),"")))</f>
        <v/>
      </c>
      <c r="AT24" s="23">
        <f>IF($AS24="","",IF($F$6="",0,IF(ISNUMBER(INDEX($A:$AP,ROW(),$F$6)),INDEX($A:$AP,ROW(),$F$6),IFERROR(--SUBSTITUTE(SUBSTITUTE(TRIM(INDEX($A:$AP,ROW(),$F$6)),",",""),"원",""),0))))</f>
        <v/>
      </c>
      <c r="AU24" s="23">
        <f>IF($AS24="","",IF($G$6="",0,IF(ISNUMBER(INDEX($A:$AP,ROW(),$G$6)),INDEX($A:$AP,ROW(),$G$6),IFERROR(--SUBSTITUTE(SUBSTITUTE(TRIM(INDEX($A:$AP,ROW(),$G$6)),",",""),"원",""),0))))</f>
        <v/>
      </c>
      <c r="AV24" s="23">
        <f>IF($AS24="","",IF($H$6="",$AT24+$AU24,IF($H$6="",0,IF(ISNUMBER(INDEX($A:$AP,ROW(),$H$6)),INDEX($A:$AP,ROW(),$H$6),IFERROR(--SUBSTITUTE(SUBSTITUTE(TRIM(INDEX($A:$AP,ROW(),$H$6)),",",""),"원",""),0)))))</f>
        <v/>
      </c>
      <c r="AW24" s="2">
        <f>IF(OR($AS24="",$C$6=""),"",TRIM(INDEX($A:$AP,ROW(),$C$6)&amp;""))</f>
        <v/>
      </c>
      <c r="AX24" s="2">
        <f>IF($AS24="","",IF($AZ24&lt;&gt;"",SUBSTITUTE(SUBSTITUTE($AZ24,"-","")," ",""),$AY24))</f>
        <v/>
      </c>
      <c r="AY24" s="2">
        <f>IF(OR($AS24="",$E$6=""),"",TRIM(INDEX($A:$AP,ROW(),$E$6)&amp;""))</f>
        <v/>
      </c>
      <c r="AZ24" s="2">
        <f>IF(OR($AS24="",$D$6=""),"",TRIM(INDEX($A:$AP,ROW(),$D$6)&amp;""))</f>
        <v/>
      </c>
      <c r="BA24" s="2">
        <f>IF($AS24="","",IF(AND($AS24&gt;=설정!$B$10,$AS24&lt;=설정!$B$11),"포함","기간 밖"))</f>
        <v/>
      </c>
      <c r="BB24" s="2">
        <f>IF($AS24="","",IF(OR($AT24&lt;0,AND($I$6&lt;&gt;"",ISNUMBER(FIND("수정",INDEX($A:$AP,ROW(),IF($I$6="",1,$I$6))&amp;"")))),"수정","일반"))</f>
        <v/>
      </c>
      <c r="BC24" s="2">
        <f>IF($AS24="","",MID(IF($BA24="기간 밖"," / 기간 밖(신고기간 아님)","")&amp;IF(AND($AW24&lt;&gt;"",COUNTIF($AW$8:$AW$1007,$AW24)&gt;1)," / 승인번호 중복(두 번 붙여넣기?)","")&amp;IF(ABS($AU24-ROUND($AT24*0.1,0))&gt;설정!$B$8,IF($AU24=0," / 세액 0원(영세율·면세 여부 확인)"," / 세액이 공급가액 10%와 다름"),"")&amp;IF($BB24="수정"," / 수정세금계산서(합계에서 자동 가감)",""),4,200))</f>
        <v/>
      </c>
      <c r="BD24" s="2">
        <f>IF($BA24&lt;&gt;"포함","",IF(COUNTIFS($AX$8:$AX24,$AX24,$BA$8:$BA24,"포함")=1,MAX($BD$7:BD23)+1,""))</f>
        <v/>
      </c>
      <c r="BE24" s="2">
        <f>IF($BC24="","",MAX($BE$7:BE23)+1)</f>
        <v/>
      </c>
    </row>
    <row r="25">
      <c r="AR25" s="2">
        <f>IF(OR($A$5="",$B$6="",ROW()&lt;$A$5),"",IF(INDEX($A:$AP,ROW(),$B$6)="","",INDEX($A:$AP,ROW(),$B$6)))</f>
        <v/>
      </c>
      <c r="AS25" s="22">
        <f>IF($AR25="","",IF(ISNUMBER($AR25),IF($AR25&gt;=10000000,IFERROR(DATE(INT($AR25/10000),MOD(INT($AR25/100),100),MOD($AR25,100)),""),INT($AR25)),IFERROR(DATE(--LEFT(LEFT(SUBSTITUTE(SUBSTITUTE(SUBSTITUTE(SUBSTITUTE(TRIM($AR25),"-",""),".",""),"/","")," ",""),8),4),--MID(LEFT(SUBSTITUTE(SUBSTITUTE(SUBSTITUTE(SUBSTITUTE(TRIM($AR25),"-",""),".",""),"/","")," ",""),8),5,2),--MID(LEFT(SUBSTITUTE(SUBSTITUTE(SUBSTITUTE(SUBSTITUTE(TRIM($AR25),"-",""),".",""),"/","")," ",""),8),7,2)),"")))</f>
        <v/>
      </c>
      <c r="AT25" s="23">
        <f>IF($AS25="","",IF($F$6="",0,IF(ISNUMBER(INDEX($A:$AP,ROW(),$F$6)),INDEX($A:$AP,ROW(),$F$6),IFERROR(--SUBSTITUTE(SUBSTITUTE(TRIM(INDEX($A:$AP,ROW(),$F$6)),",",""),"원",""),0))))</f>
        <v/>
      </c>
      <c r="AU25" s="23">
        <f>IF($AS25="","",IF($G$6="",0,IF(ISNUMBER(INDEX($A:$AP,ROW(),$G$6)),INDEX($A:$AP,ROW(),$G$6),IFERROR(--SUBSTITUTE(SUBSTITUTE(TRIM(INDEX($A:$AP,ROW(),$G$6)),",",""),"원",""),0))))</f>
        <v/>
      </c>
      <c r="AV25" s="23">
        <f>IF($AS25="","",IF($H$6="",$AT25+$AU25,IF($H$6="",0,IF(ISNUMBER(INDEX($A:$AP,ROW(),$H$6)),INDEX($A:$AP,ROW(),$H$6),IFERROR(--SUBSTITUTE(SUBSTITUTE(TRIM(INDEX($A:$AP,ROW(),$H$6)),",",""),"원",""),0)))))</f>
        <v/>
      </c>
      <c r="AW25" s="2">
        <f>IF(OR($AS25="",$C$6=""),"",TRIM(INDEX($A:$AP,ROW(),$C$6)&amp;""))</f>
        <v/>
      </c>
      <c r="AX25" s="2">
        <f>IF($AS25="","",IF($AZ25&lt;&gt;"",SUBSTITUTE(SUBSTITUTE($AZ25,"-","")," ",""),$AY25))</f>
        <v/>
      </c>
      <c r="AY25" s="2">
        <f>IF(OR($AS25="",$E$6=""),"",TRIM(INDEX($A:$AP,ROW(),$E$6)&amp;""))</f>
        <v/>
      </c>
      <c r="AZ25" s="2">
        <f>IF(OR($AS25="",$D$6=""),"",TRIM(INDEX($A:$AP,ROW(),$D$6)&amp;""))</f>
        <v/>
      </c>
      <c r="BA25" s="2">
        <f>IF($AS25="","",IF(AND($AS25&gt;=설정!$B$10,$AS25&lt;=설정!$B$11),"포함","기간 밖"))</f>
        <v/>
      </c>
      <c r="BB25" s="2">
        <f>IF($AS25="","",IF(OR($AT25&lt;0,AND($I$6&lt;&gt;"",ISNUMBER(FIND("수정",INDEX($A:$AP,ROW(),IF($I$6="",1,$I$6))&amp;"")))),"수정","일반"))</f>
        <v/>
      </c>
      <c r="BC25" s="2">
        <f>IF($AS25="","",MID(IF($BA25="기간 밖"," / 기간 밖(신고기간 아님)","")&amp;IF(AND($AW25&lt;&gt;"",COUNTIF($AW$8:$AW$1007,$AW25)&gt;1)," / 승인번호 중복(두 번 붙여넣기?)","")&amp;IF(ABS($AU25-ROUND($AT25*0.1,0))&gt;설정!$B$8,IF($AU25=0," / 세액 0원(영세율·면세 여부 확인)"," / 세액이 공급가액 10%와 다름"),"")&amp;IF($BB25="수정"," / 수정세금계산서(합계에서 자동 가감)",""),4,200))</f>
        <v/>
      </c>
      <c r="BD25" s="2">
        <f>IF($BA25&lt;&gt;"포함","",IF(COUNTIFS($AX$8:$AX25,$AX25,$BA$8:$BA25,"포함")=1,MAX($BD$7:BD24)+1,""))</f>
        <v/>
      </c>
      <c r="BE25" s="2">
        <f>IF($BC25="","",MAX($BE$7:BE24)+1)</f>
        <v/>
      </c>
    </row>
    <row r="26">
      <c r="AR26" s="2">
        <f>IF(OR($A$5="",$B$6="",ROW()&lt;$A$5),"",IF(INDEX($A:$AP,ROW(),$B$6)="","",INDEX($A:$AP,ROW(),$B$6)))</f>
        <v/>
      </c>
      <c r="AS26" s="22">
        <f>IF($AR26="","",IF(ISNUMBER($AR26),IF($AR26&gt;=10000000,IFERROR(DATE(INT($AR26/10000),MOD(INT($AR26/100),100),MOD($AR26,100)),""),INT($AR26)),IFERROR(DATE(--LEFT(LEFT(SUBSTITUTE(SUBSTITUTE(SUBSTITUTE(SUBSTITUTE(TRIM($AR26),"-",""),".",""),"/","")," ",""),8),4),--MID(LEFT(SUBSTITUTE(SUBSTITUTE(SUBSTITUTE(SUBSTITUTE(TRIM($AR26),"-",""),".",""),"/","")," ",""),8),5,2),--MID(LEFT(SUBSTITUTE(SUBSTITUTE(SUBSTITUTE(SUBSTITUTE(TRIM($AR26),"-",""),".",""),"/","")," ",""),8),7,2)),"")))</f>
        <v/>
      </c>
      <c r="AT26" s="23">
        <f>IF($AS26="","",IF($F$6="",0,IF(ISNUMBER(INDEX($A:$AP,ROW(),$F$6)),INDEX($A:$AP,ROW(),$F$6),IFERROR(--SUBSTITUTE(SUBSTITUTE(TRIM(INDEX($A:$AP,ROW(),$F$6)),",",""),"원",""),0))))</f>
        <v/>
      </c>
      <c r="AU26" s="23">
        <f>IF($AS26="","",IF($G$6="",0,IF(ISNUMBER(INDEX($A:$AP,ROW(),$G$6)),INDEX($A:$AP,ROW(),$G$6),IFERROR(--SUBSTITUTE(SUBSTITUTE(TRIM(INDEX($A:$AP,ROW(),$G$6)),",",""),"원",""),0))))</f>
        <v/>
      </c>
      <c r="AV26" s="23">
        <f>IF($AS26="","",IF($H$6="",$AT26+$AU26,IF($H$6="",0,IF(ISNUMBER(INDEX($A:$AP,ROW(),$H$6)),INDEX($A:$AP,ROW(),$H$6),IFERROR(--SUBSTITUTE(SUBSTITUTE(TRIM(INDEX($A:$AP,ROW(),$H$6)),",",""),"원",""),0)))))</f>
        <v/>
      </c>
      <c r="AW26" s="2">
        <f>IF(OR($AS26="",$C$6=""),"",TRIM(INDEX($A:$AP,ROW(),$C$6)&amp;""))</f>
        <v/>
      </c>
      <c r="AX26" s="2">
        <f>IF($AS26="","",IF($AZ26&lt;&gt;"",SUBSTITUTE(SUBSTITUTE($AZ26,"-","")," ",""),$AY26))</f>
        <v/>
      </c>
      <c r="AY26" s="2">
        <f>IF(OR($AS26="",$E$6=""),"",TRIM(INDEX($A:$AP,ROW(),$E$6)&amp;""))</f>
        <v/>
      </c>
      <c r="AZ26" s="2">
        <f>IF(OR($AS26="",$D$6=""),"",TRIM(INDEX($A:$AP,ROW(),$D$6)&amp;""))</f>
        <v/>
      </c>
      <c r="BA26" s="2">
        <f>IF($AS26="","",IF(AND($AS26&gt;=설정!$B$10,$AS26&lt;=설정!$B$11),"포함","기간 밖"))</f>
        <v/>
      </c>
      <c r="BB26" s="2">
        <f>IF($AS26="","",IF(OR($AT26&lt;0,AND($I$6&lt;&gt;"",ISNUMBER(FIND("수정",INDEX($A:$AP,ROW(),IF($I$6="",1,$I$6))&amp;"")))),"수정","일반"))</f>
        <v/>
      </c>
      <c r="BC26" s="2">
        <f>IF($AS26="","",MID(IF($BA26="기간 밖"," / 기간 밖(신고기간 아님)","")&amp;IF(AND($AW26&lt;&gt;"",COUNTIF($AW$8:$AW$1007,$AW26)&gt;1)," / 승인번호 중복(두 번 붙여넣기?)","")&amp;IF(ABS($AU26-ROUND($AT26*0.1,0))&gt;설정!$B$8,IF($AU26=0," / 세액 0원(영세율·면세 여부 확인)"," / 세액이 공급가액 10%와 다름"),"")&amp;IF($BB26="수정"," / 수정세금계산서(합계에서 자동 가감)",""),4,200))</f>
        <v/>
      </c>
      <c r="BD26" s="2">
        <f>IF($BA26&lt;&gt;"포함","",IF(COUNTIFS($AX$8:$AX26,$AX26,$BA$8:$BA26,"포함")=1,MAX($BD$7:BD25)+1,""))</f>
        <v/>
      </c>
      <c r="BE26" s="2">
        <f>IF($BC26="","",MAX($BE$7:BE25)+1)</f>
        <v/>
      </c>
    </row>
    <row r="27">
      <c r="AR27" s="2">
        <f>IF(OR($A$5="",$B$6="",ROW()&lt;$A$5),"",IF(INDEX($A:$AP,ROW(),$B$6)="","",INDEX($A:$AP,ROW(),$B$6)))</f>
        <v/>
      </c>
      <c r="AS27" s="22">
        <f>IF($AR27="","",IF(ISNUMBER($AR27),IF($AR27&gt;=10000000,IFERROR(DATE(INT($AR27/10000),MOD(INT($AR27/100),100),MOD($AR27,100)),""),INT($AR27)),IFERROR(DATE(--LEFT(LEFT(SUBSTITUTE(SUBSTITUTE(SUBSTITUTE(SUBSTITUTE(TRIM($AR27),"-",""),".",""),"/","")," ",""),8),4),--MID(LEFT(SUBSTITUTE(SUBSTITUTE(SUBSTITUTE(SUBSTITUTE(TRIM($AR27),"-",""),".",""),"/","")," ",""),8),5,2),--MID(LEFT(SUBSTITUTE(SUBSTITUTE(SUBSTITUTE(SUBSTITUTE(TRIM($AR27),"-",""),".",""),"/","")," ",""),8),7,2)),"")))</f>
        <v/>
      </c>
      <c r="AT27" s="23">
        <f>IF($AS27="","",IF($F$6="",0,IF(ISNUMBER(INDEX($A:$AP,ROW(),$F$6)),INDEX($A:$AP,ROW(),$F$6),IFERROR(--SUBSTITUTE(SUBSTITUTE(TRIM(INDEX($A:$AP,ROW(),$F$6)),",",""),"원",""),0))))</f>
        <v/>
      </c>
      <c r="AU27" s="23">
        <f>IF($AS27="","",IF($G$6="",0,IF(ISNUMBER(INDEX($A:$AP,ROW(),$G$6)),INDEX($A:$AP,ROW(),$G$6),IFERROR(--SUBSTITUTE(SUBSTITUTE(TRIM(INDEX($A:$AP,ROW(),$G$6)),",",""),"원",""),0))))</f>
        <v/>
      </c>
      <c r="AV27" s="23">
        <f>IF($AS27="","",IF($H$6="",$AT27+$AU27,IF($H$6="",0,IF(ISNUMBER(INDEX($A:$AP,ROW(),$H$6)),INDEX($A:$AP,ROW(),$H$6),IFERROR(--SUBSTITUTE(SUBSTITUTE(TRIM(INDEX($A:$AP,ROW(),$H$6)),",",""),"원",""),0)))))</f>
        <v/>
      </c>
      <c r="AW27" s="2">
        <f>IF(OR($AS27="",$C$6=""),"",TRIM(INDEX($A:$AP,ROW(),$C$6)&amp;""))</f>
        <v/>
      </c>
      <c r="AX27" s="2">
        <f>IF($AS27="","",IF($AZ27&lt;&gt;"",SUBSTITUTE(SUBSTITUTE($AZ27,"-","")," ",""),$AY27))</f>
        <v/>
      </c>
      <c r="AY27" s="2">
        <f>IF(OR($AS27="",$E$6=""),"",TRIM(INDEX($A:$AP,ROW(),$E$6)&amp;""))</f>
        <v/>
      </c>
      <c r="AZ27" s="2">
        <f>IF(OR($AS27="",$D$6=""),"",TRIM(INDEX($A:$AP,ROW(),$D$6)&amp;""))</f>
        <v/>
      </c>
      <c r="BA27" s="2">
        <f>IF($AS27="","",IF(AND($AS27&gt;=설정!$B$10,$AS27&lt;=설정!$B$11),"포함","기간 밖"))</f>
        <v/>
      </c>
      <c r="BB27" s="2">
        <f>IF($AS27="","",IF(OR($AT27&lt;0,AND($I$6&lt;&gt;"",ISNUMBER(FIND("수정",INDEX($A:$AP,ROW(),IF($I$6="",1,$I$6))&amp;"")))),"수정","일반"))</f>
        <v/>
      </c>
      <c r="BC27" s="2">
        <f>IF($AS27="","",MID(IF($BA27="기간 밖"," / 기간 밖(신고기간 아님)","")&amp;IF(AND($AW27&lt;&gt;"",COUNTIF($AW$8:$AW$1007,$AW27)&gt;1)," / 승인번호 중복(두 번 붙여넣기?)","")&amp;IF(ABS($AU27-ROUND($AT27*0.1,0))&gt;설정!$B$8,IF($AU27=0," / 세액 0원(영세율·면세 여부 확인)"," / 세액이 공급가액 10%와 다름"),"")&amp;IF($BB27="수정"," / 수정세금계산서(합계에서 자동 가감)",""),4,200))</f>
        <v/>
      </c>
      <c r="BD27" s="2">
        <f>IF($BA27&lt;&gt;"포함","",IF(COUNTIFS($AX$8:$AX27,$AX27,$BA$8:$BA27,"포함")=1,MAX($BD$7:BD26)+1,""))</f>
        <v/>
      </c>
      <c r="BE27" s="2">
        <f>IF($BC27="","",MAX($BE$7:BE26)+1)</f>
        <v/>
      </c>
    </row>
    <row r="28">
      <c r="AR28" s="2">
        <f>IF(OR($A$5="",$B$6="",ROW()&lt;$A$5),"",IF(INDEX($A:$AP,ROW(),$B$6)="","",INDEX($A:$AP,ROW(),$B$6)))</f>
        <v/>
      </c>
      <c r="AS28" s="22">
        <f>IF($AR28="","",IF(ISNUMBER($AR28),IF($AR28&gt;=10000000,IFERROR(DATE(INT($AR28/10000),MOD(INT($AR28/100),100),MOD($AR28,100)),""),INT($AR28)),IFERROR(DATE(--LEFT(LEFT(SUBSTITUTE(SUBSTITUTE(SUBSTITUTE(SUBSTITUTE(TRIM($AR28),"-",""),".",""),"/","")," ",""),8),4),--MID(LEFT(SUBSTITUTE(SUBSTITUTE(SUBSTITUTE(SUBSTITUTE(TRIM($AR28),"-",""),".",""),"/","")," ",""),8),5,2),--MID(LEFT(SUBSTITUTE(SUBSTITUTE(SUBSTITUTE(SUBSTITUTE(TRIM($AR28),"-",""),".",""),"/","")," ",""),8),7,2)),"")))</f>
        <v/>
      </c>
      <c r="AT28" s="23">
        <f>IF($AS28="","",IF($F$6="",0,IF(ISNUMBER(INDEX($A:$AP,ROW(),$F$6)),INDEX($A:$AP,ROW(),$F$6),IFERROR(--SUBSTITUTE(SUBSTITUTE(TRIM(INDEX($A:$AP,ROW(),$F$6)),",",""),"원",""),0))))</f>
        <v/>
      </c>
      <c r="AU28" s="23">
        <f>IF($AS28="","",IF($G$6="",0,IF(ISNUMBER(INDEX($A:$AP,ROW(),$G$6)),INDEX($A:$AP,ROW(),$G$6),IFERROR(--SUBSTITUTE(SUBSTITUTE(TRIM(INDEX($A:$AP,ROW(),$G$6)),",",""),"원",""),0))))</f>
        <v/>
      </c>
      <c r="AV28" s="23">
        <f>IF($AS28="","",IF($H$6="",$AT28+$AU28,IF($H$6="",0,IF(ISNUMBER(INDEX($A:$AP,ROW(),$H$6)),INDEX($A:$AP,ROW(),$H$6),IFERROR(--SUBSTITUTE(SUBSTITUTE(TRIM(INDEX($A:$AP,ROW(),$H$6)),",",""),"원",""),0)))))</f>
        <v/>
      </c>
      <c r="AW28" s="2">
        <f>IF(OR($AS28="",$C$6=""),"",TRIM(INDEX($A:$AP,ROW(),$C$6)&amp;""))</f>
        <v/>
      </c>
      <c r="AX28" s="2">
        <f>IF($AS28="","",IF($AZ28&lt;&gt;"",SUBSTITUTE(SUBSTITUTE($AZ28,"-","")," ",""),$AY28))</f>
        <v/>
      </c>
      <c r="AY28" s="2">
        <f>IF(OR($AS28="",$E$6=""),"",TRIM(INDEX($A:$AP,ROW(),$E$6)&amp;""))</f>
        <v/>
      </c>
      <c r="AZ28" s="2">
        <f>IF(OR($AS28="",$D$6=""),"",TRIM(INDEX($A:$AP,ROW(),$D$6)&amp;""))</f>
        <v/>
      </c>
      <c r="BA28" s="2">
        <f>IF($AS28="","",IF(AND($AS28&gt;=설정!$B$10,$AS28&lt;=설정!$B$11),"포함","기간 밖"))</f>
        <v/>
      </c>
      <c r="BB28" s="2">
        <f>IF($AS28="","",IF(OR($AT28&lt;0,AND($I$6&lt;&gt;"",ISNUMBER(FIND("수정",INDEX($A:$AP,ROW(),IF($I$6="",1,$I$6))&amp;"")))),"수정","일반"))</f>
        <v/>
      </c>
      <c r="BC28" s="2">
        <f>IF($AS28="","",MID(IF($BA28="기간 밖"," / 기간 밖(신고기간 아님)","")&amp;IF(AND($AW28&lt;&gt;"",COUNTIF($AW$8:$AW$1007,$AW28)&gt;1)," / 승인번호 중복(두 번 붙여넣기?)","")&amp;IF(ABS($AU28-ROUND($AT28*0.1,0))&gt;설정!$B$8,IF($AU28=0," / 세액 0원(영세율·면세 여부 확인)"," / 세액이 공급가액 10%와 다름"),"")&amp;IF($BB28="수정"," / 수정세금계산서(합계에서 자동 가감)",""),4,200))</f>
        <v/>
      </c>
      <c r="BD28" s="2">
        <f>IF($BA28&lt;&gt;"포함","",IF(COUNTIFS($AX$8:$AX28,$AX28,$BA$8:$BA28,"포함")=1,MAX($BD$7:BD27)+1,""))</f>
        <v/>
      </c>
      <c r="BE28" s="2">
        <f>IF($BC28="","",MAX($BE$7:BE27)+1)</f>
        <v/>
      </c>
    </row>
    <row r="29">
      <c r="AR29" s="2">
        <f>IF(OR($A$5="",$B$6="",ROW()&lt;$A$5),"",IF(INDEX($A:$AP,ROW(),$B$6)="","",INDEX($A:$AP,ROW(),$B$6)))</f>
        <v/>
      </c>
      <c r="AS29" s="22">
        <f>IF($AR29="","",IF(ISNUMBER($AR29),IF($AR29&gt;=10000000,IFERROR(DATE(INT($AR29/10000),MOD(INT($AR29/100),100),MOD($AR29,100)),""),INT($AR29)),IFERROR(DATE(--LEFT(LEFT(SUBSTITUTE(SUBSTITUTE(SUBSTITUTE(SUBSTITUTE(TRIM($AR29),"-",""),".",""),"/","")," ",""),8),4),--MID(LEFT(SUBSTITUTE(SUBSTITUTE(SUBSTITUTE(SUBSTITUTE(TRIM($AR29),"-",""),".",""),"/","")," ",""),8),5,2),--MID(LEFT(SUBSTITUTE(SUBSTITUTE(SUBSTITUTE(SUBSTITUTE(TRIM($AR29),"-",""),".",""),"/","")," ",""),8),7,2)),"")))</f>
        <v/>
      </c>
      <c r="AT29" s="23">
        <f>IF($AS29="","",IF($F$6="",0,IF(ISNUMBER(INDEX($A:$AP,ROW(),$F$6)),INDEX($A:$AP,ROW(),$F$6),IFERROR(--SUBSTITUTE(SUBSTITUTE(TRIM(INDEX($A:$AP,ROW(),$F$6)),",",""),"원",""),0))))</f>
        <v/>
      </c>
      <c r="AU29" s="23">
        <f>IF($AS29="","",IF($G$6="",0,IF(ISNUMBER(INDEX($A:$AP,ROW(),$G$6)),INDEX($A:$AP,ROW(),$G$6),IFERROR(--SUBSTITUTE(SUBSTITUTE(TRIM(INDEX($A:$AP,ROW(),$G$6)),",",""),"원",""),0))))</f>
        <v/>
      </c>
      <c r="AV29" s="23">
        <f>IF($AS29="","",IF($H$6="",$AT29+$AU29,IF($H$6="",0,IF(ISNUMBER(INDEX($A:$AP,ROW(),$H$6)),INDEX($A:$AP,ROW(),$H$6),IFERROR(--SUBSTITUTE(SUBSTITUTE(TRIM(INDEX($A:$AP,ROW(),$H$6)),",",""),"원",""),0)))))</f>
        <v/>
      </c>
      <c r="AW29" s="2">
        <f>IF(OR($AS29="",$C$6=""),"",TRIM(INDEX($A:$AP,ROW(),$C$6)&amp;""))</f>
        <v/>
      </c>
      <c r="AX29" s="2">
        <f>IF($AS29="","",IF($AZ29&lt;&gt;"",SUBSTITUTE(SUBSTITUTE($AZ29,"-","")," ",""),$AY29))</f>
        <v/>
      </c>
      <c r="AY29" s="2">
        <f>IF(OR($AS29="",$E$6=""),"",TRIM(INDEX($A:$AP,ROW(),$E$6)&amp;""))</f>
        <v/>
      </c>
      <c r="AZ29" s="2">
        <f>IF(OR($AS29="",$D$6=""),"",TRIM(INDEX($A:$AP,ROW(),$D$6)&amp;""))</f>
        <v/>
      </c>
      <c r="BA29" s="2">
        <f>IF($AS29="","",IF(AND($AS29&gt;=설정!$B$10,$AS29&lt;=설정!$B$11),"포함","기간 밖"))</f>
        <v/>
      </c>
      <c r="BB29" s="2">
        <f>IF($AS29="","",IF(OR($AT29&lt;0,AND($I$6&lt;&gt;"",ISNUMBER(FIND("수정",INDEX($A:$AP,ROW(),IF($I$6="",1,$I$6))&amp;"")))),"수정","일반"))</f>
        <v/>
      </c>
      <c r="BC29" s="2">
        <f>IF($AS29="","",MID(IF($BA29="기간 밖"," / 기간 밖(신고기간 아님)","")&amp;IF(AND($AW29&lt;&gt;"",COUNTIF($AW$8:$AW$1007,$AW29)&gt;1)," / 승인번호 중복(두 번 붙여넣기?)","")&amp;IF(ABS($AU29-ROUND($AT29*0.1,0))&gt;설정!$B$8,IF($AU29=0," / 세액 0원(영세율·면세 여부 확인)"," / 세액이 공급가액 10%와 다름"),"")&amp;IF($BB29="수정"," / 수정세금계산서(합계에서 자동 가감)",""),4,200))</f>
        <v/>
      </c>
      <c r="BD29" s="2">
        <f>IF($BA29&lt;&gt;"포함","",IF(COUNTIFS($AX$8:$AX29,$AX29,$BA$8:$BA29,"포함")=1,MAX($BD$7:BD28)+1,""))</f>
        <v/>
      </c>
      <c r="BE29" s="2">
        <f>IF($BC29="","",MAX($BE$7:BE28)+1)</f>
        <v/>
      </c>
    </row>
    <row r="30">
      <c r="AR30" s="2">
        <f>IF(OR($A$5="",$B$6="",ROW()&lt;$A$5),"",IF(INDEX($A:$AP,ROW(),$B$6)="","",INDEX($A:$AP,ROW(),$B$6)))</f>
        <v/>
      </c>
      <c r="AS30" s="22">
        <f>IF($AR30="","",IF(ISNUMBER($AR30),IF($AR30&gt;=10000000,IFERROR(DATE(INT($AR30/10000),MOD(INT($AR30/100),100),MOD($AR30,100)),""),INT($AR30)),IFERROR(DATE(--LEFT(LEFT(SUBSTITUTE(SUBSTITUTE(SUBSTITUTE(SUBSTITUTE(TRIM($AR30),"-",""),".",""),"/","")," ",""),8),4),--MID(LEFT(SUBSTITUTE(SUBSTITUTE(SUBSTITUTE(SUBSTITUTE(TRIM($AR30),"-",""),".",""),"/","")," ",""),8),5,2),--MID(LEFT(SUBSTITUTE(SUBSTITUTE(SUBSTITUTE(SUBSTITUTE(TRIM($AR30),"-",""),".",""),"/","")," ",""),8),7,2)),"")))</f>
        <v/>
      </c>
      <c r="AT30" s="23">
        <f>IF($AS30="","",IF($F$6="",0,IF(ISNUMBER(INDEX($A:$AP,ROW(),$F$6)),INDEX($A:$AP,ROW(),$F$6),IFERROR(--SUBSTITUTE(SUBSTITUTE(TRIM(INDEX($A:$AP,ROW(),$F$6)),",",""),"원",""),0))))</f>
        <v/>
      </c>
      <c r="AU30" s="23">
        <f>IF($AS30="","",IF($G$6="",0,IF(ISNUMBER(INDEX($A:$AP,ROW(),$G$6)),INDEX($A:$AP,ROW(),$G$6),IFERROR(--SUBSTITUTE(SUBSTITUTE(TRIM(INDEX($A:$AP,ROW(),$G$6)),",",""),"원",""),0))))</f>
        <v/>
      </c>
      <c r="AV30" s="23">
        <f>IF($AS30="","",IF($H$6="",$AT30+$AU30,IF($H$6="",0,IF(ISNUMBER(INDEX($A:$AP,ROW(),$H$6)),INDEX($A:$AP,ROW(),$H$6),IFERROR(--SUBSTITUTE(SUBSTITUTE(TRIM(INDEX($A:$AP,ROW(),$H$6)),",",""),"원",""),0)))))</f>
        <v/>
      </c>
      <c r="AW30" s="2">
        <f>IF(OR($AS30="",$C$6=""),"",TRIM(INDEX($A:$AP,ROW(),$C$6)&amp;""))</f>
        <v/>
      </c>
      <c r="AX30" s="2">
        <f>IF($AS30="","",IF($AZ30&lt;&gt;"",SUBSTITUTE(SUBSTITUTE($AZ30,"-","")," ",""),$AY30))</f>
        <v/>
      </c>
      <c r="AY30" s="2">
        <f>IF(OR($AS30="",$E$6=""),"",TRIM(INDEX($A:$AP,ROW(),$E$6)&amp;""))</f>
        <v/>
      </c>
      <c r="AZ30" s="2">
        <f>IF(OR($AS30="",$D$6=""),"",TRIM(INDEX($A:$AP,ROW(),$D$6)&amp;""))</f>
        <v/>
      </c>
      <c r="BA30" s="2">
        <f>IF($AS30="","",IF(AND($AS30&gt;=설정!$B$10,$AS30&lt;=설정!$B$11),"포함","기간 밖"))</f>
        <v/>
      </c>
      <c r="BB30" s="2">
        <f>IF($AS30="","",IF(OR($AT30&lt;0,AND($I$6&lt;&gt;"",ISNUMBER(FIND("수정",INDEX($A:$AP,ROW(),IF($I$6="",1,$I$6))&amp;"")))),"수정","일반"))</f>
        <v/>
      </c>
      <c r="BC30" s="2">
        <f>IF($AS30="","",MID(IF($BA30="기간 밖"," / 기간 밖(신고기간 아님)","")&amp;IF(AND($AW30&lt;&gt;"",COUNTIF($AW$8:$AW$1007,$AW30)&gt;1)," / 승인번호 중복(두 번 붙여넣기?)","")&amp;IF(ABS($AU30-ROUND($AT30*0.1,0))&gt;설정!$B$8,IF($AU30=0," / 세액 0원(영세율·면세 여부 확인)"," / 세액이 공급가액 10%와 다름"),"")&amp;IF($BB30="수정"," / 수정세금계산서(합계에서 자동 가감)",""),4,200))</f>
        <v/>
      </c>
      <c r="BD30" s="2">
        <f>IF($BA30&lt;&gt;"포함","",IF(COUNTIFS($AX$8:$AX30,$AX30,$BA$8:$BA30,"포함")=1,MAX($BD$7:BD29)+1,""))</f>
        <v/>
      </c>
      <c r="BE30" s="2">
        <f>IF($BC30="","",MAX($BE$7:BE29)+1)</f>
        <v/>
      </c>
    </row>
    <row r="31">
      <c r="AR31" s="2">
        <f>IF(OR($A$5="",$B$6="",ROW()&lt;$A$5),"",IF(INDEX($A:$AP,ROW(),$B$6)="","",INDEX($A:$AP,ROW(),$B$6)))</f>
        <v/>
      </c>
      <c r="AS31" s="22">
        <f>IF($AR31="","",IF(ISNUMBER($AR31),IF($AR31&gt;=10000000,IFERROR(DATE(INT($AR31/10000),MOD(INT($AR31/100),100),MOD($AR31,100)),""),INT($AR31)),IFERROR(DATE(--LEFT(LEFT(SUBSTITUTE(SUBSTITUTE(SUBSTITUTE(SUBSTITUTE(TRIM($AR31),"-",""),".",""),"/","")," ",""),8),4),--MID(LEFT(SUBSTITUTE(SUBSTITUTE(SUBSTITUTE(SUBSTITUTE(TRIM($AR31),"-",""),".",""),"/","")," ",""),8),5,2),--MID(LEFT(SUBSTITUTE(SUBSTITUTE(SUBSTITUTE(SUBSTITUTE(TRIM($AR31),"-",""),".",""),"/","")," ",""),8),7,2)),"")))</f>
        <v/>
      </c>
      <c r="AT31" s="23">
        <f>IF($AS31="","",IF($F$6="",0,IF(ISNUMBER(INDEX($A:$AP,ROW(),$F$6)),INDEX($A:$AP,ROW(),$F$6),IFERROR(--SUBSTITUTE(SUBSTITUTE(TRIM(INDEX($A:$AP,ROW(),$F$6)),",",""),"원",""),0))))</f>
        <v/>
      </c>
      <c r="AU31" s="23">
        <f>IF($AS31="","",IF($G$6="",0,IF(ISNUMBER(INDEX($A:$AP,ROW(),$G$6)),INDEX($A:$AP,ROW(),$G$6),IFERROR(--SUBSTITUTE(SUBSTITUTE(TRIM(INDEX($A:$AP,ROW(),$G$6)),",",""),"원",""),0))))</f>
        <v/>
      </c>
      <c r="AV31" s="23">
        <f>IF($AS31="","",IF($H$6="",$AT31+$AU31,IF($H$6="",0,IF(ISNUMBER(INDEX($A:$AP,ROW(),$H$6)),INDEX($A:$AP,ROW(),$H$6),IFERROR(--SUBSTITUTE(SUBSTITUTE(TRIM(INDEX($A:$AP,ROW(),$H$6)),",",""),"원",""),0)))))</f>
        <v/>
      </c>
      <c r="AW31" s="2">
        <f>IF(OR($AS31="",$C$6=""),"",TRIM(INDEX($A:$AP,ROW(),$C$6)&amp;""))</f>
        <v/>
      </c>
      <c r="AX31" s="2">
        <f>IF($AS31="","",IF($AZ31&lt;&gt;"",SUBSTITUTE(SUBSTITUTE($AZ31,"-","")," ",""),$AY31))</f>
        <v/>
      </c>
      <c r="AY31" s="2">
        <f>IF(OR($AS31="",$E$6=""),"",TRIM(INDEX($A:$AP,ROW(),$E$6)&amp;""))</f>
        <v/>
      </c>
      <c r="AZ31" s="2">
        <f>IF(OR($AS31="",$D$6=""),"",TRIM(INDEX($A:$AP,ROW(),$D$6)&amp;""))</f>
        <v/>
      </c>
      <c r="BA31" s="2">
        <f>IF($AS31="","",IF(AND($AS31&gt;=설정!$B$10,$AS31&lt;=설정!$B$11),"포함","기간 밖"))</f>
        <v/>
      </c>
      <c r="BB31" s="2">
        <f>IF($AS31="","",IF(OR($AT31&lt;0,AND($I$6&lt;&gt;"",ISNUMBER(FIND("수정",INDEX($A:$AP,ROW(),IF($I$6="",1,$I$6))&amp;"")))),"수정","일반"))</f>
        <v/>
      </c>
      <c r="BC31" s="2">
        <f>IF($AS31="","",MID(IF($BA31="기간 밖"," / 기간 밖(신고기간 아님)","")&amp;IF(AND($AW31&lt;&gt;"",COUNTIF($AW$8:$AW$1007,$AW31)&gt;1)," / 승인번호 중복(두 번 붙여넣기?)","")&amp;IF(ABS($AU31-ROUND($AT31*0.1,0))&gt;설정!$B$8,IF($AU31=0," / 세액 0원(영세율·면세 여부 확인)"," / 세액이 공급가액 10%와 다름"),"")&amp;IF($BB31="수정"," / 수정세금계산서(합계에서 자동 가감)",""),4,200))</f>
        <v/>
      </c>
      <c r="BD31" s="2">
        <f>IF($BA31&lt;&gt;"포함","",IF(COUNTIFS($AX$8:$AX31,$AX31,$BA$8:$BA31,"포함")=1,MAX($BD$7:BD30)+1,""))</f>
        <v/>
      </c>
      <c r="BE31" s="2">
        <f>IF($BC31="","",MAX($BE$7:BE30)+1)</f>
        <v/>
      </c>
    </row>
    <row r="32">
      <c r="AR32" s="2">
        <f>IF(OR($A$5="",$B$6="",ROW()&lt;$A$5),"",IF(INDEX($A:$AP,ROW(),$B$6)="","",INDEX($A:$AP,ROW(),$B$6)))</f>
        <v/>
      </c>
      <c r="AS32" s="22">
        <f>IF($AR32="","",IF(ISNUMBER($AR32),IF($AR32&gt;=10000000,IFERROR(DATE(INT($AR32/10000),MOD(INT($AR32/100),100),MOD($AR32,100)),""),INT($AR32)),IFERROR(DATE(--LEFT(LEFT(SUBSTITUTE(SUBSTITUTE(SUBSTITUTE(SUBSTITUTE(TRIM($AR32),"-",""),".",""),"/","")," ",""),8),4),--MID(LEFT(SUBSTITUTE(SUBSTITUTE(SUBSTITUTE(SUBSTITUTE(TRIM($AR32),"-",""),".",""),"/","")," ",""),8),5,2),--MID(LEFT(SUBSTITUTE(SUBSTITUTE(SUBSTITUTE(SUBSTITUTE(TRIM($AR32),"-",""),".",""),"/","")," ",""),8),7,2)),"")))</f>
        <v/>
      </c>
      <c r="AT32" s="23">
        <f>IF($AS32="","",IF($F$6="",0,IF(ISNUMBER(INDEX($A:$AP,ROW(),$F$6)),INDEX($A:$AP,ROW(),$F$6),IFERROR(--SUBSTITUTE(SUBSTITUTE(TRIM(INDEX($A:$AP,ROW(),$F$6)),",",""),"원",""),0))))</f>
        <v/>
      </c>
      <c r="AU32" s="23">
        <f>IF($AS32="","",IF($G$6="",0,IF(ISNUMBER(INDEX($A:$AP,ROW(),$G$6)),INDEX($A:$AP,ROW(),$G$6),IFERROR(--SUBSTITUTE(SUBSTITUTE(TRIM(INDEX($A:$AP,ROW(),$G$6)),",",""),"원",""),0))))</f>
        <v/>
      </c>
      <c r="AV32" s="23">
        <f>IF($AS32="","",IF($H$6="",$AT32+$AU32,IF($H$6="",0,IF(ISNUMBER(INDEX($A:$AP,ROW(),$H$6)),INDEX($A:$AP,ROW(),$H$6),IFERROR(--SUBSTITUTE(SUBSTITUTE(TRIM(INDEX($A:$AP,ROW(),$H$6)),",",""),"원",""),0)))))</f>
        <v/>
      </c>
      <c r="AW32" s="2">
        <f>IF(OR($AS32="",$C$6=""),"",TRIM(INDEX($A:$AP,ROW(),$C$6)&amp;""))</f>
        <v/>
      </c>
      <c r="AX32" s="2">
        <f>IF($AS32="","",IF($AZ32&lt;&gt;"",SUBSTITUTE(SUBSTITUTE($AZ32,"-","")," ",""),$AY32))</f>
        <v/>
      </c>
      <c r="AY32" s="2">
        <f>IF(OR($AS32="",$E$6=""),"",TRIM(INDEX($A:$AP,ROW(),$E$6)&amp;""))</f>
        <v/>
      </c>
      <c r="AZ32" s="2">
        <f>IF(OR($AS32="",$D$6=""),"",TRIM(INDEX($A:$AP,ROW(),$D$6)&amp;""))</f>
        <v/>
      </c>
      <c r="BA32" s="2">
        <f>IF($AS32="","",IF(AND($AS32&gt;=설정!$B$10,$AS32&lt;=설정!$B$11),"포함","기간 밖"))</f>
        <v/>
      </c>
      <c r="BB32" s="2">
        <f>IF($AS32="","",IF(OR($AT32&lt;0,AND($I$6&lt;&gt;"",ISNUMBER(FIND("수정",INDEX($A:$AP,ROW(),IF($I$6="",1,$I$6))&amp;"")))),"수정","일반"))</f>
        <v/>
      </c>
      <c r="BC32" s="2">
        <f>IF($AS32="","",MID(IF($BA32="기간 밖"," / 기간 밖(신고기간 아님)","")&amp;IF(AND($AW32&lt;&gt;"",COUNTIF($AW$8:$AW$1007,$AW32)&gt;1)," / 승인번호 중복(두 번 붙여넣기?)","")&amp;IF(ABS($AU32-ROUND($AT32*0.1,0))&gt;설정!$B$8,IF($AU32=0," / 세액 0원(영세율·면세 여부 확인)"," / 세액이 공급가액 10%와 다름"),"")&amp;IF($BB32="수정"," / 수정세금계산서(합계에서 자동 가감)",""),4,200))</f>
        <v/>
      </c>
      <c r="BD32" s="2">
        <f>IF($BA32&lt;&gt;"포함","",IF(COUNTIFS($AX$8:$AX32,$AX32,$BA$8:$BA32,"포함")=1,MAX($BD$7:BD31)+1,""))</f>
        <v/>
      </c>
      <c r="BE32" s="2">
        <f>IF($BC32="","",MAX($BE$7:BE31)+1)</f>
        <v/>
      </c>
    </row>
    <row r="33">
      <c r="AR33" s="2">
        <f>IF(OR($A$5="",$B$6="",ROW()&lt;$A$5),"",IF(INDEX($A:$AP,ROW(),$B$6)="","",INDEX($A:$AP,ROW(),$B$6)))</f>
        <v/>
      </c>
      <c r="AS33" s="22">
        <f>IF($AR33="","",IF(ISNUMBER($AR33),IF($AR33&gt;=10000000,IFERROR(DATE(INT($AR33/10000),MOD(INT($AR33/100),100),MOD($AR33,100)),""),INT($AR33)),IFERROR(DATE(--LEFT(LEFT(SUBSTITUTE(SUBSTITUTE(SUBSTITUTE(SUBSTITUTE(TRIM($AR33),"-",""),".",""),"/","")," ",""),8),4),--MID(LEFT(SUBSTITUTE(SUBSTITUTE(SUBSTITUTE(SUBSTITUTE(TRIM($AR33),"-",""),".",""),"/","")," ",""),8),5,2),--MID(LEFT(SUBSTITUTE(SUBSTITUTE(SUBSTITUTE(SUBSTITUTE(TRIM($AR33),"-",""),".",""),"/","")," ",""),8),7,2)),"")))</f>
        <v/>
      </c>
      <c r="AT33" s="23">
        <f>IF($AS33="","",IF($F$6="",0,IF(ISNUMBER(INDEX($A:$AP,ROW(),$F$6)),INDEX($A:$AP,ROW(),$F$6),IFERROR(--SUBSTITUTE(SUBSTITUTE(TRIM(INDEX($A:$AP,ROW(),$F$6)),",",""),"원",""),0))))</f>
        <v/>
      </c>
      <c r="AU33" s="23">
        <f>IF($AS33="","",IF($G$6="",0,IF(ISNUMBER(INDEX($A:$AP,ROW(),$G$6)),INDEX($A:$AP,ROW(),$G$6),IFERROR(--SUBSTITUTE(SUBSTITUTE(TRIM(INDEX($A:$AP,ROW(),$G$6)),",",""),"원",""),0))))</f>
        <v/>
      </c>
      <c r="AV33" s="23">
        <f>IF($AS33="","",IF($H$6="",$AT33+$AU33,IF($H$6="",0,IF(ISNUMBER(INDEX($A:$AP,ROW(),$H$6)),INDEX($A:$AP,ROW(),$H$6),IFERROR(--SUBSTITUTE(SUBSTITUTE(TRIM(INDEX($A:$AP,ROW(),$H$6)),",",""),"원",""),0)))))</f>
        <v/>
      </c>
      <c r="AW33" s="2">
        <f>IF(OR($AS33="",$C$6=""),"",TRIM(INDEX($A:$AP,ROW(),$C$6)&amp;""))</f>
        <v/>
      </c>
      <c r="AX33" s="2">
        <f>IF($AS33="","",IF($AZ33&lt;&gt;"",SUBSTITUTE(SUBSTITUTE($AZ33,"-","")," ",""),$AY33))</f>
        <v/>
      </c>
      <c r="AY33" s="2">
        <f>IF(OR($AS33="",$E$6=""),"",TRIM(INDEX($A:$AP,ROW(),$E$6)&amp;""))</f>
        <v/>
      </c>
      <c r="AZ33" s="2">
        <f>IF(OR($AS33="",$D$6=""),"",TRIM(INDEX($A:$AP,ROW(),$D$6)&amp;""))</f>
        <v/>
      </c>
      <c r="BA33" s="2">
        <f>IF($AS33="","",IF(AND($AS33&gt;=설정!$B$10,$AS33&lt;=설정!$B$11),"포함","기간 밖"))</f>
        <v/>
      </c>
      <c r="BB33" s="2">
        <f>IF($AS33="","",IF(OR($AT33&lt;0,AND($I$6&lt;&gt;"",ISNUMBER(FIND("수정",INDEX($A:$AP,ROW(),IF($I$6="",1,$I$6))&amp;"")))),"수정","일반"))</f>
        <v/>
      </c>
      <c r="BC33" s="2">
        <f>IF($AS33="","",MID(IF($BA33="기간 밖"," / 기간 밖(신고기간 아님)","")&amp;IF(AND($AW33&lt;&gt;"",COUNTIF($AW$8:$AW$1007,$AW33)&gt;1)," / 승인번호 중복(두 번 붙여넣기?)","")&amp;IF(ABS($AU33-ROUND($AT33*0.1,0))&gt;설정!$B$8,IF($AU33=0," / 세액 0원(영세율·면세 여부 확인)"," / 세액이 공급가액 10%와 다름"),"")&amp;IF($BB33="수정"," / 수정세금계산서(합계에서 자동 가감)",""),4,200))</f>
        <v/>
      </c>
      <c r="BD33" s="2">
        <f>IF($BA33&lt;&gt;"포함","",IF(COUNTIFS($AX$8:$AX33,$AX33,$BA$8:$BA33,"포함")=1,MAX($BD$7:BD32)+1,""))</f>
        <v/>
      </c>
      <c r="BE33" s="2">
        <f>IF($BC33="","",MAX($BE$7:BE32)+1)</f>
        <v/>
      </c>
    </row>
    <row r="34">
      <c r="AR34" s="2">
        <f>IF(OR($A$5="",$B$6="",ROW()&lt;$A$5),"",IF(INDEX($A:$AP,ROW(),$B$6)="","",INDEX($A:$AP,ROW(),$B$6)))</f>
        <v/>
      </c>
      <c r="AS34" s="22">
        <f>IF($AR34="","",IF(ISNUMBER($AR34),IF($AR34&gt;=10000000,IFERROR(DATE(INT($AR34/10000),MOD(INT($AR34/100),100),MOD($AR34,100)),""),INT($AR34)),IFERROR(DATE(--LEFT(LEFT(SUBSTITUTE(SUBSTITUTE(SUBSTITUTE(SUBSTITUTE(TRIM($AR34),"-",""),".",""),"/","")," ",""),8),4),--MID(LEFT(SUBSTITUTE(SUBSTITUTE(SUBSTITUTE(SUBSTITUTE(TRIM($AR34),"-",""),".",""),"/","")," ",""),8),5,2),--MID(LEFT(SUBSTITUTE(SUBSTITUTE(SUBSTITUTE(SUBSTITUTE(TRIM($AR34),"-",""),".",""),"/","")," ",""),8),7,2)),"")))</f>
        <v/>
      </c>
      <c r="AT34" s="23">
        <f>IF($AS34="","",IF($F$6="",0,IF(ISNUMBER(INDEX($A:$AP,ROW(),$F$6)),INDEX($A:$AP,ROW(),$F$6),IFERROR(--SUBSTITUTE(SUBSTITUTE(TRIM(INDEX($A:$AP,ROW(),$F$6)),",",""),"원",""),0))))</f>
        <v/>
      </c>
      <c r="AU34" s="23">
        <f>IF($AS34="","",IF($G$6="",0,IF(ISNUMBER(INDEX($A:$AP,ROW(),$G$6)),INDEX($A:$AP,ROW(),$G$6),IFERROR(--SUBSTITUTE(SUBSTITUTE(TRIM(INDEX($A:$AP,ROW(),$G$6)),",",""),"원",""),0))))</f>
        <v/>
      </c>
      <c r="AV34" s="23">
        <f>IF($AS34="","",IF($H$6="",$AT34+$AU34,IF($H$6="",0,IF(ISNUMBER(INDEX($A:$AP,ROW(),$H$6)),INDEX($A:$AP,ROW(),$H$6),IFERROR(--SUBSTITUTE(SUBSTITUTE(TRIM(INDEX($A:$AP,ROW(),$H$6)),",",""),"원",""),0)))))</f>
        <v/>
      </c>
      <c r="AW34" s="2">
        <f>IF(OR($AS34="",$C$6=""),"",TRIM(INDEX($A:$AP,ROW(),$C$6)&amp;""))</f>
        <v/>
      </c>
      <c r="AX34" s="2">
        <f>IF($AS34="","",IF($AZ34&lt;&gt;"",SUBSTITUTE(SUBSTITUTE($AZ34,"-","")," ",""),$AY34))</f>
        <v/>
      </c>
      <c r="AY34" s="2">
        <f>IF(OR($AS34="",$E$6=""),"",TRIM(INDEX($A:$AP,ROW(),$E$6)&amp;""))</f>
        <v/>
      </c>
      <c r="AZ34" s="2">
        <f>IF(OR($AS34="",$D$6=""),"",TRIM(INDEX($A:$AP,ROW(),$D$6)&amp;""))</f>
        <v/>
      </c>
      <c r="BA34" s="2">
        <f>IF($AS34="","",IF(AND($AS34&gt;=설정!$B$10,$AS34&lt;=설정!$B$11),"포함","기간 밖"))</f>
        <v/>
      </c>
      <c r="BB34" s="2">
        <f>IF($AS34="","",IF(OR($AT34&lt;0,AND($I$6&lt;&gt;"",ISNUMBER(FIND("수정",INDEX($A:$AP,ROW(),IF($I$6="",1,$I$6))&amp;"")))),"수정","일반"))</f>
        <v/>
      </c>
      <c r="BC34" s="2">
        <f>IF($AS34="","",MID(IF($BA34="기간 밖"," / 기간 밖(신고기간 아님)","")&amp;IF(AND($AW34&lt;&gt;"",COUNTIF($AW$8:$AW$1007,$AW34)&gt;1)," / 승인번호 중복(두 번 붙여넣기?)","")&amp;IF(ABS($AU34-ROUND($AT34*0.1,0))&gt;설정!$B$8,IF($AU34=0," / 세액 0원(영세율·면세 여부 확인)"," / 세액이 공급가액 10%와 다름"),"")&amp;IF($BB34="수정"," / 수정세금계산서(합계에서 자동 가감)",""),4,200))</f>
        <v/>
      </c>
      <c r="BD34" s="2">
        <f>IF($BA34&lt;&gt;"포함","",IF(COUNTIFS($AX$8:$AX34,$AX34,$BA$8:$BA34,"포함")=1,MAX($BD$7:BD33)+1,""))</f>
        <v/>
      </c>
      <c r="BE34" s="2">
        <f>IF($BC34="","",MAX($BE$7:BE33)+1)</f>
        <v/>
      </c>
    </row>
    <row r="35">
      <c r="AR35" s="2">
        <f>IF(OR($A$5="",$B$6="",ROW()&lt;$A$5),"",IF(INDEX($A:$AP,ROW(),$B$6)="","",INDEX($A:$AP,ROW(),$B$6)))</f>
        <v/>
      </c>
      <c r="AS35" s="22">
        <f>IF($AR35="","",IF(ISNUMBER($AR35),IF($AR35&gt;=10000000,IFERROR(DATE(INT($AR35/10000),MOD(INT($AR35/100),100),MOD($AR35,100)),""),INT($AR35)),IFERROR(DATE(--LEFT(LEFT(SUBSTITUTE(SUBSTITUTE(SUBSTITUTE(SUBSTITUTE(TRIM($AR35),"-",""),".",""),"/","")," ",""),8),4),--MID(LEFT(SUBSTITUTE(SUBSTITUTE(SUBSTITUTE(SUBSTITUTE(TRIM($AR35),"-",""),".",""),"/","")," ",""),8),5,2),--MID(LEFT(SUBSTITUTE(SUBSTITUTE(SUBSTITUTE(SUBSTITUTE(TRIM($AR35),"-",""),".",""),"/","")," ",""),8),7,2)),"")))</f>
        <v/>
      </c>
      <c r="AT35" s="23">
        <f>IF($AS35="","",IF($F$6="",0,IF(ISNUMBER(INDEX($A:$AP,ROW(),$F$6)),INDEX($A:$AP,ROW(),$F$6),IFERROR(--SUBSTITUTE(SUBSTITUTE(TRIM(INDEX($A:$AP,ROW(),$F$6)),",",""),"원",""),0))))</f>
        <v/>
      </c>
      <c r="AU35" s="23">
        <f>IF($AS35="","",IF($G$6="",0,IF(ISNUMBER(INDEX($A:$AP,ROW(),$G$6)),INDEX($A:$AP,ROW(),$G$6),IFERROR(--SUBSTITUTE(SUBSTITUTE(TRIM(INDEX($A:$AP,ROW(),$G$6)),",",""),"원",""),0))))</f>
        <v/>
      </c>
      <c r="AV35" s="23">
        <f>IF($AS35="","",IF($H$6="",$AT35+$AU35,IF($H$6="",0,IF(ISNUMBER(INDEX($A:$AP,ROW(),$H$6)),INDEX($A:$AP,ROW(),$H$6),IFERROR(--SUBSTITUTE(SUBSTITUTE(TRIM(INDEX($A:$AP,ROW(),$H$6)),",",""),"원",""),0)))))</f>
        <v/>
      </c>
      <c r="AW35" s="2">
        <f>IF(OR($AS35="",$C$6=""),"",TRIM(INDEX($A:$AP,ROW(),$C$6)&amp;""))</f>
        <v/>
      </c>
      <c r="AX35" s="2">
        <f>IF($AS35="","",IF($AZ35&lt;&gt;"",SUBSTITUTE(SUBSTITUTE($AZ35,"-","")," ",""),$AY35))</f>
        <v/>
      </c>
      <c r="AY35" s="2">
        <f>IF(OR($AS35="",$E$6=""),"",TRIM(INDEX($A:$AP,ROW(),$E$6)&amp;""))</f>
        <v/>
      </c>
      <c r="AZ35" s="2">
        <f>IF(OR($AS35="",$D$6=""),"",TRIM(INDEX($A:$AP,ROW(),$D$6)&amp;""))</f>
        <v/>
      </c>
      <c r="BA35" s="2">
        <f>IF($AS35="","",IF(AND($AS35&gt;=설정!$B$10,$AS35&lt;=설정!$B$11),"포함","기간 밖"))</f>
        <v/>
      </c>
      <c r="BB35" s="2">
        <f>IF($AS35="","",IF(OR($AT35&lt;0,AND($I$6&lt;&gt;"",ISNUMBER(FIND("수정",INDEX($A:$AP,ROW(),IF($I$6="",1,$I$6))&amp;"")))),"수정","일반"))</f>
        <v/>
      </c>
      <c r="BC35" s="2">
        <f>IF($AS35="","",MID(IF($BA35="기간 밖"," / 기간 밖(신고기간 아님)","")&amp;IF(AND($AW35&lt;&gt;"",COUNTIF($AW$8:$AW$1007,$AW35)&gt;1)," / 승인번호 중복(두 번 붙여넣기?)","")&amp;IF(ABS($AU35-ROUND($AT35*0.1,0))&gt;설정!$B$8,IF($AU35=0," / 세액 0원(영세율·면세 여부 확인)"," / 세액이 공급가액 10%와 다름"),"")&amp;IF($BB35="수정"," / 수정세금계산서(합계에서 자동 가감)",""),4,200))</f>
        <v/>
      </c>
      <c r="BD35" s="2">
        <f>IF($BA35&lt;&gt;"포함","",IF(COUNTIFS($AX$8:$AX35,$AX35,$BA$8:$BA35,"포함")=1,MAX($BD$7:BD34)+1,""))</f>
        <v/>
      </c>
      <c r="BE35" s="2">
        <f>IF($BC35="","",MAX($BE$7:BE34)+1)</f>
        <v/>
      </c>
    </row>
    <row r="36">
      <c r="AR36" s="2">
        <f>IF(OR($A$5="",$B$6="",ROW()&lt;$A$5),"",IF(INDEX($A:$AP,ROW(),$B$6)="","",INDEX($A:$AP,ROW(),$B$6)))</f>
        <v/>
      </c>
      <c r="AS36" s="22">
        <f>IF($AR36="","",IF(ISNUMBER($AR36),IF($AR36&gt;=10000000,IFERROR(DATE(INT($AR36/10000),MOD(INT($AR36/100),100),MOD($AR36,100)),""),INT($AR36)),IFERROR(DATE(--LEFT(LEFT(SUBSTITUTE(SUBSTITUTE(SUBSTITUTE(SUBSTITUTE(TRIM($AR36),"-",""),".",""),"/","")," ",""),8),4),--MID(LEFT(SUBSTITUTE(SUBSTITUTE(SUBSTITUTE(SUBSTITUTE(TRIM($AR36),"-",""),".",""),"/","")," ",""),8),5,2),--MID(LEFT(SUBSTITUTE(SUBSTITUTE(SUBSTITUTE(SUBSTITUTE(TRIM($AR36),"-",""),".",""),"/","")," ",""),8),7,2)),"")))</f>
        <v/>
      </c>
      <c r="AT36" s="23">
        <f>IF($AS36="","",IF($F$6="",0,IF(ISNUMBER(INDEX($A:$AP,ROW(),$F$6)),INDEX($A:$AP,ROW(),$F$6),IFERROR(--SUBSTITUTE(SUBSTITUTE(TRIM(INDEX($A:$AP,ROW(),$F$6)),",",""),"원",""),0))))</f>
        <v/>
      </c>
      <c r="AU36" s="23">
        <f>IF($AS36="","",IF($G$6="",0,IF(ISNUMBER(INDEX($A:$AP,ROW(),$G$6)),INDEX($A:$AP,ROW(),$G$6),IFERROR(--SUBSTITUTE(SUBSTITUTE(TRIM(INDEX($A:$AP,ROW(),$G$6)),",",""),"원",""),0))))</f>
        <v/>
      </c>
      <c r="AV36" s="23">
        <f>IF($AS36="","",IF($H$6="",$AT36+$AU36,IF($H$6="",0,IF(ISNUMBER(INDEX($A:$AP,ROW(),$H$6)),INDEX($A:$AP,ROW(),$H$6),IFERROR(--SUBSTITUTE(SUBSTITUTE(TRIM(INDEX($A:$AP,ROW(),$H$6)),",",""),"원",""),0)))))</f>
        <v/>
      </c>
      <c r="AW36" s="2">
        <f>IF(OR($AS36="",$C$6=""),"",TRIM(INDEX($A:$AP,ROW(),$C$6)&amp;""))</f>
        <v/>
      </c>
      <c r="AX36" s="2">
        <f>IF($AS36="","",IF($AZ36&lt;&gt;"",SUBSTITUTE(SUBSTITUTE($AZ36,"-","")," ",""),$AY36))</f>
        <v/>
      </c>
      <c r="AY36" s="2">
        <f>IF(OR($AS36="",$E$6=""),"",TRIM(INDEX($A:$AP,ROW(),$E$6)&amp;""))</f>
        <v/>
      </c>
      <c r="AZ36" s="2">
        <f>IF(OR($AS36="",$D$6=""),"",TRIM(INDEX($A:$AP,ROW(),$D$6)&amp;""))</f>
        <v/>
      </c>
      <c r="BA36" s="2">
        <f>IF($AS36="","",IF(AND($AS36&gt;=설정!$B$10,$AS36&lt;=설정!$B$11),"포함","기간 밖"))</f>
        <v/>
      </c>
      <c r="BB36" s="2">
        <f>IF($AS36="","",IF(OR($AT36&lt;0,AND($I$6&lt;&gt;"",ISNUMBER(FIND("수정",INDEX($A:$AP,ROW(),IF($I$6="",1,$I$6))&amp;"")))),"수정","일반"))</f>
        <v/>
      </c>
      <c r="BC36" s="2">
        <f>IF($AS36="","",MID(IF($BA36="기간 밖"," / 기간 밖(신고기간 아님)","")&amp;IF(AND($AW36&lt;&gt;"",COUNTIF($AW$8:$AW$1007,$AW36)&gt;1)," / 승인번호 중복(두 번 붙여넣기?)","")&amp;IF(ABS($AU36-ROUND($AT36*0.1,0))&gt;설정!$B$8,IF($AU36=0," / 세액 0원(영세율·면세 여부 확인)"," / 세액이 공급가액 10%와 다름"),"")&amp;IF($BB36="수정"," / 수정세금계산서(합계에서 자동 가감)",""),4,200))</f>
        <v/>
      </c>
      <c r="BD36" s="2">
        <f>IF($BA36&lt;&gt;"포함","",IF(COUNTIFS($AX$8:$AX36,$AX36,$BA$8:$BA36,"포함")=1,MAX($BD$7:BD35)+1,""))</f>
        <v/>
      </c>
      <c r="BE36" s="2">
        <f>IF($BC36="","",MAX($BE$7:BE35)+1)</f>
        <v/>
      </c>
    </row>
    <row r="37">
      <c r="AR37" s="2">
        <f>IF(OR($A$5="",$B$6="",ROW()&lt;$A$5),"",IF(INDEX($A:$AP,ROW(),$B$6)="","",INDEX($A:$AP,ROW(),$B$6)))</f>
        <v/>
      </c>
      <c r="AS37" s="22">
        <f>IF($AR37="","",IF(ISNUMBER($AR37),IF($AR37&gt;=10000000,IFERROR(DATE(INT($AR37/10000),MOD(INT($AR37/100),100),MOD($AR37,100)),""),INT($AR37)),IFERROR(DATE(--LEFT(LEFT(SUBSTITUTE(SUBSTITUTE(SUBSTITUTE(SUBSTITUTE(TRIM($AR37),"-",""),".",""),"/","")," ",""),8),4),--MID(LEFT(SUBSTITUTE(SUBSTITUTE(SUBSTITUTE(SUBSTITUTE(TRIM($AR37),"-",""),".",""),"/","")," ",""),8),5,2),--MID(LEFT(SUBSTITUTE(SUBSTITUTE(SUBSTITUTE(SUBSTITUTE(TRIM($AR37),"-",""),".",""),"/","")," ",""),8),7,2)),"")))</f>
        <v/>
      </c>
      <c r="AT37" s="23">
        <f>IF($AS37="","",IF($F$6="",0,IF(ISNUMBER(INDEX($A:$AP,ROW(),$F$6)),INDEX($A:$AP,ROW(),$F$6),IFERROR(--SUBSTITUTE(SUBSTITUTE(TRIM(INDEX($A:$AP,ROW(),$F$6)),",",""),"원",""),0))))</f>
        <v/>
      </c>
      <c r="AU37" s="23">
        <f>IF($AS37="","",IF($G$6="",0,IF(ISNUMBER(INDEX($A:$AP,ROW(),$G$6)),INDEX($A:$AP,ROW(),$G$6),IFERROR(--SUBSTITUTE(SUBSTITUTE(TRIM(INDEX($A:$AP,ROW(),$G$6)),",",""),"원",""),0))))</f>
        <v/>
      </c>
      <c r="AV37" s="23">
        <f>IF($AS37="","",IF($H$6="",$AT37+$AU37,IF($H$6="",0,IF(ISNUMBER(INDEX($A:$AP,ROW(),$H$6)),INDEX($A:$AP,ROW(),$H$6),IFERROR(--SUBSTITUTE(SUBSTITUTE(TRIM(INDEX($A:$AP,ROW(),$H$6)),",",""),"원",""),0)))))</f>
        <v/>
      </c>
      <c r="AW37" s="2">
        <f>IF(OR($AS37="",$C$6=""),"",TRIM(INDEX($A:$AP,ROW(),$C$6)&amp;""))</f>
        <v/>
      </c>
      <c r="AX37" s="2">
        <f>IF($AS37="","",IF($AZ37&lt;&gt;"",SUBSTITUTE(SUBSTITUTE($AZ37,"-","")," ",""),$AY37))</f>
        <v/>
      </c>
      <c r="AY37" s="2">
        <f>IF(OR($AS37="",$E$6=""),"",TRIM(INDEX($A:$AP,ROW(),$E$6)&amp;""))</f>
        <v/>
      </c>
      <c r="AZ37" s="2">
        <f>IF(OR($AS37="",$D$6=""),"",TRIM(INDEX($A:$AP,ROW(),$D$6)&amp;""))</f>
        <v/>
      </c>
      <c r="BA37" s="2">
        <f>IF($AS37="","",IF(AND($AS37&gt;=설정!$B$10,$AS37&lt;=설정!$B$11),"포함","기간 밖"))</f>
        <v/>
      </c>
      <c r="BB37" s="2">
        <f>IF($AS37="","",IF(OR($AT37&lt;0,AND($I$6&lt;&gt;"",ISNUMBER(FIND("수정",INDEX($A:$AP,ROW(),IF($I$6="",1,$I$6))&amp;"")))),"수정","일반"))</f>
        <v/>
      </c>
      <c r="BC37" s="2">
        <f>IF($AS37="","",MID(IF($BA37="기간 밖"," / 기간 밖(신고기간 아님)","")&amp;IF(AND($AW37&lt;&gt;"",COUNTIF($AW$8:$AW$1007,$AW37)&gt;1)," / 승인번호 중복(두 번 붙여넣기?)","")&amp;IF(ABS($AU37-ROUND($AT37*0.1,0))&gt;설정!$B$8,IF($AU37=0," / 세액 0원(영세율·면세 여부 확인)"," / 세액이 공급가액 10%와 다름"),"")&amp;IF($BB37="수정"," / 수정세금계산서(합계에서 자동 가감)",""),4,200))</f>
        <v/>
      </c>
      <c r="BD37" s="2">
        <f>IF($BA37&lt;&gt;"포함","",IF(COUNTIFS($AX$8:$AX37,$AX37,$BA$8:$BA37,"포함")=1,MAX($BD$7:BD36)+1,""))</f>
        <v/>
      </c>
      <c r="BE37" s="2">
        <f>IF($BC37="","",MAX($BE$7:BE36)+1)</f>
        <v/>
      </c>
    </row>
    <row r="38">
      <c r="AR38" s="2">
        <f>IF(OR($A$5="",$B$6="",ROW()&lt;$A$5),"",IF(INDEX($A:$AP,ROW(),$B$6)="","",INDEX($A:$AP,ROW(),$B$6)))</f>
        <v/>
      </c>
      <c r="AS38" s="22">
        <f>IF($AR38="","",IF(ISNUMBER($AR38),IF($AR38&gt;=10000000,IFERROR(DATE(INT($AR38/10000),MOD(INT($AR38/100),100),MOD($AR38,100)),""),INT($AR38)),IFERROR(DATE(--LEFT(LEFT(SUBSTITUTE(SUBSTITUTE(SUBSTITUTE(SUBSTITUTE(TRIM($AR38),"-",""),".",""),"/","")," ",""),8),4),--MID(LEFT(SUBSTITUTE(SUBSTITUTE(SUBSTITUTE(SUBSTITUTE(TRIM($AR38),"-",""),".",""),"/","")," ",""),8),5,2),--MID(LEFT(SUBSTITUTE(SUBSTITUTE(SUBSTITUTE(SUBSTITUTE(TRIM($AR38),"-",""),".",""),"/","")," ",""),8),7,2)),"")))</f>
        <v/>
      </c>
      <c r="AT38" s="23">
        <f>IF($AS38="","",IF($F$6="",0,IF(ISNUMBER(INDEX($A:$AP,ROW(),$F$6)),INDEX($A:$AP,ROW(),$F$6),IFERROR(--SUBSTITUTE(SUBSTITUTE(TRIM(INDEX($A:$AP,ROW(),$F$6)),",",""),"원",""),0))))</f>
        <v/>
      </c>
      <c r="AU38" s="23">
        <f>IF($AS38="","",IF($G$6="",0,IF(ISNUMBER(INDEX($A:$AP,ROW(),$G$6)),INDEX($A:$AP,ROW(),$G$6),IFERROR(--SUBSTITUTE(SUBSTITUTE(TRIM(INDEX($A:$AP,ROW(),$G$6)),",",""),"원",""),0))))</f>
        <v/>
      </c>
      <c r="AV38" s="23">
        <f>IF($AS38="","",IF($H$6="",$AT38+$AU38,IF($H$6="",0,IF(ISNUMBER(INDEX($A:$AP,ROW(),$H$6)),INDEX($A:$AP,ROW(),$H$6),IFERROR(--SUBSTITUTE(SUBSTITUTE(TRIM(INDEX($A:$AP,ROW(),$H$6)),",",""),"원",""),0)))))</f>
        <v/>
      </c>
      <c r="AW38" s="2">
        <f>IF(OR($AS38="",$C$6=""),"",TRIM(INDEX($A:$AP,ROW(),$C$6)&amp;""))</f>
        <v/>
      </c>
      <c r="AX38" s="2">
        <f>IF($AS38="","",IF($AZ38&lt;&gt;"",SUBSTITUTE(SUBSTITUTE($AZ38,"-","")," ",""),$AY38))</f>
        <v/>
      </c>
      <c r="AY38" s="2">
        <f>IF(OR($AS38="",$E$6=""),"",TRIM(INDEX($A:$AP,ROW(),$E$6)&amp;""))</f>
        <v/>
      </c>
      <c r="AZ38" s="2">
        <f>IF(OR($AS38="",$D$6=""),"",TRIM(INDEX($A:$AP,ROW(),$D$6)&amp;""))</f>
        <v/>
      </c>
      <c r="BA38" s="2">
        <f>IF($AS38="","",IF(AND($AS38&gt;=설정!$B$10,$AS38&lt;=설정!$B$11),"포함","기간 밖"))</f>
        <v/>
      </c>
      <c r="BB38" s="2">
        <f>IF($AS38="","",IF(OR($AT38&lt;0,AND($I$6&lt;&gt;"",ISNUMBER(FIND("수정",INDEX($A:$AP,ROW(),IF($I$6="",1,$I$6))&amp;"")))),"수정","일반"))</f>
        <v/>
      </c>
      <c r="BC38" s="2">
        <f>IF($AS38="","",MID(IF($BA38="기간 밖"," / 기간 밖(신고기간 아님)","")&amp;IF(AND($AW38&lt;&gt;"",COUNTIF($AW$8:$AW$1007,$AW38)&gt;1)," / 승인번호 중복(두 번 붙여넣기?)","")&amp;IF(ABS($AU38-ROUND($AT38*0.1,0))&gt;설정!$B$8,IF($AU38=0," / 세액 0원(영세율·면세 여부 확인)"," / 세액이 공급가액 10%와 다름"),"")&amp;IF($BB38="수정"," / 수정세금계산서(합계에서 자동 가감)",""),4,200))</f>
        <v/>
      </c>
      <c r="BD38" s="2">
        <f>IF($BA38&lt;&gt;"포함","",IF(COUNTIFS($AX$8:$AX38,$AX38,$BA$8:$BA38,"포함")=1,MAX($BD$7:BD37)+1,""))</f>
        <v/>
      </c>
      <c r="BE38" s="2">
        <f>IF($BC38="","",MAX($BE$7:BE37)+1)</f>
        <v/>
      </c>
    </row>
    <row r="39">
      <c r="AR39" s="2">
        <f>IF(OR($A$5="",$B$6="",ROW()&lt;$A$5),"",IF(INDEX($A:$AP,ROW(),$B$6)="","",INDEX($A:$AP,ROW(),$B$6)))</f>
        <v/>
      </c>
      <c r="AS39" s="22">
        <f>IF($AR39="","",IF(ISNUMBER($AR39),IF($AR39&gt;=10000000,IFERROR(DATE(INT($AR39/10000),MOD(INT($AR39/100),100),MOD($AR39,100)),""),INT($AR39)),IFERROR(DATE(--LEFT(LEFT(SUBSTITUTE(SUBSTITUTE(SUBSTITUTE(SUBSTITUTE(TRIM($AR39),"-",""),".",""),"/","")," ",""),8),4),--MID(LEFT(SUBSTITUTE(SUBSTITUTE(SUBSTITUTE(SUBSTITUTE(TRIM($AR39),"-",""),".",""),"/","")," ",""),8),5,2),--MID(LEFT(SUBSTITUTE(SUBSTITUTE(SUBSTITUTE(SUBSTITUTE(TRIM($AR39),"-",""),".",""),"/","")," ",""),8),7,2)),"")))</f>
        <v/>
      </c>
      <c r="AT39" s="23">
        <f>IF($AS39="","",IF($F$6="",0,IF(ISNUMBER(INDEX($A:$AP,ROW(),$F$6)),INDEX($A:$AP,ROW(),$F$6),IFERROR(--SUBSTITUTE(SUBSTITUTE(TRIM(INDEX($A:$AP,ROW(),$F$6)),",",""),"원",""),0))))</f>
        <v/>
      </c>
      <c r="AU39" s="23">
        <f>IF($AS39="","",IF($G$6="",0,IF(ISNUMBER(INDEX($A:$AP,ROW(),$G$6)),INDEX($A:$AP,ROW(),$G$6),IFERROR(--SUBSTITUTE(SUBSTITUTE(TRIM(INDEX($A:$AP,ROW(),$G$6)),",",""),"원",""),0))))</f>
        <v/>
      </c>
      <c r="AV39" s="23">
        <f>IF($AS39="","",IF($H$6="",$AT39+$AU39,IF($H$6="",0,IF(ISNUMBER(INDEX($A:$AP,ROW(),$H$6)),INDEX($A:$AP,ROW(),$H$6),IFERROR(--SUBSTITUTE(SUBSTITUTE(TRIM(INDEX($A:$AP,ROW(),$H$6)),",",""),"원",""),0)))))</f>
        <v/>
      </c>
      <c r="AW39" s="2">
        <f>IF(OR($AS39="",$C$6=""),"",TRIM(INDEX($A:$AP,ROW(),$C$6)&amp;""))</f>
        <v/>
      </c>
      <c r="AX39" s="2">
        <f>IF($AS39="","",IF($AZ39&lt;&gt;"",SUBSTITUTE(SUBSTITUTE($AZ39,"-","")," ",""),$AY39))</f>
        <v/>
      </c>
      <c r="AY39" s="2">
        <f>IF(OR($AS39="",$E$6=""),"",TRIM(INDEX($A:$AP,ROW(),$E$6)&amp;""))</f>
        <v/>
      </c>
      <c r="AZ39" s="2">
        <f>IF(OR($AS39="",$D$6=""),"",TRIM(INDEX($A:$AP,ROW(),$D$6)&amp;""))</f>
        <v/>
      </c>
      <c r="BA39" s="2">
        <f>IF($AS39="","",IF(AND($AS39&gt;=설정!$B$10,$AS39&lt;=설정!$B$11),"포함","기간 밖"))</f>
        <v/>
      </c>
      <c r="BB39" s="2">
        <f>IF($AS39="","",IF(OR($AT39&lt;0,AND($I$6&lt;&gt;"",ISNUMBER(FIND("수정",INDEX($A:$AP,ROW(),IF($I$6="",1,$I$6))&amp;"")))),"수정","일반"))</f>
        <v/>
      </c>
      <c r="BC39" s="2">
        <f>IF($AS39="","",MID(IF($BA39="기간 밖"," / 기간 밖(신고기간 아님)","")&amp;IF(AND($AW39&lt;&gt;"",COUNTIF($AW$8:$AW$1007,$AW39)&gt;1)," / 승인번호 중복(두 번 붙여넣기?)","")&amp;IF(ABS($AU39-ROUND($AT39*0.1,0))&gt;설정!$B$8,IF($AU39=0," / 세액 0원(영세율·면세 여부 확인)"," / 세액이 공급가액 10%와 다름"),"")&amp;IF($BB39="수정"," / 수정세금계산서(합계에서 자동 가감)",""),4,200))</f>
        <v/>
      </c>
      <c r="BD39" s="2">
        <f>IF($BA39&lt;&gt;"포함","",IF(COUNTIFS($AX$8:$AX39,$AX39,$BA$8:$BA39,"포함")=1,MAX($BD$7:BD38)+1,""))</f>
        <v/>
      </c>
      <c r="BE39" s="2">
        <f>IF($BC39="","",MAX($BE$7:BE38)+1)</f>
        <v/>
      </c>
    </row>
    <row r="40">
      <c r="AR40" s="2">
        <f>IF(OR($A$5="",$B$6="",ROW()&lt;$A$5),"",IF(INDEX($A:$AP,ROW(),$B$6)="","",INDEX($A:$AP,ROW(),$B$6)))</f>
        <v/>
      </c>
      <c r="AS40" s="22">
        <f>IF($AR40="","",IF(ISNUMBER($AR40),IF($AR40&gt;=10000000,IFERROR(DATE(INT($AR40/10000),MOD(INT($AR40/100),100),MOD($AR40,100)),""),INT($AR40)),IFERROR(DATE(--LEFT(LEFT(SUBSTITUTE(SUBSTITUTE(SUBSTITUTE(SUBSTITUTE(TRIM($AR40),"-",""),".",""),"/","")," ",""),8),4),--MID(LEFT(SUBSTITUTE(SUBSTITUTE(SUBSTITUTE(SUBSTITUTE(TRIM($AR40),"-",""),".",""),"/","")," ",""),8),5,2),--MID(LEFT(SUBSTITUTE(SUBSTITUTE(SUBSTITUTE(SUBSTITUTE(TRIM($AR40),"-",""),".",""),"/","")," ",""),8),7,2)),"")))</f>
        <v/>
      </c>
      <c r="AT40" s="23">
        <f>IF($AS40="","",IF($F$6="",0,IF(ISNUMBER(INDEX($A:$AP,ROW(),$F$6)),INDEX($A:$AP,ROW(),$F$6),IFERROR(--SUBSTITUTE(SUBSTITUTE(TRIM(INDEX($A:$AP,ROW(),$F$6)),",",""),"원",""),0))))</f>
        <v/>
      </c>
      <c r="AU40" s="23">
        <f>IF($AS40="","",IF($G$6="",0,IF(ISNUMBER(INDEX($A:$AP,ROW(),$G$6)),INDEX($A:$AP,ROW(),$G$6),IFERROR(--SUBSTITUTE(SUBSTITUTE(TRIM(INDEX($A:$AP,ROW(),$G$6)),",",""),"원",""),0))))</f>
        <v/>
      </c>
      <c r="AV40" s="23">
        <f>IF($AS40="","",IF($H$6="",$AT40+$AU40,IF($H$6="",0,IF(ISNUMBER(INDEX($A:$AP,ROW(),$H$6)),INDEX($A:$AP,ROW(),$H$6),IFERROR(--SUBSTITUTE(SUBSTITUTE(TRIM(INDEX($A:$AP,ROW(),$H$6)),",",""),"원",""),0)))))</f>
        <v/>
      </c>
      <c r="AW40" s="2">
        <f>IF(OR($AS40="",$C$6=""),"",TRIM(INDEX($A:$AP,ROW(),$C$6)&amp;""))</f>
        <v/>
      </c>
      <c r="AX40" s="2">
        <f>IF($AS40="","",IF($AZ40&lt;&gt;"",SUBSTITUTE(SUBSTITUTE($AZ40,"-","")," ",""),$AY40))</f>
        <v/>
      </c>
      <c r="AY40" s="2">
        <f>IF(OR($AS40="",$E$6=""),"",TRIM(INDEX($A:$AP,ROW(),$E$6)&amp;""))</f>
        <v/>
      </c>
      <c r="AZ40" s="2">
        <f>IF(OR($AS40="",$D$6=""),"",TRIM(INDEX($A:$AP,ROW(),$D$6)&amp;""))</f>
        <v/>
      </c>
      <c r="BA40" s="2">
        <f>IF($AS40="","",IF(AND($AS40&gt;=설정!$B$10,$AS40&lt;=설정!$B$11),"포함","기간 밖"))</f>
        <v/>
      </c>
      <c r="BB40" s="2">
        <f>IF($AS40="","",IF(OR($AT40&lt;0,AND($I$6&lt;&gt;"",ISNUMBER(FIND("수정",INDEX($A:$AP,ROW(),IF($I$6="",1,$I$6))&amp;"")))),"수정","일반"))</f>
        <v/>
      </c>
      <c r="BC40" s="2">
        <f>IF($AS40="","",MID(IF($BA40="기간 밖"," / 기간 밖(신고기간 아님)","")&amp;IF(AND($AW40&lt;&gt;"",COUNTIF($AW$8:$AW$1007,$AW40)&gt;1)," / 승인번호 중복(두 번 붙여넣기?)","")&amp;IF(ABS($AU40-ROUND($AT40*0.1,0))&gt;설정!$B$8,IF($AU40=0," / 세액 0원(영세율·면세 여부 확인)"," / 세액이 공급가액 10%와 다름"),"")&amp;IF($BB40="수정"," / 수정세금계산서(합계에서 자동 가감)",""),4,200))</f>
        <v/>
      </c>
      <c r="BD40" s="2">
        <f>IF($BA40&lt;&gt;"포함","",IF(COUNTIFS($AX$8:$AX40,$AX40,$BA$8:$BA40,"포함")=1,MAX($BD$7:BD39)+1,""))</f>
        <v/>
      </c>
      <c r="BE40" s="2">
        <f>IF($BC40="","",MAX($BE$7:BE39)+1)</f>
        <v/>
      </c>
    </row>
    <row r="41">
      <c r="AR41" s="2">
        <f>IF(OR($A$5="",$B$6="",ROW()&lt;$A$5),"",IF(INDEX($A:$AP,ROW(),$B$6)="","",INDEX($A:$AP,ROW(),$B$6)))</f>
        <v/>
      </c>
      <c r="AS41" s="22">
        <f>IF($AR41="","",IF(ISNUMBER($AR41),IF($AR41&gt;=10000000,IFERROR(DATE(INT($AR41/10000),MOD(INT($AR41/100),100),MOD($AR41,100)),""),INT($AR41)),IFERROR(DATE(--LEFT(LEFT(SUBSTITUTE(SUBSTITUTE(SUBSTITUTE(SUBSTITUTE(TRIM($AR41),"-",""),".",""),"/","")," ",""),8),4),--MID(LEFT(SUBSTITUTE(SUBSTITUTE(SUBSTITUTE(SUBSTITUTE(TRIM($AR41),"-",""),".",""),"/","")," ",""),8),5,2),--MID(LEFT(SUBSTITUTE(SUBSTITUTE(SUBSTITUTE(SUBSTITUTE(TRIM($AR41),"-",""),".",""),"/","")," ",""),8),7,2)),"")))</f>
        <v/>
      </c>
      <c r="AT41" s="23">
        <f>IF($AS41="","",IF($F$6="",0,IF(ISNUMBER(INDEX($A:$AP,ROW(),$F$6)),INDEX($A:$AP,ROW(),$F$6),IFERROR(--SUBSTITUTE(SUBSTITUTE(TRIM(INDEX($A:$AP,ROW(),$F$6)),",",""),"원",""),0))))</f>
        <v/>
      </c>
      <c r="AU41" s="23">
        <f>IF($AS41="","",IF($G$6="",0,IF(ISNUMBER(INDEX($A:$AP,ROW(),$G$6)),INDEX($A:$AP,ROW(),$G$6),IFERROR(--SUBSTITUTE(SUBSTITUTE(TRIM(INDEX($A:$AP,ROW(),$G$6)),",",""),"원",""),0))))</f>
        <v/>
      </c>
      <c r="AV41" s="23">
        <f>IF($AS41="","",IF($H$6="",$AT41+$AU41,IF($H$6="",0,IF(ISNUMBER(INDEX($A:$AP,ROW(),$H$6)),INDEX($A:$AP,ROW(),$H$6),IFERROR(--SUBSTITUTE(SUBSTITUTE(TRIM(INDEX($A:$AP,ROW(),$H$6)),",",""),"원",""),0)))))</f>
        <v/>
      </c>
      <c r="AW41" s="2">
        <f>IF(OR($AS41="",$C$6=""),"",TRIM(INDEX($A:$AP,ROW(),$C$6)&amp;""))</f>
        <v/>
      </c>
      <c r="AX41" s="2">
        <f>IF($AS41="","",IF($AZ41&lt;&gt;"",SUBSTITUTE(SUBSTITUTE($AZ41,"-","")," ",""),$AY41))</f>
        <v/>
      </c>
      <c r="AY41" s="2">
        <f>IF(OR($AS41="",$E$6=""),"",TRIM(INDEX($A:$AP,ROW(),$E$6)&amp;""))</f>
        <v/>
      </c>
      <c r="AZ41" s="2">
        <f>IF(OR($AS41="",$D$6=""),"",TRIM(INDEX($A:$AP,ROW(),$D$6)&amp;""))</f>
        <v/>
      </c>
      <c r="BA41" s="2">
        <f>IF($AS41="","",IF(AND($AS41&gt;=설정!$B$10,$AS41&lt;=설정!$B$11),"포함","기간 밖"))</f>
        <v/>
      </c>
      <c r="BB41" s="2">
        <f>IF($AS41="","",IF(OR($AT41&lt;0,AND($I$6&lt;&gt;"",ISNUMBER(FIND("수정",INDEX($A:$AP,ROW(),IF($I$6="",1,$I$6))&amp;"")))),"수정","일반"))</f>
        <v/>
      </c>
      <c r="BC41" s="2">
        <f>IF($AS41="","",MID(IF($BA41="기간 밖"," / 기간 밖(신고기간 아님)","")&amp;IF(AND($AW41&lt;&gt;"",COUNTIF($AW$8:$AW$1007,$AW41)&gt;1)," / 승인번호 중복(두 번 붙여넣기?)","")&amp;IF(ABS($AU41-ROUND($AT41*0.1,0))&gt;설정!$B$8,IF($AU41=0," / 세액 0원(영세율·면세 여부 확인)"," / 세액이 공급가액 10%와 다름"),"")&amp;IF($BB41="수정"," / 수정세금계산서(합계에서 자동 가감)",""),4,200))</f>
        <v/>
      </c>
      <c r="BD41" s="2">
        <f>IF($BA41&lt;&gt;"포함","",IF(COUNTIFS($AX$8:$AX41,$AX41,$BA$8:$BA41,"포함")=1,MAX($BD$7:BD40)+1,""))</f>
        <v/>
      </c>
      <c r="BE41" s="2">
        <f>IF($BC41="","",MAX($BE$7:BE40)+1)</f>
        <v/>
      </c>
    </row>
    <row r="42">
      <c r="AR42" s="2">
        <f>IF(OR($A$5="",$B$6="",ROW()&lt;$A$5),"",IF(INDEX($A:$AP,ROW(),$B$6)="","",INDEX($A:$AP,ROW(),$B$6)))</f>
        <v/>
      </c>
      <c r="AS42" s="22">
        <f>IF($AR42="","",IF(ISNUMBER($AR42),IF($AR42&gt;=10000000,IFERROR(DATE(INT($AR42/10000),MOD(INT($AR42/100),100),MOD($AR42,100)),""),INT($AR42)),IFERROR(DATE(--LEFT(LEFT(SUBSTITUTE(SUBSTITUTE(SUBSTITUTE(SUBSTITUTE(TRIM($AR42),"-",""),".",""),"/","")," ",""),8),4),--MID(LEFT(SUBSTITUTE(SUBSTITUTE(SUBSTITUTE(SUBSTITUTE(TRIM($AR42),"-",""),".",""),"/","")," ",""),8),5,2),--MID(LEFT(SUBSTITUTE(SUBSTITUTE(SUBSTITUTE(SUBSTITUTE(TRIM($AR42),"-",""),".",""),"/","")," ",""),8),7,2)),"")))</f>
        <v/>
      </c>
      <c r="AT42" s="23">
        <f>IF($AS42="","",IF($F$6="",0,IF(ISNUMBER(INDEX($A:$AP,ROW(),$F$6)),INDEX($A:$AP,ROW(),$F$6),IFERROR(--SUBSTITUTE(SUBSTITUTE(TRIM(INDEX($A:$AP,ROW(),$F$6)),",",""),"원",""),0))))</f>
        <v/>
      </c>
      <c r="AU42" s="23">
        <f>IF($AS42="","",IF($G$6="",0,IF(ISNUMBER(INDEX($A:$AP,ROW(),$G$6)),INDEX($A:$AP,ROW(),$G$6),IFERROR(--SUBSTITUTE(SUBSTITUTE(TRIM(INDEX($A:$AP,ROW(),$G$6)),",",""),"원",""),0))))</f>
        <v/>
      </c>
      <c r="AV42" s="23">
        <f>IF($AS42="","",IF($H$6="",$AT42+$AU42,IF($H$6="",0,IF(ISNUMBER(INDEX($A:$AP,ROW(),$H$6)),INDEX($A:$AP,ROW(),$H$6),IFERROR(--SUBSTITUTE(SUBSTITUTE(TRIM(INDEX($A:$AP,ROW(),$H$6)),",",""),"원",""),0)))))</f>
        <v/>
      </c>
      <c r="AW42" s="2">
        <f>IF(OR($AS42="",$C$6=""),"",TRIM(INDEX($A:$AP,ROW(),$C$6)&amp;""))</f>
        <v/>
      </c>
      <c r="AX42" s="2">
        <f>IF($AS42="","",IF($AZ42&lt;&gt;"",SUBSTITUTE(SUBSTITUTE($AZ42,"-","")," ",""),$AY42))</f>
        <v/>
      </c>
      <c r="AY42" s="2">
        <f>IF(OR($AS42="",$E$6=""),"",TRIM(INDEX($A:$AP,ROW(),$E$6)&amp;""))</f>
        <v/>
      </c>
      <c r="AZ42" s="2">
        <f>IF(OR($AS42="",$D$6=""),"",TRIM(INDEX($A:$AP,ROW(),$D$6)&amp;""))</f>
        <v/>
      </c>
      <c r="BA42" s="2">
        <f>IF($AS42="","",IF(AND($AS42&gt;=설정!$B$10,$AS42&lt;=설정!$B$11),"포함","기간 밖"))</f>
        <v/>
      </c>
      <c r="BB42" s="2">
        <f>IF($AS42="","",IF(OR($AT42&lt;0,AND($I$6&lt;&gt;"",ISNUMBER(FIND("수정",INDEX($A:$AP,ROW(),IF($I$6="",1,$I$6))&amp;"")))),"수정","일반"))</f>
        <v/>
      </c>
      <c r="BC42" s="2">
        <f>IF($AS42="","",MID(IF($BA42="기간 밖"," / 기간 밖(신고기간 아님)","")&amp;IF(AND($AW42&lt;&gt;"",COUNTIF($AW$8:$AW$1007,$AW42)&gt;1)," / 승인번호 중복(두 번 붙여넣기?)","")&amp;IF(ABS($AU42-ROUND($AT42*0.1,0))&gt;설정!$B$8,IF($AU42=0," / 세액 0원(영세율·면세 여부 확인)"," / 세액이 공급가액 10%와 다름"),"")&amp;IF($BB42="수정"," / 수정세금계산서(합계에서 자동 가감)",""),4,200))</f>
        <v/>
      </c>
      <c r="BD42" s="2">
        <f>IF($BA42&lt;&gt;"포함","",IF(COUNTIFS($AX$8:$AX42,$AX42,$BA$8:$BA42,"포함")=1,MAX($BD$7:BD41)+1,""))</f>
        <v/>
      </c>
      <c r="BE42" s="2">
        <f>IF($BC42="","",MAX($BE$7:BE41)+1)</f>
        <v/>
      </c>
    </row>
    <row r="43">
      <c r="AR43" s="2">
        <f>IF(OR($A$5="",$B$6="",ROW()&lt;$A$5),"",IF(INDEX($A:$AP,ROW(),$B$6)="","",INDEX($A:$AP,ROW(),$B$6)))</f>
        <v/>
      </c>
      <c r="AS43" s="22">
        <f>IF($AR43="","",IF(ISNUMBER($AR43),IF($AR43&gt;=10000000,IFERROR(DATE(INT($AR43/10000),MOD(INT($AR43/100),100),MOD($AR43,100)),""),INT($AR43)),IFERROR(DATE(--LEFT(LEFT(SUBSTITUTE(SUBSTITUTE(SUBSTITUTE(SUBSTITUTE(TRIM($AR43),"-",""),".",""),"/","")," ",""),8),4),--MID(LEFT(SUBSTITUTE(SUBSTITUTE(SUBSTITUTE(SUBSTITUTE(TRIM($AR43),"-",""),".",""),"/","")," ",""),8),5,2),--MID(LEFT(SUBSTITUTE(SUBSTITUTE(SUBSTITUTE(SUBSTITUTE(TRIM($AR43),"-",""),".",""),"/","")," ",""),8),7,2)),"")))</f>
        <v/>
      </c>
      <c r="AT43" s="23">
        <f>IF($AS43="","",IF($F$6="",0,IF(ISNUMBER(INDEX($A:$AP,ROW(),$F$6)),INDEX($A:$AP,ROW(),$F$6),IFERROR(--SUBSTITUTE(SUBSTITUTE(TRIM(INDEX($A:$AP,ROW(),$F$6)),",",""),"원",""),0))))</f>
        <v/>
      </c>
      <c r="AU43" s="23">
        <f>IF($AS43="","",IF($G$6="",0,IF(ISNUMBER(INDEX($A:$AP,ROW(),$G$6)),INDEX($A:$AP,ROW(),$G$6),IFERROR(--SUBSTITUTE(SUBSTITUTE(TRIM(INDEX($A:$AP,ROW(),$G$6)),",",""),"원",""),0))))</f>
        <v/>
      </c>
      <c r="AV43" s="23">
        <f>IF($AS43="","",IF($H$6="",$AT43+$AU43,IF($H$6="",0,IF(ISNUMBER(INDEX($A:$AP,ROW(),$H$6)),INDEX($A:$AP,ROW(),$H$6),IFERROR(--SUBSTITUTE(SUBSTITUTE(TRIM(INDEX($A:$AP,ROW(),$H$6)),",",""),"원",""),0)))))</f>
        <v/>
      </c>
      <c r="AW43" s="2">
        <f>IF(OR($AS43="",$C$6=""),"",TRIM(INDEX($A:$AP,ROW(),$C$6)&amp;""))</f>
        <v/>
      </c>
      <c r="AX43" s="2">
        <f>IF($AS43="","",IF($AZ43&lt;&gt;"",SUBSTITUTE(SUBSTITUTE($AZ43,"-","")," ",""),$AY43))</f>
        <v/>
      </c>
      <c r="AY43" s="2">
        <f>IF(OR($AS43="",$E$6=""),"",TRIM(INDEX($A:$AP,ROW(),$E$6)&amp;""))</f>
        <v/>
      </c>
      <c r="AZ43" s="2">
        <f>IF(OR($AS43="",$D$6=""),"",TRIM(INDEX($A:$AP,ROW(),$D$6)&amp;""))</f>
        <v/>
      </c>
      <c r="BA43" s="2">
        <f>IF($AS43="","",IF(AND($AS43&gt;=설정!$B$10,$AS43&lt;=설정!$B$11),"포함","기간 밖"))</f>
        <v/>
      </c>
      <c r="BB43" s="2">
        <f>IF($AS43="","",IF(OR($AT43&lt;0,AND($I$6&lt;&gt;"",ISNUMBER(FIND("수정",INDEX($A:$AP,ROW(),IF($I$6="",1,$I$6))&amp;"")))),"수정","일반"))</f>
        <v/>
      </c>
      <c r="BC43" s="2">
        <f>IF($AS43="","",MID(IF($BA43="기간 밖"," / 기간 밖(신고기간 아님)","")&amp;IF(AND($AW43&lt;&gt;"",COUNTIF($AW$8:$AW$1007,$AW43)&gt;1)," / 승인번호 중복(두 번 붙여넣기?)","")&amp;IF(ABS($AU43-ROUND($AT43*0.1,0))&gt;설정!$B$8,IF($AU43=0," / 세액 0원(영세율·면세 여부 확인)"," / 세액이 공급가액 10%와 다름"),"")&amp;IF($BB43="수정"," / 수정세금계산서(합계에서 자동 가감)",""),4,200))</f>
        <v/>
      </c>
      <c r="BD43" s="2">
        <f>IF($BA43&lt;&gt;"포함","",IF(COUNTIFS($AX$8:$AX43,$AX43,$BA$8:$BA43,"포함")=1,MAX($BD$7:BD42)+1,""))</f>
        <v/>
      </c>
      <c r="BE43" s="2">
        <f>IF($BC43="","",MAX($BE$7:BE42)+1)</f>
        <v/>
      </c>
    </row>
    <row r="44">
      <c r="AR44" s="2">
        <f>IF(OR($A$5="",$B$6="",ROW()&lt;$A$5),"",IF(INDEX($A:$AP,ROW(),$B$6)="","",INDEX($A:$AP,ROW(),$B$6)))</f>
        <v/>
      </c>
      <c r="AS44" s="22">
        <f>IF($AR44="","",IF(ISNUMBER($AR44),IF($AR44&gt;=10000000,IFERROR(DATE(INT($AR44/10000),MOD(INT($AR44/100),100),MOD($AR44,100)),""),INT($AR44)),IFERROR(DATE(--LEFT(LEFT(SUBSTITUTE(SUBSTITUTE(SUBSTITUTE(SUBSTITUTE(TRIM($AR44),"-",""),".",""),"/","")," ",""),8),4),--MID(LEFT(SUBSTITUTE(SUBSTITUTE(SUBSTITUTE(SUBSTITUTE(TRIM($AR44),"-",""),".",""),"/","")," ",""),8),5,2),--MID(LEFT(SUBSTITUTE(SUBSTITUTE(SUBSTITUTE(SUBSTITUTE(TRIM($AR44),"-",""),".",""),"/","")," ",""),8),7,2)),"")))</f>
        <v/>
      </c>
      <c r="AT44" s="23">
        <f>IF($AS44="","",IF($F$6="",0,IF(ISNUMBER(INDEX($A:$AP,ROW(),$F$6)),INDEX($A:$AP,ROW(),$F$6),IFERROR(--SUBSTITUTE(SUBSTITUTE(TRIM(INDEX($A:$AP,ROW(),$F$6)),",",""),"원",""),0))))</f>
        <v/>
      </c>
      <c r="AU44" s="23">
        <f>IF($AS44="","",IF($G$6="",0,IF(ISNUMBER(INDEX($A:$AP,ROW(),$G$6)),INDEX($A:$AP,ROW(),$G$6),IFERROR(--SUBSTITUTE(SUBSTITUTE(TRIM(INDEX($A:$AP,ROW(),$G$6)),",",""),"원",""),0))))</f>
        <v/>
      </c>
      <c r="AV44" s="23">
        <f>IF($AS44="","",IF($H$6="",$AT44+$AU44,IF($H$6="",0,IF(ISNUMBER(INDEX($A:$AP,ROW(),$H$6)),INDEX($A:$AP,ROW(),$H$6),IFERROR(--SUBSTITUTE(SUBSTITUTE(TRIM(INDEX($A:$AP,ROW(),$H$6)),",",""),"원",""),0)))))</f>
        <v/>
      </c>
      <c r="AW44" s="2">
        <f>IF(OR($AS44="",$C$6=""),"",TRIM(INDEX($A:$AP,ROW(),$C$6)&amp;""))</f>
        <v/>
      </c>
      <c r="AX44" s="2">
        <f>IF($AS44="","",IF($AZ44&lt;&gt;"",SUBSTITUTE(SUBSTITUTE($AZ44,"-","")," ",""),$AY44))</f>
        <v/>
      </c>
      <c r="AY44" s="2">
        <f>IF(OR($AS44="",$E$6=""),"",TRIM(INDEX($A:$AP,ROW(),$E$6)&amp;""))</f>
        <v/>
      </c>
      <c r="AZ44" s="2">
        <f>IF(OR($AS44="",$D$6=""),"",TRIM(INDEX($A:$AP,ROW(),$D$6)&amp;""))</f>
        <v/>
      </c>
      <c r="BA44" s="2">
        <f>IF($AS44="","",IF(AND($AS44&gt;=설정!$B$10,$AS44&lt;=설정!$B$11),"포함","기간 밖"))</f>
        <v/>
      </c>
      <c r="BB44" s="2">
        <f>IF($AS44="","",IF(OR($AT44&lt;0,AND($I$6&lt;&gt;"",ISNUMBER(FIND("수정",INDEX($A:$AP,ROW(),IF($I$6="",1,$I$6))&amp;"")))),"수정","일반"))</f>
        <v/>
      </c>
      <c r="BC44" s="2">
        <f>IF($AS44="","",MID(IF($BA44="기간 밖"," / 기간 밖(신고기간 아님)","")&amp;IF(AND($AW44&lt;&gt;"",COUNTIF($AW$8:$AW$1007,$AW44)&gt;1)," / 승인번호 중복(두 번 붙여넣기?)","")&amp;IF(ABS($AU44-ROUND($AT44*0.1,0))&gt;설정!$B$8,IF($AU44=0," / 세액 0원(영세율·면세 여부 확인)"," / 세액이 공급가액 10%와 다름"),"")&amp;IF($BB44="수정"," / 수정세금계산서(합계에서 자동 가감)",""),4,200))</f>
        <v/>
      </c>
      <c r="BD44" s="2">
        <f>IF($BA44&lt;&gt;"포함","",IF(COUNTIFS($AX$8:$AX44,$AX44,$BA$8:$BA44,"포함")=1,MAX($BD$7:BD43)+1,""))</f>
        <v/>
      </c>
      <c r="BE44" s="2">
        <f>IF($BC44="","",MAX($BE$7:BE43)+1)</f>
        <v/>
      </c>
    </row>
    <row r="45">
      <c r="AR45" s="2">
        <f>IF(OR($A$5="",$B$6="",ROW()&lt;$A$5),"",IF(INDEX($A:$AP,ROW(),$B$6)="","",INDEX($A:$AP,ROW(),$B$6)))</f>
        <v/>
      </c>
      <c r="AS45" s="22">
        <f>IF($AR45="","",IF(ISNUMBER($AR45),IF($AR45&gt;=10000000,IFERROR(DATE(INT($AR45/10000),MOD(INT($AR45/100),100),MOD($AR45,100)),""),INT($AR45)),IFERROR(DATE(--LEFT(LEFT(SUBSTITUTE(SUBSTITUTE(SUBSTITUTE(SUBSTITUTE(TRIM($AR45),"-",""),".",""),"/","")," ",""),8),4),--MID(LEFT(SUBSTITUTE(SUBSTITUTE(SUBSTITUTE(SUBSTITUTE(TRIM($AR45),"-",""),".",""),"/","")," ",""),8),5,2),--MID(LEFT(SUBSTITUTE(SUBSTITUTE(SUBSTITUTE(SUBSTITUTE(TRIM($AR45),"-",""),".",""),"/","")," ",""),8),7,2)),"")))</f>
        <v/>
      </c>
      <c r="AT45" s="23">
        <f>IF($AS45="","",IF($F$6="",0,IF(ISNUMBER(INDEX($A:$AP,ROW(),$F$6)),INDEX($A:$AP,ROW(),$F$6),IFERROR(--SUBSTITUTE(SUBSTITUTE(TRIM(INDEX($A:$AP,ROW(),$F$6)),",",""),"원",""),0))))</f>
        <v/>
      </c>
      <c r="AU45" s="23">
        <f>IF($AS45="","",IF($G$6="",0,IF(ISNUMBER(INDEX($A:$AP,ROW(),$G$6)),INDEX($A:$AP,ROW(),$G$6),IFERROR(--SUBSTITUTE(SUBSTITUTE(TRIM(INDEX($A:$AP,ROW(),$G$6)),",",""),"원",""),0))))</f>
        <v/>
      </c>
      <c r="AV45" s="23">
        <f>IF($AS45="","",IF($H$6="",$AT45+$AU45,IF($H$6="",0,IF(ISNUMBER(INDEX($A:$AP,ROW(),$H$6)),INDEX($A:$AP,ROW(),$H$6),IFERROR(--SUBSTITUTE(SUBSTITUTE(TRIM(INDEX($A:$AP,ROW(),$H$6)),",",""),"원",""),0)))))</f>
        <v/>
      </c>
      <c r="AW45" s="2">
        <f>IF(OR($AS45="",$C$6=""),"",TRIM(INDEX($A:$AP,ROW(),$C$6)&amp;""))</f>
        <v/>
      </c>
      <c r="AX45" s="2">
        <f>IF($AS45="","",IF($AZ45&lt;&gt;"",SUBSTITUTE(SUBSTITUTE($AZ45,"-","")," ",""),$AY45))</f>
        <v/>
      </c>
      <c r="AY45" s="2">
        <f>IF(OR($AS45="",$E$6=""),"",TRIM(INDEX($A:$AP,ROW(),$E$6)&amp;""))</f>
        <v/>
      </c>
      <c r="AZ45" s="2">
        <f>IF(OR($AS45="",$D$6=""),"",TRIM(INDEX($A:$AP,ROW(),$D$6)&amp;""))</f>
        <v/>
      </c>
      <c r="BA45" s="2">
        <f>IF($AS45="","",IF(AND($AS45&gt;=설정!$B$10,$AS45&lt;=설정!$B$11),"포함","기간 밖"))</f>
        <v/>
      </c>
      <c r="BB45" s="2">
        <f>IF($AS45="","",IF(OR($AT45&lt;0,AND($I$6&lt;&gt;"",ISNUMBER(FIND("수정",INDEX($A:$AP,ROW(),IF($I$6="",1,$I$6))&amp;"")))),"수정","일반"))</f>
        <v/>
      </c>
      <c r="BC45" s="2">
        <f>IF($AS45="","",MID(IF($BA45="기간 밖"," / 기간 밖(신고기간 아님)","")&amp;IF(AND($AW45&lt;&gt;"",COUNTIF($AW$8:$AW$1007,$AW45)&gt;1)," / 승인번호 중복(두 번 붙여넣기?)","")&amp;IF(ABS($AU45-ROUND($AT45*0.1,0))&gt;설정!$B$8,IF($AU45=0," / 세액 0원(영세율·면세 여부 확인)"," / 세액이 공급가액 10%와 다름"),"")&amp;IF($BB45="수정"," / 수정세금계산서(합계에서 자동 가감)",""),4,200))</f>
        <v/>
      </c>
      <c r="BD45" s="2">
        <f>IF($BA45&lt;&gt;"포함","",IF(COUNTIFS($AX$8:$AX45,$AX45,$BA$8:$BA45,"포함")=1,MAX($BD$7:BD44)+1,""))</f>
        <v/>
      </c>
      <c r="BE45" s="2">
        <f>IF($BC45="","",MAX($BE$7:BE44)+1)</f>
        <v/>
      </c>
    </row>
    <row r="46">
      <c r="AR46" s="2">
        <f>IF(OR($A$5="",$B$6="",ROW()&lt;$A$5),"",IF(INDEX($A:$AP,ROW(),$B$6)="","",INDEX($A:$AP,ROW(),$B$6)))</f>
        <v/>
      </c>
      <c r="AS46" s="22">
        <f>IF($AR46="","",IF(ISNUMBER($AR46),IF($AR46&gt;=10000000,IFERROR(DATE(INT($AR46/10000),MOD(INT($AR46/100),100),MOD($AR46,100)),""),INT($AR46)),IFERROR(DATE(--LEFT(LEFT(SUBSTITUTE(SUBSTITUTE(SUBSTITUTE(SUBSTITUTE(TRIM($AR46),"-",""),".",""),"/","")," ",""),8),4),--MID(LEFT(SUBSTITUTE(SUBSTITUTE(SUBSTITUTE(SUBSTITUTE(TRIM($AR46),"-",""),".",""),"/","")," ",""),8),5,2),--MID(LEFT(SUBSTITUTE(SUBSTITUTE(SUBSTITUTE(SUBSTITUTE(TRIM($AR46),"-",""),".",""),"/","")," ",""),8),7,2)),"")))</f>
        <v/>
      </c>
      <c r="AT46" s="23">
        <f>IF($AS46="","",IF($F$6="",0,IF(ISNUMBER(INDEX($A:$AP,ROW(),$F$6)),INDEX($A:$AP,ROW(),$F$6),IFERROR(--SUBSTITUTE(SUBSTITUTE(TRIM(INDEX($A:$AP,ROW(),$F$6)),",",""),"원",""),0))))</f>
        <v/>
      </c>
      <c r="AU46" s="23">
        <f>IF($AS46="","",IF($G$6="",0,IF(ISNUMBER(INDEX($A:$AP,ROW(),$G$6)),INDEX($A:$AP,ROW(),$G$6),IFERROR(--SUBSTITUTE(SUBSTITUTE(TRIM(INDEX($A:$AP,ROW(),$G$6)),",",""),"원",""),0))))</f>
        <v/>
      </c>
      <c r="AV46" s="23">
        <f>IF($AS46="","",IF($H$6="",$AT46+$AU46,IF($H$6="",0,IF(ISNUMBER(INDEX($A:$AP,ROW(),$H$6)),INDEX($A:$AP,ROW(),$H$6),IFERROR(--SUBSTITUTE(SUBSTITUTE(TRIM(INDEX($A:$AP,ROW(),$H$6)),",",""),"원",""),0)))))</f>
        <v/>
      </c>
      <c r="AW46" s="2">
        <f>IF(OR($AS46="",$C$6=""),"",TRIM(INDEX($A:$AP,ROW(),$C$6)&amp;""))</f>
        <v/>
      </c>
      <c r="AX46" s="2">
        <f>IF($AS46="","",IF($AZ46&lt;&gt;"",SUBSTITUTE(SUBSTITUTE($AZ46,"-","")," ",""),$AY46))</f>
        <v/>
      </c>
      <c r="AY46" s="2">
        <f>IF(OR($AS46="",$E$6=""),"",TRIM(INDEX($A:$AP,ROW(),$E$6)&amp;""))</f>
        <v/>
      </c>
      <c r="AZ46" s="2">
        <f>IF(OR($AS46="",$D$6=""),"",TRIM(INDEX($A:$AP,ROW(),$D$6)&amp;""))</f>
        <v/>
      </c>
      <c r="BA46" s="2">
        <f>IF($AS46="","",IF(AND($AS46&gt;=설정!$B$10,$AS46&lt;=설정!$B$11),"포함","기간 밖"))</f>
        <v/>
      </c>
      <c r="BB46" s="2">
        <f>IF($AS46="","",IF(OR($AT46&lt;0,AND($I$6&lt;&gt;"",ISNUMBER(FIND("수정",INDEX($A:$AP,ROW(),IF($I$6="",1,$I$6))&amp;"")))),"수정","일반"))</f>
        <v/>
      </c>
      <c r="BC46" s="2">
        <f>IF($AS46="","",MID(IF($BA46="기간 밖"," / 기간 밖(신고기간 아님)","")&amp;IF(AND($AW46&lt;&gt;"",COUNTIF($AW$8:$AW$1007,$AW46)&gt;1)," / 승인번호 중복(두 번 붙여넣기?)","")&amp;IF(ABS($AU46-ROUND($AT46*0.1,0))&gt;설정!$B$8,IF($AU46=0," / 세액 0원(영세율·면세 여부 확인)"," / 세액이 공급가액 10%와 다름"),"")&amp;IF($BB46="수정"," / 수정세금계산서(합계에서 자동 가감)",""),4,200))</f>
        <v/>
      </c>
      <c r="BD46" s="2">
        <f>IF($BA46&lt;&gt;"포함","",IF(COUNTIFS($AX$8:$AX46,$AX46,$BA$8:$BA46,"포함")=1,MAX($BD$7:BD45)+1,""))</f>
        <v/>
      </c>
      <c r="BE46" s="2">
        <f>IF($BC46="","",MAX($BE$7:BE45)+1)</f>
        <v/>
      </c>
    </row>
    <row r="47">
      <c r="AR47" s="2">
        <f>IF(OR($A$5="",$B$6="",ROW()&lt;$A$5),"",IF(INDEX($A:$AP,ROW(),$B$6)="","",INDEX($A:$AP,ROW(),$B$6)))</f>
        <v/>
      </c>
      <c r="AS47" s="22">
        <f>IF($AR47="","",IF(ISNUMBER($AR47),IF($AR47&gt;=10000000,IFERROR(DATE(INT($AR47/10000),MOD(INT($AR47/100),100),MOD($AR47,100)),""),INT($AR47)),IFERROR(DATE(--LEFT(LEFT(SUBSTITUTE(SUBSTITUTE(SUBSTITUTE(SUBSTITUTE(TRIM($AR47),"-",""),".",""),"/","")," ",""),8),4),--MID(LEFT(SUBSTITUTE(SUBSTITUTE(SUBSTITUTE(SUBSTITUTE(TRIM($AR47),"-",""),".",""),"/","")," ",""),8),5,2),--MID(LEFT(SUBSTITUTE(SUBSTITUTE(SUBSTITUTE(SUBSTITUTE(TRIM($AR47),"-",""),".",""),"/","")," ",""),8),7,2)),"")))</f>
        <v/>
      </c>
      <c r="AT47" s="23">
        <f>IF($AS47="","",IF($F$6="",0,IF(ISNUMBER(INDEX($A:$AP,ROW(),$F$6)),INDEX($A:$AP,ROW(),$F$6),IFERROR(--SUBSTITUTE(SUBSTITUTE(TRIM(INDEX($A:$AP,ROW(),$F$6)),",",""),"원",""),0))))</f>
        <v/>
      </c>
      <c r="AU47" s="23">
        <f>IF($AS47="","",IF($G$6="",0,IF(ISNUMBER(INDEX($A:$AP,ROW(),$G$6)),INDEX($A:$AP,ROW(),$G$6),IFERROR(--SUBSTITUTE(SUBSTITUTE(TRIM(INDEX($A:$AP,ROW(),$G$6)),",",""),"원",""),0))))</f>
        <v/>
      </c>
      <c r="AV47" s="23">
        <f>IF($AS47="","",IF($H$6="",$AT47+$AU47,IF($H$6="",0,IF(ISNUMBER(INDEX($A:$AP,ROW(),$H$6)),INDEX($A:$AP,ROW(),$H$6),IFERROR(--SUBSTITUTE(SUBSTITUTE(TRIM(INDEX($A:$AP,ROW(),$H$6)),",",""),"원",""),0)))))</f>
        <v/>
      </c>
      <c r="AW47" s="2">
        <f>IF(OR($AS47="",$C$6=""),"",TRIM(INDEX($A:$AP,ROW(),$C$6)&amp;""))</f>
        <v/>
      </c>
      <c r="AX47" s="2">
        <f>IF($AS47="","",IF($AZ47&lt;&gt;"",SUBSTITUTE(SUBSTITUTE($AZ47,"-","")," ",""),$AY47))</f>
        <v/>
      </c>
      <c r="AY47" s="2">
        <f>IF(OR($AS47="",$E$6=""),"",TRIM(INDEX($A:$AP,ROW(),$E$6)&amp;""))</f>
        <v/>
      </c>
      <c r="AZ47" s="2">
        <f>IF(OR($AS47="",$D$6=""),"",TRIM(INDEX($A:$AP,ROW(),$D$6)&amp;""))</f>
        <v/>
      </c>
      <c r="BA47" s="2">
        <f>IF($AS47="","",IF(AND($AS47&gt;=설정!$B$10,$AS47&lt;=설정!$B$11),"포함","기간 밖"))</f>
        <v/>
      </c>
      <c r="BB47" s="2">
        <f>IF($AS47="","",IF(OR($AT47&lt;0,AND($I$6&lt;&gt;"",ISNUMBER(FIND("수정",INDEX($A:$AP,ROW(),IF($I$6="",1,$I$6))&amp;"")))),"수정","일반"))</f>
        <v/>
      </c>
      <c r="BC47" s="2">
        <f>IF($AS47="","",MID(IF($BA47="기간 밖"," / 기간 밖(신고기간 아님)","")&amp;IF(AND($AW47&lt;&gt;"",COUNTIF($AW$8:$AW$1007,$AW47)&gt;1)," / 승인번호 중복(두 번 붙여넣기?)","")&amp;IF(ABS($AU47-ROUND($AT47*0.1,0))&gt;설정!$B$8,IF($AU47=0," / 세액 0원(영세율·면세 여부 확인)"," / 세액이 공급가액 10%와 다름"),"")&amp;IF($BB47="수정"," / 수정세금계산서(합계에서 자동 가감)",""),4,200))</f>
        <v/>
      </c>
      <c r="BD47" s="2">
        <f>IF($BA47&lt;&gt;"포함","",IF(COUNTIFS($AX$8:$AX47,$AX47,$BA$8:$BA47,"포함")=1,MAX($BD$7:BD46)+1,""))</f>
        <v/>
      </c>
      <c r="BE47" s="2">
        <f>IF($BC47="","",MAX($BE$7:BE46)+1)</f>
        <v/>
      </c>
    </row>
    <row r="48">
      <c r="AR48" s="2">
        <f>IF(OR($A$5="",$B$6="",ROW()&lt;$A$5),"",IF(INDEX($A:$AP,ROW(),$B$6)="","",INDEX($A:$AP,ROW(),$B$6)))</f>
        <v/>
      </c>
      <c r="AS48" s="22">
        <f>IF($AR48="","",IF(ISNUMBER($AR48),IF($AR48&gt;=10000000,IFERROR(DATE(INT($AR48/10000),MOD(INT($AR48/100),100),MOD($AR48,100)),""),INT($AR48)),IFERROR(DATE(--LEFT(LEFT(SUBSTITUTE(SUBSTITUTE(SUBSTITUTE(SUBSTITUTE(TRIM($AR48),"-",""),".",""),"/","")," ",""),8),4),--MID(LEFT(SUBSTITUTE(SUBSTITUTE(SUBSTITUTE(SUBSTITUTE(TRIM($AR48),"-",""),".",""),"/","")," ",""),8),5,2),--MID(LEFT(SUBSTITUTE(SUBSTITUTE(SUBSTITUTE(SUBSTITUTE(TRIM($AR48),"-",""),".",""),"/","")," ",""),8),7,2)),"")))</f>
        <v/>
      </c>
      <c r="AT48" s="23">
        <f>IF($AS48="","",IF($F$6="",0,IF(ISNUMBER(INDEX($A:$AP,ROW(),$F$6)),INDEX($A:$AP,ROW(),$F$6),IFERROR(--SUBSTITUTE(SUBSTITUTE(TRIM(INDEX($A:$AP,ROW(),$F$6)),",",""),"원",""),0))))</f>
        <v/>
      </c>
      <c r="AU48" s="23">
        <f>IF($AS48="","",IF($G$6="",0,IF(ISNUMBER(INDEX($A:$AP,ROW(),$G$6)),INDEX($A:$AP,ROW(),$G$6),IFERROR(--SUBSTITUTE(SUBSTITUTE(TRIM(INDEX($A:$AP,ROW(),$G$6)),",",""),"원",""),0))))</f>
        <v/>
      </c>
      <c r="AV48" s="23">
        <f>IF($AS48="","",IF($H$6="",$AT48+$AU48,IF($H$6="",0,IF(ISNUMBER(INDEX($A:$AP,ROW(),$H$6)),INDEX($A:$AP,ROW(),$H$6),IFERROR(--SUBSTITUTE(SUBSTITUTE(TRIM(INDEX($A:$AP,ROW(),$H$6)),",",""),"원",""),0)))))</f>
        <v/>
      </c>
      <c r="AW48" s="2">
        <f>IF(OR($AS48="",$C$6=""),"",TRIM(INDEX($A:$AP,ROW(),$C$6)&amp;""))</f>
        <v/>
      </c>
      <c r="AX48" s="2">
        <f>IF($AS48="","",IF($AZ48&lt;&gt;"",SUBSTITUTE(SUBSTITUTE($AZ48,"-","")," ",""),$AY48))</f>
        <v/>
      </c>
      <c r="AY48" s="2">
        <f>IF(OR($AS48="",$E$6=""),"",TRIM(INDEX($A:$AP,ROW(),$E$6)&amp;""))</f>
        <v/>
      </c>
      <c r="AZ48" s="2">
        <f>IF(OR($AS48="",$D$6=""),"",TRIM(INDEX($A:$AP,ROW(),$D$6)&amp;""))</f>
        <v/>
      </c>
      <c r="BA48" s="2">
        <f>IF($AS48="","",IF(AND($AS48&gt;=설정!$B$10,$AS48&lt;=설정!$B$11),"포함","기간 밖"))</f>
        <v/>
      </c>
      <c r="BB48" s="2">
        <f>IF($AS48="","",IF(OR($AT48&lt;0,AND($I$6&lt;&gt;"",ISNUMBER(FIND("수정",INDEX($A:$AP,ROW(),IF($I$6="",1,$I$6))&amp;"")))),"수정","일반"))</f>
        <v/>
      </c>
      <c r="BC48" s="2">
        <f>IF($AS48="","",MID(IF($BA48="기간 밖"," / 기간 밖(신고기간 아님)","")&amp;IF(AND($AW48&lt;&gt;"",COUNTIF($AW$8:$AW$1007,$AW48)&gt;1)," / 승인번호 중복(두 번 붙여넣기?)","")&amp;IF(ABS($AU48-ROUND($AT48*0.1,0))&gt;설정!$B$8,IF($AU48=0," / 세액 0원(영세율·면세 여부 확인)"," / 세액이 공급가액 10%와 다름"),"")&amp;IF($BB48="수정"," / 수정세금계산서(합계에서 자동 가감)",""),4,200))</f>
        <v/>
      </c>
      <c r="BD48" s="2">
        <f>IF($BA48&lt;&gt;"포함","",IF(COUNTIFS($AX$8:$AX48,$AX48,$BA$8:$BA48,"포함")=1,MAX($BD$7:BD47)+1,""))</f>
        <v/>
      </c>
      <c r="BE48" s="2">
        <f>IF($BC48="","",MAX($BE$7:BE47)+1)</f>
        <v/>
      </c>
    </row>
    <row r="49">
      <c r="AR49" s="2">
        <f>IF(OR($A$5="",$B$6="",ROW()&lt;$A$5),"",IF(INDEX($A:$AP,ROW(),$B$6)="","",INDEX($A:$AP,ROW(),$B$6)))</f>
        <v/>
      </c>
      <c r="AS49" s="22">
        <f>IF($AR49="","",IF(ISNUMBER($AR49),IF($AR49&gt;=10000000,IFERROR(DATE(INT($AR49/10000),MOD(INT($AR49/100),100),MOD($AR49,100)),""),INT($AR49)),IFERROR(DATE(--LEFT(LEFT(SUBSTITUTE(SUBSTITUTE(SUBSTITUTE(SUBSTITUTE(TRIM($AR49),"-",""),".",""),"/","")," ",""),8),4),--MID(LEFT(SUBSTITUTE(SUBSTITUTE(SUBSTITUTE(SUBSTITUTE(TRIM($AR49),"-",""),".",""),"/","")," ",""),8),5,2),--MID(LEFT(SUBSTITUTE(SUBSTITUTE(SUBSTITUTE(SUBSTITUTE(TRIM($AR49),"-",""),".",""),"/","")," ",""),8),7,2)),"")))</f>
        <v/>
      </c>
      <c r="AT49" s="23">
        <f>IF($AS49="","",IF($F$6="",0,IF(ISNUMBER(INDEX($A:$AP,ROW(),$F$6)),INDEX($A:$AP,ROW(),$F$6),IFERROR(--SUBSTITUTE(SUBSTITUTE(TRIM(INDEX($A:$AP,ROW(),$F$6)),",",""),"원",""),0))))</f>
        <v/>
      </c>
      <c r="AU49" s="23">
        <f>IF($AS49="","",IF($G$6="",0,IF(ISNUMBER(INDEX($A:$AP,ROW(),$G$6)),INDEX($A:$AP,ROW(),$G$6),IFERROR(--SUBSTITUTE(SUBSTITUTE(TRIM(INDEX($A:$AP,ROW(),$G$6)),",",""),"원",""),0))))</f>
        <v/>
      </c>
      <c r="AV49" s="23">
        <f>IF($AS49="","",IF($H$6="",$AT49+$AU49,IF($H$6="",0,IF(ISNUMBER(INDEX($A:$AP,ROW(),$H$6)),INDEX($A:$AP,ROW(),$H$6),IFERROR(--SUBSTITUTE(SUBSTITUTE(TRIM(INDEX($A:$AP,ROW(),$H$6)),",",""),"원",""),0)))))</f>
        <v/>
      </c>
      <c r="AW49" s="2">
        <f>IF(OR($AS49="",$C$6=""),"",TRIM(INDEX($A:$AP,ROW(),$C$6)&amp;""))</f>
        <v/>
      </c>
      <c r="AX49" s="2">
        <f>IF($AS49="","",IF($AZ49&lt;&gt;"",SUBSTITUTE(SUBSTITUTE($AZ49,"-","")," ",""),$AY49))</f>
        <v/>
      </c>
      <c r="AY49" s="2">
        <f>IF(OR($AS49="",$E$6=""),"",TRIM(INDEX($A:$AP,ROW(),$E$6)&amp;""))</f>
        <v/>
      </c>
      <c r="AZ49" s="2">
        <f>IF(OR($AS49="",$D$6=""),"",TRIM(INDEX($A:$AP,ROW(),$D$6)&amp;""))</f>
        <v/>
      </c>
      <c r="BA49" s="2">
        <f>IF($AS49="","",IF(AND($AS49&gt;=설정!$B$10,$AS49&lt;=설정!$B$11),"포함","기간 밖"))</f>
        <v/>
      </c>
      <c r="BB49" s="2">
        <f>IF($AS49="","",IF(OR($AT49&lt;0,AND($I$6&lt;&gt;"",ISNUMBER(FIND("수정",INDEX($A:$AP,ROW(),IF($I$6="",1,$I$6))&amp;"")))),"수정","일반"))</f>
        <v/>
      </c>
      <c r="BC49" s="2">
        <f>IF($AS49="","",MID(IF($BA49="기간 밖"," / 기간 밖(신고기간 아님)","")&amp;IF(AND($AW49&lt;&gt;"",COUNTIF($AW$8:$AW$1007,$AW49)&gt;1)," / 승인번호 중복(두 번 붙여넣기?)","")&amp;IF(ABS($AU49-ROUND($AT49*0.1,0))&gt;설정!$B$8,IF($AU49=0," / 세액 0원(영세율·면세 여부 확인)"," / 세액이 공급가액 10%와 다름"),"")&amp;IF($BB49="수정"," / 수정세금계산서(합계에서 자동 가감)",""),4,200))</f>
        <v/>
      </c>
      <c r="BD49" s="2">
        <f>IF($BA49&lt;&gt;"포함","",IF(COUNTIFS($AX$8:$AX49,$AX49,$BA$8:$BA49,"포함")=1,MAX($BD$7:BD48)+1,""))</f>
        <v/>
      </c>
      <c r="BE49" s="2">
        <f>IF($BC49="","",MAX($BE$7:BE48)+1)</f>
        <v/>
      </c>
    </row>
    <row r="50">
      <c r="AR50" s="2">
        <f>IF(OR($A$5="",$B$6="",ROW()&lt;$A$5),"",IF(INDEX($A:$AP,ROW(),$B$6)="","",INDEX($A:$AP,ROW(),$B$6)))</f>
        <v/>
      </c>
      <c r="AS50" s="22">
        <f>IF($AR50="","",IF(ISNUMBER($AR50),IF($AR50&gt;=10000000,IFERROR(DATE(INT($AR50/10000),MOD(INT($AR50/100),100),MOD($AR50,100)),""),INT($AR50)),IFERROR(DATE(--LEFT(LEFT(SUBSTITUTE(SUBSTITUTE(SUBSTITUTE(SUBSTITUTE(TRIM($AR50),"-",""),".",""),"/","")," ",""),8),4),--MID(LEFT(SUBSTITUTE(SUBSTITUTE(SUBSTITUTE(SUBSTITUTE(TRIM($AR50),"-",""),".",""),"/","")," ",""),8),5,2),--MID(LEFT(SUBSTITUTE(SUBSTITUTE(SUBSTITUTE(SUBSTITUTE(TRIM($AR50),"-",""),".",""),"/","")," ",""),8),7,2)),"")))</f>
        <v/>
      </c>
      <c r="AT50" s="23">
        <f>IF($AS50="","",IF($F$6="",0,IF(ISNUMBER(INDEX($A:$AP,ROW(),$F$6)),INDEX($A:$AP,ROW(),$F$6),IFERROR(--SUBSTITUTE(SUBSTITUTE(TRIM(INDEX($A:$AP,ROW(),$F$6)),",",""),"원",""),0))))</f>
        <v/>
      </c>
      <c r="AU50" s="23">
        <f>IF($AS50="","",IF($G$6="",0,IF(ISNUMBER(INDEX($A:$AP,ROW(),$G$6)),INDEX($A:$AP,ROW(),$G$6),IFERROR(--SUBSTITUTE(SUBSTITUTE(TRIM(INDEX($A:$AP,ROW(),$G$6)),",",""),"원",""),0))))</f>
        <v/>
      </c>
      <c r="AV50" s="23">
        <f>IF($AS50="","",IF($H$6="",$AT50+$AU50,IF($H$6="",0,IF(ISNUMBER(INDEX($A:$AP,ROW(),$H$6)),INDEX($A:$AP,ROW(),$H$6),IFERROR(--SUBSTITUTE(SUBSTITUTE(TRIM(INDEX($A:$AP,ROW(),$H$6)),",",""),"원",""),0)))))</f>
        <v/>
      </c>
      <c r="AW50" s="2">
        <f>IF(OR($AS50="",$C$6=""),"",TRIM(INDEX($A:$AP,ROW(),$C$6)&amp;""))</f>
        <v/>
      </c>
      <c r="AX50" s="2">
        <f>IF($AS50="","",IF($AZ50&lt;&gt;"",SUBSTITUTE(SUBSTITUTE($AZ50,"-","")," ",""),$AY50))</f>
        <v/>
      </c>
      <c r="AY50" s="2">
        <f>IF(OR($AS50="",$E$6=""),"",TRIM(INDEX($A:$AP,ROW(),$E$6)&amp;""))</f>
        <v/>
      </c>
      <c r="AZ50" s="2">
        <f>IF(OR($AS50="",$D$6=""),"",TRIM(INDEX($A:$AP,ROW(),$D$6)&amp;""))</f>
        <v/>
      </c>
      <c r="BA50" s="2">
        <f>IF($AS50="","",IF(AND($AS50&gt;=설정!$B$10,$AS50&lt;=설정!$B$11),"포함","기간 밖"))</f>
        <v/>
      </c>
      <c r="BB50" s="2">
        <f>IF($AS50="","",IF(OR($AT50&lt;0,AND($I$6&lt;&gt;"",ISNUMBER(FIND("수정",INDEX($A:$AP,ROW(),IF($I$6="",1,$I$6))&amp;"")))),"수정","일반"))</f>
        <v/>
      </c>
      <c r="BC50" s="2">
        <f>IF($AS50="","",MID(IF($BA50="기간 밖"," / 기간 밖(신고기간 아님)","")&amp;IF(AND($AW50&lt;&gt;"",COUNTIF($AW$8:$AW$1007,$AW50)&gt;1)," / 승인번호 중복(두 번 붙여넣기?)","")&amp;IF(ABS($AU50-ROUND($AT50*0.1,0))&gt;설정!$B$8,IF($AU50=0," / 세액 0원(영세율·면세 여부 확인)"," / 세액이 공급가액 10%와 다름"),"")&amp;IF($BB50="수정"," / 수정세금계산서(합계에서 자동 가감)",""),4,200))</f>
        <v/>
      </c>
      <c r="BD50" s="2">
        <f>IF($BA50&lt;&gt;"포함","",IF(COUNTIFS($AX$8:$AX50,$AX50,$BA$8:$BA50,"포함")=1,MAX($BD$7:BD49)+1,""))</f>
        <v/>
      </c>
      <c r="BE50" s="2">
        <f>IF($BC50="","",MAX($BE$7:BE49)+1)</f>
        <v/>
      </c>
    </row>
    <row r="51">
      <c r="AR51" s="2">
        <f>IF(OR($A$5="",$B$6="",ROW()&lt;$A$5),"",IF(INDEX($A:$AP,ROW(),$B$6)="","",INDEX($A:$AP,ROW(),$B$6)))</f>
        <v/>
      </c>
      <c r="AS51" s="22">
        <f>IF($AR51="","",IF(ISNUMBER($AR51),IF($AR51&gt;=10000000,IFERROR(DATE(INT($AR51/10000),MOD(INT($AR51/100),100),MOD($AR51,100)),""),INT($AR51)),IFERROR(DATE(--LEFT(LEFT(SUBSTITUTE(SUBSTITUTE(SUBSTITUTE(SUBSTITUTE(TRIM($AR51),"-",""),".",""),"/","")," ",""),8),4),--MID(LEFT(SUBSTITUTE(SUBSTITUTE(SUBSTITUTE(SUBSTITUTE(TRIM($AR51),"-",""),".",""),"/","")," ",""),8),5,2),--MID(LEFT(SUBSTITUTE(SUBSTITUTE(SUBSTITUTE(SUBSTITUTE(TRIM($AR51),"-",""),".",""),"/","")," ",""),8),7,2)),"")))</f>
        <v/>
      </c>
      <c r="AT51" s="23">
        <f>IF($AS51="","",IF($F$6="",0,IF(ISNUMBER(INDEX($A:$AP,ROW(),$F$6)),INDEX($A:$AP,ROW(),$F$6),IFERROR(--SUBSTITUTE(SUBSTITUTE(TRIM(INDEX($A:$AP,ROW(),$F$6)),",",""),"원",""),0))))</f>
        <v/>
      </c>
      <c r="AU51" s="23">
        <f>IF($AS51="","",IF($G$6="",0,IF(ISNUMBER(INDEX($A:$AP,ROW(),$G$6)),INDEX($A:$AP,ROW(),$G$6),IFERROR(--SUBSTITUTE(SUBSTITUTE(TRIM(INDEX($A:$AP,ROW(),$G$6)),",",""),"원",""),0))))</f>
        <v/>
      </c>
      <c r="AV51" s="23">
        <f>IF($AS51="","",IF($H$6="",$AT51+$AU51,IF($H$6="",0,IF(ISNUMBER(INDEX($A:$AP,ROW(),$H$6)),INDEX($A:$AP,ROW(),$H$6),IFERROR(--SUBSTITUTE(SUBSTITUTE(TRIM(INDEX($A:$AP,ROW(),$H$6)),",",""),"원",""),0)))))</f>
        <v/>
      </c>
      <c r="AW51" s="2">
        <f>IF(OR($AS51="",$C$6=""),"",TRIM(INDEX($A:$AP,ROW(),$C$6)&amp;""))</f>
        <v/>
      </c>
      <c r="AX51" s="2">
        <f>IF($AS51="","",IF($AZ51&lt;&gt;"",SUBSTITUTE(SUBSTITUTE($AZ51,"-","")," ",""),$AY51))</f>
        <v/>
      </c>
      <c r="AY51" s="2">
        <f>IF(OR($AS51="",$E$6=""),"",TRIM(INDEX($A:$AP,ROW(),$E$6)&amp;""))</f>
        <v/>
      </c>
      <c r="AZ51" s="2">
        <f>IF(OR($AS51="",$D$6=""),"",TRIM(INDEX($A:$AP,ROW(),$D$6)&amp;""))</f>
        <v/>
      </c>
      <c r="BA51" s="2">
        <f>IF($AS51="","",IF(AND($AS51&gt;=설정!$B$10,$AS51&lt;=설정!$B$11),"포함","기간 밖"))</f>
        <v/>
      </c>
      <c r="BB51" s="2">
        <f>IF($AS51="","",IF(OR($AT51&lt;0,AND($I$6&lt;&gt;"",ISNUMBER(FIND("수정",INDEX($A:$AP,ROW(),IF($I$6="",1,$I$6))&amp;"")))),"수정","일반"))</f>
        <v/>
      </c>
      <c r="BC51" s="2">
        <f>IF($AS51="","",MID(IF($BA51="기간 밖"," / 기간 밖(신고기간 아님)","")&amp;IF(AND($AW51&lt;&gt;"",COUNTIF($AW$8:$AW$1007,$AW51)&gt;1)," / 승인번호 중복(두 번 붙여넣기?)","")&amp;IF(ABS($AU51-ROUND($AT51*0.1,0))&gt;설정!$B$8,IF($AU51=0," / 세액 0원(영세율·면세 여부 확인)"," / 세액이 공급가액 10%와 다름"),"")&amp;IF($BB51="수정"," / 수정세금계산서(합계에서 자동 가감)",""),4,200))</f>
        <v/>
      </c>
      <c r="BD51" s="2">
        <f>IF($BA51&lt;&gt;"포함","",IF(COUNTIFS($AX$8:$AX51,$AX51,$BA$8:$BA51,"포함")=1,MAX($BD$7:BD50)+1,""))</f>
        <v/>
      </c>
      <c r="BE51" s="2">
        <f>IF($BC51="","",MAX($BE$7:BE50)+1)</f>
        <v/>
      </c>
    </row>
    <row r="52">
      <c r="AR52" s="2">
        <f>IF(OR($A$5="",$B$6="",ROW()&lt;$A$5),"",IF(INDEX($A:$AP,ROW(),$B$6)="","",INDEX($A:$AP,ROW(),$B$6)))</f>
        <v/>
      </c>
      <c r="AS52" s="22">
        <f>IF($AR52="","",IF(ISNUMBER($AR52),IF($AR52&gt;=10000000,IFERROR(DATE(INT($AR52/10000),MOD(INT($AR52/100),100),MOD($AR52,100)),""),INT($AR52)),IFERROR(DATE(--LEFT(LEFT(SUBSTITUTE(SUBSTITUTE(SUBSTITUTE(SUBSTITUTE(TRIM($AR52),"-",""),".",""),"/","")," ",""),8),4),--MID(LEFT(SUBSTITUTE(SUBSTITUTE(SUBSTITUTE(SUBSTITUTE(TRIM($AR52),"-",""),".",""),"/","")," ",""),8),5,2),--MID(LEFT(SUBSTITUTE(SUBSTITUTE(SUBSTITUTE(SUBSTITUTE(TRIM($AR52),"-",""),".",""),"/","")," ",""),8),7,2)),"")))</f>
        <v/>
      </c>
      <c r="AT52" s="23">
        <f>IF($AS52="","",IF($F$6="",0,IF(ISNUMBER(INDEX($A:$AP,ROW(),$F$6)),INDEX($A:$AP,ROW(),$F$6),IFERROR(--SUBSTITUTE(SUBSTITUTE(TRIM(INDEX($A:$AP,ROW(),$F$6)),",",""),"원",""),0))))</f>
        <v/>
      </c>
      <c r="AU52" s="23">
        <f>IF($AS52="","",IF($G$6="",0,IF(ISNUMBER(INDEX($A:$AP,ROW(),$G$6)),INDEX($A:$AP,ROW(),$G$6),IFERROR(--SUBSTITUTE(SUBSTITUTE(TRIM(INDEX($A:$AP,ROW(),$G$6)),",",""),"원",""),0))))</f>
        <v/>
      </c>
      <c r="AV52" s="23">
        <f>IF($AS52="","",IF($H$6="",$AT52+$AU52,IF($H$6="",0,IF(ISNUMBER(INDEX($A:$AP,ROW(),$H$6)),INDEX($A:$AP,ROW(),$H$6),IFERROR(--SUBSTITUTE(SUBSTITUTE(TRIM(INDEX($A:$AP,ROW(),$H$6)),",",""),"원",""),0)))))</f>
        <v/>
      </c>
      <c r="AW52" s="2">
        <f>IF(OR($AS52="",$C$6=""),"",TRIM(INDEX($A:$AP,ROW(),$C$6)&amp;""))</f>
        <v/>
      </c>
      <c r="AX52" s="2">
        <f>IF($AS52="","",IF($AZ52&lt;&gt;"",SUBSTITUTE(SUBSTITUTE($AZ52,"-","")," ",""),$AY52))</f>
        <v/>
      </c>
      <c r="AY52" s="2">
        <f>IF(OR($AS52="",$E$6=""),"",TRIM(INDEX($A:$AP,ROW(),$E$6)&amp;""))</f>
        <v/>
      </c>
      <c r="AZ52" s="2">
        <f>IF(OR($AS52="",$D$6=""),"",TRIM(INDEX($A:$AP,ROW(),$D$6)&amp;""))</f>
        <v/>
      </c>
      <c r="BA52" s="2">
        <f>IF($AS52="","",IF(AND($AS52&gt;=설정!$B$10,$AS52&lt;=설정!$B$11),"포함","기간 밖"))</f>
        <v/>
      </c>
      <c r="BB52" s="2">
        <f>IF($AS52="","",IF(OR($AT52&lt;0,AND($I$6&lt;&gt;"",ISNUMBER(FIND("수정",INDEX($A:$AP,ROW(),IF($I$6="",1,$I$6))&amp;"")))),"수정","일반"))</f>
        <v/>
      </c>
      <c r="BC52" s="2">
        <f>IF($AS52="","",MID(IF($BA52="기간 밖"," / 기간 밖(신고기간 아님)","")&amp;IF(AND($AW52&lt;&gt;"",COUNTIF($AW$8:$AW$1007,$AW52)&gt;1)," / 승인번호 중복(두 번 붙여넣기?)","")&amp;IF(ABS($AU52-ROUND($AT52*0.1,0))&gt;설정!$B$8,IF($AU52=0," / 세액 0원(영세율·면세 여부 확인)"," / 세액이 공급가액 10%와 다름"),"")&amp;IF($BB52="수정"," / 수정세금계산서(합계에서 자동 가감)",""),4,200))</f>
        <v/>
      </c>
      <c r="BD52" s="2">
        <f>IF($BA52&lt;&gt;"포함","",IF(COUNTIFS($AX$8:$AX52,$AX52,$BA$8:$BA52,"포함")=1,MAX($BD$7:BD51)+1,""))</f>
        <v/>
      </c>
      <c r="BE52" s="2">
        <f>IF($BC52="","",MAX($BE$7:BE51)+1)</f>
        <v/>
      </c>
    </row>
    <row r="53">
      <c r="AR53" s="2">
        <f>IF(OR($A$5="",$B$6="",ROW()&lt;$A$5),"",IF(INDEX($A:$AP,ROW(),$B$6)="","",INDEX($A:$AP,ROW(),$B$6)))</f>
        <v/>
      </c>
      <c r="AS53" s="22">
        <f>IF($AR53="","",IF(ISNUMBER($AR53),IF($AR53&gt;=10000000,IFERROR(DATE(INT($AR53/10000),MOD(INT($AR53/100),100),MOD($AR53,100)),""),INT($AR53)),IFERROR(DATE(--LEFT(LEFT(SUBSTITUTE(SUBSTITUTE(SUBSTITUTE(SUBSTITUTE(TRIM($AR53),"-",""),".",""),"/","")," ",""),8),4),--MID(LEFT(SUBSTITUTE(SUBSTITUTE(SUBSTITUTE(SUBSTITUTE(TRIM($AR53),"-",""),".",""),"/","")," ",""),8),5,2),--MID(LEFT(SUBSTITUTE(SUBSTITUTE(SUBSTITUTE(SUBSTITUTE(TRIM($AR53),"-",""),".",""),"/","")," ",""),8),7,2)),"")))</f>
        <v/>
      </c>
      <c r="AT53" s="23">
        <f>IF($AS53="","",IF($F$6="",0,IF(ISNUMBER(INDEX($A:$AP,ROW(),$F$6)),INDEX($A:$AP,ROW(),$F$6),IFERROR(--SUBSTITUTE(SUBSTITUTE(TRIM(INDEX($A:$AP,ROW(),$F$6)),",",""),"원",""),0))))</f>
        <v/>
      </c>
      <c r="AU53" s="23">
        <f>IF($AS53="","",IF($G$6="",0,IF(ISNUMBER(INDEX($A:$AP,ROW(),$G$6)),INDEX($A:$AP,ROW(),$G$6),IFERROR(--SUBSTITUTE(SUBSTITUTE(TRIM(INDEX($A:$AP,ROW(),$G$6)),",",""),"원",""),0))))</f>
        <v/>
      </c>
      <c r="AV53" s="23">
        <f>IF($AS53="","",IF($H$6="",$AT53+$AU53,IF($H$6="",0,IF(ISNUMBER(INDEX($A:$AP,ROW(),$H$6)),INDEX($A:$AP,ROW(),$H$6),IFERROR(--SUBSTITUTE(SUBSTITUTE(TRIM(INDEX($A:$AP,ROW(),$H$6)),",",""),"원",""),0)))))</f>
        <v/>
      </c>
      <c r="AW53" s="2">
        <f>IF(OR($AS53="",$C$6=""),"",TRIM(INDEX($A:$AP,ROW(),$C$6)&amp;""))</f>
        <v/>
      </c>
      <c r="AX53" s="2">
        <f>IF($AS53="","",IF($AZ53&lt;&gt;"",SUBSTITUTE(SUBSTITUTE($AZ53,"-","")," ",""),$AY53))</f>
        <v/>
      </c>
      <c r="AY53" s="2">
        <f>IF(OR($AS53="",$E$6=""),"",TRIM(INDEX($A:$AP,ROW(),$E$6)&amp;""))</f>
        <v/>
      </c>
      <c r="AZ53" s="2">
        <f>IF(OR($AS53="",$D$6=""),"",TRIM(INDEX($A:$AP,ROW(),$D$6)&amp;""))</f>
        <v/>
      </c>
      <c r="BA53" s="2">
        <f>IF($AS53="","",IF(AND($AS53&gt;=설정!$B$10,$AS53&lt;=설정!$B$11),"포함","기간 밖"))</f>
        <v/>
      </c>
      <c r="BB53" s="2">
        <f>IF($AS53="","",IF(OR($AT53&lt;0,AND($I$6&lt;&gt;"",ISNUMBER(FIND("수정",INDEX($A:$AP,ROW(),IF($I$6="",1,$I$6))&amp;"")))),"수정","일반"))</f>
        <v/>
      </c>
      <c r="BC53" s="2">
        <f>IF($AS53="","",MID(IF($BA53="기간 밖"," / 기간 밖(신고기간 아님)","")&amp;IF(AND($AW53&lt;&gt;"",COUNTIF($AW$8:$AW$1007,$AW53)&gt;1)," / 승인번호 중복(두 번 붙여넣기?)","")&amp;IF(ABS($AU53-ROUND($AT53*0.1,0))&gt;설정!$B$8,IF($AU53=0," / 세액 0원(영세율·면세 여부 확인)"," / 세액이 공급가액 10%와 다름"),"")&amp;IF($BB53="수정"," / 수정세금계산서(합계에서 자동 가감)",""),4,200))</f>
        <v/>
      </c>
      <c r="BD53" s="2">
        <f>IF($BA53&lt;&gt;"포함","",IF(COUNTIFS($AX$8:$AX53,$AX53,$BA$8:$BA53,"포함")=1,MAX($BD$7:BD52)+1,""))</f>
        <v/>
      </c>
      <c r="BE53" s="2">
        <f>IF($BC53="","",MAX($BE$7:BE52)+1)</f>
        <v/>
      </c>
    </row>
    <row r="54">
      <c r="AR54" s="2">
        <f>IF(OR($A$5="",$B$6="",ROW()&lt;$A$5),"",IF(INDEX($A:$AP,ROW(),$B$6)="","",INDEX($A:$AP,ROW(),$B$6)))</f>
        <v/>
      </c>
      <c r="AS54" s="22">
        <f>IF($AR54="","",IF(ISNUMBER($AR54),IF($AR54&gt;=10000000,IFERROR(DATE(INT($AR54/10000),MOD(INT($AR54/100),100),MOD($AR54,100)),""),INT($AR54)),IFERROR(DATE(--LEFT(LEFT(SUBSTITUTE(SUBSTITUTE(SUBSTITUTE(SUBSTITUTE(TRIM($AR54),"-",""),".",""),"/","")," ",""),8),4),--MID(LEFT(SUBSTITUTE(SUBSTITUTE(SUBSTITUTE(SUBSTITUTE(TRIM($AR54),"-",""),".",""),"/","")," ",""),8),5,2),--MID(LEFT(SUBSTITUTE(SUBSTITUTE(SUBSTITUTE(SUBSTITUTE(TRIM($AR54),"-",""),".",""),"/","")," ",""),8),7,2)),"")))</f>
        <v/>
      </c>
      <c r="AT54" s="23">
        <f>IF($AS54="","",IF($F$6="",0,IF(ISNUMBER(INDEX($A:$AP,ROW(),$F$6)),INDEX($A:$AP,ROW(),$F$6),IFERROR(--SUBSTITUTE(SUBSTITUTE(TRIM(INDEX($A:$AP,ROW(),$F$6)),",",""),"원",""),0))))</f>
        <v/>
      </c>
      <c r="AU54" s="23">
        <f>IF($AS54="","",IF($G$6="",0,IF(ISNUMBER(INDEX($A:$AP,ROW(),$G$6)),INDEX($A:$AP,ROW(),$G$6),IFERROR(--SUBSTITUTE(SUBSTITUTE(TRIM(INDEX($A:$AP,ROW(),$G$6)),",",""),"원",""),0))))</f>
        <v/>
      </c>
      <c r="AV54" s="23">
        <f>IF($AS54="","",IF($H$6="",$AT54+$AU54,IF($H$6="",0,IF(ISNUMBER(INDEX($A:$AP,ROW(),$H$6)),INDEX($A:$AP,ROW(),$H$6),IFERROR(--SUBSTITUTE(SUBSTITUTE(TRIM(INDEX($A:$AP,ROW(),$H$6)),",",""),"원",""),0)))))</f>
        <v/>
      </c>
      <c r="AW54" s="2">
        <f>IF(OR($AS54="",$C$6=""),"",TRIM(INDEX($A:$AP,ROW(),$C$6)&amp;""))</f>
        <v/>
      </c>
      <c r="AX54" s="2">
        <f>IF($AS54="","",IF($AZ54&lt;&gt;"",SUBSTITUTE(SUBSTITUTE($AZ54,"-","")," ",""),$AY54))</f>
        <v/>
      </c>
      <c r="AY54" s="2">
        <f>IF(OR($AS54="",$E$6=""),"",TRIM(INDEX($A:$AP,ROW(),$E$6)&amp;""))</f>
        <v/>
      </c>
      <c r="AZ54" s="2">
        <f>IF(OR($AS54="",$D$6=""),"",TRIM(INDEX($A:$AP,ROW(),$D$6)&amp;""))</f>
        <v/>
      </c>
      <c r="BA54" s="2">
        <f>IF($AS54="","",IF(AND($AS54&gt;=설정!$B$10,$AS54&lt;=설정!$B$11),"포함","기간 밖"))</f>
        <v/>
      </c>
      <c r="BB54" s="2">
        <f>IF($AS54="","",IF(OR($AT54&lt;0,AND($I$6&lt;&gt;"",ISNUMBER(FIND("수정",INDEX($A:$AP,ROW(),IF($I$6="",1,$I$6))&amp;"")))),"수정","일반"))</f>
        <v/>
      </c>
      <c r="BC54" s="2">
        <f>IF($AS54="","",MID(IF($BA54="기간 밖"," / 기간 밖(신고기간 아님)","")&amp;IF(AND($AW54&lt;&gt;"",COUNTIF($AW$8:$AW$1007,$AW54)&gt;1)," / 승인번호 중복(두 번 붙여넣기?)","")&amp;IF(ABS($AU54-ROUND($AT54*0.1,0))&gt;설정!$B$8,IF($AU54=0," / 세액 0원(영세율·면세 여부 확인)"," / 세액이 공급가액 10%와 다름"),"")&amp;IF($BB54="수정"," / 수정세금계산서(합계에서 자동 가감)",""),4,200))</f>
        <v/>
      </c>
      <c r="BD54" s="2">
        <f>IF($BA54&lt;&gt;"포함","",IF(COUNTIFS($AX$8:$AX54,$AX54,$BA$8:$BA54,"포함")=1,MAX($BD$7:BD53)+1,""))</f>
        <v/>
      </c>
      <c r="BE54" s="2">
        <f>IF($BC54="","",MAX($BE$7:BE53)+1)</f>
        <v/>
      </c>
    </row>
    <row r="55">
      <c r="AR55" s="2">
        <f>IF(OR($A$5="",$B$6="",ROW()&lt;$A$5),"",IF(INDEX($A:$AP,ROW(),$B$6)="","",INDEX($A:$AP,ROW(),$B$6)))</f>
        <v/>
      </c>
      <c r="AS55" s="22">
        <f>IF($AR55="","",IF(ISNUMBER($AR55),IF($AR55&gt;=10000000,IFERROR(DATE(INT($AR55/10000),MOD(INT($AR55/100),100),MOD($AR55,100)),""),INT($AR55)),IFERROR(DATE(--LEFT(LEFT(SUBSTITUTE(SUBSTITUTE(SUBSTITUTE(SUBSTITUTE(TRIM($AR55),"-",""),".",""),"/","")," ",""),8),4),--MID(LEFT(SUBSTITUTE(SUBSTITUTE(SUBSTITUTE(SUBSTITUTE(TRIM($AR55),"-",""),".",""),"/","")," ",""),8),5,2),--MID(LEFT(SUBSTITUTE(SUBSTITUTE(SUBSTITUTE(SUBSTITUTE(TRIM($AR55),"-",""),".",""),"/","")," ",""),8),7,2)),"")))</f>
        <v/>
      </c>
      <c r="AT55" s="23">
        <f>IF($AS55="","",IF($F$6="",0,IF(ISNUMBER(INDEX($A:$AP,ROW(),$F$6)),INDEX($A:$AP,ROW(),$F$6),IFERROR(--SUBSTITUTE(SUBSTITUTE(TRIM(INDEX($A:$AP,ROW(),$F$6)),",",""),"원",""),0))))</f>
        <v/>
      </c>
      <c r="AU55" s="23">
        <f>IF($AS55="","",IF($G$6="",0,IF(ISNUMBER(INDEX($A:$AP,ROW(),$G$6)),INDEX($A:$AP,ROW(),$G$6),IFERROR(--SUBSTITUTE(SUBSTITUTE(TRIM(INDEX($A:$AP,ROW(),$G$6)),",",""),"원",""),0))))</f>
        <v/>
      </c>
      <c r="AV55" s="23">
        <f>IF($AS55="","",IF($H$6="",$AT55+$AU55,IF($H$6="",0,IF(ISNUMBER(INDEX($A:$AP,ROW(),$H$6)),INDEX($A:$AP,ROW(),$H$6),IFERROR(--SUBSTITUTE(SUBSTITUTE(TRIM(INDEX($A:$AP,ROW(),$H$6)),",",""),"원",""),0)))))</f>
        <v/>
      </c>
      <c r="AW55" s="2">
        <f>IF(OR($AS55="",$C$6=""),"",TRIM(INDEX($A:$AP,ROW(),$C$6)&amp;""))</f>
        <v/>
      </c>
      <c r="AX55" s="2">
        <f>IF($AS55="","",IF($AZ55&lt;&gt;"",SUBSTITUTE(SUBSTITUTE($AZ55,"-","")," ",""),$AY55))</f>
        <v/>
      </c>
      <c r="AY55" s="2">
        <f>IF(OR($AS55="",$E$6=""),"",TRIM(INDEX($A:$AP,ROW(),$E$6)&amp;""))</f>
        <v/>
      </c>
      <c r="AZ55" s="2">
        <f>IF(OR($AS55="",$D$6=""),"",TRIM(INDEX($A:$AP,ROW(),$D$6)&amp;""))</f>
        <v/>
      </c>
      <c r="BA55" s="2">
        <f>IF($AS55="","",IF(AND($AS55&gt;=설정!$B$10,$AS55&lt;=설정!$B$11),"포함","기간 밖"))</f>
        <v/>
      </c>
      <c r="BB55" s="2">
        <f>IF($AS55="","",IF(OR($AT55&lt;0,AND($I$6&lt;&gt;"",ISNUMBER(FIND("수정",INDEX($A:$AP,ROW(),IF($I$6="",1,$I$6))&amp;"")))),"수정","일반"))</f>
        <v/>
      </c>
      <c r="BC55" s="2">
        <f>IF($AS55="","",MID(IF($BA55="기간 밖"," / 기간 밖(신고기간 아님)","")&amp;IF(AND($AW55&lt;&gt;"",COUNTIF($AW$8:$AW$1007,$AW55)&gt;1)," / 승인번호 중복(두 번 붙여넣기?)","")&amp;IF(ABS($AU55-ROUND($AT55*0.1,0))&gt;설정!$B$8,IF($AU55=0," / 세액 0원(영세율·면세 여부 확인)"," / 세액이 공급가액 10%와 다름"),"")&amp;IF($BB55="수정"," / 수정세금계산서(합계에서 자동 가감)",""),4,200))</f>
        <v/>
      </c>
      <c r="BD55" s="2">
        <f>IF($BA55&lt;&gt;"포함","",IF(COUNTIFS($AX$8:$AX55,$AX55,$BA$8:$BA55,"포함")=1,MAX($BD$7:BD54)+1,""))</f>
        <v/>
      </c>
      <c r="BE55" s="2">
        <f>IF($BC55="","",MAX($BE$7:BE54)+1)</f>
        <v/>
      </c>
    </row>
    <row r="56">
      <c r="AR56" s="2">
        <f>IF(OR($A$5="",$B$6="",ROW()&lt;$A$5),"",IF(INDEX($A:$AP,ROW(),$B$6)="","",INDEX($A:$AP,ROW(),$B$6)))</f>
        <v/>
      </c>
      <c r="AS56" s="22">
        <f>IF($AR56="","",IF(ISNUMBER($AR56),IF($AR56&gt;=10000000,IFERROR(DATE(INT($AR56/10000),MOD(INT($AR56/100),100),MOD($AR56,100)),""),INT($AR56)),IFERROR(DATE(--LEFT(LEFT(SUBSTITUTE(SUBSTITUTE(SUBSTITUTE(SUBSTITUTE(TRIM($AR56),"-",""),".",""),"/","")," ",""),8),4),--MID(LEFT(SUBSTITUTE(SUBSTITUTE(SUBSTITUTE(SUBSTITUTE(TRIM($AR56),"-",""),".",""),"/","")," ",""),8),5,2),--MID(LEFT(SUBSTITUTE(SUBSTITUTE(SUBSTITUTE(SUBSTITUTE(TRIM($AR56),"-",""),".",""),"/","")," ",""),8),7,2)),"")))</f>
        <v/>
      </c>
      <c r="AT56" s="23">
        <f>IF($AS56="","",IF($F$6="",0,IF(ISNUMBER(INDEX($A:$AP,ROW(),$F$6)),INDEX($A:$AP,ROW(),$F$6),IFERROR(--SUBSTITUTE(SUBSTITUTE(TRIM(INDEX($A:$AP,ROW(),$F$6)),",",""),"원",""),0))))</f>
        <v/>
      </c>
      <c r="AU56" s="23">
        <f>IF($AS56="","",IF($G$6="",0,IF(ISNUMBER(INDEX($A:$AP,ROW(),$G$6)),INDEX($A:$AP,ROW(),$G$6),IFERROR(--SUBSTITUTE(SUBSTITUTE(TRIM(INDEX($A:$AP,ROW(),$G$6)),",",""),"원",""),0))))</f>
        <v/>
      </c>
      <c r="AV56" s="23">
        <f>IF($AS56="","",IF($H$6="",$AT56+$AU56,IF($H$6="",0,IF(ISNUMBER(INDEX($A:$AP,ROW(),$H$6)),INDEX($A:$AP,ROW(),$H$6),IFERROR(--SUBSTITUTE(SUBSTITUTE(TRIM(INDEX($A:$AP,ROW(),$H$6)),",",""),"원",""),0)))))</f>
        <v/>
      </c>
      <c r="AW56" s="2">
        <f>IF(OR($AS56="",$C$6=""),"",TRIM(INDEX($A:$AP,ROW(),$C$6)&amp;""))</f>
        <v/>
      </c>
      <c r="AX56" s="2">
        <f>IF($AS56="","",IF($AZ56&lt;&gt;"",SUBSTITUTE(SUBSTITUTE($AZ56,"-","")," ",""),$AY56))</f>
        <v/>
      </c>
      <c r="AY56" s="2">
        <f>IF(OR($AS56="",$E$6=""),"",TRIM(INDEX($A:$AP,ROW(),$E$6)&amp;""))</f>
        <v/>
      </c>
      <c r="AZ56" s="2">
        <f>IF(OR($AS56="",$D$6=""),"",TRIM(INDEX($A:$AP,ROW(),$D$6)&amp;""))</f>
        <v/>
      </c>
      <c r="BA56" s="2">
        <f>IF($AS56="","",IF(AND($AS56&gt;=설정!$B$10,$AS56&lt;=설정!$B$11),"포함","기간 밖"))</f>
        <v/>
      </c>
      <c r="BB56" s="2">
        <f>IF($AS56="","",IF(OR($AT56&lt;0,AND($I$6&lt;&gt;"",ISNUMBER(FIND("수정",INDEX($A:$AP,ROW(),IF($I$6="",1,$I$6))&amp;"")))),"수정","일반"))</f>
        <v/>
      </c>
      <c r="BC56" s="2">
        <f>IF($AS56="","",MID(IF($BA56="기간 밖"," / 기간 밖(신고기간 아님)","")&amp;IF(AND($AW56&lt;&gt;"",COUNTIF($AW$8:$AW$1007,$AW56)&gt;1)," / 승인번호 중복(두 번 붙여넣기?)","")&amp;IF(ABS($AU56-ROUND($AT56*0.1,0))&gt;설정!$B$8,IF($AU56=0," / 세액 0원(영세율·면세 여부 확인)"," / 세액이 공급가액 10%와 다름"),"")&amp;IF($BB56="수정"," / 수정세금계산서(합계에서 자동 가감)",""),4,200))</f>
        <v/>
      </c>
      <c r="BD56" s="2">
        <f>IF($BA56&lt;&gt;"포함","",IF(COUNTIFS($AX$8:$AX56,$AX56,$BA$8:$BA56,"포함")=1,MAX($BD$7:BD55)+1,""))</f>
        <v/>
      </c>
      <c r="BE56" s="2">
        <f>IF($BC56="","",MAX($BE$7:BE55)+1)</f>
        <v/>
      </c>
    </row>
    <row r="57">
      <c r="AR57" s="2">
        <f>IF(OR($A$5="",$B$6="",ROW()&lt;$A$5),"",IF(INDEX($A:$AP,ROW(),$B$6)="","",INDEX($A:$AP,ROW(),$B$6)))</f>
        <v/>
      </c>
      <c r="AS57" s="22">
        <f>IF($AR57="","",IF(ISNUMBER($AR57),IF($AR57&gt;=10000000,IFERROR(DATE(INT($AR57/10000),MOD(INT($AR57/100),100),MOD($AR57,100)),""),INT($AR57)),IFERROR(DATE(--LEFT(LEFT(SUBSTITUTE(SUBSTITUTE(SUBSTITUTE(SUBSTITUTE(TRIM($AR57),"-",""),".",""),"/","")," ",""),8),4),--MID(LEFT(SUBSTITUTE(SUBSTITUTE(SUBSTITUTE(SUBSTITUTE(TRIM($AR57),"-",""),".",""),"/","")," ",""),8),5,2),--MID(LEFT(SUBSTITUTE(SUBSTITUTE(SUBSTITUTE(SUBSTITUTE(TRIM($AR57),"-",""),".",""),"/","")," ",""),8),7,2)),"")))</f>
        <v/>
      </c>
      <c r="AT57" s="23">
        <f>IF($AS57="","",IF($F$6="",0,IF(ISNUMBER(INDEX($A:$AP,ROW(),$F$6)),INDEX($A:$AP,ROW(),$F$6),IFERROR(--SUBSTITUTE(SUBSTITUTE(TRIM(INDEX($A:$AP,ROW(),$F$6)),",",""),"원",""),0))))</f>
        <v/>
      </c>
      <c r="AU57" s="23">
        <f>IF($AS57="","",IF($G$6="",0,IF(ISNUMBER(INDEX($A:$AP,ROW(),$G$6)),INDEX($A:$AP,ROW(),$G$6),IFERROR(--SUBSTITUTE(SUBSTITUTE(TRIM(INDEX($A:$AP,ROW(),$G$6)),",",""),"원",""),0))))</f>
        <v/>
      </c>
      <c r="AV57" s="23">
        <f>IF($AS57="","",IF($H$6="",$AT57+$AU57,IF($H$6="",0,IF(ISNUMBER(INDEX($A:$AP,ROW(),$H$6)),INDEX($A:$AP,ROW(),$H$6),IFERROR(--SUBSTITUTE(SUBSTITUTE(TRIM(INDEX($A:$AP,ROW(),$H$6)),",",""),"원",""),0)))))</f>
        <v/>
      </c>
      <c r="AW57" s="2">
        <f>IF(OR($AS57="",$C$6=""),"",TRIM(INDEX($A:$AP,ROW(),$C$6)&amp;""))</f>
        <v/>
      </c>
      <c r="AX57" s="2">
        <f>IF($AS57="","",IF($AZ57&lt;&gt;"",SUBSTITUTE(SUBSTITUTE($AZ57,"-","")," ",""),$AY57))</f>
        <v/>
      </c>
      <c r="AY57" s="2">
        <f>IF(OR($AS57="",$E$6=""),"",TRIM(INDEX($A:$AP,ROW(),$E$6)&amp;""))</f>
        <v/>
      </c>
      <c r="AZ57" s="2">
        <f>IF(OR($AS57="",$D$6=""),"",TRIM(INDEX($A:$AP,ROW(),$D$6)&amp;""))</f>
        <v/>
      </c>
      <c r="BA57" s="2">
        <f>IF($AS57="","",IF(AND($AS57&gt;=설정!$B$10,$AS57&lt;=설정!$B$11),"포함","기간 밖"))</f>
        <v/>
      </c>
      <c r="BB57" s="2">
        <f>IF($AS57="","",IF(OR($AT57&lt;0,AND($I$6&lt;&gt;"",ISNUMBER(FIND("수정",INDEX($A:$AP,ROW(),IF($I$6="",1,$I$6))&amp;"")))),"수정","일반"))</f>
        <v/>
      </c>
      <c r="BC57" s="2">
        <f>IF($AS57="","",MID(IF($BA57="기간 밖"," / 기간 밖(신고기간 아님)","")&amp;IF(AND($AW57&lt;&gt;"",COUNTIF($AW$8:$AW$1007,$AW57)&gt;1)," / 승인번호 중복(두 번 붙여넣기?)","")&amp;IF(ABS($AU57-ROUND($AT57*0.1,0))&gt;설정!$B$8,IF($AU57=0," / 세액 0원(영세율·면세 여부 확인)"," / 세액이 공급가액 10%와 다름"),"")&amp;IF($BB57="수정"," / 수정세금계산서(합계에서 자동 가감)",""),4,200))</f>
        <v/>
      </c>
      <c r="BD57" s="2">
        <f>IF($BA57&lt;&gt;"포함","",IF(COUNTIFS($AX$8:$AX57,$AX57,$BA$8:$BA57,"포함")=1,MAX($BD$7:BD56)+1,""))</f>
        <v/>
      </c>
      <c r="BE57" s="2">
        <f>IF($BC57="","",MAX($BE$7:BE56)+1)</f>
        <v/>
      </c>
    </row>
    <row r="58">
      <c r="AR58" s="2">
        <f>IF(OR($A$5="",$B$6="",ROW()&lt;$A$5),"",IF(INDEX($A:$AP,ROW(),$B$6)="","",INDEX($A:$AP,ROW(),$B$6)))</f>
        <v/>
      </c>
      <c r="AS58" s="22">
        <f>IF($AR58="","",IF(ISNUMBER($AR58),IF($AR58&gt;=10000000,IFERROR(DATE(INT($AR58/10000),MOD(INT($AR58/100),100),MOD($AR58,100)),""),INT($AR58)),IFERROR(DATE(--LEFT(LEFT(SUBSTITUTE(SUBSTITUTE(SUBSTITUTE(SUBSTITUTE(TRIM($AR58),"-",""),".",""),"/","")," ",""),8),4),--MID(LEFT(SUBSTITUTE(SUBSTITUTE(SUBSTITUTE(SUBSTITUTE(TRIM($AR58),"-",""),".",""),"/","")," ",""),8),5,2),--MID(LEFT(SUBSTITUTE(SUBSTITUTE(SUBSTITUTE(SUBSTITUTE(TRIM($AR58),"-",""),".",""),"/","")," ",""),8),7,2)),"")))</f>
        <v/>
      </c>
      <c r="AT58" s="23">
        <f>IF($AS58="","",IF($F$6="",0,IF(ISNUMBER(INDEX($A:$AP,ROW(),$F$6)),INDEX($A:$AP,ROW(),$F$6),IFERROR(--SUBSTITUTE(SUBSTITUTE(TRIM(INDEX($A:$AP,ROW(),$F$6)),",",""),"원",""),0))))</f>
        <v/>
      </c>
      <c r="AU58" s="23">
        <f>IF($AS58="","",IF($G$6="",0,IF(ISNUMBER(INDEX($A:$AP,ROW(),$G$6)),INDEX($A:$AP,ROW(),$G$6),IFERROR(--SUBSTITUTE(SUBSTITUTE(TRIM(INDEX($A:$AP,ROW(),$G$6)),",",""),"원",""),0))))</f>
        <v/>
      </c>
      <c r="AV58" s="23">
        <f>IF($AS58="","",IF($H$6="",$AT58+$AU58,IF($H$6="",0,IF(ISNUMBER(INDEX($A:$AP,ROW(),$H$6)),INDEX($A:$AP,ROW(),$H$6),IFERROR(--SUBSTITUTE(SUBSTITUTE(TRIM(INDEX($A:$AP,ROW(),$H$6)),",",""),"원",""),0)))))</f>
        <v/>
      </c>
      <c r="AW58" s="2">
        <f>IF(OR($AS58="",$C$6=""),"",TRIM(INDEX($A:$AP,ROW(),$C$6)&amp;""))</f>
        <v/>
      </c>
      <c r="AX58" s="2">
        <f>IF($AS58="","",IF($AZ58&lt;&gt;"",SUBSTITUTE(SUBSTITUTE($AZ58,"-","")," ",""),$AY58))</f>
        <v/>
      </c>
      <c r="AY58" s="2">
        <f>IF(OR($AS58="",$E$6=""),"",TRIM(INDEX($A:$AP,ROW(),$E$6)&amp;""))</f>
        <v/>
      </c>
      <c r="AZ58" s="2">
        <f>IF(OR($AS58="",$D$6=""),"",TRIM(INDEX($A:$AP,ROW(),$D$6)&amp;""))</f>
        <v/>
      </c>
      <c r="BA58" s="2">
        <f>IF($AS58="","",IF(AND($AS58&gt;=설정!$B$10,$AS58&lt;=설정!$B$11),"포함","기간 밖"))</f>
        <v/>
      </c>
      <c r="BB58" s="2">
        <f>IF($AS58="","",IF(OR($AT58&lt;0,AND($I$6&lt;&gt;"",ISNUMBER(FIND("수정",INDEX($A:$AP,ROW(),IF($I$6="",1,$I$6))&amp;"")))),"수정","일반"))</f>
        <v/>
      </c>
      <c r="BC58" s="2">
        <f>IF($AS58="","",MID(IF($BA58="기간 밖"," / 기간 밖(신고기간 아님)","")&amp;IF(AND($AW58&lt;&gt;"",COUNTIF($AW$8:$AW$1007,$AW58)&gt;1)," / 승인번호 중복(두 번 붙여넣기?)","")&amp;IF(ABS($AU58-ROUND($AT58*0.1,0))&gt;설정!$B$8,IF($AU58=0," / 세액 0원(영세율·면세 여부 확인)"," / 세액이 공급가액 10%와 다름"),"")&amp;IF($BB58="수정"," / 수정세금계산서(합계에서 자동 가감)",""),4,200))</f>
        <v/>
      </c>
      <c r="BD58" s="2">
        <f>IF($BA58&lt;&gt;"포함","",IF(COUNTIFS($AX$8:$AX58,$AX58,$BA$8:$BA58,"포함")=1,MAX($BD$7:BD57)+1,""))</f>
        <v/>
      </c>
      <c r="BE58" s="2">
        <f>IF($BC58="","",MAX($BE$7:BE57)+1)</f>
        <v/>
      </c>
    </row>
    <row r="59">
      <c r="AR59" s="2">
        <f>IF(OR($A$5="",$B$6="",ROW()&lt;$A$5),"",IF(INDEX($A:$AP,ROW(),$B$6)="","",INDEX($A:$AP,ROW(),$B$6)))</f>
        <v/>
      </c>
      <c r="AS59" s="22">
        <f>IF($AR59="","",IF(ISNUMBER($AR59),IF($AR59&gt;=10000000,IFERROR(DATE(INT($AR59/10000),MOD(INT($AR59/100),100),MOD($AR59,100)),""),INT($AR59)),IFERROR(DATE(--LEFT(LEFT(SUBSTITUTE(SUBSTITUTE(SUBSTITUTE(SUBSTITUTE(TRIM($AR59),"-",""),".",""),"/","")," ",""),8),4),--MID(LEFT(SUBSTITUTE(SUBSTITUTE(SUBSTITUTE(SUBSTITUTE(TRIM($AR59),"-",""),".",""),"/","")," ",""),8),5,2),--MID(LEFT(SUBSTITUTE(SUBSTITUTE(SUBSTITUTE(SUBSTITUTE(TRIM($AR59),"-",""),".",""),"/","")," ",""),8),7,2)),"")))</f>
        <v/>
      </c>
      <c r="AT59" s="23">
        <f>IF($AS59="","",IF($F$6="",0,IF(ISNUMBER(INDEX($A:$AP,ROW(),$F$6)),INDEX($A:$AP,ROW(),$F$6),IFERROR(--SUBSTITUTE(SUBSTITUTE(TRIM(INDEX($A:$AP,ROW(),$F$6)),",",""),"원",""),0))))</f>
        <v/>
      </c>
      <c r="AU59" s="23">
        <f>IF($AS59="","",IF($G$6="",0,IF(ISNUMBER(INDEX($A:$AP,ROW(),$G$6)),INDEX($A:$AP,ROW(),$G$6),IFERROR(--SUBSTITUTE(SUBSTITUTE(TRIM(INDEX($A:$AP,ROW(),$G$6)),",",""),"원",""),0))))</f>
        <v/>
      </c>
      <c r="AV59" s="23">
        <f>IF($AS59="","",IF($H$6="",$AT59+$AU59,IF($H$6="",0,IF(ISNUMBER(INDEX($A:$AP,ROW(),$H$6)),INDEX($A:$AP,ROW(),$H$6),IFERROR(--SUBSTITUTE(SUBSTITUTE(TRIM(INDEX($A:$AP,ROW(),$H$6)),",",""),"원",""),0)))))</f>
        <v/>
      </c>
      <c r="AW59" s="2">
        <f>IF(OR($AS59="",$C$6=""),"",TRIM(INDEX($A:$AP,ROW(),$C$6)&amp;""))</f>
        <v/>
      </c>
      <c r="AX59" s="2">
        <f>IF($AS59="","",IF($AZ59&lt;&gt;"",SUBSTITUTE(SUBSTITUTE($AZ59,"-","")," ",""),$AY59))</f>
        <v/>
      </c>
      <c r="AY59" s="2">
        <f>IF(OR($AS59="",$E$6=""),"",TRIM(INDEX($A:$AP,ROW(),$E$6)&amp;""))</f>
        <v/>
      </c>
      <c r="AZ59" s="2">
        <f>IF(OR($AS59="",$D$6=""),"",TRIM(INDEX($A:$AP,ROW(),$D$6)&amp;""))</f>
        <v/>
      </c>
      <c r="BA59" s="2">
        <f>IF($AS59="","",IF(AND($AS59&gt;=설정!$B$10,$AS59&lt;=설정!$B$11),"포함","기간 밖"))</f>
        <v/>
      </c>
      <c r="BB59" s="2">
        <f>IF($AS59="","",IF(OR($AT59&lt;0,AND($I$6&lt;&gt;"",ISNUMBER(FIND("수정",INDEX($A:$AP,ROW(),IF($I$6="",1,$I$6))&amp;"")))),"수정","일반"))</f>
        <v/>
      </c>
      <c r="BC59" s="2">
        <f>IF($AS59="","",MID(IF($BA59="기간 밖"," / 기간 밖(신고기간 아님)","")&amp;IF(AND($AW59&lt;&gt;"",COUNTIF($AW$8:$AW$1007,$AW59)&gt;1)," / 승인번호 중복(두 번 붙여넣기?)","")&amp;IF(ABS($AU59-ROUND($AT59*0.1,0))&gt;설정!$B$8,IF($AU59=0," / 세액 0원(영세율·면세 여부 확인)"," / 세액이 공급가액 10%와 다름"),"")&amp;IF($BB59="수정"," / 수정세금계산서(합계에서 자동 가감)",""),4,200))</f>
        <v/>
      </c>
      <c r="BD59" s="2">
        <f>IF($BA59&lt;&gt;"포함","",IF(COUNTIFS($AX$8:$AX59,$AX59,$BA$8:$BA59,"포함")=1,MAX($BD$7:BD58)+1,""))</f>
        <v/>
      </c>
      <c r="BE59" s="2">
        <f>IF($BC59="","",MAX($BE$7:BE58)+1)</f>
        <v/>
      </c>
    </row>
    <row r="60">
      <c r="AR60" s="2">
        <f>IF(OR($A$5="",$B$6="",ROW()&lt;$A$5),"",IF(INDEX($A:$AP,ROW(),$B$6)="","",INDEX($A:$AP,ROW(),$B$6)))</f>
        <v/>
      </c>
      <c r="AS60" s="22">
        <f>IF($AR60="","",IF(ISNUMBER($AR60),IF($AR60&gt;=10000000,IFERROR(DATE(INT($AR60/10000),MOD(INT($AR60/100),100),MOD($AR60,100)),""),INT($AR60)),IFERROR(DATE(--LEFT(LEFT(SUBSTITUTE(SUBSTITUTE(SUBSTITUTE(SUBSTITUTE(TRIM($AR60),"-",""),".",""),"/","")," ",""),8),4),--MID(LEFT(SUBSTITUTE(SUBSTITUTE(SUBSTITUTE(SUBSTITUTE(TRIM($AR60),"-",""),".",""),"/","")," ",""),8),5,2),--MID(LEFT(SUBSTITUTE(SUBSTITUTE(SUBSTITUTE(SUBSTITUTE(TRIM($AR60),"-",""),".",""),"/","")," ",""),8),7,2)),"")))</f>
        <v/>
      </c>
      <c r="AT60" s="23">
        <f>IF($AS60="","",IF($F$6="",0,IF(ISNUMBER(INDEX($A:$AP,ROW(),$F$6)),INDEX($A:$AP,ROW(),$F$6),IFERROR(--SUBSTITUTE(SUBSTITUTE(TRIM(INDEX($A:$AP,ROW(),$F$6)),",",""),"원",""),0))))</f>
        <v/>
      </c>
      <c r="AU60" s="23">
        <f>IF($AS60="","",IF($G$6="",0,IF(ISNUMBER(INDEX($A:$AP,ROW(),$G$6)),INDEX($A:$AP,ROW(),$G$6),IFERROR(--SUBSTITUTE(SUBSTITUTE(TRIM(INDEX($A:$AP,ROW(),$G$6)),",",""),"원",""),0))))</f>
        <v/>
      </c>
      <c r="AV60" s="23">
        <f>IF($AS60="","",IF($H$6="",$AT60+$AU60,IF($H$6="",0,IF(ISNUMBER(INDEX($A:$AP,ROW(),$H$6)),INDEX($A:$AP,ROW(),$H$6),IFERROR(--SUBSTITUTE(SUBSTITUTE(TRIM(INDEX($A:$AP,ROW(),$H$6)),",",""),"원",""),0)))))</f>
        <v/>
      </c>
      <c r="AW60" s="2">
        <f>IF(OR($AS60="",$C$6=""),"",TRIM(INDEX($A:$AP,ROW(),$C$6)&amp;""))</f>
        <v/>
      </c>
      <c r="AX60" s="2">
        <f>IF($AS60="","",IF($AZ60&lt;&gt;"",SUBSTITUTE(SUBSTITUTE($AZ60,"-","")," ",""),$AY60))</f>
        <v/>
      </c>
      <c r="AY60" s="2">
        <f>IF(OR($AS60="",$E$6=""),"",TRIM(INDEX($A:$AP,ROW(),$E$6)&amp;""))</f>
        <v/>
      </c>
      <c r="AZ60" s="2">
        <f>IF(OR($AS60="",$D$6=""),"",TRIM(INDEX($A:$AP,ROW(),$D$6)&amp;""))</f>
        <v/>
      </c>
      <c r="BA60" s="2">
        <f>IF($AS60="","",IF(AND($AS60&gt;=설정!$B$10,$AS60&lt;=설정!$B$11),"포함","기간 밖"))</f>
        <v/>
      </c>
      <c r="BB60" s="2">
        <f>IF($AS60="","",IF(OR($AT60&lt;0,AND($I$6&lt;&gt;"",ISNUMBER(FIND("수정",INDEX($A:$AP,ROW(),IF($I$6="",1,$I$6))&amp;"")))),"수정","일반"))</f>
        <v/>
      </c>
      <c r="BC60" s="2">
        <f>IF($AS60="","",MID(IF($BA60="기간 밖"," / 기간 밖(신고기간 아님)","")&amp;IF(AND($AW60&lt;&gt;"",COUNTIF($AW$8:$AW$1007,$AW60)&gt;1)," / 승인번호 중복(두 번 붙여넣기?)","")&amp;IF(ABS($AU60-ROUND($AT60*0.1,0))&gt;설정!$B$8,IF($AU60=0," / 세액 0원(영세율·면세 여부 확인)"," / 세액이 공급가액 10%와 다름"),"")&amp;IF($BB60="수정"," / 수정세금계산서(합계에서 자동 가감)",""),4,200))</f>
        <v/>
      </c>
      <c r="BD60" s="2">
        <f>IF($BA60&lt;&gt;"포함","",IF(COUNTIFS($AX$8:$AX60,$AX60,$BA$8:$BA60,"포함")=1,MAX($BD$7:BD59)+1,""))</f>
        <v/>
      </c>
      <c r="BE60" s="2">
        <f>IF($BC60="","",MAX($BE$7:BE59)+1)</f>
        <v/>
      </c>
    </row>
    <row r="61">
      <c r="AR61" s="2">
        <f>IF(OR($A$5="",$B$6="",ROW()&lt;$A$5),"",IF(INDEX($A:$AP,ROW(),$B$6)="","",INDEX($A:$AP,ROW(),$B$6)))</f>
        <v/>
      </c>
      <c r="AS61" s="22">
        <f>IF($AR61="","",IF(ISNUMBER($AR61),IF($AR61&gt;=10000000,IFERROR(DATE(INT($AR61/10000),MOD(INT($AR61/100),100),MOD($AR61,100)),""),INT($AR61)),IFERROR(DATE(--LEFT(LEFT(SUBSTITUTE(SUBSTITUTE(SUBSTITUTE(SUBSTITUTE(TRIM($AR61),"-",""),".",""),"/","")," ",""),8),4),--MID(LEFT(SUBSTITUTE(SUBSTITUTE(SUBSTITUTE(SUBSTITUTE(TRIM($AR61),"-",""),".",""),"/","")," ",""),8),5,2),--MID(LEFT(SUBSTITUTE(SUBSTITUTE(SUBSTITUTE(SUBSTITUTE(TRIM($AR61),"-",""),".",""),"/","")," ",""),8),7,2)),"")))</f>
        <v/>
      </c>
      <c r="AT61" s="23">
        <f>IF($AS61="","",IF($F$6="",0,IF(ISNUMBER(INDEX($A:$AP,ROW(),$F$6)),INDEX($A:$AP,ROW(),$F$6),IFERROR(--SUBSTITUTE(SUBSTITUTE(TRIM(INDEX($A:$AP,ROW(),$F$6)),",",""),"원",""),0))))</f>
        <v/>
      </c>
      <c r="AU61" s="23">
        <f>IF($AS61="","",IF($G$6="",0,IF(ISNUMBER(INDEX($A:$AP,ROW(),$G$6)),INDEX($A:$AP,ROW(),$G$6),IFERROR(--SUBSTITUTE(SUBSTITUTE(TRIM(INDEX($A:$AP,ROW(),$G$6)),",",""),"원",""),0))))</f>
        <v/>
      </c>
      <c r="AV61" s="23">
        <f>IF($AS61="","",IF($H$6="",$AT61+$AU61,IF($H$6="",0,IF(ISNUMBER(INDEX($A:$AP,ROW(),$H$6)),INDEX($A:$AP,ROW(),$H$6),IFERROR(--SUBSTITUTE(SUBSTITUTE(TRIM(INDEX($A:$AP,ROW(),$H$6)),",",""),"원",""),0)))))</f>
        <v/>
      </c>
      <c r="AW61" s="2">
        <f>IF(OR($AS61="",$C$6=""),"",TRIM(INDEX($A:$AP,ROW(),$C$6)&amp;""))</f>
        <v/>
      </c>
      <c r="AX61" s="2">
        <f>IF($AS61="","",IF($AZ61&lt;&gt;"",SUBSTITUTE(SUBSTITUTE($AZ61,"-","")," ",""),$AY61))</f>
        <v/>
      </c>
      <c r="AY61" s="2">
        <f>IF(OR($AS61="",$E$6=""),"",TRIM(INDEX($A:$AP,ROW(),$E$6)&amp;""))</f>
        <v/>
      </c>
      <c r="AZ61" s="2">
        <f>IF(OR($AS61="",$D$6=""),"",TRIM(INDEX($A:$AP,ROW(),$D$6)&amp;""))</f>
        <v/>
      </c>
      <c r="BA61" s="2">
        <f>IF($AS61="","",IF(AND($AS61&gt;=설정!$B$10,$AS61&lt;=설정!$B$11),"포함","기간 밖"))</f>
        <v/>
      </c>
      <c r="BB61" s="2">
        <f>IF($AS61="","",IF(OR($AT61&lt;0,AND($I$6&lt;&gt;"",ISNUMBER(FIND("수정",INDEX($A:$AP,ROW(),IF($I$6="",1,$I$6))&amp;"")))),"수정","일반"))</f>
        <v/>
      </c>
      <c r="BC61" s="2">
        <f>IF($AS61="","",MID(IF($BA61="기간 밖"," / 기간 밖(신고기간 아님)","")&amp;IF(AND($AW61&lt;&gt;"",COUNTIF($AW$8:$AW$1007,$AW61)&gt;1)," / 승인번호 중복(두 번 붙여넣기?)","")&amp;IF(ABS($AU61-ROUND($AT61*0.1,0))&gt;설정!$B$8,IF($AU61=0," / 세액 0원(영세율·면세 여부 확인)"," / 세액이 공급가액 10%와 다름"),"")&amp;IF($BB61="수정"," / 수정세금계산서(합계에서 자동 가감)",""),4,200))</f>
        <v/>
      </c>
      <c r="BD61" s="2">
        <f>IF($BA61&lt;&gt;"포함","",IF(COUNTIFS($AX$8:$AX61,$AX61,$BA$8:$BA61,"포함")=1,MAX($BD$7:BD60)+1,""))</f>
        <v/>
      </c>
      <c r="BE61" s="2">
        <f>IF($BC61="","",MAX($BE$7:BE60)+1)</f>
        <v/>
      </c>
    </row>
    <row r="62">
      <c r="AR62" s="2">
        <f>IF(OR($A$5="",$B$6="",ROW()&lt;$A$5),"",IF(INDEX($A:$AP,ROW(),$B$6)="","",INDEX($A:$AP,ROW(),$B$6)))</f>
        <v/>
      </c>
      <c r="AS62" s="22">
        <f>IF($AR62="","",IF(ISNUMBER($AR62),IF($AR62&gt;=10000000,IFERROR(DATE(INT($AR62/10000),MOD(INT($AR62/100),100),MOD($AR62,100)),""),INT($AR62)),IFERROR(DATE(--LEFT(LEFT(SUBSTITUTE(SUBSTITUTE(SUBSTITUTE(SUBSTITUTE(TRIM($AR62),"-",""),".",""),"/","")," ",""),8),4),--MID(LEFT(SUBSTITUTE(SUBSTITUTE(SUBSTITUTE(SUBSTITUTE(TRIM($AR62),"-",""),".",""),"/","")," ",""),8),5,2),--MID(LEFT(SUBSTITUTE(SUBSTITUTE(SUBSTITUTE(SUBSTITUTE(TRIM($AR62),"-",""),".",""),"/","")," ",""),8),7,2)),"")))</f>
        <v/>
      </c>
      <c r="AT62" s="23">
        <f>IF($AS62="","",IF($F$6="",0,IF(ISNUMBER(INDEX($A:$AP,ROW(),$F$6)),INDEX($A:$AP,ROW(),$F$6),IFERROR(--SUBSTITUTE(SUBSTITUTE(TRIM(INDEX($A:$AP,ROW(),$F$6)),",",""),"원",""),0))))</f>
        <v/>
      </c>
      <c r="AU62" s="23">
        <f>IF($AS62="","",IF($G$6="",0,IF(ISNUMBER(INDEX($A:$AP,ROW(),$G$6)),INDEX($A:$AP,ROW(),$G$6),IFERROR(--SUBSTITUTE(SUBSTITUTE(TRIM(INDEX($A:$AP,ROW(),$G$6)),",",""),"원",""),0))))</f>
        <v/>
      </c>
      <c r="AV62" s="23">
        <f>IF($AS62="","",IF($H$6="",$AT62+$AU62,IF($H$6="",0,IF(ISNUMBER(INDEX($A:$AP,ROW(),$H$6)),INDEX($A:$AP,ROW(),$H$6),IFERROR(--SUBSTITUTE(SUBSTITUTE(TRIM(INDEX($A:$AP,ROW(),$H$6)),",",""),"원",""),0)))))</f>
        <v/>
      </c>
      <c r="AW62" s="2">
        <f>IF(OR($AS62="",$C$6=""),"",TRIM(INDEX($A:$AP,ROW(),$C$6)&amp;""))</f>
        <v/>
      </c>
      <c r="AX62" s="2">
        <f>IF($AS62="","",IF($AZ62&lt;&gt;"",SUBSTITUTE(SUBSTITUTE($AZ62,"-","")," ",""),$AY62))</f>
        <v/>
      </c>
      <c r="AY62" s="2">
        <f>IF(OR($AS62="",$E$6=""),"",TRIM(INDEX($A:$AP,ROW(),$E$6)&amp;""))</f>
        <v/>
      </c>
      <c r="AZ62" s="2">
        <f>IF(OR($AS62="",$D$6=""),"",TRIM(INDEX($A:$AP,ROW(),$D$6)&amp;""))</f>
        <v/>
      </c>
      <c r="BA62" s="2">
        <f>IF($AS62="","",IF(AND($AS62&gt;=설정!$B$10,$AS62&lt;=설정!$B$11),"포함","기간 밖"))</f>
        <v/>
      </c>
      <c r="BB62" s="2">
        <f>IF($AS62="","",IF(OR($AT62&lt;0,AND($I$6&lt;&gt;"",ISNUMBER(FIND("수정",INDEX($A:$AP,ROW(),IF($I$6="",1,$I$6))&amp;"")))),"수정","일반"))</f>
        <v/>
      </c>
      <c r="BC62" s="2">
        <f>IF($AS62="","",MID(IF($BA62="기간 밖"," / 기간 밖(신고기간 아님)","")&amp;IF(AND($AW62&lt;&gt;"",COUNTIF($AW$8:$AW$1007,$AW62)&gt;1)," / 승인번호 중복(두 번 붙여넣기?)","")&amp;IF(ABS($AU62-ROUND($AT62*0.1,0))&gt;설정!$B$8,IF($AU62=0," / 세액 0원(영세율·면세 여부 확인)"," / 세액이 공급가액 10%와 다름"),"")&amp;IF($BB62="수정"," / 수정세금계산서(합계에서 자동 가감)",""),4,200))</f>
        <v/>
      </c>
      <c r="BD62" s="2">
        <f>IF($BA62&lt;&gt;"포함","",IF(COUNTIFS($AX$8:$AX62,$AX62,$BA$8:$BA62,"포함")=1,MAX($BD$7:BD61)+1,""))</f>
        <v/>
      </c>
      <c r="BE62" s="2">
        <f>IF($BC62="","",MAX($BE$7:BE61)+1)</f>
        <v/>
      </c>
    </row>
    <row r="63">
      <c r="AR63" s="2">
        <f>IF(OR($A$5="",$B$6="",ROW()&lt;$A$5),"",IF(INDEX($A:$AP,ROW(),$B$6)="","",INDEX($A:$AP,ROW(),$B$6)))</f>
        <v/>
      </c>
      <c r="AS63" s="22">
        <f>IF($AR63="","",IF(ISNUMBER($AR63),IF($AR63&gt;=10000000,IFERROR(DATE(INT($AR63/10000),MOD(INT($AR63/100),100),MOD($AR63,100)),""),INT($AR63)),IFERROR(DATE(--LEFT(LEFT(SUBSTITUTE(SUBSTITUTE(SUBSTITUTE(SUBSTITUTE(TRIM($AR63),"-",""),".",""),"/","")," ",""),8),4),--MID(LEFT(SUBSTITUTE(SUBSTITUTE(SUBSTITUTE(SUBSTITUTE(TRIM($AR63),"-",""),".",""),"/","")," ",""),8),5,2),--MID(LEFT(SUBSTITUTE(SUBSTITUTE(SUBSTITUTE(SUBSTITUTE(TRIM($AR63),"-",""),".",""),"/","")," ",""),8),7,2)),"")))</f>
        <v/>
      </c>
      <c r="AT63" s="23">
        <f>IF($AS63="","",IF($F$6="",0,IF(ISNUMBER(INDEX($A:$AP,ROW(),$F$6)),INDEX($A:$AP,ROW(),$F$6),IFERROR(--SUBSTITUTE(SUBSTITUTE(TRIM(INDEX($A:$AP,ROW(),$F$6)),",",""),"원",""),0))))</f>
        <v/>
      </c>
      <c r="AU63" s="23">
        <f>IF($AS63="","",IF($G$6="",0,IF(ISNUMBER(INDEX($A:$AP,ROW(),$G$6)),INDEX($A:$AP,ROW(),$G$6),IFERROR(--SUBSTITUTE(SUBSTITUTE(TRIM(INDEX($A:$AP,ROW(),$G$6)),",",""),"원",""),0))))</f>
        <v/>
      </c>
      <c r="AV63" s="23">
        <f>IF($AS63="","",IF($H$6="",$AT63+$AU63,IF($H$6="",0,IF(ISNUMBER(INDEX($A:$AP,ROW(),$H$6)),INDEX($A:$AP,ROW(),$H$6),IFERROR(--SUBSTITUTE(SUBSTITUTE(TRIM(INDEX($A:$AP,ROW(),$H$6)),",",""),"원",""),0)))))</f>
        <v/>
      </c>
      <c r="AW63" s="2">
        <f>IF(OR($AS63="",$C$6=""),"",TRIM(INDEX($A:$AP,ROW(),$C$6)&amp;""))</f>
        <v/>
      </c>
      <c r="AX63" s="2">
        <f>IF($AS63="","",IF($AZ63&lt;&gt;"",SUBSTITUTE(SUBSTITUTE($AZ63,"-","")," ",""),$AY63))</f>
        <v/>
      </c>
      <c r="AY63" s="2">
        <f>IF(OR($AS63="",$E$6=""),"",TRIM(INDEX($A:$AP,ROW(),$E$6)&amp;""))</f>
        <v/>
      </c>
      <c r="AZ63" s="2">
        <f>IF(OR($AS63="",$D$6=""),"",TRIM(INDEX($A:$AP,ROW(),$D$6)&amp;""))</f>
        <v/>
      </c>
      <c r="BA63" s="2">
        <f>IF($AS63="","",IF(AND($AS63&gt;=설정!$B$10,$AS63&lt;=설정!$B$11),"포함","기간 밖"))</f>
        <v/>
      </c>
      <c r="BB63" s="2">
        <f>IF($AS63="","",IF(OR($AT63&lt;0,AND($I$6&lt;&gt;"",ISNUMBER(FIND("수정",INDEX($A:$AP,ROW(),IF($I$6="",1,$I$6))&amp;"")))),"수정","일반"))</f>
        <v/>
      </c>
      <c r="BC63" s="2">
        <f>IF($AS63="","",MID(IF($BA63="기간 밖"," / 기간 밖(신고기간 아님)","")&amp;IF(AND($AW63&lt;&gt;"",COUNTIF($AW$8:$AW$1007,$AW63)&gt;1)," / 승인번호 중복(두 번 붙여넣기?)","")&amp;IF(ABS($AU63-ROUND($AT63*0.1,0))&gt;설정!$B$8,IF($AU63=0," / 세액 0원(영세율·면세 여부 확인)"," / 세액이 공급가액 10%와 다름"),"")&amp;IF($BB63="수정"," / 수정세금계산서(합계에서 자동 가감)",""),4,200))</f>
        <v/>
      </c>
      <c r="BD63" s="2">
        <f>IF($BA63&lt;&gt;"포함","",IF(COUNTIFS($AX$8:$AX63,$AX63,$BA$8:$BA63,"포함")=1,MAX($BD$7:BD62)+1,""))</f>
        <v/>
      </c>
      <c r="BE63" s="2">
        <f>IF($BC63="","",MAX($BE$7:BE62)+1)</f>
        <v/>
      </c>
    </row>
    <row r="64">
      <c r="AR64" s="2">
        <f>IF(OR($A$5="",$B$6="",ROW()&lt;$A$5),"",IF(INDEX($A:$AP,ROW(),$B$6)="","",INDEX($A:$AP,ROW(),$B$6)))</f>
        <v/>
      </c>
      <c r="AS64" s="22">
        <f>IF($AR64="","",IF(ISNUMBER($AR64),IF($AR64&gt;=10000000,IFERROR(DATE(INT($AR64/10000),MOD(INT($AR64/100),100),MOD($AR64,100)),""),INT($AR64)),IFERROR(DATE(--LEFT(LEFT(SUBSTITUTE(SUBSTITUTE(SUBSTITUTE(SUBSTITUTE(TRIM($AR64),"-",""),".",""),"/","")," ",""),8),4),--MID(LEFT(SUBSTITUTE(SUBSTITUTE(SUBSTITUTE(SUBSTITUTE(TRIM($AR64),"-",""),".",""),"/","")," ",""),8),5,2),--MID(LEFT(SUBSTITUTE(SUBSTITUTE(SUBSTITUTE(SUBSTITUTE(TRIM($AR64),"-",""),".",""),"/","")," ",""),8),7,2)),"")))</f>
        <v/>
      </c>
      <c r="AT64" s="23">
        <f>IF($AS64="","",IF($F$6="",0,IF(ISNUMBER(INDEX($A:$AP,ROW(),$F$6)),INDEX($A:$AP,ROW(),$F$6),IFERROR(--SUBSTITUTE(SUBSTITUTE(TRIM(INDEX($A:$AP,ROW(),$F$6)),",",""),"원",""),0))))</f>
        <v/>
      </c>
      <c r="AU64" s="23">
        <f>IF($AS64="","",IF($G$6="",0,IF(ISNUMBER(INDEX($A:$AP,ROW(),$G$6)),INDEX($A:$AP,ROW(),$G$6),IFERROR(--SUBSTITUTE(SUBSTITUTE(TRIM(INDEX($A:$AP,ROW(),$G$6)),",",""),"원",""),0))))</f>
        <v/>
      </c>
      <c r="AV64" s="23">
        <f>IF($AS64="","",IF($H$6="",$AT64+$AU64,IF($H$6="",0,IF(ISNUMBER(INDEX($A:$AP,ROW(),$H$6)),INDEX($A:$AP,ROW(),$H$6),IFERROR(--SUBSTITUTE(SUBSTITUTE(TRIM(INDEX($A:$AP,ROW(),$H$6)),",",""),"원",""),0)))))</f>
        <v/>
      </c>
      <c r="AW64" s="2">
        <f>IF(OR($AS64="",$C$6=""),"",TRIM(INDEX($A:$AP,ROW(),$C$6)&amp;""))</f>
        <v/>
      </c>
      <c r="AX64" s="2">
        <f>IF($AS64="","",IF($AZ64&lt;&gt;"",SUBSTITUTE(SUBSTITUTE($AZ64,"-","")," ",""),$AY64))</f>
        <v/>
      </c>
      <c r="AY64" s="2">
        <f>IF(OR($AS64="",$E$6=""),"",TRIM(INDEX($A:$AP,ROW(),$E$6)&amp;""))</f>
        <v/>
      </c>
      <c r="AZ64" s="2">
        <f>IF(OR($AS64="",$D$6=""),"",TRIM(INDEX($A:$AP,ROW(),$D$6)&amp;""))</f>
        <v/>
      </c>
      <c r="BA64" s="2">
        <f>IF($AS64="","",IF(AND($AS64&gt;=설정!$B$10,$AS64&lt;=설정!$B$11),"포함","기간 밖"))</f>
        <v/>
      </c>
      <c r="BB64" s="2">
        <f>IF($AS64="","",IF(OR($AT64&lt;0,AND($I$6&lt;&gt;"",ISNUMBER(FIND("수정",INDEX($A:$AP,ROW(),IF($I$6="",1,$I$6))&amp;"")))),"수정","일반"))</f>
        <v/>
      </c>
      <c r="BC64" s="2">
        <f>IF($AS64="","",MID(IF($BA64="기간 밖"," / 기간 밖(신고기간 아님)","")&amp;IF(AND($AW64&lt;&gt;"",COUNTIF($AW$8:$AW$1007,$AW64)&gt;1)," / 승인번호 중복(두 번 붙여넣기?)","")&amp;IF(ABS($AU64-ROUND($AT64*0.1,0))&gt;설정!$B$8,IF($AU64=0," / 세액 0원(영세율·면세 여부 확인)"," / 세액이 공급가액 10%와 다름"),"")&amp;IF($BB64="수정"," / 수정세금계산서(합계에서 자동 가감)",""),4,200))</f>
        <v/>
      </c>
      <c r="BD64" s="2">
        <f>IF($BA64&lt;&gt;"포함","",IF(COUNTIFS($AX$8:$AX64,$AX64,$BA$8:$BA64,"포함")=1,MAX($BD$7:BD63)+1,""))</f>
        <v/>
      </c>
      <c r="BE64" s="2">
        <f>IF($BC64="","",MAX($BE$7:BE63)+1)</f>
        <v/>
      </c>
    </row>
    <row r="65">
      <c r="AR65" s="2">
        <f>IF(OR($A$5="",$B$6="",ROW()&lt;$A$5),"",IF(INDEX($A:$AP,ROW(),$B$6)="","",INDEX($A:$AP,ROW(),$B$6)))</f>
        <v/>
      </c>
      <c r="AS65" s="22">
        <f>IF($AR65="","",IF(ISNUMBER($AR65),IF($AR65&gt;=10000000,IFERROR(DATE(INT($AR65/10000),MOD(INT($AR65/100),100),MOD($AR65,100)),""),INT($AR65)),IFERROR(DATE(--LEFT(LEFT(SUBSTITUTE(SUBSTITUTE(SUBSTITUTE(SUBSTITUTE(TRIM($AR65),"-",""),".",""),"/","")," ",""),8),4),--MID(LEFT(SUBSTITUTE(SUBSTITUTE(SUBSTITUTE(SUBSTITUTE(TRIM($AR65),"-",""),".",""),"/","")," ",""),8),5,2),--MID(LEFT(SUBSTITUTE(SUBSTITUTE(SUBSTITUTE(SUBSTITUTE(TRIM($AR65),"-",""),".",""),"/","")," ",""),8),7,2)),"")))</f>
        <v/>
      </c>
      <c r="AT65" s="23">
        <f>IF($AS65="","",IF($F$6="",0,IF(ISNUMBER(INDEX($A:$AP,ROW(),$F$6)),INDEX($A:$AP,ROW(),$F$6),IFERROR(--SUBSTITUTE(SUBSTITUTE(TRIM(INDEX($A:$AP,ROW(),$F$6)),",",""),"원",""),0))))</f>
        <v/>
      </c>
      <c r="AU65" s="23">
        <f>IF($AS65="","",IF($G$6="",0,IF(ISNUMBER(INDEX($A:$AP,ROW(),$G$6)),INDEX($A:$AP,ROW(),$G$6),IFERROR(--SUBSTITUTE(SUBSTITUTE(TRIM(INDEX($A:$AP,ROW(),$G$6)),",",""),"원",""),0))))</f>
        <v/>
      </c>
      <c r="AV65" s="23">
        <f>IF($AS65="","",IF($H$6="",$AT65+$AU65,IF($H$6="",0,IF(ISNUMBER(INDEX($A:$AP,ROW(),$H$6)),INDEX($A:$AP,ROW(),$H$6),IFERROR(--SUBSTITUTE(SUBSTITUTE(TRIM(INDEX($A:$AP,ROW(),$H$6)),",",""),"원",""),0)))))</f>
        <v/>
      </c>
      <c r="AW65" s="2">
        <f>IF(OR($AS65="",$C$6=""),"",TRIM(INDEX($A:$AP,ROW(),$C$6)&amp;""))</f>
        <v/>
      </c>
      <c r="AX65" s="2">
        <f>IF($AS65="","",IF($AZ65&lt;&gt;"",SUBSTITUTE(SUBSTITUTE($AZ65,"-","")," ",""),$AY65))</f>
        <v/>
      </c>
      <c r="AY65" s="2">
        <f>IF(OR($AS65="",$E$6=""),"",TRIM(INDEX($A:$AP,ROW(),$E$6)&amp;""))</f>
        <v/>
      </c>
      <c r="AZ65" s="2">
        <f>IF(OR($AS65="",$D$6=""),"",TRIM(INDEX($A:$AP,ROW(),$D$6)&amp;""))</f>
        <v/>
      </c>
      <c r="BA65" s="2">
        <f>IF($AS65="","",IF(AND($AS65&gt;=설정!$B$10,$AS65&lt;=설정!$B$11),"포함","기간 밖"))</f>
        <v/>
      </c>
      <c r="BB65" s="2">
        <f>IF($AS65="","",IF(OR($AT65&lt;0,AND($I$6&lt;&gt;"",ISNUMBER(FIND("수정",INDEX($A:$AP,ROW(),IF($I$6="",1,$I$6))&amp;"")))),"수정","일반"))</f>
        <v/>
      </c>
      <c r="BC65" s="2">
        <f>IF($AS65="","",MID(IF($BA65="기간 밖"," / 기간 밖(신고기간 아님)","")&amp;IF(AND($AW65&lt;&gt;"",COUNTIF($AW$8:$AW$1007,$AW65)&gt;1)," / 승인번호 중복(두 번 붙여넣기?)","")&amp;IF(ABS($AU65-ROUND($AT65*0.1,0))&gt;설정!$B$8,IF($AU65=0," / 세액 0원(영세율·면세 여부 확인)"," / 세액이 공급가액 10%와 다름"),"")&amp;IF($BB65="수정"," / 수정세금계산서(합계에서 자동 가감)",""),4,200))</f>
        <v/>
      </c>
      <c r="BD65" s="2">
        <f>IF($BA65&lt;&gt;"포함","",IF(COUNTIFS($AX$8:$AX65,$AX65,$BA$8:$BA65,"포함")=1,MAX($BD$7:BD64)+1,""))</f>
        <v/>
      </c>
      <c r="BE65" s="2">
        <f>IF($BC65="","",MAX($BE$7:BE64)+1)</f>
        <v/>
      </c>
    </row>
    <row r="66">
      <c r="AR66" s="2">
        <f>IF(OR($A$5="",$B$6="",ROW()&lt;$A$5),"",IF(INDEX($A:$AP,ROW(),$B$6)="","",INDEX($A:$AP,ROW(),$B$6)))</f>
        <v/>
      </c>
      <c r="AS66" s="22">
        <f>IF($AR66="","",IF(ISNUMBER($AR66),IF($AR66&gt;=10000000,IFERROR(DATE(INT($AR66/10000),MOD(INT($AR66/100),100),MOD($AR66,100)),""),INT($AR66)),IFERROR(DATE(--LEFT(LEFT(SUBSTITUTE(SUBSTITUTE(SUBSTITUTE(SUBSTITUTE(TRIM($AR66),"-",""),".",""),"/","")," ",""),8),4),--MID(LEFT(SUBSTITUTE(SUBSTITUTE(SUBSTITUTE(SUBSTITUTE(TRIM($AR66),"-",""),".",""),"/","")," ",""),8),5,2),--MID(LEFT(SUBSTITUTE(SUBSTITUTE(SUBSTITUTE(SUBSTITUTE(TRIM($AR66),"-",""),".",""),"/","")," ",""),8),7,2)),"")))</f>
        <v/>
      </c>
      <c r="AT66" s="23">
        <f>IF($AS66="","",IF($F$6="",0,IF(ISNUMBER(INDEX($A:$AP,ROW(),$F$6)),INDEX($A:$AP,ROW(),$F$6),IFERROR(--SUBSTITUTE(SUBSTITUTE(TRIM(INDEX($A:$AP,ROW(),$F$6)),",",""),"원",""),0))))</f>
        <v/>
      </c>
      <c r="AU66" s="23">
        <f>IF($AS66="","",IF($G$6="",0,IF(ISNUMBER(INDEX($A:$AP,ROW(),$G$6)),INDEX($A:$AP,ROW(),$G$6),IFERROR(--SUBSTITUTE(SUBSTITUTE(TRIM(INDEX($A:$AP,ROW(),$G$6)),",",""),"원",""),0))))</f>
        <v/>
      </c>
      <c r="AV66" s="23">
        <f>IF($AS66="","",IF($H$6="",$AT66+$AU66,IF($H$6="",0,IF(ISNUMBER(INDEX($A:$AP,ROW(),$H$6)),INDEX($A:$AP,ROW(),$H$6),IFERROR(--SUBSTITUTE(SUBSTITUTE(TRIM(INDEX($A:$AP,ROW(),$H$6)),",",""),"원",""),0)))))</f>
        <v/>
      </c>
      <c r="AW66" s="2">
        <f>IF(OR($AS66="",$C$6=""),"",TRIM(INDEX($A:$AP,ROW(),$C$6)&amp;""))</f>
        <v/>
      </c>
      <c r="AX66" s="2">
        <f>IF($AS66="","",IF($AZ66&lt;&gt;"",SUBSTITUTE(SUBSTITUTE($AZ66,"-","")," ",""),$AY66))</f>
        <v/>
      </c>
      <c r="AY66" s="2">
        <f>IF(OR($AS66="",$E$6=""),"",TRIM(INDEX($A:$AP,ROW(),$E$6)&amp;""))</f>
        <v/>
      </c>
      <c r="AZ66" s="2">
        <f>IF(OR($AS66="",$D$6=""),"",TRIM(INDEX($A:$AP,ROW(),$D$6)&amp;""))</f>
        <v/>
      </c>
      <c r="BA66" s="2">
        <f>IF($AS66="","",IF(AND($AS66&gt;=설정!$B$10,$AS66&lt;=설정!$B$11),"포함","기간 밖"))</f>
        <v/>
      </c>
      <c r="BB66" s="2">
        <f>IF($AS66="","",IF(OR($AT66&lt;0,AND($I$6&lt;&gt;"",ISNUMBER(FIND("수정",INDEX($A:$AP,ROW(),IF($I$6="",1,$I$6))&amp;"")))),"수정","일반"))</f>
        <v/>
      </c>
      <c r="BC66" s="2">
        <f>IF($AS66="","",MID(IF($BA66="기간 밖"," / 기간 밖(신고기간 아님)","")&amp;IF(AND($AW66&lt;&gt;"",COUNTIF($AW$8:$AW$1007,$AW66)&gt;1)," / 승인번호 중복(두 번 붙여넣기?)","")&amp;IF(ABS($AU66-ROUND($AT66*0.1,0))&gt;설정!$B$8,IF($AU66=0," / 세액 0원(영세율·면세 여부 확인)"," / 세액이 공급가액 10%와 다름"),"")&amp;IF($BB66="수정"," / 수정세금계산서(합계에서 자동 가감)",""),4,200))</f>
        <v/>
      </c>
      <c r="BD66" s="2">
        <f>IF($BA66&lt;&gt;"포함","",IF(COUNTIFS($AX$8:$AX66,$AX66,$BA$8:$BA66,"포함")=1,MAX($BD$7:BD65)+1,""))</f>
        <v/>
      </c>
      <c r="BE66" s="2">
        <f>IF($BC66="","",MAX($BE$7:BE65)+1)</f>
        <v/>
      </c>
    </row>
    <row r="67">
      <c r="AR67" s="2">
        <f>IF(OR($A$5="",$B$6="",ROW()&lt;$A$5),"",IF(INDEX($A:$AP,ROW(),$B$6)="","",INDEX($A:$AP,ROW(),$B$6)))</f>
        <v/>
      </c>
      <c r="AS67" s="22">
        <f>IF($AR67="","",IF(ISNUMBER($AR67),IF($AR67&gt;=10000000,IFERROR(DATE(INT($AR67/10000),MOD(INT($AR67/100),100),MOD($AR67,100)),""),INT($AR67)),IFERROR(DATE(--LEFT(LEFT(SUBSTITUTE(SUBSTITUTE(SUBSTITUTE(SUBSTITUTE(TRIM($AR67),"-",""),".",""),"/","")," ",""),8),4),--MID(LEFT(SUBSTITUTE(SUBSTITUTE(SUBSTITUTE(SUBSTITUTE(TRIM($AR67),"-",""),".",""),"/","")," ",""),8),5,2),--MID(LEFT(SUBSTITUTE(SUBSTITUTE(SUBSTITUTE(SUBSTITUTE(TRIM($AR67),"-",""),".",""),"/","")," ",""),8),7,2)),"")))</f>
        <v/>
      </c>
      <c r="AT67" s="23">
        <f>IF($AS67="","",IF($F$6="",0,IF(ISNUMBER(INDEX($A:$AP,ROW(),$F$6)),INDEX($A:$AP,ROW(),$F$6),IFERROR(--SUBSTITUTE(SUBSTITUTE(TRIM(INDEX($A:$AP,ROW(),$F$6)),",",""),"원",""),0))))</f>
        <v/>
      </c>
      <c r="AU67" s="23">
        <f>IF($AS67="","",IF($G$6="",0,IF(ISNUMBER(INDEX($A:$AP,ROW(),$G$6)),INDEX($A:$AP,ROW(),$G$6),IFERROR(--SUBSTITUTE(SUBSTITUTE(TRIM(INDEX($A:$AP,ROW(),$G$6)),",",""),"원",""),0))))</f>
        <v/>
      </c>
      <c r="AV67" s="23">
        <f>IF($AS67="","",IF($H$6="",$AT67+$AU67,IF($H$6="",0,IF(ISNUMBER(INDEX($A:$AP,ROW(),$H$6)),INDEX($A:$AP,ROW(),$H$6),IFERROR(--SUBSTITUTE(SUBSTITUTE(TRIM(INDEX($A:$AP,ROW(),$H$6)),",",""),"원",""),0)))))</f>
        <v/>
      </c>
      <c r="AW67" s="2">
        <f>IF(OR($AS67="",$C$6=""),"",TRIM(INDEX($A:$AP,ROW(),$C$6)&amp;""))</f>
        <v/>
      </c>
      <c r="AX67" s="2">
        <f>IF($AS67="","",IF($AZ67&lt;&gt;"",SUBSTITUTE(SUBSTITUTE($AZ67,"-","")," ",""),$AY67))</f>
        <v/>
      </c>
      <c r="AY67" s="2">
        <f>IF(OR($AS67="",$E$6=""),"",TRIM(INDEX($A:$AP,ROW(),$E$6)&amp;""))</f>
        <v/>
      </c>
      <c r="AZ67" s="2">
        <f>IF(OR($AS67="",$D$6=""),"",TRIM(INDEX($A:$AP,ROW(),$D$6)&amp;""))</f>
        <v/>
      </c>
      <c r="BA67" s="2">
        <f>IF($AS67="","",IF(AND($AS67&gt;=설정!$B$10,$AS67&lt;=설정!$B$11),"포함","기간 밖"))</f>
        <v/>
      </c>
      <c r="BB67" s="2">
        <f>IF($AS67="","",IF(OR($AT67&lt;0,AND($I$6&lt;&gt;"",ISNUMBER(FIND("수정",INDEX($A:$AP,ROW(),IF($I$6="",1,$I$6))&amp;"")))),"수정","일반"))</f>
        <v/>
      </c>
      <c r="BC67" s="2">
        <f>IF($AS67="","",MID(IF($BA67="기간 밖"," / 기간 밖(신고기간 아님)","")&amp;IF(AND($AW67&lt;&gt;"",COUNTIF($AW$8:$AW$1007,$AW67)&gt;1)," / 승인번호 중복(두 번 붙여넣기?)","")&amp;IF(ABS($AU67-ROUND($AT67*0.1,0))&gt;설정!$B$8,IF($AU67=0," / 세액 0원(영세율·면세 여부 확인)"," / 세액이 공급가액 10%와 다름"),"")&amp;IF($BB67="수정"," / 수정세금계산서(합계에서 자동 가감)",""),4,200))</f>
        <v/>
      </c>
      <c r="BD67" s="2">
        <f>IF($BA67&lt;&gt;"포함","",IF(COUNTIFS($AX$8:$AX67,$AX67,$BA$8:$BA67,"포함")=1,MAX($BD$7:BD66)+1,""))</f>
        <v/>
      </c>
      <c r="BE67" s="2">
        <f>IF($BC67="","",MAX($BE$7:BE66)+1)</f>
        <v/>
      </c>
    </row>
    <row r="68">
      <c r="AR68" s="2">
        <f>IF(OR($A$5="",$B$6="",ROW()&lt;$A$5),"",IF(INDEX($A:$AP,ROW(),$B$6)="","",INDEX($A:$AP,ROW(),$B$6)))</f>
        <v/>
      </c>
      <c r="AS68" s="22">
        <f>IF($AR68="","",IF(ISNUMBER($AR68),IF($AR68&gt;=10000000,IFERROR(DATE(INT($AR68/10000),MOD(INT($AR68/100),100),MOD($AR68,100)),""),INT($AR68)),IFERROR(DATE(--LEFT(LEFT(SUBSTITUTE(SUBSTITUTE(SUBSTITUTE(SUBSTITUTE(TRIM($AR68),"-",""),".",""),"/","")," ",""),8),4),--MID(LEFT(SUBSTITUTE(SUBSTITUTE(SUBSTITUTE(SUBSTITUTE(TRIM($AR68),"-",""),".",""),"/","")," ",""),8),5,2),--MID(LEFT(SUBSTITUTE(SUBSTITUTE(SUBSTITUTE(SUBSTITUTE(TRIM($AR68),"-",""),".",""),"/","")," ",""),8),7,2)),"")))</f>
        <v/>
      </c>
      <c r="AT68" s="23">
        <f>IF($AS68="","",IF($F$6="",0,IF(ISNUMBER(INDEX($A:$AP,ROW(),$F$6)),INDEX($A:$AP,ROW(),$F$6),IFERROR(--SUBSTITUTE(SUBSTITUTE(TRIM(INDEX($A:$AP,ROW(),$F$6)),",",""),"원",""),0))))</f>
        <v/>
      </c>
      <c r="AU68" s="23">
        <f>IF($AS68="","",IF($G$6="",0,IF(ISNUMBER(INDEX($A:$AP,ROW(),$G$6)),INDEX($A:$AP,ROW(),$G$6),IFERROR(--SUBSTITUTE(SUBSTITUTE(TRIM(INDEX($A:$AP,ROW(),$G$6)),",",""),"원",""),0))))</f>
        <v/>
      </c>
      <c r="AV68" s="23">
        <f>IF($AS68="","",IF($H$6="",$AT68+$AU68,IF($H$6="",0,IF(ISNUMBER(INDEX($A:$AP,ROW(),$H$6)),INDEX($A:$AP,ROW(),$H$6),IFERROR(--SUBSTITUTE(SUBSTITUTE(TRIM(INDEX($A:$AP,ROW(),$H$6)),",",""),"원",""),0)))))</f>
        <v/>
      </c>
      <c r="AW68" s="2">
        <f>IF(OR($AS68="",$C$6=""),"",TRIM(INDEX($A:$AP,ROW(),$C$6)&amp;""))</f>
        <v/>
      </c>
      <c r="AX68" s="2">
        <f>IF($AS68="","",IF($AZ68&lt;&gt;"",SUBSTITUTE(SUBSTITUTE($AZ68,"-","")," ",""),$AY68))</f>
        <v/>
      </c>
      <c r="AY68" s="2">
        <f>IF(OR($AS68="",$E$6=""),"",TRIM(INDEX($A:$AP,ROW(),$E$6)&amp;""))</f>
        <v/>
      </c>
      <c r="AZ68" s="2">
        <f>IF(OR($AS68="",$D$6=""),"",TRIM(INDEX($A:$AP,ROW(),$D$6)&amp;""))</f>
        <v/>
      </c>
      <c r="BA68" s="2">
        <f>IF($AS68="","",IF(AND($AS68&gt;=설정!$B$10,$AS68&lt;=설정!$B$11),"포함","기간 밖"))</f>
        <v/>
      </c>
      <c r="BB68" s="2">
        <f>IF($AS68="","",IF(OR($AT68&lt;0,AND($I$6&lt;&gt;"",ISNUMBER(FIND("수정",INDEX($A:$AP,ROW(),IF($I$6="",1,$I$6))&amp;"")))),"수정","일반"))</f>
        <v/>
      </c>
      <c r="BC68" s="2">
        <f>IF($AS68="","",MID(IF($BA68="기간 밖"," / 기간 밖(신고기간 아님)","")&amp;IF(AND($AW68&lt;&gt;"",COUNTIF($AW$8:$AW$1007,$AW68)&gt;1)," / 승인번호 중복(두 번 붙여넣기?)","")&amp;IF(ABS($AU68-ROUND($AT68*0.1,0))&gt;설정!$B$8,IF($AU68=0," / 세액 0원(영세율·면세 여부 확인)"," / 세액이 공급가액 10%와 다름"),"")&amp;IF($BB68="수정"," / 수정세금계산서(합계에서 자동 가감)",""),4,200))</f>
        <v/>
      </c>
      <c r="BD68" s="2">
        <f>IF($BA68&lt;&gt;"포함","",IF(COUNTIFS($AX$8:$AX68,$AX68,$BA$8:$BA68,"포함")=1,MAX($BD$7:BD67)+1,""))</f>
        <v/>
      </c>
      <c r="BE68" s="2">
        <f>IF($BC68="","",MAX($BE$7:BE67)+1)</f>
        <v/>
      </c>
    </row>
    <row r="69">
      <c r="AR69" s="2">
        <f>IF(OR($A$5="",$B$6="",ROW()&lt;$A$5),"",IF(INDEX($A:$AP,ROW(),$B$6)="","",INDEX($A:$AP,ROW(),$B$6)))</f>
        <v/>
      </c>
      <c r="AS69" s="22">
        <f>IF($AR69="","",IF(ISNUMBER($AR69),IF($AR69&gt;=10000000,IFERROR(DATE(INT($AR69/10000),MOD(INT($AR69/100),100),MOD($AR69,100)),""),INT($AR69)),IFERROR(DATE(--LEFT(LEFT(SUBSTITUTE(SUBSTITUTE(SUBSTITUTE(SUBSTITUTE(TRIM($AR69),"-",""),".",""),"/","")," ",""),8),4),--MID(LEFT(SUBSTITUTE(SUBSTITUTE(SUBSTITUTE(SUBSTITUTE(TRIM($AR69),"-",""),".",""),"/","")," ",""),8),5,2),--MID(LEFT(SUBSTITUTE(SUBSTITUTE(SUBSTITUTE(SUBSTITUTE(TRIM($AR69),"-",""),".",""),"/","")," ",""),8),7,2)),"")))</f>
        <v/>
      </c>
      <c r="AT69" s="23">
        <f>IF($AS69="","",IF($F$6="",0,IF(ISNUMBER(INDEX($A:$AP,ROW(),$F$6)),INDEX($A:$AP,ROW(),$F$6),IFERROR(--SUBSTITUTE(SUBSTITUTE(TRIM(INDEX($A:$AP,ROW(),$F$6)),",",""),"원",""),0))))</f>
        <v/>
      </c>
      <c r="AU69" s="23">
        <f>IF($AS69="","",IF($G$6="",0,IF(ISNUMBER(INDEX($A:$AP,ROW(),$G$6)),INDEX($A:$AP,ROW(),$G$6),IFERROR(--SUBSTITUTE(SUBSTITUTE(TRIM(INDEX($A:$AP,ROW(),$G$6)),",",""),"원",""),0))))</f>
        <v/>
      </c>
      <c r="AV69" s="23">
        <f>IF($AS69="","",IF($H$6="",$AT69+$AU69,IF($H$6="",0,IF(ISNUMBER(INDEX($A:$AP,ROW(),$H$6)),INDEX($A:$AP,ROW(),$H$6),IFERROR(--SUBSTITUTE(SUBSTITUTE(TRIM(INDEX($A:$AP,ROW(),$H$6)),",",""),"원",""),0)))))</f>
        <v/>
      </c>
      <c r="AW69" s="2">
        <f>IF(OR($AS69="",$C$6=""),"",TRIM(INDEX($A:$AP,ROW(),$C$6)&amp;""))</f>
        <v/>
      </c>
      <c r="AX69" s="2">
        <f>IF($AS69="","",IF($AZ69&lt;&gt;"",SUBSTITUTE(SUBSTITUTE($AZ69,"-","")," ",""),$AY69))</f>
        <v/>
      </c>
      <c r="AY69" s="2">
        <f>IF(OR($AS69="",$E$6=""),"",TRIM(INDEX($A:$AP,ROW(),$E$6)&amp;""))</f>
        <v/>
      </c>
      <c r="AZ69" s="2">
        <f>IF(OR($AS69="",$D$6=""),"",TRIM(INDEX($A:$AP,ROW(),$D$6)&amp;""))</f>
        <v/>
      </c>
      <c r="BA69" s="2">
        <f>IF($AS69="","",IF(AND($AS69&gt;=설정!$B$10,$AS69&lt;=설정!$B$11),"포함","기간 밖"))</f>
        <v/>
      </c>
      <c r="BB69" s="2">
        <f>IF($AS69="","",IF(OR($AT69&lt;0,AND($I$6&lt;&gt;"",ISNUMBER(FIND("수정",INDEX($A:$AP,ROW(),IF($I$6="",1,$I$6))&amp;"")))),"수정","일반"))</f>
        <v/>
      </c>
      <c r="BC69" s="2">
        <f>IF($AS69="","",MID(IF($BA69="기간 밖"," / 기간 밖(신고기간 아님)","")&amp;IF(AND($AW69&lt;&gt;"",COUNTIF($AW$8:$AW$1007,$AW69)&gt;1)," / 승인번호 중복(두 번 붙여넣기?)","")&amp;IF(ABS($AU69-ROUND($AT69*0.1,0))&gt;설정!$B$8,IF($AU69=0," / 세액 0원(영세율·면세 여부 확인)"," / 세액이 공급가액 10%와 다름"),"")&amp;IF($BB69="수정"," / 수정세금계산서(합계에서 자동 가감)",""),4,200))</f>
        <v/>
      </c>
      <c r="BD69" s="2">
        <f>IF($BA69&lt;&gt;"포함","",IF(COUNTIFS($AX$8:$AX69,$AX69,$BA$8:$BA69,"포함")=1,MAX($BD$7:BD68)+1,""))</f>
        <v/>
      </c>
      <c r="BE69" s="2">
        <f>IF($BC69="","",MAX($BE$7:BE68)+1)</f>
        <v/>
      </c>
    </row>
    <row r="70">
      <c r="AR70" s="2">
        <f>IF(OR($A$5="",$B$6="",ROW()&lt;$A$5),"",IF(INDEX($A:$AP,ROW(),$B$6)="","",INDEX($A:$AP,ROW(),$B$6)))</f>
        <v/>
      </c>
      <c r="AS70" s="22">
        <f>IF($AR70="","",IF(ISNUMBER($AR70),IF($AR70&gt;=10000000,IFERROR(DATE(INT($AR70/10000),MOD(INT($AR70/100),100),MOD($AR70,100)),""),INT($AR70)),IFERROR(DATE(--LEFT(LEFT(SUBSTITUTE(SUBSTITUTE(SUBSTITUTE(SUBSTITUTE(TRIM($AR70),"-",""),".",""),"/","")," ",""),8),4),--MID(LEFT(SUBSTITUTE(SUBSTITUTE(SUBSTITUTE(SUBSTITUTE(TRIM($AR70),"-",""),".",""),"/","")," ",""),8),5,2),--MID(LEFT(SUBSTITUTE(SUBSTITUTE(SUBSTITUTE(SUBSTITUTE(TRIM($AR70),"-",""),".",""),"/","")," ",""),8),7,2)),"")))</f>
        <v/>
      </c>
      <c r="AT70" s="23">
        <f>IF($AS70="","",IF($F$6="",0,IF(ISNUMBER(INDEX($A:$AP,ROW(),$F$6)),INDEX($A:$AP,ROW(),$F$6),IFERROR(--SUBSTITUTE(SUBSTITUTE(TRIM(INDEX($A:$AP,ROW(),$F$6)),",",""),"원",""),0))))</f>
        <v/>
      </c>
      <c r="AU70" s="23">
        <f>IF($AS70="","",IF($G$6="",0,IF(ISNUMBER(INDEX($A:$AP,ROW(),$G$6)),INDEX($A:$AP,ROW(),$G$6),IFERROR(--SUBSTITUTE(SUBSTITUTE(TRIM(INDEX($A:$AP,ROW(),$G$6)),",",""),"원",""),0))))</f>
        <v/>
      </c>
      <c r="AV70" s="23">
        <f>IF($AS70="","",IF($H$6="",$AT70+$AU70,IF($H$6="",0,IF(ISNUMBER(INDEX($A:$AP,ROW(),$H$6)),INDEX($A:$AP,ROW(),$H$6),IFERROR(--SUBSTITUTE(SUBSTITUTE(TRIM(INDEX($A:$AP,ROW(),$H$6)),",",""),"원",""),0)))))</f>
        <v/>
      </c>
      <c r="AW70" s="2">
        <f>IF(OR($AS70="",$C$6=""),"",TRIM(INDEX($A:$AP,ROW(),$C$6)&amp;""))</f>
        <v/>
      </c>
      <c r="AX70" s="2">
        <f>IF($AS70="","",IF($AZ70&lt;&gt;"",SUBSTITUTE(SUBSTITUTE($AZ70,"-","")," ",""),$AY70))</f>
        <v/>
      </c>
      <c r="AY70" s="2">
        <f>IF(OR($AS70="",$E$6=""),"",TRIM(INDEX($A:$AP,ROW(),$E$6)&amp;""))</f>
        <v/>
      </c>
      <c r="AZ70" s="2">
        <f>IF(OR($AS70="",$D$6=""),"",TRIM(INDEX($A:$AP,ROW(),$D$6)&amp;""))</f>
        <v/>
      </c>
      <c r="BA70" s="2">
        <f>IF($AS70="","",IF(AND($AS70&gt;=설정!$B$10,$AS70&lt;=설정!$B$11),"포함","기간 밖"))</f>
        <v/>
      </c>
      <c r="BB70" s="2">
        <f>IF($AS70="","",IF(OR($AT70&lt;0,AND($I$6&lt;&gt;"",ISNUMBER(FIND("수정",INDEX($A:$AP,ROW(),IF($I$6="",1,$I$6))&amp;"")))),"수정","일반"))</f>
        <v/>
      </c>
      <c r="BC70" s="2">
        <f>IF($AS70="","",MID(IF($BA70="기간 밖"," / 기간 밖(신고기간 아님)","")&amp;IF(AND($AW70&lt;&gt;"",COUNTIF($AW$8:$AW$1007,$AW70)&gt;1)," / 승인번호 중복(두 번 붙여넣기?)","")&amp;IF(ABS($AU70-ROUND($AT70*0.1,0))&gt;설정!$B$8,IF($AU70=0," / 세액 0원(영세율·면세 여부 확인)"," / 세액이 공급가액 10%와 다름"),"")&amp;IF($BB70="수정"," / 수정세금계산서(합계에서 자동 가감)",""),4,200))</f>
        <v/>
      </c>
      <c r="BD70" s="2">
        <f>IF($BA70&lt;&gt;"포함","",IF(COUNTIFS($AX$8:$AX70,$AX70,$BA$8:$BA70,"포함")=1,MAX($BD$7:BD69)+1,""))</f>
        <v/>
      </c>
      <c r="BE70" s="2">
        <f>IF($BC70="","",MAX($BE$7:BE69)+1)</f>
        <v/>
      </c>
    </row>
    <row r="71">
      <c r="AR71" s="2">
        <f>IF(OR($A$5="",$B$6="",ROW()&lt;$A$5),"",IF(INDEX($A:$AP,ROW(),$B$6)="","",INDEX($A:$AP,ROW(),$B$6)))</f>
        <v/>
      </c>
      <c r="AS71" s="22">
        <f>IF($AR71="","",IF(ISNUMBER($AR71),IF($AR71&gt;=10000000,IFERROR(DATE(INT($AR71/10000),MOD(INT($AR71/100),100),MOD($AR71,100)),""),INT($AR71)),IFERROR(DATE(--LEFT(LEFT(SUBSTITUTE(SUBSTITUTE(SUBSTITUTE(SUBSTITUTE(TRIM($AR71),"-",""),".",""),"/","")," ",""),8),4),--MID(LEFT(SUBSTITUTE(SUBSTITUTE(SUBSTITUTE(SUBSTITUTE(TRIM($AR71),"-",""),".",""),"/","")," ",""),8),5,2),--MID(LEFT(SUBSTITUTE(SUBSTITUTE(SUBSTITUTE(SUBSTITUTE(TRIM($AR71),"-",""),".",""),"/","")," ",""),8),7,2)),"")))</f>
        <v/>
      </c>
      <c r="AT71" s="23">
        <f>IF($AS71="","",IF($F$6="",0,IF(ISNUMBER(INDEX($A:$AP,ROW(),$F$6)),INDEX($A:$AP,ROW(),$F$6),IFERROR(--SUBSTITUTE(SUBSTITUTE(TRIM(INDEX($A:$AP,ROW(),$F$6)),",",""),"원",""),0))))</f>
        <v/>
      </c>
      <c r="AU71" s="23">
        <f>IF($AS71="","",IF($G$6="",0,IF(ISNUMBER(INDEX($A:$AP,ROW(),$G$6)),INDEX($A:$AP,ROW(),$G$6),IFERROR(--SUBSTITUTE(SUBSTITUTE(TRIM(INDEX($A:$AP,ROW(),$G$6)),",",""),"원",""),0))))</f>
        <v/>
      </c>
      <c r="AV71" s="23">
        <f>IF($AS71="","",IF($H$6="",$AT71+$AU71,IF($H$6="",0,IF(ISNUMBER(INDEX($A:$AP,ROW(),$H$6)),INDEX($A:$AP,ROW(),$H$6),IFERROR(--SUBSTITUTE(SUBSTITUTE(TRIM(INDEX($A:$AP,ROW(),$H$6)),",",""),"원",""),0)))))</f>
        <v/>
      </c>
      <c r="AW71" s="2">
        <f>IF(OR($AS71="",$C$6=""),"",TRIM(INDEX($A:$AP,ROW(),$C$6)&amp;""))</f>
        <v/>
      </c>
      <c r="AX71" s="2">
        <f>IF($AS71="","",IF($AZ71&lt;&gt;"",SUBSTITUTE(SUBSTITUTE($AZ71,"-","")," ",""),$AY71))</f>
        <v/>
      </c>
      <c r="AY71" s="2">
        <f>IF(OR($AS71="",$E$6=""),"",TRIM(INDEX($A:$AP,ROW(),$E$6)&amp;""))</f>
        <v/>
      </c>
      <c r="AZ71" s="2">
        <f>IF(OR($AS71="",$D$6=""),"",TRIM(INDEX($A:$AP,ROW(),$D$6)&amp;""))</f>
        <v/>
      </c>
      <c r="BA71" s="2">
        <f>IF($AS71="","",IF(AND($AS71&gt;=설정!$B$10,$AS71&lt;=설정!$B$11),"포함","기간 밖"))</f>
        <v/>
      </c>
      <c r="BB71" s="2">
        <f>IF($AS71="","",IF(OR($AT71&lt;0,AND($I$6&lt;&gt;"",ISNUMBER(FIND("수정",INDEX($A:$AP,ROW(),IF($I$6="",1,$I$6))&amp;"")))),"수정","일반"))</f>
        <v/>
      </c>
      <c r="BC71" s="2">
        <f>IF($AS71="","",MID(IF($BA71="기간 밖"," / 기간 밖(신고기간 아님)","")&amp;IF(AND($AW71&lt;&gt;"",COUNTIF($AW$8:$AW$1007,$AW71)&gt;1)," / 승인번호 중복(두 번 붙여넣기?)","")&amp;IF(ABS($AU71-ROUND($AT71*0.1,0))&gt;설정!$B$8,IF($AU71=0," / 세액 0원(영세율·면세 여부 확인)"," / 세액이 공급가액 10%와 다름"),"")&amp;IF($BB71="수정"," / 수정세금계산서(합계에서 자동 가감)",""),4,200))</f>
        <v/>
      </c>
      <c r="BD71" s="2">
        <f>IF($BA71&lt;&gt;"포함","",IF(COUNTIFS($AX$8:$AX71,$AX71,$BA$8:$BA71,"포함")=1,MAX($BD$7:BD70)+1,""))</f>
        <v/>
      </c>
      <c r="BE71" s="2">
        <f>IF($BC71="","",MAX($BE$7:BE70)+1)</f>
        <v/>
      </c>
    </row>
    <row r="72">
      <c r="AR72" s="2">
        <f>IF(OR($A$5="",$B$6="",ROW()&lt;$A$5),"",IF(INDEX($A:$AP,ROW(),$B$6)="","",INDEX($A:$AP,ROW(),$B$6)))</f>
        <v/>
      </c>
      <c r="AS72" s="22">
        <f>IF($AR72="","",IF(ISNUMBER($AR72),IF($AR72&gt;=10000000,IFERROR(DATE(INT($AR72/10000),MOD(INT($AR72/100),100),MOD($AR72,100)),""),INT($AR72)),IFERROR(DATE(--LEFT(LEFT(SUBSTITUTE(SUBSTITUTE(SUBSTITUTE(SUBSTITUTE(TRIM($AR72),"-",""),".",""),"/","")," ",""),8),4),--MID(LEFT(SUBSTITUTE(SUBSTITUTE(SUBSTITUTE(SUBSTITUTE(TRIM($AR72),"-",""),".",""),"/","")," ",""),8),5,2),--MID(LEFT(SUBSTITUTE(SUBSTITUTE(SUBSTITUTE(SUBSTITUTE(TRIM($AR72),"-",""),".",""),"/","")," ",""),8),7,2)),"")))</f>
        <v/>
      </c>
      <c r="AT72" s="23">
        <f>IF($AS72="","",IF($F$6="",0,IF(ISNUMBER(INDEX($A:$AP,ROW(),$F$6)),INDEX($A:$AP,ROW(),$F$6),IFERROR(--SUBSTITUTE(SUBSTITUTE(TRIM(INDEX($A:$AP,ROW(),$F$6)),",",""),"원",""),0))))</f>
        <v/>
      </c>
      <c r="AU72" s="23">
        <f>IF($AS72="","",IF($G$6="",0,IF(ISNUMBER(INDEX($A:$AP,ROW(),$G$6)),INDEX($A:$AP,ROW(),$G$6),IFERROR(--SUBSTITUTE(SUBSTITUTE(TRIM(INDEX($A:$AP,ROW(),$G$6)),",",""),"원",""),0))))</f>
        <v/>
      </c>
      <c r="AV72" s="23">
        <f>IF($AS72="","",IF($H$6="",$AT72+$AU72,IF($H$6="",0,IF(ISNUMBER(INDEX($A:$AP,ROW(),$H$6)),INDEX($A:$AP,ROW(),$H$6),IFERROR(--SUBSTITUTE(SUBSTITUTE(TRIM(INDEX($A:$AP,ROW(),$H$6)),",",""),"원",""),0)))))</f>
        <v/>
      </c>
      <c r="AW72" s="2">
        <f>IF(OR($AS72="",$C$6=""),"",TRIM(INDEX($A:$AP,ROW(),$C$6)&amp;""))</f>
        <v/>
      </c>
      <c r="AX72" s="2">
        <f>IF($AS72="","",IF($AZ72&lt;&gt;"",SUBSTITUTE(SUBSTITUTE($AZ72,"-","")," ",""),$AY72))</f>
        <v/>
      </c>
      <c r="AY72" s="2">
        <f>IF(OR($AS72="",$E$6=""),"",TRIM(INDEX($A:$AP,ROW(),$E$6)&amp;""))</f>
        <v/>
      </c>
      <c r="AZ72" s="2">
        <f>IF(OR($AS72="",$D$6=""),"",TRIM(INDEX($A:$AP,ROW(),$D$6)&amp;""))</f>
        <v/>
      </c>
      <c r="BA72" s="2">
        <f>IF($AS72="","",IF(AND($AS72&gt;=설정!$B$10,$AS72&lt;=설정!$B$11),"포함","기간 밖"))</f>
        <v/>
      </c>
      <c r="BB72" s="2">
        <f>IF($AS72="","",IF(OR($AT72&lt;0,AND($I$6&lt;&gt;"",ISNUMBER(FIND("수정",INDEX($A:$AP,ROW(),IF($I$6="",1,$I$6))&amp;"")))),"수정","일반"))</f>
        <v/>
      </c>
      <c r="BC72" s="2">
        <f>IF($AS72="","",MID(IF($BA72="기간 밖"," / 기간 밖(신고기간 아님)","")&amp;IF(AND($AW72&lt;&gt;"",COUNTIF($AW$8:$AW$1007,$AW72)&gt;1)," / 승인번호 중복(두 번 붙여넣기?)","")&amp;IF(ABS($AU72-ROUND($AT72*0.1,0))&gt;설정!$B$8,IF($AU72=0," / 세액 0원(영세율·면세 여부 확인)"," / 세액이 공급가액 10%와 다름"),"")&amp;IF($BB72="수정"," / 수정세금계산서(합계에서 자동 가감)",""),4,200))</f>
        <v/>
      </c>
      <c r="BD72" s="2">
        <f>IF($BA72&lt;&gt;"포함","",IF(COUNTIFS($AX$8:$AX72,$AX72,$BA$8:$BA72,"포함")=1,MAX($BD$7:BD71)+1,""))</f>
        <v/>
      </c>
      <c r="BE72" s="2">
        <f>IF($BC72="","",MAX($BE$7:BE71)+1)</f>
        <v/>
      </c>
    </row>
    <row r="73">
      <c r="AR73" s="2">
        <f>IF(OR($A$5="",$B$6="",ROW()&lt;$A$5),"",IF(INDEX($A:$AP,ROW(),$B$6)="","",INDEX($A:$AP,ROW(),$B$6)))</f>
        <v/>
      </c>
      <c r="AS73" s="22">
        <f>IF($AR73="","",IF(ISNUMBER($AR73),IF($AR73&gt;=10000000,IFERROR(DATE(INT($AR73/10000),MOD(INT($AR73/100),100),MOD($AR73,100)),""),INT($AR73)),IFERROR(DATE(--LEFT(LEFT(SUBSTITUTE(SUBSTITUTE(SUBSTITUTE(SUBSTITUTE(TRIM($AR73),"-",""),".",""),"/","")," ",""),8),4),--MID(LEFT(SUBSTITUTE(SUBSTITUTE(SUBSTITUTE(SUBSTITUTE(TRIM($AR73),"-",""),".",""),"/","")," ",""),8),5,2),--MID(LEFT(SUBSTITUTE(SUBSTITUTE(SUBSTITUTE(SUBSTITUTE(TRIM($AR73),"-",""),".",""),"/","")," ",""),8),7,2)),"")))</f>
        <v/>
      </c>
      <c r="AT73" s="23">
        <f>IF($AS73="","",IF($F$6="",0,IF(ISNUMBER(INDEX($A:$AP,ROW(),$F$6)),INDEX($A:$AP,ROW(),$F$6),IFERROR(--SUBSTITUTE(SUBSTITUTE(TRIM(INDEX($A:$AP,ROW(),$F$6)),",",""),"원",""),0))))</f>
        <v/>
      </c>
      <c r="AU73" s="23">
        <f>IF($AS73="","",IF($G$6="",0,IF(ISNUMBER(INDEX($A:$AP,ROW(),$G$6)),INDEX($A:$AP,ROW(),$G$6),IFERROR(--SUBSTITUTE(SUBSTITUTE(TRIM(INDEX($A:$AP,ROW(),$G$6)),",",""),"원",""),0))))</f>
        <v/>
      </c>
      <c r="AV73" s="23">
        <f>IF($AS73="","",IF($H$6="",$AT73+$AU73,IF($H$6="",0,IF(ISNUMBER(INDEX($A:$AP,ROW(),$H$6)),INDEX($A:$AP,ROW(),$H$6),IFERROR(--SUBSTITUTE(SUBSTITUTE(TRIM(INDEX($A:$AP,ROW(),$H$6)),",",""),"원",""),0)))))</f>
        <v/>
      </c>
      <c r="AW73" s="2">
        <f>IF(OR($AS73="",$C$6=""),"",TRIM(INDEX($A:$AP,ROW(),$C$6)&amp;""))</f>
        <v/>
      </c>
      <c r="AX73" s="2">
        <f>IF($AS73="","",IF($AZ73&lt;&gt;"",SUBSTITUTE(SUBSTITUTE($AZ73,"-","")," ",""),$AY73))</f>
        <v/>
      </c>
      <c r="AY73" s="2">
        <f>IF(OR($AS73="",$E$6=""),"",TRIM(INDEX($A:$AP,ROW(),$E$6)&amp;""))</f>
        <v/>
      </c>
      <c r="AZ73" s="2">
        <f>IF(OR($AS73="",$D$6=""),"",TRIM(INDEX($A:$AP,ROW(),$D$6)&amp;""))</f>
        <v/>
      </c>
      <c r="BA73" s="2">
        <f>IF($AS73="","",IF(AND($AS73&gt;=설정!$B$10,$AS73&lt;=설정!$B$11),"포함","기간 밖"))</f>
        <v/>
      </c>
      <c r="BB73" s="2">
        <f>IF($AS73="","",IF(OR($AT73&lt;0,AND($I$6&lt;&gt;"",ISNUMBER(FIND("수정",INDEX($A:$AP,ROW(),IF($I$6="",1,$I$6))&amp;"")))),"수정","일반"))</f>
        <v/>
      </c>
      <c r="BC73" s="2">
        <f>IF($AS73="","",MID(IF($BA73="기간 밖"," / 기간 밖(신고기간 아님)","")&amp;IF(AND($AW73&lt;&gt;"",COUNTIF($AW$8:$AW$1007,$AW73)&gt;1)," / 승인번호 중복(두 번 붙여넣기?)","")&amp;IF(ABS($AU73-ROUND($AT73*0.1,0))&gt;설정!$B$8,IF($AU73=0," / 세액 0원(영세율·면세 여부 확인)"," / 세액이 공급가액 10%와 다름"),"")&amp;IF($BB73="수정"," / 수정세금계산서(합계에서 자동 가감)",""),4,200))</f>
        <v/>
      </c>
      <c r="BD73" s="2">
        <f>IF($BA73&lt;&gt;"포함","",IF(COUNTIFS($AX$8:$AX73,$AX73,$BA$8:$BA73,"포함")=1,MAX($BD$7:BD72)+1,""))</f>
        <v/>
      </c>
      <c r="BE73" s="2">
        <f>IF($BC73="","",MAX($BE$7:BE72)+1)</f>
        <v/>
      </c>
    </row>
    <row r="74">
      <c r="AR74" s="2">
        <f>IF(OR($A$5="",$B$6="",ROW()&lt;$A$5),"",IF(INDEX($A:$AP,ROW(),$B$6)="","",INDEX($A:$AP,ROW(),$B$6)))</f>
        <v/>
      </c>
      <c r="AS74" s="22">
        <f>IF($AR74="","",IF(ISNUMBER($AR74),IF($AR74&gt;=10000000,IFERROR(DATE(INT($AR74/10000),MOD(INT($AR74/100),100),MOD($AR74,100)),""),INT($AR74)),IFERROR(DATE(--LEFT(LEFT(SUBSTITUTE(SUBSTITUTE(SUBSTITUTE(SUBSTITUTE(TRIM($AR74),"-",""),".",""),"/","")," ",""),8),4),--MID(LEFT(SUBSTITUTE(SUBSTITUTE(SUBSTITUTE(SUBSTITUTE(TRIM($AR74),"-",""),".",""),"/","")," ",""),8),5,2),--MID(LEFT(SUBSTITUTE(SUBSTITUTE(SUBSTITUTE(SUBSTITUTE(TRIM($AR74),"-",""),".",""),"/","")," ",""),8),7,2)),"")))</f>
        <v/>
      </c>
      <c r="AT74" s="23">
        <f>IF($AS74="","",IF($F$6="",0,IF(ISNUMBER(INDEX($A:$AP,ROW(),$F$6)),INDEX($A:$AP,ROW(),$F$6),IFERROR(--SUBSTITUTE(SUBSTITUTE(TRIM(INDEX($A:$AP,ROW(),$F$6)),",",""),"원",""),0))))</f>
        <v/>
      </c>
      <c r="AU74" s="23">
        <f>IF($AS74="","",IF($G$6="",0,IF(ISNUMBER(INDEX($A:$AP,ROW(),$G$6)),INDEX($A:$AP,ROW(),$G$6),IFERROR(--SUBSTITUTE(SUBSTITUTE(TRIM(INDEX($A:$AP,ROW(),$G$6)),",",""),"원",""),0))))</f>
        <v/>
      </c>
      <c r="AV74" s="23">
        <f>IF($AS74="","",IF($H$6="",$AT74+$AU74,IF($H$6="",0,IF(ISNUMBER(INDEX($A:$AP,ROW(),$H$6)),INDEX($A:$AP,ROW(),$H$6),IFERROR(--SUBSTITUTE(SUBSTITUTE(TRIM(INDEX($A:$AP,ROW(),$H$6)),",",""),"원",""),0)))))</f>
        <v/>
      </c>
      <c r="AW74" s="2">
        <f>IF(OR($AS74="",$C$6=""),"",TRIM(INDEX($A:$AP,ROW(),$C$6)&amp;""))</f>
        <v/>
      </c>
      <c r="AX74" s="2">
        <f>IF($AS74="","",IF($AZ74&lt;&gt;"",SUBSTITUTE(SUBSTITUTE($AZ74,"-","")," ",""),$AY74))</f>
        <v/>
      </c>
      <c r="AY74" s="2">
        <f>IF(OR($AS74="",$E$6=""),"",TRIM(INDEX($A:$AP,ROW(),$E$6)&amp;""))</f>
        <v/>
      </c>
      <c r="AZ74" s="2">
        <f>IF(OR($AS74="",$D$6=""),"",TRIM(INDEX($A:$AP,ROW(),$D$6)&amp;""))</f>
        <v/>
      </c>
      <c r="BA74" s="2">
        <f>IF($AS74="","",IF(AND($AS74&gt;=설정!$B$10,$AS74&lt;=설정!$B$11),"포함","기간 밖"))</f>
        <v/>
      </c>
      <c r="BB74" s="2">
        <f>IF($AS74="","",IF(OR($AT74&lt;0,AND($I$6&lt;&gt;"",ISNUMBER(FIND("수정",INDEX($A:$AP,ROW(),IF($I$6="",1,$I$6))&amp;"")))),"수정","일반"))</f>
        <v/>
      </c>
      <c r="BC74" s="2">
        <f>IF($AS74="","",MID(IF($BA74="기간 밖"," / 기간 밖(신고기간 아님)","")&amp;IF(AND($AW74&lt;&gt;"",COUNTIF($AW$8:$AW$1007,$AW74)&gt;1)," / 승인번호 중복(두 번 붙여넣기?)","")&amp;IF(ABS($AU74-ROUND($AT74*0.1,0))&gt;설정!$B$8,IF($AU74=0," / 세액 0원(영세율·면세 여부 확인)"," / 세액이 공급가액 10%와 다름"),"")&amp;IF($BB74="수정"," / 수정세금계산서(합계에서 자동 가감)",""),4,200))</f>
        <v/>
      </c>
      <c r="BD74" s="2">
        <f>IF($BA74&lt;&gt;"포함","",IF(COUNTIFS($AX$8:$AX74,$AX74,$BA$8:$BA74,"포함")=1,MAX($BD$7:BD73)+1,""))</f>
        <v/>
      </c>
      <c r="BE74" s="2">
        <f>IF($BC74="","",MAX($BE$7:BE73)+1)</f>
        <v/>
      </c>
    </row>
    <row r="75">
      <c r="AR75" s="2">
        <f>IF(OR($A$5="",$B$6="",ROW()&lt;$A$5),"",IF(INDEX($A:$AP,ROW(),$B$6)="","",INDEX($A:$AP,ROW(),$B$6)))</f>
        <v/>
      </c>
      <c r="AS75" s="22">
        <f>IF($AR75="","",IF(ISNUMBER($AR75),IF($AR75&gt;=10000000,IFERROR(DATE(INT($AR75/10000),MOD(INT($AR75/100),100),MOD($AR75,100)),""),INT($AR75)),IFERROR(DATE(--LEFT(LEFT(SUBSTITUTE(SUBSTITUTE(SUBSTITUTE(SUBSTITUTE(TRIM($AR75),"-",""),".",""),"/","")," ",""),8),4),--MID(LEFT(SUBSTITUTE(SUBSTITUTE(SUBSTITUTE(SUBSTITUTE(TRIM($AR75),"-",""),".",""),"/","")," ",""),8),5,2),--MID(LEFT(SUBSTITUTE(SUBSTITUTE(SUBSTITUTE(SUBSTITUTE(TRIM($AR75),"-",""),".",""),"/","")," ",""),8),7,2)),"")))</f>
        <v/>
      </c>
      <c r="AT75" s="23">
        <f>IF($AS75="","",IF($F$6="",0,IF(ISNUMBER(INDEX($A:$AP,ROW(),$F$6)),INDEX($A:$AP,ROW(),$F$6),IFERROR(--SUBSTITUTE(SUBSTITUTE(TRIM(INDEX($A:$AP,ROW(),$F$6)),",",""),"원",""),0))))</f>
        <v/>
      </c>
      <c r="AU75" s="23">
        <f>IF($AS75="","",IF($G$6="",0,IF(ISNUMBER(INDEX($A:$AP,ROW(),$G$6)),INDEX($A:$AP,ROW(),$G$6),IFERROR(--SUBSTITUTE(SUBSTITUTE(TRIM(INDEX($A:$AP,ROW(),$G$6)),",",""),"원",""),0))))</f>
        <v/>
      </c>
      <c r="AV75" s="23">
        <f>IF($AS75="","",IF($H$6="",$AT75+$AU75,IF($H$6="",0,IF(ISNUMBER(INDEX($A:$AP,ROW(),$H$6)),INDEX($A:$AP,ROW(),$H$6),IFERROR(--SUBSTITUTE(SUBSTITUTE(TRIM(INDEX($A:$AP,ROW(),$H$6)),",",""),"원",""),0)))))</f>
        <v/>
      </c>
      <c r="AW75" s="2">
        <f>IF(OR($AS75="",$C$6=""),"",TRIM(INDEX($A:$AP,ROW(),$C$6)&amp;""))</f>
        <v/>
      </c>
      <c r="AX75" s="2">
        <f>IF($AS75="","",IF($AZ75&lt;&gt;"",SUBSTITUTE(SUBSTITUTE($AZ75,"-","")," ",""),$AY75))</f>
        <v/>
      </c>
      <c r="AY75" s="2">
        <f>IF(OR($AS75="",$E$6=""),"",TRIM(INDEX($A:$AP,ROW(),$E$6)&amp;""))</f>
        <v/>
      </c>
      <c r="AZ75" s="2">
        <f>IF(OR($AS75="",$D$6=""),"",TRIM(INDEX($A:$AP,ROW(),$D$6)&amp;""))</f>
        <v/>
      </c>
      <c r="BA75" s="2">
        <f>IF($AS75="","",IF(AND($AS75&gt;=설정!$B$10,$AS75&lt;=설정!$B$11),"포함","기간 밖"))</f>
        <v/>
      </c>
      <c r="BB75" s="2">
        <f>IF($AS75="","",IF(OR($AT75&lt;0,AND($I$6&lt;&gt;"",ISNUMBER(FIND("수정",INDEX($A:$AP,ROW(),IF($I$6="",1,$I$6))&amp;"")))),"수정","일반"))</f>
        <v/>
      </c>
      <c r="BC75" s="2">
        <f>IF($AS75="","",MID(IF($BA75="기간 밖"," / 기간 밖(신고기간 아님)","")&amp;IF(AND($AW75&lt;&gt;"",COUNTIF($AW$8:$AW$1007,$AW75)&gt;1)," / 승인번호 중복(두 번 붙여넣기?)","")&amp;IF(ABS($AU75-ROUND($AT75*0.1,0))&gt;설정!$B$8,IF($AU75=0," / 세액 0원(영세율·면세 여부 확인)"," / 세액이 공급가액 10%와 다름"),"")&amp;IF($BB75="수정"," / 수정세금계산서(합계에서 자동 가감)",""),4,200))</f>
        <v/>
      </c>
      <c r="BD75" s="2">
        <f>IF($BA75&lt;&gt;"포함","",IF(COUNTIFS($AX$8:$AX75,$AX75,$BA$8:$BA75,"포함")=1,MAX($BD$7:BD74)+1,""))</f>
        <v/>
      </c>
      <c r="BE75" s="2">
        <f>IF($BC75="","",MAX($BE$7:BE74)+1)</f>
        <v/>
      </c>
    </row>
    <row r="76">
      <c r="AR76" s="2">
        <f>IF(OR($A$5="",$B$6="",ROW()&lt;$A$5),"",IF(INDEX($A:$AP,ROW(),$B$6)="","",INDEX($A:$AP,ROW(),$B$6)))</f>
        <v/>
      </c>
      <c r="AS76" s="22">
        <f>IF($AR76="","",IF(ISNUMBER($AR76),IF($AR76&gt;=10000000,IFERROR(DATE(INT($AR76/10000),MOD(INT($AR76/100),100),MOD($AR76,100)),""),INT($AR76)),IFERROR(DATE(--LEFT(LEFT(SUBSTITUTE(SUBSTITUTE(SUBSTITUTE(SUBSTITUTE(TRIM($AR76),"-",""),".",""),"/","")," ",""),8),4),--MID(LEFT(SUBSTITUTE(SUBSTITUTE(SUBSTITUTE(SUBSTITUTE(TRIM($AR76),"-",""),".",""),"/","")," ",""),8),5,2),--MID(LEFT(SUBSTITUTE(SUBSTITUTE(SUBSTITUTE(SUBSTITUTE(TRIM($AR76),"-",""),".",""),"/","")," ",""),8),7,2)),"")))</f>
        <v/>
      </c>
      <c r="AT76" s="23">
        <f>IF($AS76="","",IF($F$6="",0,IF(ISNUMBER(INDEX($A:$AP,ROW(),$F$6)),INDEX($A:$AP,ROW(),$F$6),IFERROR(--SUBSTITUTE(SUBSTITUTE(TRIM(INDEX($A:$AP,ROW(),$F$6)),",",""),"원",""),0))))</f>
        <v/>
      </c>
      <c r="AU76" s="23">
        <f>IF($AS76="","",IF($G$6="",0,IF(ISNUMBER(INDEX($A:$AP,ROW(),$G$6)),INDEX($A:$AP,ROW(),$G$6),IFERROR(--SUBSTITUTE(SUBSTITUTE(TRIM(INDEX($A:$AP,ROW(),$G$6)),",",""),"원",""),0))))</f>
        <v/>
      </c>
      <c r="AV76" s="23">
        <f>IF($AS76="","",IF($H$6="",$AT76+$AU76,IF($H$6="",0,IF(ISNUMBER(INDEX($A:$AP,ROW(),$H$6)),INDEX($A:$AP,ROW(),$H$6),IFERROR(--SUBSTITUTE(SUBSTITUTE(TRIM(INDEX($A:$AP,ROW(),$H$6)),",",""),"원",""),0)))))</f>
        <v/>
      </c>
      <c r="AW76" s="2">
        <f>IF(OR($AS76="",$C$6=""),"",TRIM(INDEX($A:$AP,ROW(),$C$6)&amp;""))</f>
        <v/>
      </c>
      <c r="AX76" s="2">
        <f>IF($AS76="","",IF($AZ76&lt;&gt;"",SUBSTITUTE(SUBSTITUTE($AZ76,"-","")," ",""),$AY76))</f>
        <v/>
      </c>
      <c r="AY76" s="2">
        <f>IF(OR($AS76="",$E$6=""),"",TRIM(INDEX($A:$AP,ROW(),$E$6)&amp;""))</f>
        <v/>
      </c>
      <c r="AZ76" s="2">
        <f>IF(OR($AS76="",$D$6=""),"",TRIM(INDEX($A:$AP,ROW(),$D$6)&amp;""))</f>
        <v/>
      </c>
      <c r="BA76" s="2">
        <f>IF($AS76="","",IF(AND($AS76&gt;=설정!$B$10,$AS76&lt;=설정!$B$11),"포함","기간 밖"))</f>
        <v/>
      </c>
      <c r="BB76" s="2">
        <f>IF($AS76="","",IF(OR($AT76&lt;0,AND($I$6&lt;&gt;"",ISNUMBER(FIND("수정",INDEX($A:$AP,ROW(),IF($I$6="",1,$I$6))&amp;"")))),"수정","일반"))</f>
        <v/>
      </c>
      <c r="BC76" s="2">
        <f>IF($AS76="","",MID(IF($BA76="기간 밖"," / 기간 밖(신고기간 아님)","")&amp;IF(AND($AW76&lt;&gt;"",COUNTIF($AW$8:$AW$1007,$AW76)&gt;1)," / 승인번호 중복(두 번 붙여넣기?)","")&amp;IF(ABS($AU76-ROUND($AT76*0.1,0))&gt;설정!$B$8,IF($AU76=0," / 세액 0원(영세율·면세 여부 확인)"," / 세액이 공급가액 10%와 다름"),"")&amp;IF($BB76="수정"," / 수정세금계산서(합계에서 자동 가감)",""),4,200))</f>
        <v/>
      </c>
      <c r="BD76" s="2">
        <f>IF($BA76&lt;&gt;"포함","",IF(COUNTIFS($AX$8:$AX76,$AX76,$BA$8:$BA76,"포함")=1,MAX($BD$7:BD75)+1,""))</f>
        <v/>
      </c>
      <c r="BE76" s="2">
        <f>IF($BC76="","",MAX($BE$7:BE75)+1)</f>
        <v/>
      </c>
    </row>
    <row r="77">
      <c r="AR77" s="2">
        <f>IF(OR($A$5="",$B$6="",ROW()&lt;$A$5),"",IF(INDEX($A:$AP,ROW(),$B$6)="","",INDEX($A:$AP,ROW(),$B$6)))</f>
        <v/>
      </c>
      <c r="AS77" s="22">
        <f>IF($AR77="","",IF(ISNUMBER($AR77),IF($AR77&gt;=10000000,IFERROR(DATE(INT($AR77/10000),MOD(INT($AR77/100),100),MOD($AR77,100)),""),INT($AR77)),IFERROR(DATE(--LEFT(LEFT(SUBSTITUTE(SUBSTITUTE(SUBSTITUTE(SUBSTITUTE(TRIM($AR77),"-",""),".",""),"/","")," ",""),8),4),--MID(LEFT(SUBSTITUTE(SUBSTITUTE(SUBSTITUTE(SUBSTITUTE(TRIM($AR77),"-",""),".",""),"/","")," ",""),8),5,2),--MID(LEFT(SUBSTITUTE(SUBSTITUTE(SUBSTITUTE(SUBSTITUTE(TRIM($AR77),"-",""),".",""),"/","")," ",""),8),7,2)),"")))</f>
        <v/>
      </c>
      <c r="AT77" s="23">
        <f>IF($AS77="","",IF($F$6="",0,IF(ISNUMBER(INDEX($A:$AP,ROW(),$F$6)),INDEX($A:$AP,ROW(),$F$6),IFERROR(--SUBSTITUTE(SUBSTITUTE(TRIM(INDEX($A:$AP,ROW(),$F$6)),",",""),"원",""),0))))</f>
        <v/>
      </c>
      <c r="AU77" s="23">
        <f>IF($AS77="","",IF($G$6="",0,IF(ISNUMBER(INDEX($A:$AP,ROW(),$G$6)),INDEX($A:$AP,ROW(),$G$6),IFERROR(--SUBSTITUTE(SUBSTITUTE(TRIM(INDEX($A:$AP,ROW(),$G$6)),",",""),"원",""),0))))</f>
        <v/>
      </c>
      <c r="AV77" s="23">
        <f>IF($AS77="","",IF($H$6="",$AT77+$AU77,IF($H$6="",0,IF(ISNUMBER(INDEX($A:$AP,ROW(),$H$6)),INDEX($A:$AP,ROW(),$H$6),IFERROR(--SUBSTITUTE(SUBSTITUTE(TRIM(INDEX($A:$AP,ROW(),$H$6)),",",""),"원",""),0)))))</f>
        <v/>
      </c>
      <c r="AW77" s="2">
        <f>IF(OR($AS77="",$C$6=""),"",TRIM(INDEX($A:$AP,ROW(),$C$6)&amp;""))</f>
        <v/>
      </c>
      <c r="AX77" s="2">
        <f>IF($AS77="","",IF($AZ77&lt;&gt;"",SUBSTITUTE(SUBSTITUTE($AZ77,"-","")," ",""),$AY77))</f>
        <v/>
      </c>
      <c r="AY77" s="2">
        <f>IF(OR($AS77="",$E$6=""),"",TRIM(INDEX($A:$AP,ROW(),$E$6)&amp;""))</f>
        <v/>
      </c>
      <c r="AZ77" s="2">
        <f>IF(OR($AS77="",$D$6=""),"",TRIM(INDEX($A:$AP,ROW(),$D$6)&amp;""))</f>
        <v/>
      </c>
      <c r="BA77" s="2">
        <f>IF($AS77="","",IF(AND($AS77&gt;=설정!$B$10,$AS77&lt;=설정!$B$11),"포함","기간 밖"))</f>
        <v/>
      </c>
      <c r="BB77" s="2">
        <f>IF($AS77="","",IF(OR($AT77&lt;0,AND($I$6&lt;&gt;"",ISNUMBER(FIND("수정",INDEX($A:$AP,ROW(),IF($I$6="",1,$I$6))&amp;"")))),"수정","일반"))</f>
        <v/>
      </c>
      <c r="BC77" s="2">
        <f>IF($AS77="","",MID(IF($BA77="기간 밖"," / 기간 밖(신고기간 아님)","")&amp;IF(AND($AW77&lt;&gt;"",COUNTIF($AW$8:$AW$1007,$AW77)&gt;1)," / 승인번호 중복(두 번 붙여넣기?)","")&amp;IF(ABS($AU77-ROUND($AT77*0.1,0))&gt;설정!$B$8,IF($AU77=0," / 세액 0원(영세율·면세 여부 확인)"," / 세액이 공급가액 10%와 다름"),"")&amp;IF($BB77="수정"," / 수정세금계산서(합계에서 자동 가감)",""),4,200))</f>
        <v/>
      </c>
      <c r="BD77" s="2">
        <f>IF($BA77&lt;&gt;"포함","",IF(COUNTIFS($AX$8:$AX77,$AX77,$BA$8:$BA77,"포함")=1,MAX($BD$7:BD76)+1,""))</f>
        <v/>
      </c>
      <c r="BE77" s="2">
        <f>IF($BC77="","",MAX($BE$7:BE76)+1)</f>
        <v/>
      </c>
    </row>
    <row r="78">
      <c r="AR78" s="2">
        <f>IF(OR($A$5="",$B$6="",ROW()&lt;$A$5),"",IF(INDEX($A:$AP,ROW(),$B$6)="","",INDEX($A:$AP,ROW(),$B$6)))</f>
        <v/>
      </c>
      <c r="AS78" s="22">
        <f>IF($AR78="","",IF(ISNUMBER($AR78),IF($AR78&gt;=10000000,IFERROR(DATE(INT($AR78/10000),MOD(INT($AR78/100),100),MOD($AR78,100)),""),INT($AR78)),IFERROR(DATE(--LEFT(LEFT(SUBSTITUTE(SUBSTITUTE(SUBSTITUTE(SUBSTITUTE(TRIM($AR78),"-",""),".",""),"/","")," ",""),8),4),--MID(LEFT(SUBSTITUTE(SUBSTITUTE(SUBSTITUTE(SUBSTITUTE(TRIM($AR78),"-",""),".",""),"/","")," ",""),8),5,2),--MID(LEFT(SUBSTITUTE(SUBSTITUTE(SUBSTITUTE(SUBSTITUTE(TRIM($AR78),"-",""),".",""),"/","")," ",""),8),7,2)),"")))</f>
        <v/>
      </c>
      <c r="AT78" s="23">
        <f>IF($AS78="","",IF($F$6="",0,IF(ISNUMBER(INDEX($A:$AP,ROW(),$F$6)),INDEX($A:$AP,ROW(),$F$6),IFERROR(--SUBSTITUTE(SUBSTITUTE(TRIM(INDEX($A:$AP,ROW(),$F$6)),",",""),"원",""),0))))</f>
        <v/>
      </c>
      <c r="AU78" s="23">
        <f>IF($AS78="","",IF($G$6="",0,IF(ISNUMBER(INDEX($A:$AP,ROW(),$G$6)),INDEX($A:$AP,ROW(),$G$6),IFERROR(--SUBSTITUTE(SUBSTITUTE(TRIM(INDEX($A:$AP,ROW(),$G$6)),",",""),"원",""),0))))</f>
        <v/>
      </c>
      <c r="AV78" s="23">
        <f>IF($AS78="","",IF($H$6="",$AT78+$AU78,IF($H$6="",0,IF(ISNUMBER(INDEX($A:$AP,ROW(),$H$6)),INDEX($A:$AP,ROW(),$H$6),IFERROR(--SUBSTITUTE(SUBSTITUTE(TRIM(INDEX($A:$AP,ROW(),$H$6)),",",""),"원",""),0)))))</f>
        <v/>
      </c>
      <c r="AW78" s="2">
        <f>IF(OR($AS78="",$C$6=""),"",TRIM(INDEX($A:$AP,ROW(),$C$6)&amp;""))</f>
        <v/>
      </c>
      <c r="AX78" s="2">
        <f>IF($AS78="","",IF($AZ78&lt;&gt;"",SUBSTITUTE(SUBSTITUTE($AZ78,"-","")," ",""),$AY78))</f>
        <v/>
      </c>
      <c r="AY78" s="2">
        <f>IF(OR($AS78="",$E$6=""),"",TRIM(INDEX($A:$AP,ROW(),$E$6)&amp;""))</f>
        <v/>
      </c>
      <c r="AZ78" s="2">
        <f>IF(OR($AS78="",$D$6=""),"",TRIM(INDEX($A:$AP,ROW(),$D$6)&amp;""))</f>
        <v/>
      </c>
      <c r="BA78" s="2">
        <f>IF($AS78="","",IF(AND($AS78&gt;=설정!$B$10,$AS78&lt;=설정!$B$11),"포함","기간 밖"))</f>
        <v/>
      </c>
      <c r="BB78" s="2">
        <f>IF($AS78="","",IF(OR($AT78&lt;0,AND($I$6&lt;&gt;"",ISNUMBER(FIND("수정",INDEX($A:$AP,ROW(),IF($I$6="",1,$I$6))&amp;"")))),"수정","일반"))</f>
        <v/>
      </c>
      <c r="BC78" s="2">
        <f>IF($AS78="","",MID(IF($BA78="기간 밖"," / 기간 밖(신고기간 아님)","")&amp;IF(AND($AW78&lt;&gt;"",COUNTIF($AW$8:$AW$1007,$AW78)&gt;1)," / 승인번호 중복(두 번 붙여넣기?)","")&amp;IF(ABS($AU78-ROUND($AT78*0.1,0))&gt;설정!$B$8,IF($AU78=0," / 세액 0원(영세율·면세 여부 확인)"," / 세액이 공급가액 10%와 다름"),"")&amp;IF($BB78="수정"," / 수정세금계산서(합계에서 자동 가감)",""),4,200))</f>
        <v/>
      </c>
      <c r="BD78" s="2">
        <f>IF($BA78&lt;&gt;"포함","",IF(COUNTIFS($AX$8:$AX78,$AX78,$BA$8:$BA78,"포함")=1,MAX($BD$7:BD77)+1,""))</f>
        <v/>
      </c>
      <c r="BE78" s="2">
        <f>IF($BC78="","",MAX($BE$7:BE77)+1)</f>
        <v/>
      </c>
    </row>
    <row r="79">
      <c r="AR79" s="2">
        <f>IF(OR($A$5="",$B$6="",ROW()&lt;$A$5),"",IF(INDEX($A:$AP,ROW(),$B$6)="","",INDEX($A:$AP,ROW(),$B$6)))</f>
        <v/>
      </c>
      <c r="AS79" s="22">
        <f>IF($AR79="","",IF(ISNUMBER($AR79),IF($AR79&gt;=10000000,IFERROR(DATE(INT($AR79/10000),MOD(INT($AR79/100),100),MOD($AR79,100)),""),INT($AR79)),IFERROR(DATE(--LEFT(LEFT(SUBSTITUTE(SUBSTITUTE(SUBSTITUTE(SUBSTITUTE(TRIM($AR79),"-",""),".",""),"/","")," ",""),8),4),--MID(LEFT(SUBSTITUTE(SUBSTITUTE(SUBSTITUTE(SUBSTITUTE(TRIM($AR79),"-",""),".",""),"/","")," ",""),8),5,2),--MID(LEFT(SUBSTITUTE(SUBSTITUTE(SUBSTITUTE(SUBSTITUTE(TRIM($AR79),"-",""),".",""),"/","")," ",""),8),7,2)),"")))</f>
        <v/>
      </c>
      <c r="AT79" s="23">
        <f>IF($AS79="","",IF($F$6="",0,IF(ISNUMBER(INDEX($A:$AP,ROW(),$F$6)),INDEX($A:$AP,ROW(),$F$6),IFERROR(--SUBSTITUTE(SUBSTITUTE(TRIM(INDEX($A:$AP,ROW(),$F$6)),",",""),"원",""),0))))</f>
        <v/>
      </c>
      <c r="AU79" s="23">
        <f>IF($AS79="","",IF($G$6="",0,IF(ISNUMBER(INDEX($A:$AP,ROW(),$G$6)),INDEX($A:$AP,ROW(),$G$6),IFERROR(--SUBSTITUTE(SUBSTITUTE(TRIM(INDEX($A:$AP,ROW(),$G$6)),",",""),"원",""),0))))</f>
        <v/>
      </c>
      <c r="AV79" s="23">
        <f>IF($AS79="","",IF($H$6="",$AT79+$AU79,IF($H$6="",0,IF(ISNUMBER(INDEX($A:$AP,ROW(),$H$6)),INDEX($A:$AP,ROW(),$H$6),IFERROR(--SUBSTITUTE(SUBSTITUTE(TRIM(INDEX($A:$AP,ROW(),$H$6)),",",""),"원",""),0)))))</f>
        <v/>
      </c>
      <c r="AW79" s="2">
        <f>IF(OR($AS79="",$C$6=""),"",TRIM(INDEX($A:$AP,ROW(),$C$6)&amp;""))</f>
        <v/>
      </c>
      <c r="AX79" s="2">
        <f>IF($AS79="","",IF($AZ79&lt;&gt;"",SUBSTITUTE(SUBSTITUTE($AZ79,"-","")," ",""),$AY79))</f>
        <v/>
      </c>
      <c r="AY79" s="2">
        <f>IF(OR($AS79="",$E$6=""),"",TRIM(INDEX($A:$AP,ROW(),$E$6)&amp;""))</f>
        <v/>
      </c>
      <c r="AZ79" s="2">
        <f>IF(OR($AS79="",$D$6=""),"",TRIM(INDEX($A:$AP,ROW(),$D$6)&amp;""))</f>
        <v/>
      </c>
      <c r="BA79" s="2">
        <f>IF($AS79="","",IF(AND($AS79&gt;=설정!$B$10,$AS79&lt;=설정!$B$11),"포함","기간 밖"))</f>
        <v/>
      </c>
      <c r="BB79" s="2">
        <f>IF($AS79="","",IF(OR($AT79&lt;0,AND($I$6&lt;&gt;"",ISNUMBER(FIND("수정",INDEX($A:$AP,ROW(),IF($I$6="",1,$I$6))&amp;"")))),"수정","일반"))</f>
        <v/>
      </c>
      <c r="BC79" s="2">
        <f>IF($AS79="","",MID(IF($BA79="기간 밖"," / 기간 밖(신고기간 아님)","")&amp;IF(AND($AW79&lt;&gt;"",COUNTIF($AW$8:$AW$1007,$AW79)&gt;1)," / 승인번호 중복(두 번 붙여넣기?)","")&amp;IF(ABS($AU79-ROUND($AT79*0.1,0))&gt;설정!$B$8,IF($AU79=0," / 세액 0원(영세율·면세 여부 확인)"," / 세액이 공급가액 10%와 다름"),"")&amp;IF($BB79="수정"," / 수정세금계산서(합계에서 자동 가감)",""),4,200))</f>
        <v/>
      </c>
      <c r="BD79" s="2">
        <f>IF($BA79&lt;&gt;"포함","",IF(COUNTIFS($AX$8:$AX79,$AX79,$BA$8:$BA79,"포함")=1,MAX($BD$7:BD78)+1,""))</f>
        <v/>
      </c>
      <c r="BE79" s="2">
        <f>IF($BC79="","",MAX($BE$7:BE78)+1)</f>
        <v/>
      </c>
    </row>
    <row r="80">
      <c r="AR80" s="2">
        <f>IF(OR($A$5="",$B$6="",ROW()&lt;$A$5),"",IF(INDEX($A:$AP,ROW(),$B$6)="","",INDEX($A:$AP,ROW(),$B$6)))</f>
        <v/>
      </c>
      <c r="AS80" s="22">
        <f>IF($AR80="","",IF(ISNUMBER($AR80),IF($AR80&gt;=10000000,IFERROR(DATE(INT($AR80/10000),MOD(INT($AR80/100),100),MOD($AR80,100)),""),INT($AR80)),IFERROR(DATE(--LEFT(LEFT(SUBSTITUTE(SUBSTITUTE(SUBSTITUTE(SUBSTITUTE(TRIM($AR80),"-",""),".",""),"/","")," ",""),8),4),--MID(LEFT(SUBSTITUTE(SUBSTITUTE(SUBSTITUTE(SUBSTITUTE(TRIM($AR80),"-",""),".",""),"/","")," ",""),8),5,2),--MID(LEFT(SUBSTITUTE(SUBSTITUTE(SUBSTITUTE(SUBSTITUTE(TRIM($AR80),"-",""),".",""),"/","")," ",""),8),7,2)),"")))</f>
        <v/>
      </c>
      <c r="AT80" s="23">
        <f>IF($AS80="","",IF($F$6="",0,IF(ISNUMBER(INDEX($A:$AP,ROW(),$F$6)),INDEX($A:$AP,ROW(),$F$6),IFERROR(--SUBSTITUTE(SUBSTITUTE(TRIM(INDEX($A:$AP,ROW(),$F$6)),",",""),"원",""),0))))</f>
        <v/>
      </c>
      <c r="AU80" s="23">
        <f>IF($AS80="","",IF($G$6="",0,IF(ISNUMBER(INDEX($A:$AP,ROW(),$G$6)),INDEX($A:$AP,ROW(),$G$6),IFERROR(--SUBSTITUTE(SUBSTITUTE(TRIM(INDEX($A:$AP,ROW(),$G$6)),",",""),"원",""),0))))</f>
        <v/>
      </c>
      <c r="AV80" s="23">
        <f>IF($AS80="","",IF($H$6="",$AT80+$AU80,IF($H$6="",0,IF(ISNUMBER(INDEX($A:$AP,ROW(),$H$6)),INDEX($A:$AP,ROW(),$H$6),IFERROR(--SUBSTITUTE(SUBSTITUTE(TRIM(INDEX($A:$AP,ROW(),$H$6)),",",""),"원",""),0)))))</f>
        <v/>
      </c>
      <c r="AW80" s="2">
        <f>IF(OR($AS80="",$C$6=""),"",TRIM(INDEX($A:$AP,ROW(),$C$6)&amp;""))</f>
        <v/>
      </c>
      <c r="AX80" s="2">
        <f>IF($AS80="","",IF($AZ80&lt;&gt;"",SUBSTITUTE(SUBSTITUTE($AZ80,"-","")," ",""),$AY80))</f>
        <v/>
      </c>
      <c r="AY80" s="2">
        <f>IF(OR($AS80="",$E$6=""),"",TRIM(INDEX($A:$AP,ROW(),$E$6)&amp;""))</f>
        <v/>
      </c>
      <c r="AZ80" s="2">
        <f>IF(OR($AS80="",$D$6=""),"",TRIM(INDEX($A:$AP,ROW(),$D$6)&amp;""))</f>
        <v/>
      </c>
      <c r="BA80" s="2">
        <f>IF($AS80="","",IF(AND($AS80&gt;=설정!$B$10,$AS80&lt;=설정!$B$11),"포함","기간 밖"))</f>
        <v/>
      </c>
      <c r="BB80" s="2">
        <f>IF($AS80="","",IF(OR($AT80&lt;0,AND($I$6&lt;&gt;"",ISNUMBER(FIND("수정",INDEX($A:$AP,ROW(),IF($I$6="",1,$I$6))&amp;"")))),"수정","일반"))</f>
        <v/>
      </c>
      <c r="BC80" s="2">
        <f>IF($AS80="","",MID(IF($BA80="기간 밖"," / 기간 밖(신고기간 아님)","")&amp;IF(AND($AW80&lt;&gt;"",COUNTIF($AW$8:$AW$1007,$AW80)&gt;1)," / 승인번호 중복(두 번 붙여넣기?)","")&amp;IF(ABS($AU80-ROUND($AT80*0.1,0))&gt;설정!$B$8,IF($AU80=0," / 세액 0원(영세율·면세 여부 확인)"," / 세액이 공급가액 10%와 다름"),"")&amp;IF($BB80="수정"," / 수정세금계산서(합계에서 자동 가감)",""),4,200))</f>
        <v/>
      </c>
      <c r="BD80" s="2">
        <f>IF($BA80&lt;&gt;"포함","",IF(COUNTIFS($AX$8:$AX80,$AX80,$BA$8:$BA80,"포함")=1,MAX($BD$7:BD79)+1,""))</f>
        <v/>
      </c>
      <c r="BE80" s="2">
        <f>IF($BC80="","",MAX($BE$7:BE79)+1)</f>
        <v/>
      </c>
    </row>
    <row r="81">
      <c r="AR81" s="2">
        <f>IF(OR($A$5="",$B$6="",ROW()&lt;$A$5),"",IF(INDEX($A:$AP,ROW(),$B$6)="","",INDEX($A:$AP,ROW(),$B$6)))</f>
        <v/>
      </c>
      <c r="AS81" s="22">
        <f>IF($AR81="","",IF(ISNUMBER($AR81),IF($AR81&gt;=10000000,IFERROR(DATE(INT($AR81/10000),MOD(INT($AR81/100),100),MOD($AR81,100)),""),INT($AR81)),IFERROR(DATE(--LEFT(LEFT(SUBSTITUTE(SUBSTITUTE(SUBSTITUTE(SUBSTITUTE(TRIM($AR81),"-",""),".",""),"/","")," ",""),8),4),--MID(LEFT(SUBSTITUTE(SUBSTITUTE(SUBSTITUTE(SUBSTITUTE(TRIM($AR81),"-",""),".",""),"/","")," ",""),8),5,2),--MID(LEFT(SUBSTITUTE(SUBSTITUTE(SUBSTITUTE(SUBSTITUTE(TRIM($AR81),"-",""),".",""),"/","")," ",""),8),7,2)),"")))</f>
        <v/>
      </c>
      <c r="AT81" s="23">
        <f>IF($AS81="","",IF($F$6="",0,IF(ISNUMBER(INDEX($A:$AP,ROW(),$F$6)),INDEX($A:$AP,ROW(),$F$6),IFERROR(--SUBSTITUTE(SUBSTITUTE(TRIM(INDEX($A:$AP,ROW(),$F$6)),",",""),"원",""),0))))</f>
        <v/>
      </c>
      <c r="AU81" s="23">
        <f>IF($AS81="","",IF($G$6="",0,IF(ISNUMBER(INDEX($A:$AP,ROW(),$G$6)),INDEX($A:$AP,ROW(),$G$6),IFERROR(--SUBSTITUTE(SUBSTITUTE(TRIM(INDEX($A:$AP,ROW(),$G$6)),",",""),"원",""),0))))</f>
        <v/>
      </c>
      <c r="AV81" s="23">
        <f>IF($AS81="","",IF($H$6="",$AT81+$AU81,IF($H$6="",0,IF(ISNUMBER(INDEX($A:$AP,ROW(),$H$6)),INDEX($A:$AP,ROW(),$H$6),IFERROR(--SUBSTITUTE(SUBSTITUTE(TRIM(INDEX($A:$AP,ROW(),$H$6)),",",""),"원",""),0)))))</f>
        <v/>
      </c>
      <c r="AW81" s="2">
        <f>IF(OR($AS81="",$C$6=""),"",TRIM(INDEX($A:$AP,ROW(),$C$6)&amp;""))</f>
        <v/>
      </c>
      <c r="AX81" s="2">
        <f>IF($AS81="","",IF($AZ81&lt;&gt;"",SUBSTITUTE(SUBSTITUTE($AZ81,"-","")," ",""),$AY81))</f>
        <v/>
      </c>
      <c r="AY81" s="2">
        <f>IF(OR($AS81="",$E$6=""),"",TRIM(INDEX($A:$AP,ROW(),$E$6)&amp;""))</f>
        <v/>
      </c>
      <c r="AZ81" s="2">
        <f>IF(OR($AS81="",$D$6=""),"",TRIM(INDEX($A:$AP,ROW(),$D$6)&amp;""))</f>
        <v/>
      </c>
      <c r="BA81" s="2">
        <f>IF($AS81="","",IF(AND($AS81&gt;=설정!$B$10,$AS81&lt;=설정!$B$11),"포함","기간 밖"))</f>
        <v/>
      </c>
      <c r="BB81" s="2">
        <f>IF($AS81="","",IF(OR($AT81&lt;0,AND($I$6&lt;&gt;"",ISNUMBER(FIND("수정",INDEX($A:$AP,ROW(),IF($I$6="",1,$I$6))&amp;"")))),"수정","일반"))</f>
        <v/>
      </c>
      <c r="BC81" s="2">
        <f>IF($AS81="","",MID(IF($BA81="기간 밖"," / 기간 밖(신고기간 아님)","")&amp;IF(AND($AW81&lt;&gt;"",COUNTIF($AW$8:$AW$1007,$AW81)&gt;1)," / 승인번호 중복(두 번 붙여넣기?)","")&amp;IF(ABS($AU81-ROUND($AT81*0.1,0))&gt;설정!$B$8,IF($AU81=0," / 세액 0원(영세율·면세 여부 확인)"," / 세액이 공급가액 10%와 다름"),"")&amp;IF($BB81="수정"," / 수정세금계산서(합계에서 자동 가감)",""),4,200))</f>
        <v/>
      </c>
      <c r="BD81" s="2">
        <f>IF($BA81&lt;&gt;"포함","",IF(COUNTIFS($AX$8:$AX81,$AX81,$BA$8:$BA81,"포함")=1,MAX($BD$7:BD80)+1,""))</f>
        <v/>
      </c>
      <c r="BE81" s="2">
        <f>IF($BC81="","",MAX($BE$7:BE80)+1)</f>
        <v/>
      </c>
    </row>
    <row r="82">
      <c r="AR82" s="2">
        <f>IF(OR($A$5="",$B$6="",ROW()&lt;$A$5),"",IF(INDEX($A:$AP,ROW(),$B$6)="","",INDEX($A:$AP,ROW(),$B$6)))</f>
        <v/>
      </c>
      <c r="AS82" s="22">
        <f>IF($AR82="","",IF(ISNUMBER($AR82),IF($AR82&gt;=10000000,IFERROR(DATE(INT($AR82/10000),MOD(INT($AR82/100),100),MOD($AR82,100)),""),INT($AR82)),IFERROR(DATE(--LEFT(LEFT(SUBSTITUTE(SUBSTITUTE(SUBSTITUTE(SUBSTITUTE(TRIM($AR82),"-",""),".",""),"/","")," ",""),8),4),--MID(LEFT(SUBSTITUTE(SUBSTITUTE(SUBSTITUTE(SUBSTITUTE(TRIM($AR82),"-",""),".",""),"/","")," ",""),8),5,2),--MID(LEFT(SUBSTITUTE(SUBSTITUTE(SUBSTITUTE(SUBSTITUTE(TRIM($AR82),"-",""),".",""),"/","")," ",""),8),7,2)),"")))</f>
        <v/>
      </c>
      <c r="AT82" s="23">
        <f>IF($AS82="","",IF($F$6="",0,IF(ISNUMBER(INDEX($A:$AP,ROW(),$F$6)),INDEX($A:$AP,ROW(),$F$6),IFERROR(--SUBSTITUTE(SUBSTITUTE(TRIM(INDEX($A:$AP,ROW(),$F$6)),",",""),"원",""),0))))</f>
        <v/>
      </c>
      <c r="AU82" s="23">
        <f>IF($AS82="","",IF($G$6="",0,IF(ISNUMBER(INDEX($A:$AP,ROW(),$G$6)),INDEX($A:$AP,ROW(),$G$6),IFERROR(--SUBSTITUTE(SUBSTITUTE(TRIM(INDEX($A:$AP,ROW(),$G$6)),",",""),"원",""),0))))</f>
        <v/>
      </c>
      <c r="AV82" s="23">
        <f>IF($AS82="","",IF($H$6="",$AT82+$AU82,IF($H$6="",0,IF(ISNUMBER(INDEX($A:$AP,ROW(),$H$6)),INDEX($A:$AP,ROW(),$H$6),IFERROR(--SUBSTITUTE(SUBSTITUTE(TRIM(INDEX($A:$AP,ROW(),$H$6)),",",""),"원",""),0)))))</f>
        <v/>
      </c>
      <c r="AW82" s="2">
        <f>IF(OR($AS82="",$C$6=""),"",TRIM(INDEX($A:$AP,ROW(),$C$6)&amp;""))</f>
        <v/>
      </c>
      <c r="AX82" s="2">
        <f>IF($AS82="","",IF($AZ82&lt;&gt;"",SUBSTITUTE(SUBSTITUTE($AZ82,"-","")," ",""),$AY82))</f>
        <v/>
      </c>
      <c r="AY82" s="2">
        <f>IF(OR($AS82="",$E$6=""),"",TRIM(INDEX($A:$AP,ROW(),$E$6)&amp;""))</f>
        <v/>
      </c>
      <c r="AZ82" s="2">
        <f>IF(OR($AS82="",$D$6=""),"",TRIM(INDEX($A:$AP,ROW(),$D$6)&amp;""))</f>
        <v/>
      </c>
      <c r="BA82" s="2">
        <f>IF($AS82="","",IF(AND($AS82&gt;=설정!$B$10,$AS82&lt;=설정!$B$11),"포함","기간 밖"))</f>
        <v/>
      </c>
      <c r="BB82" s="2">
        <f>IF($AS82="","",IF(OR($AT82&lt;0,AND($I$6&lt;&gt;"",ISNUMBER(FIND("수정",INDEX($A:$AP,ROW(),IF($I$6="",1,$I$6))&amp;"")))),"수정","일반"))</f>
        <v/>
      </c>
      <c r="BC82" s="2">
        <f>IF($AS82="","",MID(IF($BA82="기간 밖"," / 기간 밖(신고기간 아님)","")&amp;IF(AND($AW82&lt;&gt;"",COUNTIF($AW$8:$AW$1007,$AW82)&gt;1)," / 승인번호 중복(두 번 붙여넣기?)","")&amp;IF(ABS($AU82-ROUND($AT82*0.1,0))&gt;설정!$B$8,IF($AU82=0," / 세액 0원(영세율·면세 여부 확인)"," / 세액이 공급가액 10%와 다름"),"")&amp;IF($BB82="수정"," / 수정세금계산서(합계에서 자동 가감)",""),4,200))</f>
        <v/>
      </c>
      <c r="BD82" s="2">
        <f>IF($BA82&lt;&gt;"포함","",IF(COUNTIFS($AX$8:$AX82,$AX82,$BA$8:$BA82,"포함")=1,MAX($BD$7:BD81)+1,""))</f>
        <v/>
      </c>
      <c r="BE82" s="2">
        <f>IF($BC82="","",MAX($BE$7:BE81)+1)</f>
        <v/>
      </c>
    </row>
    <row r="83">
      <c r="AR83" s="2">
        <f>IF(OR($A$5="",$B$6="",ROW()&lt;$A$5),"",IF(INDEX($A:$AP,ROW(),$B$6)="","",INDEX($A:$AP,ROW(),$B$6)))</f>
        <v/>
      </c>
      <c r="AS83" s="22">
        <f>IF($AR83="","",IF(ISNUMBER($AR83),IF($AR83&gt;=10000000,IFERROR(DATE(INT($AR83/10000),MOD(INT($AR83/100),100),MOD($AR83,100)),""),INT($AR83)),IFERROR(DATE(--LEFT(LEFT(SUBSTITUTE(SUBSTITUTE(SUBSTITUTE(SUBSTITUTE(TRIM($AR83),"-",""),".",""),"/","")," ",""),8),4),--MID(LEFT(SUBSTITUTE(SUBSTITUTE(SUBSTITUTE(SUBSTITUTE(TRIM($AR83),"-",""),".",""),"/","")," ",""),8),5,2),--MID(LEFT(SUBSTITUTE(SUBSTITUTE(SUBSTITUTE(SUBSTITUTE(TRIM($AR83),"-",""),".",""),"/","")," ",""),8),7,2)),"")))</f>
        <v/>
      </c>
      <c r="AT83" s="23">
        <f>IF($AS83="","",IF($F$6="",0,IF(ISNUMBER(INDEX($A:$AP,ROW(),$F$6)),INDEX($A:$AP,ROW(),$F$6),IFERROR(--SUBSTITUTE(SUBSTITUTE(TRIM(INDEX($A:$AP,ROW(),$F$6)),",",""),"원",""),0))))</f>
        <v/>
      </c>
      <c r="AU83" s="23">
        <f>IF($AS83="","",IF($G$6="",0,IF(ISNUMBER(INDEX($A:$AP,ROW(),$G$6)),INDEX($A:$AP,ROW(),$G$6),IFERROR(--SUBSTITUTE(SUBSTITUTE(TRIM(INDEX($A:$AP,ROW(),$G$6)),",",""),"원",""),0))))</f>
        <v/>
      </c>
      <c r="AV83" s="23">
        <f>IF($AS83="","",IF($H$6="",$AT83+$AU83,IF($H$6="",0,IF(ISNUMBER(INDEX($A:$AP,ROW(),$H$6)),INDEX($A:$AP,ROW(),$H$6),IFERROR(--SUBSTITUTE(SUBSTITUTE(TRIM(INDEX($A:$AP,ROW(),$H$6)),",",""),"원",""),0)))))</f>
        <v/>
      </c>
      <c r="AW83" s="2">
        <f>IF(OR($AS83="",$C$6=""),"",TRIM(INDEX($A:$AP,ROW(),$C$6)&amp;""))</f>
        <v/>
      </c>
      <c r="AX83" s="2">
        <f>IF($AS83="","",IF($AZ83&lt;&gt;"",SUBSTITUTE(SUBSTITUTE($AZ83,"-","")," ",""),$AY83))</f>
        <v/>
      </c>
      <c r="AY83" s="2">
        <f>IF(OR($AS83="",$E$6=""),"",TRIM(INDEX($A:$AP,ROW(),$E$6)&amp;""))</f>
        <v/>
      </c>
      <c r="AZ83" s="2">
        <f>IF(OR($AS83="",$D$6=""),"",TRIM(INDEX($A:$AP,ROW(),$D$6)&amp;""))</f>
        <v/>
      </c>
      <c r="BA83" s="2">
        <f>IF($AS83="","",IF(AND($AS83&gt;=설정!$B$10,$AS83&lt;=설정!$B$11),"포함","기간 밖"))</f>
        <v/>
      </c>
      <c r="BB83" s="2">
        <f>IF($AS83="","",IF(OR($AT83&lt;0,AND($I$6&lt;&gt;"",ISNUMBER(FIND("수정",INDEX($A:$AP,ROW(),IF($I$6="",1,$I$6))&amp;"")))),"수정","일반"))</f>
        <v/>
      </c>
      <c r="BC83" s="2">
        <f>IF($AS83="","",MID(IF($BA83="기간 밖"," / 기간 밖(신고기간 아님)","")&amp;IF(AND($AW83&lt;&gt;"",COUNTIF($AW$8:$AW$1007,$AW83)&gt;1)," / 승인번호 중복(두 번 붙여넣기?)","")&amp;IF(ABS($AU83-ROUND($AT83*0.1,0))&gt;설정!$B$8,IF($AU83=0," / 세액 0원(영세율·면세 여부 확인)"," / 세액이 공급가액 10%와 다름"),"")&amp;IF($BB83="수정"," / 수정세금계산서(합계에서 자동 가감)",""),4,200))</f>
        <v/>
      </c>
      <c r="BD83" s="2">
        <f>IF($BA83&lt;&gt;"포함","",IF(COUNTIFS($AX$8:$AX83,$AX83,$BA$8:$BA83,"포함")=1,MAX($BD$7:BD82)+1,""))</f>
        <v/>
      </c>
      <c r="BE83" s="2">
        <f>IF($BC83="","",MAX($BE$7:BE82)+1)</f>
        <v/>
      </c>
    </row>
    <row r="84">
      <c r="AR84" s="2">
        <f>IF(OR($A$5="",$B$6="",ROW()&lt;$A$5),"",IF(INDEX($A:$AP,ROW(),$B$6)="","",INDEX($A:$AP,ROW(),$B$6)))</f>
        <v/>
      </c>
      <c r="AS84" s="22">
        <f>IF($AR84="","",IF(ISNUMBER($AR84),IF($AR84&gt;=10000000,IFERROR(DATE(INT($AR84/10000),MOD(INT($AR84/100),100),MOD($AR84,100)),""),INT($AR84)),IFERROR(DATE(--LEFT(LEFT(SUBSTITUTE(SUBSTITUTE(SUBSTITUTE(SUBSTITUTE(TRIM($AR84),"-",""),".",""),"/","")," ",""),8),4),--MID(LEFT(SUBSTITUTE(SUBSTITUTE(SUBSTITUTE(SUBSTITUTE(TRIM($AR84),"-",""),".",""),"/","")," ",""),8),5,2),--MID(LEFT(SUBSTITUTE(SUBSTITUTE(SUBSTITUTE(SUBSTITUTE(TRIM($AR84),"-",""),".",""),"/","")," ",""),8),7,2)),"")))</f>
        <v/>
      </c>
      <c r="AT84" s="23">
        <f>IF($AS84="","",IF($F$6="",0,IF(ISNUMBER(INDEX($A:$AP,ROW(),$F$6)),INDEX($A:$AP,ROW(),$F$6),IFERROR(--SUBSTITUTE(SUBSTITUTE(TRIM(INDEX($A:$AP,ROW(),$F$6)),",",""),"원",""),0))))</f>
        <v/>
      </c>
      <c r="AU84" s="23">
        <f>IF($AS84="","",IF($G$6="",0,IF(ISNUMBER(INDEX($A:$AP,ROW(),$G$6)),INDEX($A:$AP,ROW(),$G$6),IFERROR(--SUBSTITUTE(SUBSTITUTE(TRIM(INDEX($A:$AP,ROW(),$G$6)),",",""),"원",""),0))))</f>
        <v/>
      </c>
      <c r="AV84" s="23">
        <f>IF($AS84="","",IF($H$6="",$AT84+$AU84,IF($H$6="",0,IF(ISNUMBER(INDEX($A:$AP,ROW(),$H$6)),INDEX($A:$AP,ROW(),$H$6),IFERROR(--SUBSTITUTE(SUBSTITUTE(TRIM(INDEX($A:$AP,ROW(),$H$6)),",",""),"원",""),0)))))</f>
        <v/>
      </c>
      <c r="AW84" s="2">
        <f>IF(OR($AS84="",$C$6=""),"",TRIM(INDEX($A:$AP,ROW(),$C$6)&amp;""))</f>
        <v/>
      </c>
      <c r="AX84" s="2">
        <f>IF($AS84="","",IF($AZ84&lt;&gt;"",SUBSTITUTE(SUBSTITUTE($AZ84,"-","")," ",""),$AY84))</f>
        <v/>
      </c>
      <c r="AY84" s="2">
        <f>IF(OR($AS84="",$E$6=""),"",TRIM(INDEX($A:$AP,ROW(),$E$6)&amp;""))</f>
        <v/>
      </c>
      <c r="AZ84" s="2">
        <f>IF(OR($AS84="",$D$6=""),"",TRIM(INDEX($A:$AP,ROW(),$D$6)&amp;""))</f>
        <v/>
      </c>
      <c r="BA84" s="2">
        <f>IF($AS84="","",IF(AND($AS84&gt;=설정!$B$10,$AS84&lt;=설정!$B$11),"포함","기간 밖"))</f>
        <v/>
      </c>
      <c r="BB84" s="2">
        <f>IF($AS84="","",IF(OR($AT84&lt;0,AND($I$6&lt;&gt;"",ISNUMBER(FIND("수정",INDEX($A:$AP,ROW(),IF($I$6="",1,$I$6))&amp;"")))),"수정","일반"))</f>
        <v/>
      </c>
      <c r="BC84" s="2">
        <f>IF($AS84="","",MID(IF($BA84="기간 밖"," / 기간 밖(신고기간 아님)","")&amp;IF(AND($AW84&lt;&gt;"",COUNTIF($AW$8:$AW$1007,$AW84)&gt;1)," / 승인번호 중복(두 번 붙여넣기?)","")&amp;IF(ABS($AU84-ROUND($AT84*0.1,0))&gt;설정!$B$8,IF($AU84=0," / 세액 0원(영세율·면세 여부 확인)"," / 세액이 공급가액 10%와 다름"),"")&amp;IF($BB84="수정"," / 수정세금계산서(합계에서 자동 가감)",""),4,200))</f>
        <v/>
      </c>
      <c r="BD84" s="2">
        <f>IF($BA84&lt;&gt;"포함","",IF(COUNTIFS($AX$8:$AX84,$AX84,$BA$8:$BA84,"포함")=1,MAX($BD$7:BD83)+1,""))</f>
        <v/>
      </c>
      <c r="BE84" s="2">
        <f>IF($BC84="","",MAX($BE$7:BE83)+1)</f>
        <v/>
      </c>
    </row>
    <row r="85">
      <c r="AR85" s="2">
        <f>IF(OR($A$5="",$B$6="",ROW()&lt;$A$5),"",IF(INDEX($A:$AP,ROW(),$B$6)="","",INDEX($A:$AP,ROW(),$B$6)))</f>
        <v/>
      </c>
      <c r="AS85" s="22">
        <f>IF($AR85="","",IF(ISNUMBER($AR85),IF($AR85&gt;=10000000,IFERROR(DATE(INT($AR85/10000),MOD(INT($AR85/100),100),MOD($AR85,100)),""),INT($AR85)),IFERROR(DATE(--LEFT(LEFT(SUBSTITUTE(SUBSTITUTE(SUBSTITUTE(SUBSTITUTE(TRIM($AR85),"-",""),".",""),"/","")," ",""),8),4),--MID(LEFT(SUBSTITUTE(SUBSTITUTE(SUBSTITUTE(SUBSTITUTE(TRIM($AR85),"-",""),".",""),"/","")," ",""),8),5,2),--MID(LEFT(SUBSTITUTE(SUBSTITUTE(SUBSTITUTE(SUBSTITUTE(TRIM($AR85),"-",""),".",""),"/","")," ",""),8),7,2)),"")))</f>
        <v/>
      </c>
      <c r="AT85" s="23">
        <f>IF($AS85="","",IF($F$6="",0,IF(ISNUMBER(INDEX($A:$AP,ROW(),$F$6)),INDEX($A:$AP,ROW(),$F$6),IFERROR(--SUBSTITUTE(SUBSTITUTE(TRIM(INDEX($A:$AP,ROW(),$F$6)),",",""),"원",""),0))))</f>
        <v/>
      </c>
      <c r="AU85" s="23">
        <f>IF($AS85="","",IF($G$6="",0,IF(ISNUMBER(INDEX($A:$AP,ROW(),$G$6)),INDEX($A:$AP,ROW(),$G$6),IFERROR(--SUBSTITUTE(SUBSTITUTE(TRIM(INDEX($A:$AP,ROW(),$G$6)),",",""),"원",""),0))))</f>
        <v/>
      </c>
      <c r="AV85" s="23">
        <f>IF($AS85="","",IF($H$6="",$AT85+$AU85,IF($H$6="",0,IF(ISNUMBER(INDEX($A:$AP,ROW(),$H$6)),INDEX($A:$AP,ROW(),$H$6),IFERROR(--SUBSTITUTE(SUBSTITUTE(TRIM(INDEX($A:$AP,ROW(),$H$6)),",",""),"원",""),0)))))</f>
        <v/>
      </c>
      <c r="AW85" s="2">
        <f>IF(OR($AS85="",$C$6=""),"",TRIM(INDEX($A:$AP,ROW(),$C$6)&amp;""))</f>
        <v/>
      </c>
      <c r="AX85" s="2">
        <f>IF($AS85="","",IF($AZ85&lt;&gt;"",SUBSTITUTE(SUBSTITUTE($AZ85,"-","")," ",""),$AY85))</f>
        <v/>
      </c>
      <c r="AY85" s="2">
        <f>IF(OR($AS85="",$E$6=""),"",TRIM(INDEX($A:$AP,ROW(),$E$6)&amp;""))</f>
        <v/>
      </c>
      <c r="AZ85" s="2">
        <f>IF(OR($AS85="",$D$6=""),"",TRIM(INDEX($A:$AP,ROW(),$D$6)&amp;""))</f>
        <v/>
      </c>
      <c r="BA85" s="2">
        <f>IF($AS85="","",IF(AND($AS85&gt;=설정!$B$10,$AS85&lt;=설정!$B$11),"포함","기간 밖"))</f>
        <v/>
      </c>
      <c r="BB85" s="2">
        <f>IF($AS85="","",IF(OR($AT85&lt;0,AND($I$6&lt;&gt;"",ISNUMBER(FIND("수정",INDEX($A:$AP,ROW(),IF($I$6="",1,$I$6))&amp;"")))),"수정","일반"))</f>
        <v/>
      </c>
      <c r="BC85" s="2">
        <f>IF($AS85="","",MID(IF($BA85="기간 밖"," / 기간 밖(신고기간 아님)","")&amp;IF(AND($AW85&lt;&gt;"",COUNTIF($AW$8:$AW$1007,$AW85)&gt;1)," / 승인번호 중복(두 번 붙여넣기?)","")&amp;IF(ABS($AU85-ROUND($AT85*0.1,0))&gt;설정!$B$8,IF($AU85=0," / 세액 0원(영세율·면세 여부 확인)"," / 세액이 공급가액 10%와 다름"),"")&amp;IF($BB85="수정"," / 수정세금계산서(합계에서 자동 가감)",""),4,200))</f>
        <v/>
      </c>
      <c r="BD85" s="2">
        <f>IF($BA85&lt;&gt;"포함","",IF(COUNTIFS($AX$8:$AX85,$AX85,$BA$8:$BA85,"포함")=1,MAX($BD$7:BD84)+1,""))</f>
        <v/>
      </c>
      <c r="BE85" s="2">
        <f>IF($BC85="","",MAX($BE$7:BE84)+1)</f>
        <v/>
      </c>
    </row>
    <row r="86">
      <c r="AR86" s="2">
        <f>IF(OR($A$5="",$B$6="",ROW()&lt;$A$5),"",IF(INDEX($A:$AP,ROW(),$B$6)="","",INDEX($A:$AP,ROW(),$B$6)))</f>
        <v/>
      </c>
      <c r="AS86" s="22">
        <f>IF($AR86="","",IF(ISNUMBER($AR86),IF($AR86&gt;=10000000,IFERROR(DATE(INT($AR86/10000),MOD(INT($AR86/100),100),MOD($AR86,100)),""),INT($AR86)),IFERROR(DATE(--LEFT(LEFT(SUBSTITUTE(SUBSTITUTE(SUBSTITUTE(SUBSTITUTE(TRIM($AR86),"-",""),".",""),"/","")," ",""),8),4),--MID(LEFT(SUBSTITUTE(SUBSTITUTE(SUBSTITUTE(SUBSTITUTE(TRIM($AR86),"-",""),".",""),"/","")," ",""),8),5,2),--MID(LEFT(SUBSTITUTE(SUBSTITUTE(SUBSTITUTE(SUBSTITUTE(TRIM($AR86),"-",""),".",""),"/","")," ",""),8),7,2)),"")))</f>
        <v/>
      </c>
      <c r="AT86" s="23">
        <f>IF($AS86="","",IF($F$6="",0,IF(ISNUMBER(INDEX($A:$AP,ROW(),$F$6)),INDEX($A:$AP,ROW(),$F$6),IFERROR(--SUBSTITUTE(SUBSTITUTE(TRIM(INDEX($A:$AP,ROW(),$F$6)),",",""),"원",""),0))))</f>
        <v/>
      </c>
      <c r="AU86" s="23">
        <f>IF($AS86="","",IF($G$6="",0,IF(ISNUMBER(INDEX($A:$AP,ROW(),$G$6)),INDEX($A:$AP,ROW(),$G$6),IFERROR(--SUBSTITUTE(SUBSTITUTE(TRIM(INDEX($A:$AP,ROW(),$G$6)),",",""),"원",""),0))))</f>
        <v/>
      </c>
      <c r="AV86" s="23">
        <f>IF($AS86="","",IF($H$6="",$AT86+$AU86,IF($H$6="",0,IF(ISNUMBER(INDEX($A:$AP,ROW(),$H$6)),INDEX($A:$AP,ROW(),$H$6),IFERROR(--SUBSTITUTE(SUBSTITUTE(TRIM(INDEX($A:$AP,ROW(),$H$6)),",",""),"원",""),0)))))</f>
        <v/>
      </c>
      <c r="AW86" s="2">
        <f>IF(OR($AS86="",$C$6=""),"",TRIM(INDEX($A:$AP,ROW(),$C$6)&amp;""))</f>
        <v/>
      </c>
      <c r="AX86" s="2">
        <f>IF($AS86="","",IF($AZ86&lt;&gt;"",SUBSTITUTE(SUBSTITUTE($AZ86,"-","")," ",""),$AY86))</f>
        <v/>
      </c>
      <c r="AY86" s="2">
        <f>IF(OR($AS86="",$E$6=""),"",TRIM(INDEX($A:$AP,ROW(),$E$6)&amp;""))</f>
        <v/>
      </c>
      <c r="AZ86" s="2">
        <f>IF(OR($AS86="",$D$6=""),"",TRIM(INDEX($A:$AP,ROW(),$D$6)&amp;""))</f>
        <v/>
      </c>
      <c r="BA86" s="2">
        <f>IF($AS86="","",IF(AND($AS86&gt;=설정!$B$10,$AS86&lt;=설정!$B$11),"포함","기간 밖"))</f>
        <v/>
      </c>
      <c r="BB86" s="2">
        <f>IF($AS86="","",IF(OR($AT86&lt;0,AND($I$6&lt;&gt;"",ISNUMBER(FIND("수정",INDEX($A:$AP,ROW(),IF($I$6="",1,$I$6))&amp;"")))),"수정","일반"))</f>
        <v/>
      </c>
      <c r="BC86" s="2">
        <f>IF($AS86="","",MID(IF($BA86="기간 밖"," / 기간 밖(신고기간 아님)","")&amp;IF(AND($AW86&lt;&gt;"",COUNTIF($AW$8:$AW$1007,$AW86)&gt;1)," / 승인번호 중복(두 번 붙여넣기?)","")&amp;IF(ABS($AU86-ROUND($AT86*0.1,0))&gt;설정!$B$8,IF($AU86=0," / 세액 0원(영세율·면세 여부 확인)"," / 세액이 공급가액 10%와 다름"),"")&amp;IF($BB86="수정"," / 수정세금계산서(합계에서 자동 가감)",""),4,200))</f>
        <v/>
      </c>
      <c r="BD86" s="2">
        <f>IF($BA86&lt;&gt;"포함","",IF(COUNTIFS($AX$8:$AX86,$AX86,$BA$8:$BA86,"포함")=1,MAX($BD$7:BD85)+1,""))</f>
        <v/>
      </c>
      <c r="BE86" s="2">
        <f>IF($BC86="","",MAX($BE$7:BE85)+1)</f>
        <v/>
      </c>
    </row>
    <row r="87">
      <c r="AR87" s="2">
        <f>IF(OR($A$5="",$B$6="",ROW()&lt;$A$5),"",IF(INDEX($A:$AP,ROW(),$B$6)="","",INDEX($A:$AP,ROW(),$B$6)))</f>
        <v/>
      </c>
      <c r="AS87" s="22">
        <f>IF($AR87="","",IF(ISNUMBER($AR87),IF($AR87&gt;=10000000,IFERROR(DATE(INT($AR87/10000),MOD(INT($AR87/100),100),MOD($AR87,100)),""),INT($AR87)),IFERROR(DATE(--LEFT(LEFT(SUBSTITUTE(SUBSTITUTE(SUBSTITUTE(SUBSTITUTE(TRIM($AR87),"-",""),".",""),"/","")," ",""),8),4),--MID(LEFT(SUBSTITUTE(SUBSTITUTE(SUBSTITUTE(SUBSTITUTE(TRIM($AR87),"-",""),".",""),"/","")," ",""),8),5,2),--MID(LEFT(SUBSTITUTE(SUBSTITUTE(SUBSTITUTE(SUBSTITUTE(TRIM($AR87),"-",""),".",""),"/","")," ",""),8),7,2)),"")))</f>
        <v/>
      </c>
      <c r="AT87" s="23">
        <f>IF($AS87="","",IF($F$6="",0,IF(ISNUMBER(INDEX($A:$AP,ROW(),$F$6)),INDEX($A:$AP,ROW(),$F$6),IFERROR(--SUBSTITUTE(SUBSTITUTE(TRIM(INDEX($A:$AP,ROW(),$F$6)),",",""),"원",""),0))))</f>
        <v/>
      </c>
      <c r="AU87" s="23">
        <f>IF($AS87="","",IF($G$6="",0,IF(ISNUMBER(INDEX($A:$AP,ROW(),$G$6)),INDEX($A:$AP,ROW(),$G$6),IFERROR(--SUBSTITUTE(SUBSTITUTE(TRIM(INDEX($A:$AP,ROW(),$G$6)),",",""),"원",""),0))))</f>
        <v/>
      </c>
      <c r="AV87" s="23">
        <f>IF($AS87="","",IF($H$6="",$AT87+$AU87,IF($H$6="",0,IF(ISNUMBER(INDEX($A:$AP,ROW(),$H$6)),INDEX($A:$AP,ROW(),$H$6),IFERROR(--SUBSTITUTE(SUBSTITUTE(TRIM(INDEX($A:$AP,ROW(),$H$6)),",",""),"원",""),0)))))</f>
        <v/>
      </c>
      <c r="AW87" s="2">
        <f>IF(OR($AS87="",$C$6=""),"",TRIM(INDEX($A:$AP,ROW(),$C$6)&amp;""))</f>
        <v/>
      </c>
      <c r="AX87" s="2">
        <f>IF($AS87="","",IF($AZ87&lt;&gt;"",SUBSTITUTE(SUBSTITUTE($AZ87,"-","")," ",""),$AY87))</f>
        <v/>
      </c>
      <c r="AY87" s="2">
        <f>IF(OR($AS87="",$E$6=""),"",TRIM(INDEX($A:$AP,ROW(),$E$6)&amp;""))</f>
        <v/>
      </c>
      <c r="AZ87" s="2">
        <f>IF(OR($AS87="",$D$6=""),"",TRIM(INDEX($A:$AP,ROW(),$D$6)&amp;""))</f>
        <v/>
      </c>
      <c r="BA87" s="2">
        <f>IF($AS87="","",IF(AND($AS87&gt;=설정!$B$10,$AS87&lt;=설정!$B$11),"포함","기간 밖"))</f>
        <v/>
      </c>
      <c r="BB87" s="2">
        <f>IF($AS87="","",IF(OR($AT87&lt;0,AND($I$6&lt;&gt;"",ISNUMBER(FIND("수정",INDEX($A:$AP,ROW(),IF($I$6="",1,$I$6))&amp;"")))),"수정","일반"))</f>
        <v/>
      </c>
      <c r="BC87" s="2">
        <f>IF($AS87="","",MID(IF($BA87="기간 밖"," / 기간 밖(신고기간 아님)","")&amp;IF(AND($AW87&lt;&gt;"",COUNTIF($AW$8:$AW$1007,$AW87)&gt;1)," / 승인번호 중복(두 번 붙여넣기?)","")&amp;IF(ABS($AU87-ROUND($AT87*0.1,0))&gt;설정!$B$8,IF($AU87=0," / 세액 0원(영세율·면세 여부 확인)"," / 세액이 공급가액 10%와 다름"),"")&amp;IF($BB87="수정"," / 수정세금계산서(합계에서 자동 가감)",""),4,200))</f>
        <v/>
      </c>
      <c r="BD87" s="2">
        <f>IF($BA87&lt;&gt;"포함","",IF(COUNTIFS($AX$8:$AX87,$AX87,$BA$8:$BA87,"포함")=1,MAX($BD$7:BD86)+1,""))</f>
        <v/>
      </c>
      <c r="BE87" s="2">
        <f>IF($BC87="","",MAX($BE$7:BE86)+1)</f>
        <v/>
      </c>
    </row>
    <row r="88">
      <c r="AR88" s="2">
        <f>IF(OR($A$5="",$B$6="",ROW()&lt;$A$5),"",IF(INDEX($A:$AP,ROW(),$B$6)="","",INDEX($A:$AP,ROW(),$B$6)))</f>
        <v/>
      </c>
      <c r="AS88" s="22">
        <f>IF($AR88="","",IF(ISNUMBER($AR88),IF($AR88&gt;=10000000,IFERROR(DATE(INT($AR88/10000),MOD(INT($AR88/100),100),MOD($AR88,100)),""),INT($AR88)),IFERROR(DATE(--LEFT(LEFT(SUBSTITUTE(SUBSTITUTE(SUBSTITUTE(SUBSTITUTE(TRIM($AR88),"-",""),".",""),"/","")," ",""),8),4),--MID(LEFT(SUBSTITUTE(SUBSTITUTE(SUBSTITUTE(SUBSTITUTE(TRIM($AR88),"-",""),".",""),"/","")," ",""),8),5,2),--MID(LEFT(SUBSTITUTE(SUBSTITUTE(SUBSTITUTE(SUBSTITUTE(TRIM($AR88),"-",""),".",""),"/","")," ",""),8),7,2)),"")))</f>
        <v/>
      </c>
      <c r="AT88" s="23">
        <f>IF($AS88="","",IF($F$6="",0,IF(ISNUMBER(INDEX($A:$AP,ROW(),$F$6)),INDEX($A:$AP,ROW(),$F$6),IFERROR(--SUBSTITUTE(SUBSTITUTE(TRIM(INDEX($A:$AP,ROW(),$F$6)),",",""),"원",""),0))))</f>
        <v/>
      </c>
      <c r="AU88" s="23">
        <f>IF($AS88="","",IF($G$6="",0,IF(ISNUMBER(INDEX($A:$AP,ROW(),$G$6)),INDEX($A:$AP,ROW(),$G$6),IFERROR(--SUBSTITUTE(SUBSTITUTE(TRIM(INDEX($A:$AP,ROW(),$G$6)),",",""),"원",""),0))))</f>
        <v/>
      </c>
      <c r="AV88" s="23">
        <f>IF($AS88="","",IF($H$6="",$AT88+$AU88,IF($H$6="",0,IF(ISNUMBER(INDEX($A:$AP,ROW(),$H$6)),INDEX($A:$AP,ROW(),$H$6),IFERROR(--SUBSTITUTE(SUBSTITUTE(TRIM(INDEX($A:$AP,ROW(),$H$6)),",",""),"원",""),0)))))</f>
        <v/>
      </c>
      <c r="AW88" s="2">
        <f>IF(OR($AS88="",$C$6=""),"",TRIM(INDEX($A:$AP,ROW(),$C$6)&amp;""))</f>
        <v/>
      </c>
      <c r="AX88" s="2">
        <f>IF($AS88="","",IF($AZ88&lt;&gt;"",SUBSTITUTE(SUBSTITUTE($AZ88,"-","")," ",""),$AY88))</f>
        <v/>
      </c>
      <c r="AY88" s="2">
        <f>IF(OR($AS88="",$E$6=""),"",TRIM(INDEX($A:$AP,ROW(),$E$6)&amp;""))</f>
        <v/>
      </c>
      <c r="AZ88" s="2">
        <f>IF(OR($AS88="",$D$6=""),"",TRIM(INDEX($A:$AP,ROW(),$D$6)&amp;""))</f>
        <v/>
      </c>
      <c r="BA88" s="2">
        <f>IF($AS88="","",IF(AND($AS88&gt;=설정!$B$10,$AS88&lt;=설정!$B$11),"포함","기간 밖"))</f>
        <v/>
      </c>
      <c r="BB88" s="2">
        <f>IF($AS88="","",IF(OR($AT88&lt;0,AND($I$6&lt;&gt;"",ISNUMBER(FIND("수정",INDEX($A:$AP,ROW(),IF($I$6="",1,$I$6))&amp;"")))),"수정","일반"))</f>
        <v/>
      </c>
      <c r="BC88" s="2">
        <f>IF($AS88="","",MID(IF($BA88="기간 밖"," / 기간 밖(신고기간 아님)","")&amp;IF(AND($AW88&lt;&gt;"",COUNTIF($AW$8:$AW$1007,$AW88)&gt;1)," / 승인번호 중복(두 번 붙여넣기?)","")&amp;IF(ABS($AU88-ROUND($AT88*0.1,0))&gt;설정!$B$8,IF($AU88=0," / 세액 0원(영세율·면세 여부 확인)"," / 세액이 공급가액 10%와 다름"),"")&amp;IF($BB88="수정"," / 수정세금계산서(합계에서 자동 가감)",""),4,200))</f>
        <v/>
      </c>
      <c r="BD88" s="2">
        <f>IF($BA88&lt;&gt;"포함","",IF(COUNTIFS($AX$8:$AX88,$AX88,$BA$8:$BA88,"포함")=1,MAX($BD$7:BD87)+1,""))</f>
        <v/>
      </c>
      <c r="BE88" s="2">
        <f>IF($BC88="","",MAX($BE$7:BE87)+1)</f>
        <v/>
      </c>
    </row>
    <row r="89">
      <c r="AR89" s="2">
        <f>IF(OR($A$5="",$B$6="",ROW()&lt;$A$5),"",IF(INDEX($A:$AP,ROW(),$B$6)="","",INDEX($A:$AP,ROW(),$B$6)))</f>
        <v/>
      </c>
      <c r="AS89" s="22">
        <f>IF($AR89="","",IF(ISNUMBER($AR89),IF($AR89&gt;=10000000,IFERROR(DATE(INT($AR89/10000),MOD(INT($AR89/100),100),MOD($AR89,100)),""),INT($AR89)),IFERROR(DATE(--LEFT(LEFT(SUBSTITUTE(SUBSTITUTE(SUBSTITUTE(SUBSTITUTE(TRIM($AR89),"-",""),".",""),"/","")," ",""),8),4),--MID(LEFT(SUBSTITUTE(SUBSTITUTE(SUBSTITUTE(SUBSTITUTE(TRIM($AR89),"-",""),".",""),"/","")," ",""),8),5,2),--MID(LEFT(SUBSTITUTE(SUBSTITUTE(SUBSTITUTE(SUBSTITUTE(TRIM($AR89),"-",""),".",""),"/","")," ",""),8),7,2)),"")))</f>
        <v/>
      </c>
      <c r="AT89" s="23">
        <f>IF($AS89="","",IF($F$6="",0,IF(ISNUMBER(INDEX($A:$AP,ROW(),$F$6)),INDEX($A:$AP,ROW(),$F$6),IFERROR(--SUBSTITUTE(SUBSTITUTE(TRIM(INDEX($A:$AP,ROW(),$F$6)),",",""),"원",""),0))))</f>
        <v/>
      </c>
      <c r="AU89" s="23">
        <f>IF($AS89="","",IF($G$6="",0,IF(ISNUMBER(INDEX($A:$AP,ROW(),$G$6)),INDEX($A:$AP,ROW(),$G$6),IFERROR(--SUBSTITUTE(SUBSTITUTE(TRIM(INDEX($A:$AP,ROW(),$G$6)),",",""),"원",""),0))))</f>
        <v/>
      </c>
      <c r="AV89" s="23">
        <f>IF($AS89="","",IF($H$6="",$AT89+$AU89,IF($H$6="",0,IF(ISNUMBER(INDEX($A:$AP,ROW(),$H$6)),INDEX($A:$AP,ROW(),$H$6),IFERROR(--SUBSTITUTE(SUBSTITUTE(TRIM(INDEX($A:$AP,ROW(),$H$6)),",",""),"원",""),0)))))</f>
        <v/>
      </c>
      <c r="AW89" s="2">
        <f>IF(OR($AS89="",$C$6=""),"",TRIM(INDEX($A:$AP,ROW(),$C$6)&amp;""))</f>
        <v/>
      </c>
      <c r="AX89" s="2">
        <f>IF($AS89="","",IF($AZ89&lt;&gt;"",SUBSTITUTE(SUBSTITUTE($AZ89,"-","")," ",""),$AY89))</f>
        <v/>
      </c>
      <c r="AY89" s="2">
        <f>IF(OR($AS89="",$E$6=""),"",TRIM(INDEX($A:$AP,ROW(),$E$6)&amp;""))</f>
        <v/>
      </c>
      <c r="AZ89" s="2">
        <f>IF(OR($AS89="",$D$6=""),"",TRIM(INDEX($A:$AP,ROW(),$D$6)&amp;""))</f>
        <v/>
      </c>
      <c r="BA89" s="2">
        <f>IF($AS89="","",IF(AND($AS89&gt;=설정!$B$10,$AS89&lt;=설정!$B$11),"포함","기간 밖"))</f>
        <v/>
      </c>
      <c r="BB89" s="2">
        <f>IF($AS89="","",IF(OR($AT89&lt;0,AND($I$6&lt;&gt;"",ISNUMBER(FIND("수정",INDEX($A:$AP,ROW(),IF($I$6="",1,$I$6))&amp;"")))),"수정","일반"))</f>
        <v/>
      </c>
      <c r="BC89" s="2">
        <f>IF($AS89="","",MID(IF($BA89="기간 밖"," / 기간 밖(신고기간 아님)","")&amp;IF(AND($AW89&lt;&gt;"",COUNTIF($AW$8:$AW$1007,$AW89)&gt;1)," / 승인번호 중복(두 번 붙여넣기?)","")&amp;IF(ABS($AU89-ROUND($AT89*0.1,0))&gt;설정!$B$8,IF($AU89=0," / 세액 0원(영세율·면세 여부 확인)"," / 세액이 공급가액 10%와 다름"),"")&amp;IF($BB89="수정"," / 수정세금계산서(합계에서 자동 가감)",""),4,200))</f>
        <v/>
      </c>
      <c r="BD89" s="2">
        <f>IF($BA89&lt;&gt;"포함","",IF(COUNTIFS($AX$8:$AX89,$AX89,$BA$8:$BA89,"포함")=1,MAX($BD$7:BD88)+1,""))</f>
        <v/>
      </c>
      <c r="BE89" s="2">
        <f>IF($BC89="","",MAX($BE$7:BE88)+1)</f>
        <v/>
      </c>
    </row>
    <row r="90">
      <c r="AR90" s="2">
        <f>IF(OR($A$5="",$B$6="",ROW()&lt;$A$5),"",IF(INDEX($A:$AP,ROW(),$B$6)="","",INDEX($A:$AP,ROW(),$B$6)))</f>
        <v/>
      </c>
      <c r="AS90" s="22">
        <f>IF($AR90="","",IF(ISNUMBER($AR90),IF($AR90&gt;=10000000,IFERROR(DATE(INT($AR90/10000),MOD(INT($AR90/100),100),MOD($AR90,100)),""),INT($AR90)),IFERROR(DATE(--LEFT(LEFT(SUBSTITUTE(SUBSTITUTE(SUBSTITUTE(SUBSTITUTE(TRIM($AR90),"-",""),".",""),"/","")," ",""),8),4),--MID(LEFT(SUBSTITUTE(SUBSTITUTE(SUBSTITUTE(SUBSTITUTE(TRIM($AR90),"-",""),".",""),"/","")," ",""),8),5,2),--MID(LEFT(SUBSTITUTE(SUBSTITUTE(SUBSTITUTE(SUBSTITUTE(TRIM($AR90),"-",""),".",""),"/","")," ",""),8),7,2)),"")))</f>
        <v/>
      </c>
      <c r="AT90" s="23">
        <f>IF($AS90="","",IF($F$6="",0,IF(ISNUMBER(INDEX($A:$AP,ROW(),$F$6)),INDEX($A:$AP,ROW(),$F$6),IFERROR(--SUBSTITUTE(SUBSTITUTE(TRIM(INDEX($A:$AP,ROW(),$F$6)),",",""),"원",""),0))))</f>
        <v/>
      </c>
      <c r="AU90" s="23">
        <f>IF($AS90="","",IF($G$6="",0,IF(ISNUMBER(INDEX($A:$AP,ROW(),$G$6)),INDEX($A:$AP,ROW(),$G$6),IFERROR(--SUBSTITUTE(SUBSTITUTE(TRIM(INDEX($A:$AP,ROW(),$G$6)),",",""),"원",""),0))))</f>
        <v/>
      </c>
      <c r="AV90" s="23">
        <f>IF($AS90="","",IF($H$6="",$AT90+$AU90,IF($H$6="",0,IF(ISNUMBER(INDEX($A:$AP,ROW(),$H$6)),INDEX($A:$AP,ROW(),$H$6),IFERROR(--SUBSTITUTE(SUBSTITUTE(TRIM(INDEX($A:$AP,ROW(),$H$6)),",",""),"원",""),0)))))</f>
        <v/>
      </c>
      <c r="AW90" s="2">
        <f>IF(OR($AS90="",$C$6=""),"",TRIM(INDEX($A:$AP,ROW(),$C$6)&amp;""))</f>
        <v/>
      </c>
      <c r="AX90" s="2">
        <f>IF($AS90="","",IF($AZ90&lt;&gt;"",SUBSTITUTE(SUBSTITUTE($AZ90,"-","")," ",""),$AY90))</f>
        <v/>
      </c>
      <c r="AY90" s="2">
        <f>IF(OR($AS90="",$E$6=""),"",TRIM(INDEX($A:$AP,ROW(),$E$6)&amp;""))</f>
        <v/>
      </c>
      <c r="AZ90" s="2">
        <f>IF(OR($AS90="",$D$6=""),"",TRIM(INDEX($A:$AP,ROW(),$D$6)&amp;""))</f>
        <v/>
      </c>
      <c r="BA90" s="2">
        <f>IF($AS90="","",IF(AND($AS90&gt;=설정!$B$10,$AS90&lt;=설정!$B$11),"포함","기간 밖"))</f>
        <v/>
      </c>
      <c r="BB90" s="2">
        <f>IF($AS90="","",IF(OR($AT90&lt;0,AND($I$6&lt;&gt;"",ISNUMBER(FIND("수정",INDEX($A:$AP,ROW(),IF($I$6="",1,$I$6))&amp;"")))),"수정","일반"))</f>
        <v/>
      </c>
      <c r="BC90" s="2">
        <f>IF($AS90="","",MID(IF($BA90="기간 밖"," / 기간 밖(신고기간 아님)","")&amp;IF(AND($AW90&lt;&gt;"",COUNTIF($AW$8:$AW$1007,$AW90)&gt;1)," / 승인번호 중복(두 번 붙여넣기?)","")&amp;IF(ABS($AU90-ROUND($AT90*0.1,0))&gt;설정!$B$8,IF($AU90=0," / 세액 0원(영세율·면세 여부 확인)"," / 세액이 공급가액 10%와 다름"),"")&amp;IF($BB90="수정"," / 수정세금계산서(합계에서 자동 가감)",""),4,200))</f>
        <v/>
      </c>
      <c r="BD90" s="2">
        <f>IF($BA90&lt;&gt;"포함","",IF(COUNTIFS($AX$8:$AX90,$AX90,$BA$8:$BA90,"포함")=1,MAX($BD$7:BD89)+1,""))</f>
        <v/>
      </c>
      <c r="BE90" s="2">
        <f>IF($BC90="","",MAX($BE$7:BE89)+1)</f>
        <v/>
      </c>
    </row>
    <row r="91">
      <c r="AR91" s="2">
        <f>IF(OR($A$5="",$B$6="",ROW()&lt;$A$5),"",IF(INDEX($A:$AP,ROW(),$B$6)="","",INDEX($A:$AP,ROW(),$B$6)))</f>
        <v/>
      </c>
      <c r="AS91" s="22">
        <f>IF($AR91="","",IF(ISNUMBER($AR91),IF($AR91&gt;=10000000,IFERROR(DATE(INT($AR91/10000),MOD(INT($AR91/100),100),MOD($AR91,100)),""),INT($AR91)),IFERROR(DATE(--LEFT(LEFT(SUBSTITUTE(SUBSTITUTE(SUBSTITUTE(SUBSTITUTE(TRIM($AR91),"-",""),".",""),"/","")," ",""),8),4),--MID(LEFT(SUBSTITUTE(SUBSTITUTE(SUBSTITUTE(SUBSTITUTE(TRIM($AR91),"-",""),".",""),"/","")," ",""),8),5,2),--MID(LEFT(SUBSTITUTE(SUBSTITUTE(SUBSTITUTE(SUBSTITUTE(TRIM($AR91),"-",""),".",""),"/","")," ",""),8),7,2)),"")))</f>
        <v/>
      </c>
      <c r="AT91" s="23">
        <f>IF($AS91="","",IF($F$6="",0,IF(ISNUMBER(INDEX($A:$AP,ROW(),$F$6)),INDEX($A:$AP,ROW(),$F$6),IFERROR(--SUBSTITUTE(SUBSTITUTE(TRIM(INDEX($A:$AP,ROW(),$F$6)),",",""),"원",""),0))))</f>
        <v/>
      </c>
      <c r="AU91" s="23">
        <f>IF($AS91="","",IF($G$6="",0,IF(ISNUMBER(INDEX($A:$AP,ROW(),$G$6)),INDEX($A:$AP,ROW(),$G$6),IFERROR(--SUBSTITUTE(SUBSTITUTE(TRIM(INDEX($A:$AP,ROW(),$G$6)),",",""),"원",""),0))))</f>
        <v/>
      </c>
      <c r="AV91" s="23">
        <f>IF($AS91="","",IF($H$6="",$AT91+$AU91,IF($H$6="",0,IF(ISNUMBER(INDEX($A:$AP,ROW(),$H$6)),INDEX($A:$AP,ROW(),$H$6),IFERROR(--SUBSTITUTE(SUBSTITUTE(TRIM(INDEX($A:$AP,ROW(),$H$6)),",",""),"원",""),0)))))</f>
        <v/>
      </c>
      <c r="AW91" s="2">
        <f>IF(OR($AS91="",$C$6=""),"",TRIM(INDEX($A:$AP,ROW(),$C$6)&amp;""))</f>
        <v/>
      </c>
      <c r="AX91" s="2">
        <f>IF($AS91="","",IF($AZ91&lt;&gt;"",SUBSTITUTE(SUBSTITUTE($AZ91,"-","")," ",""),$AY91))</f>
        <v/>
      </c>
      <c r="AY91" s="2">
        <f>IF(OR($AS91="",$E$6=""),"",TRIM(INDEX($A:$AP,ROW(),$E$6)&amp;""))</f>
        <v/>
      </c>
      <c r="AZ91" s="2">
        <f>IF(OR($AS91="",$D$6=""),"",TRIM(INDEX($A:$AP,ROW(),$D$6)&amp;""))</f>
        <v/>
      </c>
      <c r="BA91" s="2">
        <f>IF($AS91="","",IF(AND($AS91&gt;=설정!$B$10,$AS91&lt;=설정!$B$11),"포함","기간 밖"))</f>
        <v/>
      </c>
      <c r="BB91" s="2">
        <f>IF($AS91="","",IF(OR($AT91&lt;0,AND($I$6&lt;&gt;"",ISNUMBER(FIND("수정",INDEX($A:$AP,ROW(),IF($I$6="",1,$I$6))&amp;"")))),"수정","일반"))</f>
        <v/>
      </c>
      <c r="BC91" s="2">
        <f>IF($AS91="","",MID(IF($BA91="기간 밖"," / 기간 밖(신고기간 아님)","")&amp;IF(AND($AW91&lt;&gt;"",COUNTIF($AW$8:$AW$1007,$AW91)&gt;1)," / 승인번호 중복(두 번 붙여넣기?)","")&amp;IF(ABS($AU91-ROUND($AT91*0.1,0))&gt;설정!$B$8,IF($AU91=0," / 세액 0원(영세율·면세 여부 확인)"," / 세액이 공급가액 10%와 다름"),"")&amp;IF($BB91="수정"," / 수정세금계산서(합계에서 자동 가감)",""),4,200))</f>
        <v/>
      </c>
      <c r="BD91" s="2">
        <f>IF($BA91&lt;&gt;"포함","",IF(COUNTIFS($AX$8:$AX91,$AX91,$BA$8:$BA91,"포함")=1,MAX($BD$7:BD90)+1,""))</f>
        <v/>
      </c>
      <c r="BE91" s="2">
        <f>IF($BC91="","",MAX($BE$7:BE90)+1)</f>
        <v/>
      </c>
    </row>
    <row r="92">
      <c r="AR92" s="2">
        <f>IF(OR($A$5="",$B$6="",ROW()&lt;$A$5),"",IF(INDEX($A:$AP,ROW(),$B$6)="","",INDEX($A:$AP,ROW(),$B$6)))</f>
        <v/>
      </c>
      <c r="AS92" s="22">
        <f>IF($AR92="","",IF(ISNUMBER($AR92),IF($AR92&gt;=10000000,IFERROR(DATE(INT($AR92/10000),MOD(INT($AR92/100),100),MOD($AR92,100)),""),INT($AR92)),IFERROR(DATE(--LEFT(LEFT(SUBSTITUTE(SUBSTITUTE(SUBSTITUTE(SUBSTITUTE(TRIM($AR92),"-",""),".",""),"/","")," ",""),8),4),--MID(LEFT(SUBSTITUTE(SUBSTITUTE(SUBSTITUTE(SUBSTITUTE(TRIM($AR92),"-",""),".",""),"/","")," ",""),8),5,2),--MID(LEFT(SUBSTITUTE(SUBSTITUTE(SUBSTITUTE(SUBSTITUTE(TRIM($AR92),"-",""),".",""),"/","")," ",""),8),7,2)),"")))</f>
        <v/>
      </c>
      <c r="AT92" s="23">
        <f>IF($AS92="","",IF($F$6="",0,IF(ISNUMBER(INDEX($A:$AP,ROW(),$F$6)),INDEX($A:$AP,ROW(),$F$6),IFERROR(--SUBSTITUTE(SUBSTITUTE(TRIM(INDEX($A:$AP,ROW(),$F$6)),",",""),"원",""),0))))</f>
        <v/>
      </c>
      <c r="AU92" s="23">
        <f>IF($AS92="","",IF($G$6="",0,IF(ISNUMBER(INDEX($A:$AP,ROW(),$G$6)),INDEX($A:$AP,ROW(),$G$6),IFERROR(--SUBSTITUTE(SUBSTITUTE(TRIM(INDEX($A:$AP,ROW(),$G$6)),",",""),"원",""),0))))</f>
        <v/>
      </c>
      <c r="AV92" s="23">
        <f>IF($AS92="","",IF($H$6="",$AT92+$AU92,IF($H$6="",0,IF(ISNUMBER(INDEX($A:$AP,ROW(),$H$6)),INDEX($A:$AP,ROW(),$H$6),IFERROR(--SUBSTITUTE(SUBSTITUTE(TRIM(INDEX($A:$AP,ROW(),$H$6)),",",""),"원",""),0)))))</f>
        <v/>
      </c>
      <c r="AW92" s="2">
        <f>IF(OR($AS92="",$C$6=""),"",TRIM(INDEX($A:$AP,ROW(),$C$6)&amp;""))</f>
        <v/>
      </c>
      <c r="AX92" s="2">
        <f>IF($AS92="","",IF($AZ92&lt;&gt;"",SUBSTITUTE(SUBSTITUTE($AZ92,"-","")," ",""),$AY92))</f>
        <v/>
      </c>
      <c r="AY92" s="2">
        <f>IF(OR($AS92="",$E$6=""),"",TRIM(INDEX($A:$AP,ROW(),$E$6)&amp;""))</f>
        <v/>
      </c>
      <c r="AZ92" s="2">
        <f>IF(OR($AS92="",$D$6=""),"",TRIM(INDEX($A:$AP,ROW(),$D$6)&amp;""))</f>
        <v/>
      </c>
      <c r="BA92" s="2">
        <f>IF($AS92="","",IF(AND($AS92&gt;=설정!$B$10,$AS92&lt;=설정!$B$11),"포함","기간 밖"))</f>
        <v/>
      </c>
      <c r="BB92" s="2">
        <f>IF($AS92="","",IF(OR($AT92&lt;0,AND($I$6&lt;&gt;"",ISNUMBER(FIND("수정",INDEX($A:$AP,ROW(),IF($I$6="",1,$I$6))&amp;"")))),"수정","일반"))</f>
        <v/>
      </c>
      <c r="BC92" s="2">
        <f>IF($AS92="","",MID(IF($BA92="기간 밖"," / 기간 밖(신고기간 아님)","")&amp;IF(AND($AW92&lt;&gt;"",COUNTIF($AW$8:$AW$1007,$AW92)&gt;1)," / 승인번호 중복(두 번 붙여넣기?)","")&amp;IF(ABS($AU92-ROUND($AT92*0.1,0))&gt;설정!$B$8,IF($AU92=0," / 세액 0원(영세율·면세 여부 확인)"," / 세액이 공급가액 10%와 다름"),"")&amp;IF($BB92="수정"," / 수정세금계산서(합계에서 자동 가감)",""),4,200))</f>
        <v/>
      </c>
      <c r="BD92" s="2">
        <f>IF($BA92&lt;&gt;"포함","",IF(COUNTIFS($AX$8:$AX92,$AX92,$BA$8:$BA92,"포함")=1,MAX($BD$7:BD91)+1,""))</f>
        <v/>
      </c>
      <c r="BE92" s="2">
        <f>IF($BC92="","",MAX($BE$7:BE91)+1)</f>
        <v/>
      </c>
    </row>
    <row r="93">
      <c r="AR93" s="2">
        <f>IF(OR($A$5="",$B$6="",ROW()&lt;$A$5),"",IF(INDEX($A:$AP,ROW(),$B$6)="","",INDEX($A:$AP,ROW(),$B$6)))</f>
        <v/>
      </c>
      <c r="AS93" s="22">
        <f>IF($AR93="","",IF(ISNUMBER($AR93),IF($AR93&gt;=10000000,IFERROR(DATE(INT($AR93/10000),MOD(INT($AR93/100),100),MOD($AR93,100)),""),INT($AR93)),IFERROR(DATE(--LEFT(LEFT(SUBSTITUTE(SUBSTITUTE(SUBSTITUTE(SUBSTITUTE(TRIM($AR93),"-",""),".",""),"/","")," ",""),8),4),--MID(LEFT(SUBSTITUTE(SUBSTITUTE(SUBSTITUTE(SUBSTITUTE(TRIM($AR93),"-",""),".",""),"/","")," ",""),8),5,2),--MID(LEFT(SUBSTITUTE(SUBSTITUTE(SUBSTITUTE(SUBSTITUTE(TRIM($AR93),"-",""),".",""),"/","")," ",""),8),7,2)),"")))</f>
        <v/>
      </c>
      <c r="AT93" s="23">
        <f>IF($AS93="","",IF($F$6="",0,IF(ISNUMBER(INDEX($A:$AP,ROW(),$F$6)),INDEX($A:$AP,ROW(),$F$6),IFERROR(--SUBSTITUTE(SUBSTITUTE(TRIM(INDEX($A:$AP,ROW(),$F$6)),",",""),"원",""),0))))</f>
        <v/>
      </c>
      <c r="AU93" s="23">
        <f>IF($AS93="","",IF($G$6="",0,IF(ISNUMBER(INDEX($A:$AP,ROW(),$G$6)),INDEX($A:$AP,ROW(),$G$6),IFERROR(--SUBSTITUTE(SUBSTITUTE(TRIM(INDEX($A:$AP,ROW(),$G$6)),",",""),"원",""),0))))</f>
        <v/>
      </c>
      <c r="AV93" s="23">
        <f>IF($AS93="","",IF($H$6="",$AT93+$AU93,IF($H$6="",0,IF(ISNUMBER(INDEX($A:$AP,ROW(),$H$6)),INDEX($A:$AP,ROW(),$H$6),IFERROR(--SUBSTITUTE(SUBSTITUTE(TRIM(INDEX($A:$AP,ROW(),$H$6)),",",""),"원",""),0)))))</f>
        <v/>
      </c>
      <c r="AW93" s="2">
        <f>IF(OR($AS93="",$C$6=""),"",TRIM(INDEX($A:$AP,ROW(),$C$6)&amp;""))</f>
        <v/>
      </c>
      <c r="AX93" s="2">
        <f>IF($AS93="","",IF($AZ93&lt;&gt;"",SUBSTITUTE(SUBSTITUTE($AZ93,"-","")," ",""),$AY93))</f>
        <v/>
      </c>
      <c r="AY93" s="2">
        <f>IF(OR($AS93="",$E$6=""),"",TRIM(INDEX($A:$AP,ROW(),$E$6)&amp;""))</f>
        <v/>
      </c>
      <c r="AZ93" s="2">
        <f>IF(OR($AS93="",$D$6=""),"",TRIM(INDEX($A:$AP,ROW(),$D$6)&amp;""))</f>
        <v/>
      </c>
      <c r="BA93" s="2">
        <f>IF($AS93="","",IF(AND($AS93&gt;=설정!$B$10,$AS93&lt;=설정!$B$11),"포함","기간 밖"))</f>
        <v/>
      </c>
      <c r="BB93" s="2">
        <f>IF($AS93="","",IF(OR($AT93&lt;0,AND($I$6&lt;&gt;"",ISNUMBER(FIND("수정",INDEX($A:$AP,ROW(),IF($I$6="",1,$I$6))&amp;"")))),"수정","일반"))</f>
        <v/>
      </c>
      <c r="BC93" s="2">
        <f>IF($AS93="","",MID(IF($BA93="기간 밖"," / 기간 밖(신고기간 아님)","")&amp;IF(AND($AW93&lt;&gt;"",COUNTIF($AW$8:$AW$1007,$AW93)&gt;1)," / 승인번호 중복(두 번 붙여넣기?)","")&amp;IF(ABS($AU93-ROUND($AT93*0.1,0))&gt;설정!$B$8,IF($AU93=0," / 세액 0원(영세율·면세 여부 확인)"," / 세액이 공급가액 10%와 다름"),"")&amp;IF($BB93="수정"," / 수정세금계산서(합계에서 자동 가감)",""),4,200))</f>
        <v/>
      </c>
      <c r="BD93" s="2">
        <f>IF($BA93&lt;&gt;"포함","",IF(COUNTIFS($AX$8:$AX93,$AX93,$BA$8:$BA93,"포함")=1,MAX($BD$7:BD92)+1,""))</f>
        <v/>
      </c>
      <c r="BE93" s="2">
        <f>IF($BC93="","",MAX($BE$7:BE92)+1)</f>
        <v/>
      </c>
    </row>
    <row r="94">
      <c r="AR94" s="2">
        <f>IF(OR($A$5="",$B$6="",ROW()&lt;$A$5),"",IF(INDEX($A:$AP,ROW(),$B$6)="","",INDEX($A:$AP,ROW(),$B$6)))</f>
        <v/>
      </c>
      <c r="AS94" s="22">
        <f>IF($AR94="","",IF(ISNUMBER($AR94),IF($AR94&gt;=10000000,IFERROR(DATE(INT($AR94/10000),MOD(INT($AR94/100),100),MOD($AR94,100)),""),INT($AR94)),IFERROR(DATE(--LEFT(LEFT(SUBSTITUTE(SUBSTITUTE(SUBSTITUTE(SUBSTITUTE(TRIM($AR94),"-",""),".",""),"/","")," ",""),8),4),--MID(LEFT(SUBSTITUTE(SUBSTITUTE(SUBSTITUTE(SUBSTITUTE(TRIM($AR94),"-",""),".",""),"/","")," ",""),8),5,2),--MID(LEFT(SUBSTITUTE(SUBSTITUTE(SUBSTITUTE(SUBSTITUTE(TRIM($AR94),"-",""),".",""),"/","")," ",""),8),7,2)),"")))</f>
        <v/>
      </c>
      <c r="AT94" s="23">
        <f>IF($AS94="","",IF($F$6="",0,IF(ISNUMBER(INDEX($A:$AP,ROW(),$F$6)),INDEX($A:$AP,ROW(),$F$6),IFERROR(--SUBSTITUTE(SUBSTITUTE(TRIM(INDEX($A:$AP,ROW(),$F$6)),",",""),"원",""),0))))</f>
        <v/>
      </c>
      <c r="AU94" s="23">
        <f>IF($AS94="","",IF($G$6="",0,IF(ISNUMBER(INDEX($A:$AP,ROW(),$G$6)),INDEX($A:$AP,ROW(),$G$6),IFERROR(--SUBSTITUTE(SUBSTITUTE(TRIM(INDEX($A:$AP,ROW(),$G$6)),",",""),"원",""),0))))</f>
        <v/>
      </c>
      <c r="AV94" s="23">
        <f>IF($AS94="","",IF($H$6="",$AT94+$AU94,IF($H$6="",0,IF(ISNUMBER(INDEX($A:$AP,ROW(),$H$6)),INDEX($A:$AP,ROW(),$H$6),IFERROR(--SUBSTITUTE(SUBSTITUTE(TRIM(INDEX($A:$AP,ROW(),$H$6)),",",""),"원",""),0)))))</f>
        <v/>
      </c>
      <c r="AW94" s="2">
        <f>IF(OR($AS94="",$C$6=""),"",TRIM(INDEX($A:$AP,ROW(),$C$6)&amp;""))</f>
        <v/>
      </c>
      <c r="AX94" s="2">
        <f>IF($AS94="","",IF($AZ94&lt;&gt;"",SUBSTITUTE(SUBSTITUTE($AZ94,"-","")," ",""),$AY94))</f>
        <v/>
      </c>
      <c r="AY94" s="2">
        <f>IF(OR($AS94="",$E$6=""),"",TRIM(INDEX($A:$AP,ROW(),$E$6)&amp;""))</f>
        <v/>
      </c>
      <c r="AZ94" s="2">
        <f>IF(OR($AS94="",$D$6=""),"",TRIM(INDEX($A:$AP,ROW(),$D$6)&amp;""))</f>
        <v/>
      </c>
      <c r="BA94" s="2">
        <f>IF($AS94="","",IF(AND($AS94&gt;=설정!$B$10,$AS94&lt;=설정!$B$11),"포함","기간 밖"))</f>
        <v/>
      </c>
      <c r="BB94" s="2">
        <f>IF($AS94="","",IF(OR($AT94&lt;0,AND($I$6&lt;&gt;"",ISNUMBER(FIND("수정",INDEX($A:$AP,ROW(),IF($I$6="",1,$I$6))&amp;"")))),"수정","일반"))</f>
        <v/>
      </c>
      <c r="BC94" s="2">
        <f>IF($AS94="","",MID(IF($BA94="기간 밖"," / 기간 밖(신고기간 아님)","")&amp;IF(AND($AW94&lt;&gt;"",COUNTIF($AW$8:$AW$1007,$AW94)&gt;1)," / 승인번호 중복(두 번 붙여넣기?)","")&amp;IF(ABS($AU94-ROUND($AT94*0.1,0))&gt;설정!$B$8,IF($AU94=0," / 세액 0원(영세율·면세 여부 확인)"," / 세액이 공급가액 10%와 다름"),"")&amp;IF($BB94="수정"," / 수정세금계산서(합계에서 자동 가감)",""),4,200))</f>
        <v/>
      </c>
      <c r="BD94" s="2">
        <f>IF($BA94&lt;&gt;"포함","",IF(COUNTIFS($AX$8:$AX94,$AX94,$BA$8:$BA94,"포함")=1,MAX($BD$7:BD93)+1,""))</f>
        <v/>
      </c>
      <c r="BE94" s="2">
        <f>IF($BC94="","",MAX($BE$7:BE93)+1)</f>
        <v/>
      </c>
    </row>
    <row r="95">
      <c r="AR95" s="2">
        <f>IF(OR($A$5="",$B$6="",ROW()&lt;$A$5),"",IF(INDEX($A:$AP,ROW(),$B$6)="","",INDEX($A:$AP,ROW(),$B$6)))</f>
        <v/>
      </c>
      <c r="AS95" s="22">
        <f>IF($AR95="","",IF(ISNUMBER($AR95),IF($AR95&gt;=10000000,IFERROR(DATE(INT($AR95/10000),MOD(INT($AR95/100),100),MOD($AR95,100)),""),INT($AR95)),IFERROR(DATE(--LEFT(LEFT(SUBSTITUTE(SUBSTITUTE(SUBSTITUTE(SUBSTITUTE(TRIM($AR95),"-",""),".",""),"/","")," ",""),8),4),--MID(LEFT(SUBSTITUTE(SUBSTITUTE(SUBSTITUTE(SUBSTITUTE(TRIM($AR95),"-",""),".",""),"/","")," ",""),8),5,2),--MID(LEFT(SUBSTITUTE(SUBSTITUTE(SUBSTITUTE(SUBSTITUTE(TRIM($AR95),"-",""),".",""),"/","")," ",""),8),7,2)),"")))</f>
        <v/>
      </c>
      <c r="AT95" s="23">
        <f>IF($AS95="","",IF($F$6="",0,IF(ISNUMBER(INDEX($A:$AP,ROW(),$F$6)),INDEX($A:$AP,ROW(),$F$6),IFERROR(--SUBSTITUTE(SUBSTITUTE(TRIM(INDEX($A:$AP,ROW(),$F$6)),",",""),"원",""),0))))</f>
        <v/>
      </c>
      <c r="AU95" s="23">
        <f>IF($AS95="","",IF($G$6="",0,IF(ISNUMBER(INDEX($A:$AP,ROW(),$G$6)),INDEX($A:$AP,ROW(),$G$6),IFERROR(--SUBSTITUTE(SUBSTITUTE(TRIM(INDEX($A:$AP,ROW(),$G$6)),",",""),"원",""),0))))</f>
        <v/>
      </c>
      <c r="AV95" s="23">
        <f>IF($AS95="","",IF($H$6="",$AT95+$AU95,IF($H$6="",0,IF(ISNUMBER(INDEX($A:$AP,ROW(),$H$6)),INDEX($A:$AP,ROW(),$H$6),IFERROR(--SUBSTITUTE(SUBSTITUTE(TRIM(INDEX($A:$AP,ROW(),$H$6)),",",""),"원",""),0)))))</f>
        <v/>
      </c>
      <c r="AW95" s="2">
        <f>IF(OR($AS95="",$C$6=""),"",TRIM(INDEX($A:$AP,ROW(),$C$6)&amp;""))</f>
        <v/>
      </c>
      <c r="AX95" s="2">
        <f>IF($AS95="","",IF($AZ95&lt;&gt;"",SUBSTITUTE(SUBSTITUTE($AZ95,"-","")," ",""),$AY95))</f>
        <v/>
      </c>
      <c r="AY95" s="2">
        <f>IF(OR($AS95="",$E$6=""),"",TRIM(INDEX($A:$AP,ROW(),$E$6)&amp;""))</f>
        <v/>
      </c>
      <c r="AZ95" s="2">
        <f>IF(OR($AS95="",$D$6=""),"",TRIM(INDEX($A:$AP,ROW(),$D$6)&amp;""))</f>
        <v/>
      </c>
      <c r="BA95" s="2">
        <f>IF($AS95="","",IF(AND($AS95&gt;=설정!$B$10,$AS95&lt;=설정!$B$11),"포함","기간 밖"))</f>
        <v/>
      </c>
      <c r="BB95" s="2">
        <f>IF($AS95="","",IF(OR($AT95&lt;0,AND($I$6&lt;&gt;"",ISNUMBER(FIND("수정",INDEX($A:$AP,ROW(),IF($I$6="",1,$I$6))&amp;"")))),"수정","일반"))</f>
        <v/>
      </c>
      <c r="BC95" s="2">
        <f>IF($AS95="","",MID(IF($BA95="기간 밖"," / 기간 밖(신고기간 아님)","")&amp;IF(AND($AW95&lt;&gt;"",COUNTIF($AW$8:$AW$1007,$AW95)&gt;1)," / 승인번호 중복(두 번 붙여넣기?)","")&amp;IF(ABS($AU95-ROUND($AT95*0.1,0))&gt;설정!$B$8,IF($AU95=0," / 세액 0원(영세율·면세 여부 확인)"," / 세액이 공급가액 10%와 다름"),"")&amp;IF($BB95="수정"," / 수정세금계산서(합계에서 자동 가감)",""),4,200))</f>
        <v/>
      </c>
      <c r="BD95" s="2">
        <f>IF($BA95&lt;&gt;"포함","",IF(COUNTIFS($AX$8:$AX95,$AX95,$BA$8:$BA95,"포함")=1,MAX($BD$7:BD94)+1,""))</f>
        <v/>
      </c>
      <c r="BE95" s="2">
        <f>IF($BC95="","",MAX($BE$7:BE94)+1)</f>
        <v/>
      </c>
    </row>
    <row r="96">
      <c r="AR96" s="2">
        <f>IF(OR($A$5="",$B$6="",ROW()&lt;$A$5),"",IF(INDEX($A:$AP,ROW(),$B$6)="","",INDEX($A:$AP,ROW(),$B$6)))</f>
        <v/>
      </c>
      <c r="AS96" s="22">
        <f>IF($AR96="","",IF(ISNUMBER($AR96),IF($AR96&gt;=10000000,IFERROR(DATE(INT($AR96/10000),MOD(INT($AR96/100),100),MOD($AR96,100)),""),INT($AR96)),IFERROR(DATE(--LEFT(LEFT(SUBSTITUTE(SUBSTITUTE(SUBSTITUTE(SUBSTITUTE(TRIM($AR96),"-",""),".",""),"/","")," ",""),8),4),--MID(LEFT(SUBSTITUTE(SUBSTITUTE(SUBSTITUTE(SUBSTITUTE(TRIM($AR96),"-",""),".",""),"/","")," ",""),8),5,2),--MID(LEFT(SUBSTITUTE(SUBSTITUTE(SUBSTITUTE(SUBSTITUTE(TRIM($AR96),"-",""),".",""),"/","")," ",""),8),7,2)),"")))</f>
        <v/>
      </c>
      <c r="AT96" s="23">
        <f>IF($AS96="","",IF($F$6="",0,IF(ISNUMBER(INDEX($A:$AP,ROW(),$F$6)),INDEX($A:$AP,ROW(),$F$6),IFERROR(--SUBSTITUTE(SUBSTITUTE(TRIM(INDEX($A:$AP,ROW(),$F$6)),",",""),"원",""),0))))</f>
        <v/>
      </c>
      <c r="AU96" s="23">
        <f>IF($AS96="","",IF($G$6="",0,IF(ISNUMBER(INDEX($A:$AP,ROW(),$G$6)),INDEX($A:$AP,ROW(),$G$6),IFERROR(--SUBSTITUTE(SUBSTITUTE(TRIM(INDEX($A:$AP,ROW(),$G$6)),",",""),"원",""),0))))</f>
        <v/>
      </c>
      <c r="AV96" s="23">
        <f>IF($AS96="","",IF($H$6="",$AT96+$AU96,IF($H$6="",0,IF(ISNUMBER(INDEX($A:$AP,ROW(),$H$6)),INDEX($A:$AP,ROW(),$H$6),IFERROR(--SUBSTITUTE(SUBSTITUTE(TRIM(INDEX($A:$AP,ROW(),$H$6)),",",""),"원",""),0)))))</f>
        <v/>
      </c>
      <c r="AW96" s="2">
        <f>IF(OR($AS96="",$C$6=""),"",TRIM(INDEX($A:$AP,ROW(),$C$6)&amp;""))</f>
        <v/>
      </c>
      <c r="AX96" s="2">
        <f>IF($AS96="","",IF($AZ96&lt;&gt;"",SUBSTITUTE(SUBSTITUTE($AZ96,"-","")," ",""),$AY96))</f>
        <v/>
      </c>
      <c r="AY96" s="2">
        <f>IF(OR($AS96="",$E$6=""),"",TRIM(INDEX($A:$AP,ROW(),$E$6)&amp;""))</f>
        <v/>
      </c>
      <c r="AZ96" s="2">
        <f>IF(OR($AS96="",$D$6=""),"",TRIM(INDEX($A:$AP,ROW(),$D$6)&amp;""))</f>
        <v/>
      </c>
      <c r="BA96" s="2">
        <f>IF($AS96="","",IF(AND($AS96&gt;=설정!$B$10,$AS96&lt;=설정!$B$11),"포함","기간 밖"))</f>
        <v/>
      </c>
      <c r="BB96" s="2">
        <f>IF($AS96="","",IF(OR($AT96&lt;0,AND($I$6&lt;&gt;"",ISNUMBER(FIND("수정",INDEX($A:$AP,ROW(),IF($I$6="",1,$I$6))&amp;"")))),"수정","일반"))</f>
        <v/>
      </c>
      <c r="BC96" s="2">
        <f>IF($AS96="","",MID(IF($BA96="기간 밖"," / 기간 밖(신고기간 아님)","")&amp;IF(AND($AW96&lt;&gt;"",COUNTIF($AW$8:$AW$1007,$AW96)&gt;1)," / 승인번호 중복(두 번 붙여넣기?)","")&amp;IF(ABS($AU96-ROUND($AT96*0.1,0))&gt;설정!$B$8,IF($AU96=0," / 세액 0원(영세율·면세 여부 확인)"," / 세액이 공급가액 10%와 다름"),"")&amp;IF($BB96="수정"," / 수정세금계산서(합계에서 자동 가감)",""),4,200))</f>
        <v/>
      </c>
      <c r="BD96" s="2">
        <f>IF($BA96&lt;&gt;"포함","",IF(COUNTIFS($AX$8:$AX96,$AX96,$BA$8:$BA96,"포함")=1,MAX($BD$7:BD95)+1,""))</f>
        <v/>
      </c>
      <c r="BE96" s="2">
        <f>IF($BC96="","",MAX($BE$7:BE95)+1)</f>
        <v/>
      </c>
    </row>
    <row r="97">
      <c r="AR97" s="2">
        <f>IF(OR($A$5="",$B$6="",ROW()&lt;$A$5),"",IF(INDEX($A:$AP,ROW(),$B$6)="","",INDEX($A:$AP,ROW(),$B$6)))</f>
        <v/>
      </c>
      <c r="AS97" s="22">
        <f>IF($AR97="","",IF(ISNUMBER($AR97),IF($AR97&gt;=10000000,IFERROR(DATE(INT($AR97/10000),MOD(INT($AR97/100),100),MOD($AR97,100)),""),INT($AR97)),IFERROR(DATE(--LEFT(LEFT(SUBSTITUTE(SUBSTITUTE(SUBSTITUTE(SUBSTITUTE(TRIM($AR97),"-",""),".",""),"/","")," ",""),8),4),--MID(LEFT(SUBSTITUTE(SUBSTITUTE(SUBSTITUTE(SUBSTITUTE(TRIM($AR97),"-",""),".",""),"/","")," ",""),8),5,2),--MID(LEFT(SUBSTITUTE(SUBSTITUTE(SUBSTITUTE(SUBSTITUTE(TRIM($AR97),"-",""),".",""),"/","")," ",""),8),7,2)),"")))</f>
        <v/>
      </c>
      <c r="AT97" s="23">
        <f>IF($AS97="","",IF($F$6="",0,IF(ISNUMBER(INDEX($A:$AP,ROW(),$F$6)),INDEX($A:$AP,ROW(),$F$6),IFERROR(--SUBSTITUTE(SUBSTITUTE(TRIM(INDEX($A:$AP,ROW(),$F$6)),",",""),"원",""),0))))</f>
        <v/>
      </c>
      <c r="AU97" s="23">
        <f>IF($AS97="","",IF($G$6="",0,IF(ISNUMBER(INDEX($A:$AP,ROW(),$G$6)),INDEX($A:$AP,ROW(),$G$6),IFERROR(--SUBSTITUTE(SUBSTITUTE(TRIM(INDEX($A:$AP,ROW(),$G$6)),",",""),"원",""),0))))</f>
        <v/>
      </c>
      <c r="AV97" s="23">
        <f>IF($AS97="","",IF($H$6="",$AT97+$AU97,IF($H$6="",0,IF(ISNUMBER(INDEX($A:$AP,ROW(),$H$6)),INDEX($A:$AP,ROW(),$H$6),IFERROR(--SUBSTITUTE(SUBSTITUTE(TRIM(INDEX($A:$AP,ROW(),$H$6)),",",""),"원",""),0)))))</f>
        <v/>
      </c>
      <c r="AW97" s="2">
        <f>IF(OR($AS97="",$C$6=""),"",TRIM(INDEX($A:$AP,ROW(),$C$6)&amp;""))</f>
        <v/>
      </c>
      <c r="AX97" s="2">
        <f>IF($AS97="","",IF($AZ97&lt;&gt;"",SUBSTITUTE(SUBSTITUTE($AZ97,"-","")," ",""),$AY97))</f>
        <v/>
      </c>
      <c r="AY97" s="2">
        <f>IF(OR($AS97="",$E$6=""),"",TRIM(INDEX($A:$AP,ROW(),$E$6)&amp;""))</f>
        <v/>
      </c>
      <c r="AZ97" s="2">
        <f>IF(OR($AS97="",$D$6=""),"",TRIM(INDEX($A:$AP,ROW(),$D$6)&amp;""))</f>
        <v/>
      </c>
      <c r="BA97" s="2">
        <f>IF($AS97="","",IF(AND($AS97&gt;=설정!$B$10,$AS97&lt;=설정!$B$11),"포함","기간 밖"))</f>
        <v/>
      </c>
      <c r="BB97" s="2">
        <f>IF($AS97="","",IF(OR($AT97&lt;0,AND($I$6&lt;&gt;"",ISNUMBER(FIND("수정",INDEX($A:$AP,ROW(),IF($I$6="",1,$I$6))&amp;"")))),"수정","일반"))</f>
        <v/>
      </c>
      <c r="BC97" s="2">
        <f>IF($AS97="","",MID(IF($BA97="기간 밖"," / 기간 밖(신고기간 아님)","")&amp;IF(AND($AW97&lt;&gt;"",COUNTIF($AW$8:$AW$1007,$AW97)&gt;1)," / 승인번호 중복(두 번 붙여넣기?)","")&amp;IF(ABS($AU97-ROUND($AT97*0.1,0))&gt;설정!$B$8,IF($AU97=0," / 세액 0원(영세율·면세 여부 확인)"," / 세액이 공급가액 10%와 다름"),"")&amp;IF($BB97="수정"," / 수정세금계산서(합계에서 자동 가감)",""),4,200))</f>
        <v/>
      </c>
      <c r="BD97" s="2">
        <f>IF($BA97&lt;&gt;"포함","",IF(COUNTIFS($AX$8:$AX97,$AX97,$BA$8:$BA97,"포함")=1,MAX($BD$7:BD96)+1,""))</f>
        <v/>
      </c>
      <c r="BE97" s="2">
        <f>IF($BC97="","",MAX($BE$7:BE96)+1)</f>
        <v/>
      </c>
    </row>
    <row r="98">
      <c r="AR98" s="2">
        <f>IF(OR($A$5="",$B$6="",ROW()&lt;$A$5),"",IF(INDEX($A:$AP,ROW(),$B$6)="","",INDEX($A:$AP,ROW(),$B$6)))</f>
        <v/>
      </c>
      <c r="AS98" s="22">
        <f>IF($AR98="","",IF(ISNUMBER($AR98),IF($AR98&gt;=10000000,IFERROR(DATE(INT($AR98/10000),MOD(INT($AR98/100),100),MOD($AR98,100)),""),INT($AR98)),IFERROR(DATE(--LEFT(LEFT(SUBSTITUTE(SUBSTITUTE(SUBSTITUTE(SUBSTITUTE(TRIM($AR98),"-",""),".",""),"/","")," ",""),8),4),--MID(LEFT(SUBSTITUTE(SUBSTITUTE(SUBSTITUTE(SUBSTITUTE(TRIM($AR98),"-",""),".",""),"/","")," ",""),8),5,2),--MID(LEFT(SUBSTITUTE(SUBSTITUTE(SUBSTITUTE(SUBSTITUTE(TRIM($AR98),"-",""),".",""),"/","")," ",""),8),7,2)),"")))</f>
        <v/>
      </c>
      <c r="AT98" s="23">
        <f>IF($AS98="","",IF($F$6="",0,IF(ISNUMBER(INDEX($A:$AP,ROW(),$F$6)),INDEX($A:$AP,ROW(),$F$6),IFERROR(--SUBSTITUTE(SUBSTITUTE(TRIM(INDEX($A:$AP,ROW(),$F$6)),",",""),"원",""),0))))</f>
        <v/>
      </c>
      <c r="AU98" s="23">
        <f>IF($AS98="","",IF($G$6="",0,IF(ISNUMBER(INDEX($A:$AP,ROW(),$G$6)),INDEX($A:$AP,ROW(),$G$6),IFERROR(--SUBSTITUTE(SUBSTITUTE(TRIM(INDEX($A:$AP,ROW(),$G$6)),",",""),"원",""),0))))</f>
        <v/>
      </c>
      <c r="AV98" s="23">
        <f>IF($AS98="","",IF($H$6="",$AT98+$AU98,IF($H$6="",0,IF(ISNUMBER(INDEX($A:$AP,ROW(),$H$6)),INDEX($A:$AP,ROW(),$H$6),IFERROR(--SUBSTITUTE(SUBSTITUTE(TRIM(INDEX($A:$AP,ROW(),$H$6)),",",""),"원",""),0)))))</f>
        <v/>
      </c>
      <c r="AW98" s="2">
        <f>IF(OR($AS98="",$C$6=""),"",TRIM(INDEX($A:$AP,ROW(),$C$6)&amp;""))</f>
        <v/>
      </c>
      <c r="AX98" s="2">
        <f>IF($AS98="","",IF($AZ98&lt;&gt;"",SUBSTITUTE(SUBSTITUTE($AZ98,"-","")," ",""),$AY98))</f>
        <v/>
      </c>
      <c r="AY98" s="2">
        <f>IF(OR($AS98="",$E$6=""),"",TRIM(INDEX($A:$AP,ROW(),$E$6)&amp;""))</f>
        <v/>
      </c>
      <c r="AZ98" s="2">
        <f>IF(OR($AS98="",$D$6=""),"",TRIM(INDEX($A:$AP,ROW(),$D$6)&amp;""))</f>
        <v/>
      </c>
      <c r="BA98" s="2">
        <f>IF($AS98="","",IF(AND($AS98&gt;=설정!$B$10,$AS98&lt;=설정!$B$11),"포함","기간 밖"))</f>
        <v/>
      </c>
      <c r="BB98" s="2">
        <f>IF($AS98="","",IF(OR($AT98&lt;0,AND($I$6&lt;&gt;"",ISNUMBER(FIND("수정",INDEX($A:$AP,ROW(),IF($I$6="",1,$I$6))&amp;"")))),"수정","일반"))</f>
        <v/>
      </c>
      <c r="BC98" s="2">
        <f>IF($AS98="","",MID(IF($BA98="기간 밖"," / 기간 밖(신고기간 아님)","")&amp;IF(AND($AW98&lt;&gt;"",COUNTIF($AW$8:$AW$1007,$AW98)&gt;1)," / 승인번호 중복(두 번 붙여넣기?)","")&amp;IF(ABS($AU98-ROUND($AT98*0.1,0))&gt;설정!$B$8,IF($AU98=0," / 세액 0원(영세율·면세 여부 확인)"," / 세액이 공급가액 10%와 다름"),"")&amp;IF($BB98="수정"," / 수정세금계산서(합계에서 자동 가감)",""),4,200))</f>
        <v/>
      </c>
      <c r="BD98" s="2">
        <f>IF($BA98&lt;&gt;"포함","",IF(COUNTIFS($AX$8:$AX98,$AX98,$BA$8:$BA98,"포함")=1,MAX($BD$7:BD97)+1,""))</f>
        <v/>
      </c>
      <c r="BE98" s="2">
        <f>IF($BC98="","",MAX($BE$7:BE97)+1)</f>
        <v/>
      </c>
    </row>
    <row r="99">
      <c r="AR99" s="2">
        <f>IF(OR($A$5="",$B$6="",ROW()&lt;$A$5),"",IF(INDEX($A:$AP,ROW(),$B$6)="","",INDEX($A:$AP,ROW(),$B$6)))</f>
        <v/>
      </c>
      <c r="AS99" s="22">
        <f>IF($AR99="","",IF(ISNUMBER($AR99),IF($AR99&gt;=10000000,IFERROR(DATE(INT($AR99/10000),MOD(INT($AR99/100),100),MOD($AR99,100)),""),INT($AR99)),IFERROR(DATE(--LEFT(LEFT(SUBSTITUTE(SUBSTITUTE(SUBSTITUTE(SUBSTITUTE(TRIM($AR99),"-",""),".",""),"/","")," ",""),8),4),--MID(LEFT(SUBSTITUTE(SUBSTITUTE(SUBSTITUTE(SUBSTITUTE(TRIM($AR99),"-",""),".",""),"/","")," ",""),8),5,2),--MID(LEFT(SUBSTITUTE(SUBSTITUTE(SUBSTITUTE(SUBSTITUTE(TRIM($AR99),"-",""),".",""),"/","")," ",""),8),7,2)),"")))</f>
        <v/>
      </c>
      <c r="AT99" s="23">
        <f>IF($AS99="","",IF($F$6="",0,IF(ISNUMBER(INDEX($A:$AP,ROW(),$F$6)),INDEX($A:$AP,ROW(),$F$6),IFERROR(--SUBSTITUTE(SUBSTITUTE(TRIM(INDEX($A:$AP,ROW(),$F$6)),",",""),"원",""),0))))</f>
        <v/>
      </c>
      <c r="AU99" s="23">
        <f>IF($AS99="","",IF($G$6="",0,IF(ISNUMBER(INDEX($A:$AP,ROW(),$G$6)),INDEX($A:$AP,ROW(),$G$6),IFERROR(--SUBSTITUTE(SUBSTITUTE(TRIM(INDEX($A:$AP,ROW(),$G$6)),",",""),"원",""),0))))</f>
        <v/>
      </c>
      <c r="AV99" s="23">
        <f>IF($AS99="","",IF($H$6="",$AT99+$AU99,IF($H$6="",0,IF(ISNUMBER(INDEX($A:$AP,ROW(),$H$6)),INDEX($A:$AP,ROW(),$H$6),IFERROR(--SUBSTITUTE(SUBSTITUTE(TRIM(INDEX($A:$AP,ROW(),$H$6)),",",""),"원",""),0)))))</f>
        <v/>
      </c>
      <c r="AW99" s="2">
        <f>IF(OR($AS99="",$C$6=""),"",TRIM(INDEX($A:$AP,ROW(),$C$6)&amp;""))</f>
        <v/>
      </c>
      <c r="AX99" s="2">
        <f>IF($AS99="","",IF($AZ99&lt;&gt;"",SUBSTITUTE(SUBSTITUTE($AZ99,"-","")," ",""),$AY99))</f>
        <v/>
      </c>
      <c r="AY99" s="2">
        <f>IF(OR($AS99="",$E$6=""),"",TRIM(INDEX($A:$AP,ROW(),$E$6)&amp;""))</f>
        <v/>
      </c>
      <c r="AZ99" s="2">
        <f>IF(OR($AS99="",$D$6=""),"",TRIM(INDEX($A:$AP,ROW(),$D$6)&amp;""))</f>
        <v/>
      </c>
      <c r="BA99" s="2">
        <f>IF($AS99="","",IF(AND($AS99&gt;=설정!$B$10,$AS99&lt;=설정!$B$11),"포함","기간 밖"))</f>
        <v/>
      </c>
      <c r="BB99" s="2">
        <f>IF($AS99="","",IF(OR($AT99&lt;0,AND($I$6&lt;&gt;"",ISNUMBER(FIND("수정",INDEX($A:$AP,ROW(),IF($I$6="",1,$I$6))&amp;"")))),"수정","일반"))</f>
        <v/>
      </c>
      <c r="BC99" s="2">
        <f>IF($AS99="","",MID(IF($BA99="기간 밖"," / 기간 밖(신고기간 아님)","")&amp;IF(AND($AW99&lt;&gt;"",COUNTIF($AW$8:$AW$1007,$AW99)&gt;1)," / 승인번호 중복(두 번 붙여넣기?)","")&amp;IF(ABS($AU99-ROUND($AT99*0.1,0))&gt;설정!$B$8,IF($AU99=0," / 세액 0원(영세율·면세 여부 확인)"," / 세액이 공급가액 10%와 다름"),"")&amp;IF($BB99="수정"," / 수정세금계산서(합계에서 자동 가감)",""),4,200))</f>
        <v/>
      </c>
      <c r="BD99" s="2">
        <f>IF($BA99&lt;&gt;"포함","",IF(COUNTIFS($AX$8:$AX99,$AX99,$BA$8:$BA99,"포함")=1,MAX($BD$7:BD98)+1,""))</f>
        <v/>
      </c>
      <c r="BE99" s="2">
        <f>IF($BC99="","",MAX($BE$7:BE98)+1)</f>
        <v/>
      </c>
    </row>
    <row r="100">
      <c r="AR100" s="2">
        <f>IF(OR($A$5="",$B$6="",ROW()&lt;$A$5),"",IF(INDEX($A:$AP,ROW(),$B$6)="","",INDEX($A:$AP,ROW(),$B$6)))</f>
        <v/>
      </c>
      <c r="AS100" s="22">
        <f>IF($AR100="","",IF(ISNUMBER($AR100),IF($AR100&gt;=10000000,IFERROR(DATE(INT($AR100/10000),MOD(INT($AR100/100),100),MOD($AR100,100)),""),INT($AR100)),IFERROR(DATE(--LEFT(LEFT(SUBSTITUTE(SUBSTITUTE(SUBSTITUTE(SUBSTITUTE(TRIM($AR100),"-",""),".",""),"/","")," ",""),8),4),--MID(LEFT(SUBSTITUTE(SUBSTITUTE(SUBSTITUTE(SUBSTITUTE(TRIM($AR100),"-",""),".",""),"/","")," ",""),8),5,2),--MID(LEFT(SUBSTITUTE(SUBSTITUTE(SUBSTITUTE(SUBSTITUTE(TRIM($AR100),"-",""),".",""),"/","")," ",""),8),7,2)),"")))</f>
        <v/>
      </c>
      <c r="AT100" s="23">
        <f>IF($AS100="","",IF($F$6="",0,IF(ISNUMBER(INDEX($A:$AP,ROW(),$F$6)),INDEX($A:$AP,ROW(),$F$6),IFERROR(--SUBSTITUTE(SUBSTITUTE(TRIM(INDEX($A:$AP,ROW(),$F$6)),",",""),"원",""),0))))</f>
        <v/>
      </c>
      <c r="AU100" s="23">
        <f>IF($AS100="","",IF($G$6="",0,IF(ISNUMBER(INDEX($A:$AP,ROW(),$G$6)),INDEX($A:$AP,ROW(),$G$6),IFERROR(--SUBSTITUTE(SUBSTITUTE(TRIM(INDEX($A:$AP,ROW(),$G$6)),",",""),"원",""),0))))</f>
        <v/>
      </c>
      <c r="AV100" s="23">
        <f>IF($AS100="","",IF($H$6="",$AT100+$AU100,IF($H$6="",0,IF(ISNUMBER(INDEX($A:$AP,ROW(),$H$6)),INDEX($A:$AP,ROW(),$H$6),IFERROR(--SUBSTITUTE(SUBSTITUTE(TRIM(INDEX($A:$AP,ROW(),$H$6)),",",""),"원",""),0)))))</f>
        <v/>
      </c>
      <c r="AW100" s="2">
        <f>IF(OR($AS100="",$C$6=""),"",TRIM(INDEX($A:$AP,ROW(),$C$6)&amp;""))</f>
        <v/>
      </c>
      <c r="AX100" s="2">
        <f>IF($AS100="","",IF($AZ100&lt;&gt;"",SUBSTITUTE(SUBSTITUTE($AZ100,"-","")," ",""),$AY100))</f>
        <v/>
      </c>
      <c r="AY100" s="2">
        <f>IF(OR($AS100="",$E$6=""),"",TRIM(INDEX($A:$AP,ROW(),$E$6)&amp;""))</f>
        <v/>
      </c>
      <c r="AZ100" s="2">
        <f>IF(OR($AS100="",$D$6=""),"",TRIM(INDEX($A:$AP,ROW(),$D$6)&amp;""))</f>
        <v/>
      </c>
      <c r="BA100" s="2">
        <f>IF($AS100="","",IF(AND($AS100&gt;=설정!$B$10,$AS100&lt;=설정!$B$11),"포함","기간 밖"))</f>
        <v/>
      </c>
      <c r="BB100" s="2">
        <f>IF($AS100="","",IF(OR($AT100&lt;0,AND($I$6&lt;&gt;"",ISNUMBER(FIND("수정",INDEX($A:$AP,ROW(),IF($I$6="",1,$I$6))&amp;"")))),"수정","일반"))</f>
        <v/>
      </c>
      <c r="BC100" s="2">
        <f>IF($AS100="","",MID(IF($BA100="기간 밖"," / 기간 밖(신고기간 아님)","")&amp;IF(AND($AW100&lt;&gt;"",COUNTIF($AW$8:$AW$1007,$AW100)&gt;1)," / 승인번호 중복(두 번 붙여넣기?)","")&amp;IF(ABS($AU100-ROUND($AT100*0.1,0))&gt;설정!$B$8,IF($AU100=0," / 세액 0원(영세율·면세 여부 확인)"," / 세액이 공급가액 10%와 다름"),"")&amp;IF($BB100="수정"," / 수정세금계산서(합계에서 자동 가감)",""),4,200))</f>
        <v/>
      </c>
      <c r="BD100" s="2">
        <f>IF($BA100&lt;&gt;"포함","",IF(COUNTIFS($AX$8:$AX100,$AX100,$BA$8:$BA100,"포함")=1,MAX($BD$7:BD99)+1,""))</f>
        <v/>
      </c>
      <c r="BE100" s="2">
        <f>IF($BC100="","",MAX($BE$7:BE99)+1)</f>
        <v/>
      </c>
    </row>
    <row r="101">
      <c r="AR101" s="2">
        <f>IF(OR($A$5="",$B$6="",ROW()&lt;$A$5),"",IF(INDEX($A:$AP,ROW(),$B$6)="","",INDEX($A:$AP,ROW(),$B$6)))</f>
        <v/>
      </c>
      <c r="AS101" s="22">
        <f>IF($AR101="","",IF(ISNUMBER($AR101),IF($AR101&gt;=10000000,IFERROR(DATE(INT($AR101/10000),MOD(INT($AR101/100),100),MOD($AR101,100)),""),INT($AR101)),IFERROR(DATE(--LEFT(LEFT(SUBSTITUTE(SUBSTITUTE(SUBSTITUTE(SUBSTITUTE(TRIM($AR101),"-",""),".",""),"/","")," ",""),8),4),--MID(LEFT(SUBSTITUTE(SUBSTITUTE(SUBSTITUTE(SUBSTITUTE(TRIM($AR101),"-",""),".",""),"/","")," ",""),8),5,2),--MID(LEFT(SUBSTITUTE(SUBSTITUTE(SUBSTITUTE(SUBSTITUTE(TRIM($AR101),"-",""),".",""),"/","")," ",""),8),7,2)),"")))</f>
        <v/>
      </c>
      <c r="AT101" s="23">
        <f>IF($AS101="","",IF($F$6="",0,IF(ISNUMBER(INDEX($A:$AP,ROW(),$F$6)),INDEX($A:$AP,ROW(),$F$6),IFERROR(--SUBSTITUTE(SUBSTITUTE(TRIM(INDEX($A:$AP,ROW(),$F$6)),",",""),"원",""),0))))</f>
        <v/>
      </c>
      <c r="AU101" s="23">
        <f>IF($AS101="","",IF($G$6="",0,IF(ISNUMBER(INDEX($A:$AP,ROW(),$G$6)),INDEX($A:$AP,ROW(),$G$6),IFERROR(--SUBSTITUTE(SUBSTITUTE(TRIM(INDEX($A:$AP,ROW(),$G$6)),",",""),"원",""),0))))</f>
        <v/>
      </c>
      <c r="AV101" s="23">
        <f>IF($AS101="","",IF($H$6="",$AT101+$AU101,IF($H$6="",0,IF(ISNUMBER(INDEX($A:$AP,ROW(),$H$6)),INDEX($A:$AP,ROW(),$H$6),IFERROR(--SUBSTITUTE(SUBSTITUTE(TRIM(INDEX($A:$AP,ROW(),$H$6)),",",""),"원",""),0)))))</f>
        <v/>
      </c>
      <c r="AW101" s="2">
        <f>IF(OR($AS101="",$C$6=""),"",TRIM(INDEX($A:$AP,ROW(),$C$6)&amp;""))</f>
        <v/>
      </c>
      <c r="AX101" s="2">
        <f>IF($AS101="","",IF($AZ101&lt;&gt;"",SUBSTITUTE(SUBSTITUTE($AZ101,"-","")," ",""),$AY101))</f>
        <v/>
      </c>
      <c r="AY101" s="2">
        <f>IF(OR($AS101="",$E$6=""),"",TRIM(INDEX($A:$AP,ROW(),$E$6)&amp;""))</f>
        <v/>
      </c>
      <c r="AZ101" s="2">
        <f>IF(OR($AS101="",$D$6=""),"",TRIM(INDEX($A:$AP,ROW(),$D$6)&amp;""))</f>
        <v/>
      </c>
      <c r="BA101" s="2">
        <f>IF($AS101="","",IF(AND($AS101&gt;=설정!$B$10,$AS101&lt;=설정!$B$11),"포함","기간 밖"))</f>
        <v/>
      </c>
      <c r="BB101" s="2">
        <f>IF($AS101="","",IF(OR($AT101&lt;0,AND($I$6&lt;&gt;"",ISNUMBER(FIND("수정",INDEX($A:$AP,ROW(),IF($I$6="",1,$I$6))&amp;"")))),"수정","일반"))</f>
        <v/>
      </c>
      <c r="BC101" s="2">
        <f>IF($AS101="","",MID(IF($BA101="기간 밖"," / 기간 밖(신고기간 아님)","")&amp;IF(AND($AW101&lt;&gt;"",COUNTIF($AW$8:$AW$1007,$AW101)&gt;1)," / 승인번호 중복(두 번 붙여넣기?)","")&amp;IF(ABS($AU101-ROUND($AT101*0.1,0))&gt;설정!$B$8,IF($AU101=0," / 세액 0원(영세율·면세 여부 확인)"," / 세액이 공급가액 10%와 다름"),"")&amp;IF($BB101="수정"," / 수정세금계산서(합계에서 자동 가감)",""),4,200))</f>
        <v/>
      </c>
      <c r="BD101" s="2">
        <f>IF($BA101&lt;&gt;"포함","",IF(COUNTIFS($AX$8:$AX101,$AX101,$BA$8:$BA101,"포함")=1,MAX($BD$7:BD100)+1,""))</f>
        <v/>
      </c>
      <c r="BE101" s="2">
        <f>IF($BC101="","",MAX($BE$7:BE100)+1)</f>
        <v/>
      </c>
    </row>
    <row r="102">
      <c r="AR102" s="2">
        <f>IF(OR($A$5="",$B$6="",ROW()&lt;$A$5),"",IF(INDEX($A:$AP,ROW(),$B$6)="","",INDEX($A:$AP,ROW(),$B$6)))</f>
        <v/>
      </c>
      <c r="AS102" s="22">
        <f>IF($AR102="","",IF(ISNUMBER($AR102),IF($AR102&gt;=10000000,IFERROR(DATE(INT($AR102/10000),MOD(INT($AR102/100),100),MOD($AR102,100)),""),INT($AR102)),IFERROR(DATE(--LEFT(LEFT(SUBSTITUTE(SUBSTITUTE(SUBSTITUTE(SUBSTITUTE(TRIM($AR102),"-",""),".",""),"/","")," ",""),8),4),--MID(LEFT(SUBSTITUTE(SUBSTITUTE(SUBSTITUTE(SUBSTITUTE(TRIM($AR102),"-",""),".",""),"/","")," ",""),8),5,2),--MID(LEFT(SUBSTITUTE(SUBSTITUTE(SUBSTITUTE(SUBSTITUTE(TRIM($AR102),"-",""),".",""),"/","")," ",""),8),7,2)),"")))</f>
        <v/>
      </c>
      <c r="AT102" s="23">
        <f>IF($AS102="","",IF($F$6="",0,IF(ISNUMBER(INDEX($A:$AP,ROW(),$F$6)),INDEX($A:$AP,ROW(),$F$6),IFERROR(--SUBSTITUTE(SUBSTITUTE(TRIM(INDEX($A:$AP,ROW(),$F$6)),",",""),"원",""),0))))</f>
        <v/>
      </c>
      <c r="AU102" s="23">
        <f>IF($AS102="","",IF($G$6="",0,IF(ISNUMBER(INDEX($A:$AP,ROW(),$G$6)),INDEX($A:$AP,ROW(),$G$6),IFERROR(--SUBSTITUTE(SUBSTITUTE(TRIM(INDEX($A:$AP,ROW(),$G$6)),",",""),"원",""),0))))</f>
        <v/>
      </c>
      <c r="AV102" s="23">
        <f>IF($AS102="","",IF($H$6="",$AT102+$AU102,IF($H$6="",0,IF(ISNUMBER(INDEX($A:$AP,ROW(),$H$6)),INDEX($A:$AP,ROW(),$H$6),IFERROR(--SUBSTITUTE(SUBSTITUTE(TRIM(INDEX($A:$AP,ROW(),$H$6)),",",""),"원",""),0)))))</f>
        <v/>
      </c>
      <c r="AW102" s="2">
        <f>IF(OR($AS102="",$C$6=""),"",TRIM(INDEX($A:$AP,ROW(),$C$6)&amp;""))</f>
        <v/>
      </c>
      <c r="AX102" s="2">
        <f>IF($AS102="","",IF($AZ102&lt;&gt;"",SUBSTITUTE(SUBSTITUTE($AZ102,"-","")," ",""),$AY102))</f>
        <v/>
      </c>
      <c r="AY102" s="2">
        <f>IF(OR($AS102="",$E$6=""),"",TRIM(INDEX($A:$AP,ROW(),$E$6)&amp;""))</f>
        <v/>
      </c>
      <c r="AZ102" s="2">
        <f>IF(OR($AS102="",$D$6=""),"",TRIM(INDEX($A:$AP,ROW(),$D$6)&amp;""))</f>
        <v/>
      </c>
      <c r="BA102" s="2">
        <f>IF($AS102="","",IF(AND($AS102&gt;=설정!$B$10,$AS102&lt;=설정!$B$11),"포함","기간 밖"))</f>
        <v/>
      </c>
      <c r="BB102" s="2">
        <f>IF($AS102="","",IF(OR($AT102&lt;0,AND($I$6&lt;&gt;"",ISNUMBER(FIND("수정",INDEX($A:$AP,ROW(),IF($I$6="",1,$I$6))&amp;"")))),"수정","일반"))</f>
        <v/>
      </c>
      <c r="BC102" s="2">
        <f>IF($AS102="","",MID(IF($BA102="기간 밖"," / 기간 밖(신고기간 아님)","")&amp;IF(AND($AW102&lt;&gt;"",COUNTIF($AW$8:$AW$1007,$AW102)&gt;1)," / 승인번호 중복(두 번 붙여넣기?)","")&amp;IF(ABS($AU102-ROUND($AT102*0.1,0))&gt;설정!$B$8,IF($AU102=0," / 세액 0원(영세율·면세 여부 확인)"," / 세액이 공급가액 10%와 다름"),"")&amp;IF($BB102="수정"," / 수정세금계산서(합계에서 자동 가감)",""),4,200))</f>
        <v/>
      </c>
      <c r="BD102" s="2">
        <f>IF($BA102&lt;&gt;"포함","",IF(COUNTIFS($AX$8:$AX102,$AX102,$BA$8:$BA102,"포함")=1,MAX($BD$7:BD101)+1,""))</f>
        <v/>
      </c>
      <c r="BE102" s="2">
        <f>IF($BC102="","",MAX($BE$7:BE101)+1)</f>
        <v/>
      </c>
    </row>
    <row r="103">
      <c r="AR103" s="2">
        <f>IF(OR($A$5="",$B$6="",ROW()&lt;$A$5),"",IF(INDEX($A:$AP,ROW(),$B$6)="","",INDEX($A:$AP,ROW(),$B$6)))</f>
        <v/>
      </c>
      <c r="AS103" s="22">
        <f>IF($AR103="","",IF(ISNUMBER($AR103),IF($AR103&gt;=10000000,IFERROR(DATE(INT($AR103/10000),MOD(INT($AR103/100),100),MOD($AR103,100)),""),INT($AR103)),IFERROR(DATE(--LEFT(LEFT(SUBSTITUTE(SUBSTITUTE(SUBSTITUTE(SUBSTITUTE(TRIM($AR103),"-",""),".",""),"/","")," ",""),8),4),--MID(LEFT(SUBSTITUTE(SUBSTITUTE(SUBSTITUTE(SUBSTITUTE(TRIM($AR103),"-",""),".",""),"/","")," ",""),8),5,2),--MID(LEFT(SUBSTITUTE(SUBSTITUTE(SUBSTITUTE(SUBSTITUTE(TRIM($AR103),"-",""),".",""),"/","")," ",""),8),7,2)),"")))</f>
        <v/>
      </c>
      <c r="AT103" s="23">
        <f>IF($AS103="","",IF($F$6="",0,IF(ISNUMBER(INDEX($A:$AP,ROW(),$F$6)),INDEX($A:$AP,ROW(),$F$6),IFERROR(--SUBSTITUTE(SUBSTITUTE(TRIM(INDEX($A:$AP,ROW(),$F$6)),",",""),"원",""),0))))</f>
        <v/>
      </c>
      <c r="AU103" s="23">
        <f>IF($AS103="","",IF($G$6="",0,IF(ISNUMBER(INDEX($A:$AP,ROW(),$G$6)),INDEX($A:$AP,ROW(),$G$6),IFERROR(--SUBSTITUTE(SUBSTITUTE(TRIM(INDEX($A:$AP,ROW(),$G$6)),",",""),"원",""),0))))</f>
        <v/>
      </c>
      <c r="AV103" s="23">
        <f>IF($AS103="","",IF($H$6="",$AT103+$AU103,IF($H$6="",0,IF(ISNUMBER(INDEX($A:$AP,ROW(),$H$6)),INDEX($A:$AP,ROW(),$H$6),IFERROR(--SUBSTITUTE(SUBSTITUTE(TRIM(INDEX($A:$AP,ROW(),$H$6)),",",""),"원",""),0)))))</f>
        <v/>
      </c>
      <c r="AW103" s="2">
        <f>IF(OR($AS103="",$C$6=""),"",TRIM(INDEX($A:$AP,ROW(),$C$6)&amp;""))</f>
        <v/>
      </c>
      <c r="AX103" s="2">
        <f>IF($AS103="","",IF($AZ103&lt;&gt;"",SUBSTITUTE(SUBSTITUTE($AZ103,"-","")," ",""),$AY103))</f>
        <v/>
      </c>
      <c r="AY103" s="2">
        <f>IF(OR($AS103="",$E$6=""),"",TRIM(INDEX($A:$AP,ROW(),$E$6)&amp;""))</f>
        <v/>
      </c>
      <c r="AZ103" s="2">
        <f>IF(OR($AS103="",$D$6=""),"",TRIM(INDEX($A:$AP,ROW(),$D$6)&amp;""))</f>
        <v/>
      </c>
      <c r="BA103" s="2">
        <f>IF($AS103="","",IF(AND($AS103&gt;=설정!$B$10,$AS103&lt;=설정!$B$11),"포함","기간 밖"))</f>
        <v/>
      </c>
      <c r="BB103" s="2">
        <f>IF($AS103="","",IF(OR($AT103&lt;0,AND($I$6&lt;&gt;"",ISNUMBER(FIND("수정",INDEX($A:$AP,ROW(),IF($I$6="",1,$I$6))&amp;"")))),"수정","일반"))</f>
        <v/>
      </c>
      <c r="BC103" s="2">
        <f>IF($AS103="","",MID(IF($BA103="기간 밖"," / 기간 밖(신고기간 아님)","")&amp;IF(AND($AW103&lt;&gt;"",COUNTIF($AW$8:$AW$1007,$AW103)&gt;1)," / 승인번호 중복(두 번 붙여넣기?)","")&amp;IF(ABS($AU103-ROUND($AT103*0.1,0))&gt;설정!$B$8,IF($AU103=0," / 세액 0원(영세율·면세 여부 확인)"," / 세액이 공급가액 10%와 다름"),"")&amp;IF($BB103="수정"," / 수정세금계산서(합계에서 자동 가감)",""),4,200))</f>
        <v/>
      </c>
      <c r="BD103" s="2">
        <f>IF($BA103&lt;&gt;"포함","",IF(COUNTIFS($AX$8:$AX103,$AX103,$BA$8:$BA103,"포함")=1,MAX($BD$7:BD102)+1,""))</f>
        <v/>
      </c>
      <c r="BE103" s="2">
        <f>IF($BC103="","",MAX($BE$7:BE102)+1)</f>
        <v/>
      </c>
    </row>
    <row r="104">
      <c r="AR104" s="2">
        <f>IF(OR($A$5="",$B$6="",ROW()&lt;$A$5),"",IF(INDEX($A:$AP,ROW(),$B$6)="","",INDEX($A:$AP,ROW(),$B$6)))</f>
        <v/>
      </c>
      <c r="AS104" s="22">
        <f>IF($AR104="","",IF(ISNUMBER($AR104),IF($AR104&gt;=10000000,IFERROR(DATE(INT($AR104/10000),MOD(INT($AR104/100),100),MOD($AR104,100)),""),INT($AR104)),IFERROR(DATE(--LEFT(LEFT(SUBSTITUTE(SUBSTITUTE(SUBSTITUTE(SUBSTITUTE(TRIM($AR104),"-",""),".",""),"/","")," ",""),8),4),--MID(LEFT(SUBSTITUTE(SUBSTITUTE(SUBSTITUTE(SUBSTITUTE(TRIM($AR104),"-",""),".",""),"/","")," ",""),8),5,2),--MID(LEFT(SUBSTITUTE(SUBSTITUTE(SUBSTITUTE(SUBSTITUTE(TRIM($AR104),"-",""),".",""),"/","")," ",""),8),7,2)),"")))</f>
        <v/>
      </c>
      <c r="AT104" s="23">
        <f>IF($AS104="","",IF($F$6="",0,IF(ISNUMBER(INDEX($A:$AP,ROW(),$F$6)),INDEX($A:$AP,ROW(),$F$6),IFERROR(--SUBSTITUTE(SUBSTITUTE(TRIM(INDEX($A:$AP,ROW(),$F$6)),",",""),"원",""),0))))</f>
        <v/>
      </c>
      <c r="AU104" s="23">
        <f>IF($AS104="","",IF($G$6="",0,IF(ISNUMBER(INDEX($A:$AP,ROW(),$G$6)),INDEX($A:$AP,ROW(),$G$6),IFERROR(--SUBSTITUTE(SUBSTITUTE(TRIM(INDEX($A:$AP,ROW(),$G$6)),",",""),"원",""),0))))</f>
        <v/>
      </c>
      <c r="AV104" s="23">
        <f>IF($AS104="","",IF($H$6="",$AT104+$AU104,IF($H$6="",0,IF(ISNUMBER(INDEX($A:$AP,ROW(),$H$6)),INDEX($A:$AP,ROW(),$H$6),IFERROR(--SUBSTITUTE(SUBSTITUTE(TRIM(INDEX($A:$AP,ROW(),$H$6)),",",""),"원",""),0)))))</f>
        <v/>
      </c>
      <c r="AW104" s="2">
        <f>IF(OR($AS104="",$C$6=""),"",TRIM(INDEX($A:$AP,ROW(),$C$6)&amp;""))</f>
        <v/>
      </c>
      <c r="AX104" s="2">
        <f>IF($AS104="","",IF($AZ104&lt;&gt;"",SUBSTITUTE(SUBSTITUTE($AZ104,"-","")," ",""),$AY104))</f>
        <v/>
      </c>
      <c r="AY104" s="2">
        <f>IF(OR($AS104="",$E$6=""),"",TRIM(INDEX($A:$AP,ROW(),$E$6)&amp;""))</f>
        <v/>
      </c>
      <c r="AZ104" s="2">
        <f>IF(OR($AS104="",$D$6=""),"",TRIM(INDEX($A:$AP,ROW(),$D$6)&amp;""))</f>
        <v/>
      </c>
      <c r="BA104" s="2">
        <f>IF($AS104="","",IF(AND($AS104&gt;=설정!$B$10,$AS104&lt;=설정!$B$11),"포함","기간 밖"))</f>
        <v/>
      </c>
      <c r="BB104" s="2">
        <f>IF($AS104="","",IF(OR($AT104&lt;0,AND($I$6&lt;&gt;"",ISNUMBER(FIND("수정",INDEX($A:$AP,ROW(),IF($I$6="",1,$I$6))&amp;"")))),"수정","일반"))</f>
        <v/>
      </c>
      <c r="BC104" s="2">
        <f>IF($AS104="","",MID(IF($BA104="기간 밖"," / 기간 밖(신고기간 아님)","")&amp;IF(AND($AW104&lt;&gt;"",COUNTIF($AW$8:$AW$1007,$AW104)&gt;1)," / 승인번호 중복(두 번 붙여넣기?)","")&amp;IF(ABS($AU104-ROUND($AT104*0.1,0))&gt;설정!$B$8,IF($AU104=0," / 세액 0원(영세율·면세 여부 확인)"," / 세액이 공급가액 10%와 다름"),"")&amp;IF($BB104="수정"," / 수정세금계산서(합계에서 자동 가감)",""),4,200))</f>
        <v/>
      </c>
      <c r="BD104" s="2">
        <f>IF($BA104&lt;&gt;"포함","",IF(COUNTIFS($AX$8:$AX104,$AX104,$BA$8:$BA104,"포함")=1,MAX($BD$7:BD103)+1,""))</f>
        <v/>
      </c>
      <c r="BE104" s="2">
        <f>IF($BC104="","",MAX($BE$7:BE103)+1)</f>
        <v/>
      </c>
    </row>
    <row r="105">
      <c r="AR105" s="2">
        <f>IF(OR($A$5="",$B$6="",ROW()&lt;$A$5),"",IF(INDEX($A:$AP,ROW(),$B$6)="","",INDEX($A:$AP,ROW(),$B$6)))</f>
        <v/>
      </c>
      <c r="AS105" s="22">
        <f>IF($AR105="","",IF(ISNUMBER($AR105),IF($AR105&gt;=10000000,IFERROR(DATE(INT($AR105/10000),MOD(INT($AR105/100),100),MOD($AR105,100)),""),INT($AR105)),IFERROR(DATE(--LEFT(LEFT(SUBSTITUTE(SUBSTITUTE(SUBSTITUTE(SUBSTITUTE(TRIM($AR105),"-",""),".",""),"/","")," ",""),8),4),--MID(LEFT(SUBSTITUTE(SUBSTITUTE(SUBSTITUTE(SUBSTITUTE(TRIM($AR105),"-",""),".",""),"/","")," ",""),8),5,2),--MID(LEFT(SUBSTITUTE(SUBSTITUTE(SUBSTITUTE(SUBSTITUTE(TRIM($AR105),"-",""),".",""),"/","")," ",""),8),7,2)),"")))</f>
        <v/>
      </c>
      <c r="AT105" s="23">
        <f>IF($AS105="","",IF($F$6="",0,IF(ISNUMBER(INDEX($A:$AP,ROW(),$F$6)),INDEX($A:$AP,ROW(),$F$6),IFERROR(--SUBSTITUTE(SUBSTITUTE(TRIM(INDEX($A:$AP,ROW(),$F$6)),",",""),"원",""),0))))</f>
        <v/>
      </c>
      <c r="AU105" s="23">
        <f>IF($AS105="","",IF($G$6="",0,IF(ISNUMBER(INDEX($A:$AP,ROW(),$G$6)),INDEX($A:$AP,ROW(),$G$6),IFERROR(--SUBSTITUTE(SUBSTITUTE(TRIM(INDEX($A:$AP,ROW(),$G$6)),",",""),"원",""),0))))</f>
        <v/>
      </c>
      <c r="AV105" s="23">
        <f>IF($AS105="","",IF($H$6="",$AT105+$AU105,IF($H$6="",0,IF(ISNUMBER(INDEX($A:$AP,ROW(),$H$6)),INDEX($A:$AP,ROW(),$H$6),IFERROR(--SUBSTITUTE(SUBSTITUTE(TRIM(INDEX($A:$AP,ROW(),$H$6)),",",""),"원",""),0)))))</f>
        <v/>
      </c>
      <c r="AW105" s="2">
        <f>IF(OR($AS105="",$C$6=""),"",TRIM(INDEX($A:$AP,ROW(),$C$6)&amp;""))</f>
        <v/>
      </c>
      <c r="AX105" s="2">
        <f>IF($AS105="","",IF($AZ105&lt;&gt;"",SUBSTITUTE(SUBSTITUTE($AZ105,"-","")," ",""),$AY105))</f>
        <v/>
      </c>
      <c r="AY105" s="2">
        <f>IF(OR($AS105="",$E$6=""),"",TRIM(INDEX($A:$AP,ROW(),$E$6)&amp;""))</f>
        <v/>
      </c>
      <c r="AZ105" s="2">
        <f>IF(OR($AS105="",$D$6=""),"",TRIM(INDEX($A:$AP,ROW(),$D$6)&amp;""))</f>
        <v/>
      </c>
      <c r="BA105" s="2">
        <f>IF($AS105="","",IF(AND($AS105&gt;=설정!$B$10,$AS105&lt;=설정!$B$11),"포함","기간 밖"))</f>
        <v/>
      </c>
      <c r="BB105" s="2">
        <f>IF($AS105="","",IF(OR($AT105&lt;0,AND($I$6&lt;&gt;"",ISNUMBER(FIND("수정",INDEX($A:$AP,ROW(),IF($I$6="",1,$I$6))&amp;"")))),"수정","일반"))</f>
        <v/>
      </c>
      <c r="BC105" s="2">
        <f>IF($AS105="","",MID(IF($BA105="기간 밖"," / 기간 밖(신고기간 아님)","")&amp;IF(AND($AW105&lt;&gt;"",COUNTIF($AW$8:$AW$1007,$AW105)&gt;1)," / 승인번호 중복(두 번 붙여넣기?)","")&amp;IF(ABS($AU105-ROUND($AT105*0.1,0))&gt;설정!$B$8,IF($AU105=0," / 세액 0원(영세율·면세 여부 확인)"," / 세액이 공급가액 10%와 다름"),"")&amp;IF($BB105="수정"," / 수정세금계산서(합계에서 자동 가감)",""),4,200))</f>
        <v/>
      </c>
      <c r="BD105" s="2">
        <f>IF($BA105&lt;&gt;"포함","",IF(COUNTIFS($AX$8:$AX105,$AX105,$BA$8:$BA105,"포함")=1,MAX($BD$7:BD104)+1,""))</f>
        <v/>
      </c>
      <c r="BE105" s="2">
        <f>IF($BC105="","",MAX($BE$7:BE104)+1)</f>
        <v/>
      </c>
    </row>
    <row r="106">
      <c r="AR106" s="2">
        <f>IF(OR($A$5="",$B$6="",ROW()&lt;$A$5),"",IF(INDEX($A:$AP,ROW(),$B$6)="","",INDEX($A:$AP,ROW(),$B$6)))</f>
        <v/>
      </c>
      <c r="AS106" s="22">
        <f>IF($AR106="","",IF(ISNUMBER($AR106),IF($AR106&gt;=10000000,IFERROR(DATE(INT($AR106/10000),MOD(INT($AR106/100),100),MOD($AR106,100)),""),INT($AR106)),IFERROR(DATE(--LEFT(LEFT(SUBSTITUTE(SUBSTITUTE(SUBSTITUTE(SUBSTITUTE(TRIM($AR106),"-",""),".",""),"/","")," ",""),8),4),--MID(LEFT(SUBSTITUTE(SUBSTITUTE(SUBSTITUTE(SUBSTITUTE(TRIM($AR106),"-",""),".",""),"/","")," ",""),8),5,2),--MID(LEFT(SUBSTITUTE(SUBSTITUTE(SUBSTITUTE(SUBSTITUTE(TRIM($AR106),"-",""),".",""),"/","")," ",""),8),7,2)),"")))</f>
        <v/>
      </c>
      <c r="AT106" s="23">
        <f>IF($AS106="","",IF($F$6="",0,IF(ISNUMBER(INDEX($A:$AP,ROW(),$F$6)),INDEX($A:$AP,ROW(),$F$6),IFERROR(--SUBSTITUTE(SUBSTITUTE(TRIM(INDEX($A:$AP,ROW(),$F$6)),",",""),"원",""),0))))</f>
        <v/>
      </c>
      <c r="AU106" s="23">
        <f>IF($AS106="","",IF($G$6="",0,IF(ISNUMBER(INDEX($A:$AP,ROW(),$G$6)),INDEX($A:$AP,ROW(),$G$6),IFERROR(--SUBSTITUTE(SUBSTITUTE(TRIM(INDEX($A:$AP,ROW(),$G$6)),",",""),"원",""),0))))</f>
        <v/>
      </c>
      <c r="AV106" s="23">
        <f>IF($AS106="","",IF($H$6="",$AT106+$AU106,IF($H$6="",0,IF(ISNUMBER(INDEX($A:$AP,ROW(),$H$6)),INDEX($A:$AP,ROW(),$H$6),IFERROR(--SUBSTITUTE(SUBSTITUTE(TRIM(INDEX($A:$AP,ROW(),$H$6)),",",""),"원",""),0)))))</f>
        <v/>
      </c>
      <c r="AW106" s="2">
        <f>IF(OR($AS106="",$C$6=""),"",TRIM(INDEX($A:$AP,ROW(),$C$6)&amp;""))</f>
        <v/>
      </c>
      <c r="AX106" s="2">
        <f>IF($AS106="","",IF($AZ106&lt;&gt;"",SUBSTITUTE(SUBSTITUTE($AZ106,"-","")," ",""),$AY106))</f>
        <v/>
      </c>
      <c r="AY106" s="2">
        <f>IF(OR($AS106="",$E$6=""),"",TRIM(INDEX($A:$AP,ROW(),$E$6)&amp;""))</f>
        <v/>
      </c>
      <c r="AZ106" s="2">
        <f>IF(OR($AS106="",$D$6=""),"",TRIM(INDEX($A:$AP,ROW(),$D$6)&amp;""))</f>
        <v/>
      </c>
      <c r="BA106" s="2">
        <f>IF($AS106="","",IF(AND($AS106&gt;=설정!$B$10,$AS106&lt;=설정!$B$11),"포함","기간 밖"))</f>
        <v/>
      </c>
      <c r="BB106" s="2">
        <f>IF($AS106="","",IF(OR($AT106&lt;0,AND($I$6&lt;&gt;"",ISNUMBER(FIND("수정",INDEX($A:$AP,ROW(),IF($I$6="",1,$I$6))&amp;"")))),"수정","일반"))</f>
        <v/>
      </c>
      <c r="BC106" s="2">
        <f>IF($AS106="","",MID(IF($BA106="기간 밖"," / 기간 밖(신고기간 아님)","")&amp;IF(AND($AW106&lt;&gt;"",COUNTIF($AW$8:$AW$1007,$AW106)&gt;1)," / 승인번호 중복(두 번 붙여넣기?)","")&amp;IF(ABS($AU106-ROUND($AT106*0.1,0))&gt;설정!$B$8,IF($AU106=0," / 세액 0원(영세율·면세 여부 확인)"," / 세액이 공급가액 10%와 다름"),"")&amp;IF($BB106="수정"," / 수정세금계산서(합계에서 자동 가감)",""),4,200))</f>
        <v/>
      </c>
      <c r="BD106" s="2">
        <f>IF($BA106&lt;&gt;"포함","",IF(COUNTIFS($AX$8:$AX106,$AX106,$BA$8:$BA106,"포함")=1,MAX($BD$7:BD105)+1,""))</f>
        <v/>
      </c>
      <c r="BE106" s="2">
        <f>IF($BC106="","",MAX($BE$7:BE105)+1)</f>
        <v/>
      </c>
    </row>
    <row r="107">
      <c r="AR107" s="2">
        <f>IF(OR($A$5="",$B$6="",ROW()&lt;$A$5),"",IF(INDEX($A:$AP,ROW(),$B$6)="","",INDEX($A:$AP,ROW(),$B$6)))</f>
        <v/>
      </c>
      <c r="AS107" s="22">
        <f>IF($AR107="","",IF(ISNUMBER($AR107),IF($AR107&gt;=10000000,IFERROR(DATE(INT($AR107/10000),MOD(INT($AR107/100),100),MOD($AR107,100)),""),INT($AR107)),IFERROR(DATE(--LEFT(LEFT(SUBSTITUTE(SUBSTITUTE(SUBSTITUTE(SUBSTITUTE(TRIM($AR107),"-",""),".",""),"/","")," ",""),8),4),--MID(LEFT(SUBSTITUTE(SUBSTITUTE(SUBSTITUTE(SUBSTITUTE(TRIM($AR107),"-",""),".",""),"/","")," ",""),8),5,2),--MID(LEFT(SUBSTITUTE(SUBSTITUTE(SUBSTITUTE(SUBSTITUTE(TRIM($AR107),"-",""),".",""),"/","")," ",""),8),7,2)),"")))</f>
        <v/>
      </c>
      <c r="AT107" s="23">
        <f>IF($AS107="","",IF($F$6="",0,IF(ISNUMBER(INDEX($A:$AP,ROW(),$F$6)),INDEX($A:$AP,ROW(),$F$6),IFERROR(--SUBSTITUTE(SUBSTITUTE(TRIM(INDEX($A:$AP,ROW(),$F$6)),",",""),"원",""),0))))</f>
        <v/>
      </c>
      <c r="AU107" s="23">
        <f>IF($AS107="","",IF($G$6="",0,IF(ISNUMBER(INDEX($A:$AP,ROW(),$G$6)),INDEX($A:$AP,ROW(),$G$6),IFERROR(--SUBSTITUTE(SUBSTITUTE(TRIM(INDEX($A:$AP,ROW(),$G$6)),",",""),"원",""),0))))</f>
        <v/>
      </c>
      <c r="AV107" s="23">
        <f>IF($AS107="","",IF($H$6="",$AT107+$AU107,IF($H$6="",0,IF(ISNUMBER(INDEX($A:$AP,ROW(),$H$6)),INDEX($A:$AP,ROW(),$H$6),IFERROR(--SUBSTITUTE(SUBSTITUTE(TRIM(INDEX($A:$AP,ROW(),$H$6)),",",""),"원",""),0)))))</f>
        <v/>
      </c>
      <c r="AW107" s="2">
        <f>IF(OR($AS107="",$C$6=""),"",TRIM(INDEX($A:$AP,ROW(),$C$6)&amp;""))</f>
        <v/>
      </c>
      <c r="AX107" s="2">
        <f>IF($AS107="","",IF($AZ107&lt;&gt;"",SUBSTITUTE(SUBSTITUTE($AZ107,"-","")," ",""),$AY107))</f>
        <v/>
      </c>
      <c r="AY107" s="2">
        <f>IF(OR($AS107="",$E$6=""),"",TRIM(INDEX($A:$AP,ROW(),$E$6)&amp;""))</f>
        <v/>
      </c>
      <c r="AZ107" s="2">
        <f>IF(OR($AS107="",$D$6=""),"",TRIM(INDEX($A:$AP,ROW(),$D$6)&amp;""))</f>
        <v/>
      </c>
      <c r="BA107" s="2">
        <f>IF($AS107="","",IF(AND($AS107&gt;=설정!$B$10,$AS107&lt;=설정!$B$11),"포함","기간 밖"))</f>
        <v/>
      </c>
      <c r="BB107" s="2">
        <f>IF($AS107="","",IF(OR($AT107&lt;0,AND($I$6&lt;&gt;"",ISNUMBER(FIND("수정",INDEX($A:$AP,ROW(),IF($I$6="",1,$I$6))&amp;"")))),"수정","일반"))</f>
        <v/>
      </c>
      <c r="BC107" s="2">
        <f>IF($AS107="","",MID(IF($BA107="기간 밖"," / 기간 밖(신고기간 아님)","")&amp;IF(AND($AW107&lt;&gt;"",COUNTIF($AW$8:$AW$1007,$AW107)&gt;1)," / 승인번호 중복(두 번 붙여넣기?)","")&amp;IF(ABS($AU107-ROUND($AT107*0.1,0))&gt;설정!$B$8,IF($AU107=0," / 세액 0원(영세율·면세 여부 확인)"," / 세액이 공급가액 10%와 다름"),"")&amp;IF($BB107="수정"," / 수정세금계산서(합계에서 자동 가감)",""),4,200))</f>
        <v/>
      </c>
      <c r="BD107" s="2">
        <f>IF($BA107&lt;&gt;"포함","",IF(COUNTIFS($AX$8:$AX107,$AX107,$BA$8:$BA107,"포함")=1,MAX($BD$7:BD106)+1,""))</f>
        <v/>
      </c>
      <c r="BE107" s="2">
        <f>IF($BC107="","",MAX($BE$7:BE106)+1)</f>
        <v/>
      </c>
    </row>
    <row r="108">
      <c r="AR108" s="2">
        <f>IF(OR($A$5="",$B$6="",ROW()&lt;$A$5),"",IF(INDEX($A:$AP,ROW(),$B$6)="","",INDEX($A:$AP,ROW(),$B$6)))</f>
        <v/>
      </c>
      <c r="AS108" s="22">
        <f>IF($AR108="","",IF(ISNUMBER($AR108),IF($AR108&gt;=10000000,IFERROR(DATE(INT($AR108/10000),MOD(INT($AR108/100),100),MOD($AR108,100)),""),INT($AR108)),IFERROR(DATE(--LEFT(LEFT(SUBSTITUTE(SUBSTITUTE(SUBSTITUTE(SUBSTITUTE(TRIM($AR108),"-",""),".",""),"/","")," ",""),8),4),--MID(LEFT(SUBSTITUTE(SUBSTITUTE(SUBSTITUTE(SUBSTITUTE(TRIM($AR108),"-",""),".",""),"/","")," ",""),8),5,2),--MID(LEFT(SUBSTITUTE(SUBSTITUTE(SUBSTITUTE(SUBSTITUTE(TRIM($AR108),"-",""),".",""),"/","")," ",""),8),7,2)),"")))</f>
        <v/>
      </c>
      <c r="AT108" s="23">
        <f>IF($AS108="","",IF($F$6="",0,IF(ISNUMBER(INDEX($A:$AP,ROW(),$F$6)),INDEX($A:$AP,ROW(),$F$6),IFERROR(--SUBSTITUTE(SUBSTITUTE(TRIM(INDEX($A:$AP,ROW(),$F$6)),",",""),"원",""),0))))</f>
        <v/>
      </c>
      <c r="AU108" s="23">
        <f>IF($AS108="","",IF($G$6="",0,IF(ISNUMBER(INDEX($A:$AP,ROW(),$G$6)),INDEX($A:$AP,ROW(),$G$6),IFERROR(--SUBSTITUTE(SUBSTITUTE(TRIM(INDEX($A:$AP,ROW(),$G$6)),",",""),"원",""),0))))</f>
        <v/>
      </c>
      <c r="AV108" s="23">
        <f>IF($AS108="","",IF($H$6="",$AT108+$AU108,IF($H$6="",0,IF(ISNUMBER(INDEX($A:$AP,ROW(),$H$6)),INDEX($A:$AP,ROW(),$H$6),IFERROR(--SUBSTITUTE(SUBSTITUTE(TRIM(INDEX($A:$AP,ROW(),$H$6)),",",""),"원",""),0)))))</f>
        <v/>
      </c>
      <c r="AW108" s="2">
        <f>IF(OR($AS108="",$C$6=""),"",TRIM(INDEX($A:$AP,ROW(),$C$6)&amp;""))</f>
        <v/>
      </c>
      <c r="AX108" s="2">
        <f>IF($AS108="","",IF($AZ108&lt;&gt;"",SUBSTITUTE(SUBSTITUTE($AZ108,"-","")," ",""),$AY108))</f>
        <v/>
      </c>
      <c r="AY108" s="2">
        <f>IF(OR($AS108="",$E$6=""),"",TRIM(INDEX($A:$AP,ROW(),$E$6)&amp;""))</f>
        <v/>
      </c>
      <c r="AZ108" s="2">
        <f>IF(OR($AS108="",$D$6=""),"",TRIM(INDEX($A:$AP,ROW(),$D$6)&amp;""))</f>
        <v/>
      </c>
      <c r="BA108" s="2">
        <f>IF($AS108="","",IF(AND($AS108&gt;=설정!$B$10,$AS108&lt;=설정!$B$11),"포함","기간 밖"))</f>
        <v/>
      </c>
      <c r="BB108" s="2">
        <f>IF($AS108="","",IF(OR($AT108&lt;0,AND($I$6&lt;&gt;"",ISNUMBER(FIND("수정",INDEX($A:$AP,ROW(),IF($I$6="",1,$I$6))&amp;"")))),"수정","일반"))</f>
        <v/>
      </c>
      <c r="BC108" s="2">
        <f>IF($AS108="","",MID(IF($BA108="기간 밖"," / 기간 밖(신고기간 아님)","")&amp;IF(AND($AW108&lt;&gt;"",COUNTIF($AW$8:$AW$1007,$AW108)&gt;1)," / 승인번호 중복(두 번 붙여넣기?)","")&amp;IF(ABS($AU108-ROUND($AT108*0.1,0))&gt;설정!$B$8,IF($AU108=0," / 세액 0원(영세율·면세 여부 확인)"," / 세액이 공급가액 10%와 다름"),"")&amp;IF($BB108="수정"," / 수정세금계산서(합계에서 자동 가감)",""),4,200))</f>
        <v/>
      </c>
      <c r="BD108" s="2">
        <f>IF($BA108&lt;&gt;"포함","",IF(COUNTIFS($AX$8:$AX108,$AX108,$BA$8:$BA108,"포함")=1,MAX($BD$7:BD107)+1,""))</f>
        <v/>
      </c>
      <c r="BE108" s="2">
        <f>IF($BC108="","",MAX($BE$7:BE107)+1)</f>
        <v/>
      </c>
    </row>
    <row r="109">
      <c r="AR109" s="2">
        <f>IF(OR($A$5="",$B$6="",ROW()&lt;$A$5),"",IF(INDEX($A:$AP,ROW(),$B$6)="","",INDEX($A:$AP,ROW(),$B$6)))</f>
        <v/>
      </c>
      <c r="AS109" s="22">
        <f>IF($AR109="","",IF(ISNUMBER($AR109),IF($AR109&gt;=10000000,IFERROR(DATE(INT($AR109/10000),MOD(INT($AR109/100),100),MOD($AR109,100)),""),INT($AR109)),IFERROR(DATE(--LEFT(LEFT(SUBSTITUTE(SUBSTITUTE(SUBSTITUTE(SUBSTITUTE(TRIM($AR109),"-",""),".",""),"/","")," ",""),8),4),--MID(LEFT(SUBSTITUTE(SUBSTITUTE(SUBSTITUTE(SUBSTITUTE(TRIM($AR109),"-",""),".",""),"/","")," ",""),8),5,2),--MID(LEFT(SUBSTITUTE(SUBSTITUTE(SUBSTITUTE(SUBSTITUTE(TRIM($AR109),"-",""),".",""),"/","")," ",""),8),7,2)),"")))</f>
        <v/>
      </c>
      <c r="AT109" s="23">
        <f>IF($AS109="","",IF($F$6="",0,IF(ISNUMBER(INDEX($A:$AP,ROW(),$F$6)),INDEX($A:$AP,ROW(),$F$6),IFERROR(--SUBSTITUTE(SUBSTITUTE(TRIM(INDEX($A:$AP,ROW(),$F$6)),",",""),"원",""),0))))</f>
        <v/>
      </c>
      <c r="AU109" s="23">
        <f>IF($AS109="","",IF($G$6="",0,IF(ISNUMBER(INDEX($A:$AP,ROW(),$G$6)),INDEX($A:$AP,ROW(),$G$6),IFERROR(--SUBSTITUTE(SUBSTITUTE(TRIM(INDEX($A:$AP,ROW(),$G$6)),",",""),"원",""),0))))</f>
        <v/>
      </c>
      <c r="AV109" s="23">
        <f>IF($AS109="","",IF($H$6="",$AT109+$AU109,IF($H$6="",0,IF(ISNUMBER(INDEX($A:$AP,ROW(),$H$6)),INDEX($A:$AP,ROW(),$H$6),IFERROR(--SUBSTITUTE(SUBSTITUTE(TRIM(INDEX($A:$AP,ROW(),$H$6)),",",""),"원",""),0)))))</f>
        <v/>
      </c>
      <c r="AW109" s="2">
        <f>IF(OR($AS109="",$C$6=""),"",TRIM(INDEX($A:$AP,ROW(),$C$6)&amp;""))</f>
        <v/>
      </c>
      <c r="AX109" s="2">
        <f>IF($AS109="","",IF($AZ109&lt;&gt;"",SUBSTITUTE(SUBSTITUTE($AZ109,"-","")," ",""),$AY109))</f>
        <v/>
      </c>
      <c r="AY109" s="2">
        <f>IF(OR($AS109="",$E$6=""),"",TRIM(INDEX($A:$AP,ROW(),$E$6)&amp;""))</f>
        <v/>
      </c>
      <c r="AZ109" s="2">
        <f>IF(OR($AS109="",$D$6=""),"",TRIM(INDEX($A:$AP,ROW(),$D$6)&amp;""))</f>
        <v/>
      </c>
      <c r="BA109" s="2">
        <f>IF($AS109="","",IF(AND($AS109&gt;=설정!$B$10,$AS109&lt;=설정!$B$11),"포함","기간 밖"))</f>
        <v/>
      </c>
      <c r="BB109" s="2">
        <f>IF($AS109="","",IF(OR($AT109&lt;0,AND($I$6&lt;&gt;"",ISNUMBER(FIND("수정",INDEX($A:$AP,ROW(),IF($I$6="",1,$I$6))&amp;"")))),"수정","일반"))</f>
        <v/>
      </c>
      <c r="BC109" s="2">
        <f>IF($AS109="","",MID(IF($BA109="기간 밖"," / 기간 밖(신고기간 아님)","")&amp;IF(AND($AW109&lt;&gt;"",COUNTIF($AW$8:$AW$1007,$AW109)&gt;1)," / 승인번호 중복(두 번 붙여넣기?)","")&amp;IF(ABS($AU109-ROUND($AT109*0.1,0))&gt;설정!$B$8,IF($AU109=0," / 세액 0원(영세율·면세 여부 확인)"," / 세액이 공급가액 10%와 다름"),"")&amp;IF($BB109="수정"," / 수정세금계산서(합계에서 자동 가감)",""),4,200))</f>
        <v/>
      </c>
      <c r="BD109" s="2">
        <f>IF($BA109&lt;&gt;"포함","",IF(COUNTIFS($AX$8:$AX109,$AX109,$BA$8:$BA109,"포함")=1,MAX($BD$7:BD108)+1,""))</f>
        <v/>
      </c>
      <c r="BE109" s="2">
        <f>IF($BC109="","",MAX($BE$7:BE108)+1)</f>
        <v/>
      </c>
    </row>
    <row r="110">
      <c r="AR110" s="2">
        <f>IF(OR($A$5="",$B$6="",ROW()&lt;$A$5),"",IF(INDEX($A:$AP,ROW(),$B$6)="","",INDEX($A:$AP,ROW(),$B$6)))</f>
        <v/>
      </c>
      <c r="AS110" s="22">
        <f>IF($AR110="","",IF(ISNUMBER($AR110),IF($AR110&gt;=10000000,IFERROR(DATE(INT($AR110/10000),MOD(INT($AR110/100),100),MOD($AR110,100)),""),INT($AR110)),IFERROR(DATE(--LEFT(LEFT(SUBSTITUTE(SUBSTITUTE(SUBSTITUTE(SUBSTITUTE(TRIM($AR110),"-",""),".",""),"/","")," ",""),8),4),--MID(LEFT(SUBSTITUTE(SUBSTITUTE(SUBSTITUTE(SUBSTITUTE(TRIM($AR110),"-",""),".",""),"/","")," ",""),8),5,2),--MID(LEFT(SUBSTITUTE(SUBSTITUTE(SUBSTITUTE(SUBSTITUTE(TRIM($AR110),"-",""),".",""),"/","")," ",""),8),7,2)),"")))</f>
        <v/>
      </c>
      <c r="AT110" s="23">
        <f>IF($AS110="","",IF($F$6="",0,IF(ISNUMBER(INDEX($A:$AP,ROW(),$F$6)),INDEX($A:$AP,ROW(),$F$6),IFERROR(--SUBSTITUTE(SUBSTITUTE(TRIM(INDEX($A:$AP,ROW(),$F$6)),",",""),"원",""),0))))</f>
        <v/>
      </c>
      <c r="AU110" s="23">
        <f>IF($AS110="","",IF($G$6="",0,IF(ISNUMBER(INDEX($A:$AP,ROW(),$G$6)),INDEX($A:$AP,ROW(),$G$6),IFERROR(--SUBSTITUTE(SUBSTITUTE(TRIM(INDEX($A:$AP,ROW(),$G$6)),",",""),"원",""),0))))</f>
        <v/>
      </c>
      <c r="AV110" s="23">
        <f>IF($AS110="","",IF($H$6="",$AT110+$AU110,IF($H$6="",0,IF(ISNUMBER(INDEX($A:$AP,ROW(),$H$6)),INDEX($A:$AP,ROW(),$H$6),IFERROR(--SUBSTITUTE(SUBSTITUTE(TRIM(INDEX($A:$AP,ROW(),$H$6)),",",""),"원",""),0)))))</f>
        <v/>
      </c>
      <c r="AW110" s="2">
        <f>IF(OR($AS110="",$C$6=""),"",TRIM(INDEX($A:$AP,ROW(),$C$6)&amp;""))</f>
        <v/>
      </c>
      <c r="AX110" s="2">
        <f>IF($AS110="","",IF($AZ110&lt;&gt;"",SUBSTITUTE(SUBSTITUTE($AZ110,"-","")," ",""),$AY110))</f>
        <v/>
      </c>
      <c r="AY110" s="2">
        <f>IF(OR($AS110="",$E$6=""),"",TRIM(INDEX($A:$AP,ROW(),$E$6)&amp;""))</f>
        <v/>
      </c>
      <c r="AZ110" s="2">
        <f>IF(OR($AS110="",$D$6=""),"",TRIM(INDEX($A:$AP,ROW(),$D$6)&amp;""))</f>
        <v/>
      </c>
      <c r="BA110" s="2">
        <f>IF($AS110="","",IF(AND($AS110&gt;=설정!$B$10,$AS110&lt;=설정!$B$11),"포함","기간 밖"))</f>
        <v/>
      </c>
      <c r="BB110" s="2">
        <f>IF($AS110="","",IF(OR($AT110&lt;0,AND($I$6&lt;&gt;"",ISNUMBER(FIND("수정",INDEX($A:$AP,ROW(),IF($I$6="",1,$I$6))&amp;"")))),"수정","일반"))</f>
        <v/>
      </c>
      <c r="BC110" s="2">
        <f>IF($AS110="","",MID(IF($BA110="기간 밖"," / 기간 밖(신고기간 아님)","")&amp;IF(AND($AW110&lt;&gt;"",COUNTIF($AW$8:$AW$1007,$AW110)&gt;1)," / 승인번호 중복(두 번 붙여넣기?)","")&amp;IF(ABS($AU110-ROUND($AT110*0.1,0))&gt;설정!$B$8,IF($AU110=0," / 세액 0원(영세율·면세 여부 확인)"," / 세액이 공급가액 10%와 다름"),"")&amp;IF($BB110="수정"," / 수정세금계산서(합계에서 자동 가감)",""),4,200))</f>
        <v/>
      </c>
      <c r="BD110" s="2">
        <f>IF($BA110&lt;&gt;"포함","",IF(COUNTIFS($AX$8:$AX110,$AX110,$BA$8:$BA110,"포함")=1,MAX($BD$7:BD109)+1,""))</f>
        <v/>
      </c>
      <c r="BE110" s="2">
        <f>IF($BC110="","",MAX($BE$7:BE109)+1)</f>
        <v/>
      </c>
    </row>
    <row r="111">
      <c r="AR111" s="2">
        <f>IF(OR($A$5="",$B$6="",ROW()&lt;$A$5),"",IF(INDEX($A:$AP,ROW(),$B$6)="","",INDEX($A:$AP,ROW(),$B$6)))</f>
        <v/>
      </c>
      <c r="AS111" s="22">
        <f>IF($AR111="","",IF(ISNUMBER($AR111),IF($AR111&gt;=10000000,IFERROR(DATE(INT($AR111/10000),MOD(INT($AR111/100),100),MOD($AR111,100)),""),INT($AR111)),IFERROR(DATE(--LEFT(LEFT(SUBSTITUTE(SUBSTITUTE(SUBSTITUTE(SUBSTITUTE(TRIM($AR111),"-",""),".",""),"/","")," ",""),8),4),--MID(LEFT(SUBSTITUTE(SUBSTITUTE(SUBSTITUTE(SUBSTITUTE(TRIM($AR111),"-",""),".",""),"/","")," ",""),8),5,2),--MID(LEFT(SUBSTITUTE(SUBSTITUTE(SUBSTITUTE(SUBSTITUTE(TRIM($AR111),"-",""),".",""),"/","")," ",""),8),7,2)),"")))</f>
        <v/>
      </c>
      <c r="AT111" s="23">
        <f>IF($AS111="","",IF($F$6="",0,IF(ISNUMBER(INDEX($A:$AP,ROW(),$F$6)),INDEX($A:$AP,ROW(),$F$6),IFERROR(--SUBSTITUTE(SUBSTITUTE(TRIM(INDEX($A:$AP,ROW(),$F$6)),",",""),"원",""),0))))</f>
        <v/>
      </c>
      <c r="AU111" s="23">
        <f>IF($AS111="","",IF($G$6="",0,IF(ISNUMBER(INDEX($A:$AP,ROW(),$G$6)),INDEX($A:$AP,ROW(),$G$6),IFERROR(--SUBSTITUTE(SUBSTITUTE(TRIM(INDEX($A:$AP,ROW(),$G$6)),",",""),"원",""),0))))</f>
        <v/>
      </c>
      <c r="AV111" s="23">
        <f>IF($AS111="","",IF($H$6="",$AT111+$AU111,IF($H$6="",0,IF(ISNUMBER(INDEX($A:$AP,ROW(),$H$6)),INDEX($A:$AP,ROW(),$H$6),IFERROR(--SUBSTITUTE(SUBSTITUTE(TRIM(INDEX($A:$AP,ROW(),$H$6)),",",""),"원",""),0)))))</f>
        <v/>
      </c>
      <c r="AW111" s="2">
        <f>IF(OR($AS111="",$C$6=""),"",TRIM(INDEX($A:$AP,ROW(),$C$6)&amp;""))</f>
        <v/>
      </c>
      <c r="AX111" s="2">
        <f>IF($AS111="","",IF($AZ111&lt;&gt;"",SUBSTITUTE(SUBSTITUTE($AZ111,"-","")," ",""),$AY111))</f>
        <v/>
      </c>
      <c r="AY111" s="2">
        <f>IF(OR($AS111="",$E$6=""),"",TRIM(INDEX($A:$AP,ROW(),$E$6)&amp;""))</f>
        <v/>
      </c>
      <c r="AZ111" s="2">
        <f>IF(OR($AS111="",$D$6=""),"",TRIM(INDEX($A:$AP,ROW(),$D$6)&amp;""))</f>
        <v/>
      </c>
      <c r="BA111" s="2">
        <f>IF($AS111="","",IF(AND($AS111&gt;=설정!$B$10,$AS111&lt;=설정!$B$11),"포함","기간 밖"))</f>
        <v/>
      </c>
      <c r="BB111" s="2">
        <f>IF($AS111="","",IF(OR($AT111&lt;0,AND($I$6&lt;&gt;"",ISNUMBER(FIND("수정",INDEX($A:$AP,ROW(),IF($I$6="",1,$I$6))&amp;"")))),"수정","일반"))</f>
        <v/>
      </c>
      <c r="BC111" s="2">
        <f>IF($AS111="","",MID(IF($BA111="기간 밖"," / 기간 밖(신고기간 아님)","")&amp;IF(AND($AW111&lt;&gt;"",COUNTIF($AW$8:$AW$1007,$AW111)&gt;1)," / 승인번호 중복(두 번 붙여넣기?)","")&amp;IF(ABS($AU111-ROUND($AT111*0.1,0))&gt;설정!$B$8,IF($AU111=0," / 세액 0원(영세율·면세 여부 확인)"," / 세액이 공급가액 10%와 다름"),"")&amp;IF($BB111="수정"," / 수정세금계산서(합계에서 자동 가감)",""),4,200))</f>
        <v/>
      </c>
      <c r="BD111" s="2">
        <f>IF($BA111&lt;&gt;"포함","",IF(COUNTIFS($AX$8:$AX111,$AX111,$BA$8:$BA111,"포함")=1,MAX($BD$7:BD110)+1,""))</f>
        <v/>
      </c>
      <c r="BE111" s="2">
        <f>IF($BC111="","",MAX($BE$7:BE110)+1)</f>
        <v/>
      </c>
    </row>
    <row r="112">
      <c r="AR112" s="2">
        <f>IF(OR($A$5="",$B$6="",ROW()&lt;$A$5),"",IF(INDEX($A:$AP,ROW(),$B$6)="","",INDEX($A:$AP,ROW(),$B$6)))</f>
        <v/>
      </c>
      <c r="AS112" s="22">
        <f>IF($AR112="","",IF(ISNUMBER($AR112),IF($AR112&gt;=10000000,IFERROR(DATE(INT($AR112/10000),MOD(INT($AR112/100),100),MOD($AR112,100)),""),INT($AR112)),IFERROR(DATE(--LEFT(LEFT(SUBSTITUTE(SUBSTITUTE(SUBSTITUTE(SUBSTITUTE(TRIM($AR112),"-",""),".",""),"/","")," ",""),8),4),--MID(LEFT(SUBSTITUTE(SUBSTITUTE(SUBSTITUTE(SUBSTITUTE(TRIM($AR112),"-",""),".",""),"/","")," ",""),8),5,2),--MID(LEFT(SUBSTITUTE(SUBSTITUTE(SUBSTITUTE(SUBSTITUTE(TRIM($AR112),"-",""),".",""),"/","")," ",""),8),7,2)),"")))</f>
        <v/>
      </c>
      <c r="AT112" s="23">
        <f>IF($AS112="","",IF($F$6="",0,IF(ISNUMBER(INDEX($A:$AP,ROW(),$F$6)),INDEX($A:$AP,ROW(),$F$6),IFERROR(--SUBSTITUTE(SUBSTITUTE(TRIM(INDEX($A:$AP,ROW(),$F$6)),",",""),"원",""),0))))</f>
        <v/>
      </c>
      <c r="AU112" s="23">
        <f>IF($AS112="","",IF($G$6="",0,IF(ISNUMBER(INDEX($A:$AP,ROW(),$G$6)),INDEX($A:$AP,ROW(),$G$6),IFERROR(--SUBSTITUTE(SUBSTITUTE(TRIM(INDEX($A:$AP,ROW(),$G$6)),",",""),"원",""),0))))</f>
        <v/>
      </c>
      <c r="AV112" s="23">
        <f>IF($AS112="","",IF($H$6="",$AT112+$AU112,IF($H$6="",0,IF(ISNUMBER(INDEX($A:$AP,ROW(),$H$6)),INDEX($A:$AP,ROW(),$H$6),IFERROR(--SUBSTITUTE(SUBSTITUTE(TRIM(INDEX($A:$AP,ROW(),$H$6)),",",""),"원",""),0)))))</f>
        <v/>
      </c>
      <c r="AW112" s="2">
        <f>IF(OR($AS112="",$C$6=""),"",TRIM(INDEX($A:$AP,ROW(),$C$6)&amp;""))</f>
        <v/>
      </c>
      <c r="AX112" s="2">
        <f>IF($AS112="","",IF($AZ112&lt;&gt;"",SUBSTITUTE(SUBSTITUTE($AZ112,"-","")," ",""),$AY112))</f>
        <v/>
      </c>
      <c r="AY112" s="2">
        <f>IF(OR($AS112="",$E$6=""),"",TRIM(INDEX($A:$AP,ROW(),$E$6)&amp;""))</f>
        <v/>
      </c>
      <c r="AZ112" s="2">
        <f>IF(OR($AS112="",$D$6=""),"",TRIM(INDEX($A:$AP,ROW(),$D$6)&amp;""))</f>
        <v/>
      </c>
      <c r="BA112" s="2">
        <f>IF($AS112="","",IF(AND($AS112&gt;=설정!$B$10,$AS112&lt;=설정!$B$11),"포함","기간 밖"))</f>
        <v/>
      </c>
      <c r="BB112" s="2">
        <f>IF($AS112="","",IF(OR($AT112&lt;0,AND($I$6&lt;&gt;"",ISNUMBER(FIND("수정",INDEX($A:$AP,ROW(),IF($I$6="",1,$I$6))&amp;"")))),"수정","일반"))</f>
        <v/>
      </c>
      <c r="BC112" s="2">
        <f>IF($AS112="","",MID(IF($BA112="기간 밖"," / 기간 밖(신고기간 아님)","")&amp;IF(AND($AW112&lt;&gt;"",COUNTIF($AW$8:$AW$1007,$AW112)&gt;1)," / 승인번호 중복(두 번 붙여넣기?)","")&amp;IF(ABS($AU112-ROUND($AT112*0.1,0))&gt;설정!$B$8,IF($AU112=0," / 세액 0원(영세율·면세 여부 확인)"," / 세액이 공급가액 10%와 다름"),"")&amp;IF($BB112="수정"," / 수정세금계산서(합계에서 자동 가감)",""),4,200))</f>
        <v/>
      </c>
      <c r="BD112" s="2">
        <f>IF($BA112&lt;&gt;"포함","",IF(COUNTIFS($AX$8:$AX112,$AX112,$BA$8:$BA112,"포함")=1,MAX($BD$7:BD111)+1,""))</f>
        <v/>
      </c>
      <c r="BE112" s="2">
        <f>IF($BC112="","",MAX($BE$7:BE111)+1)</f>
        <v/>
      </c>
    </row>
    <row r="113">
      <c r="AR113" s="2">
        <f>IF(OR($A$5="",$B$6="",ROW()&lt;$A$5),"",IF(INDEX($A:$AP,ROW(),$B$6)="","",INDEX($A:$AP,ROW(),$B$6)))</f>
        <v/>
      </c>
      <c r="AS113" s="22">
        <f>IF($AR113="","",IF(ISNUMBER($AR113),IF($AR113&gt;=10000000,IFERROR(DATE(INT($AR113/10000),MOD(INT($AR113/100),100),MOD($AR113,100)),""),INT($AR113)),IFERROR(DATE(--LEFT(LEFT(SUBSTITUTE(SUBSTITUTE(SUBSTITUTE(SUBSTITUTE(TRIM($AR113),"-",""),".",""),"/","")," ",""),8),4),--MID(LEFT(SUBSTITUTE(SUBSTITUTE(SUBSTITUTE(SUBSTITUTE(TRIM($AR113),"-",""),".",""),"/","")," ",""),8),5,2),--MID(LEFT(SUBSTITUTE(SUBSTITUTE(SUBSTITUTE(SUBSTITUTE(TRIM($AR113),"-",""),".",""),"/","")," ",""),8),7,2)),"")))</f>
        <v/>
      </c>
      <c r="AT113" s="23">
        <f>IF($AS113="","",IF($F$6="",0,IF(ISNUMBER(INDEX($A:$AP,ROW(),$F$6)),INDEX($A:$AP,ROW(),$F$6),IFERROR(--SUBSTITUTE(SUBSTITUTE(TRIM(INDEX($A:$AP,ROW(),$F$6)),",",""),"원",""),0))))</f>
        <v/>
      </c>
      <c r="AU113" s="23">
        <f>IF($AS113="","",IF($G$6="",0,IF(ISNUMBER(INDEX($A:$AP,ROW(),$G$6)),INDEX($A:$AP,ROW(),$G$6),IFERROR(--SUBSTITUTE(SUBSTITUTE(TRIM(INDEX($A:$AP,ROW(),$G$6)),",",""),"원",""),0))))</f>
        <v/>
      </c>
      <c r="AV113" s="23">
        <f>IF($AS113="","",IF($H$6="",$AT113+$AU113,IF($H$6="",0,IF(ISNUMBER(INDEX($A:$AP,ROW(),$H$6)),INDEX($A:$AP,ROW(),$H$6),IFERROR(--SUBSTITUTE(SUBSTITUTE(TRIM(INDEX($A:$AP,ROW(),$H$6)),",",""),"원",""),0)))))</f>
        <v/>
      </c>
      <c r="AW113" s="2">
        <f>IF(OR($AS113="",$C$6=""),"",TRIM(INDEX($A:$AP,ROW(),$C$6)&amp;""))</f>
        <v/>
      </c>
      <c r="AX113" s="2">
        <f>IF($AS113="","",IF($AZ113&lt;&gt;"",SUBSTITUTE(SUBSTITUTE($AZ113,"-","")," ",""),$AY113))</f>
        <v/>
      </c>
      <c r="AY113" s="2">
        <f>IF(OR($AS113="",$E$6=""),"",TRIM(INDEX($A:$AP,ROW(),$E$6)&amp;""))</f>
        <v/>
      </c>
      <c r="AZ113" s="2">
        <f>IF(OR($AS113="",$D$6=""),"",TRIM(INDEX($A:$AP,ROW(),$D$6)&amp;""))</f>
        <v/>
      </c>
      <c r="BA113" s="2">
        <f>IF($AS113="","",IF(AND($AS113&gt;=설정!$B$10,$AS113&lt;=설정!$B$11),"포함","기간 밖"))</f>
        <v/>
      </c>
      <c r="BB113" s="2">
        <f>IF($AS113="","",IF(OR($AT113&lt;0,AND($I$6&lt;&gt;"",ISNUMBER(FIND("수정",INDEX($A:$AP,ROW(),IF($I$6="",1,$I$6))&amp;"")))),"수정","일반"))</f>
        <v/>
      </c>
      <c r="BC113" s="2">
        <f>IF($AS113="","",MID(IF($BA113="기간 밖"," / 기간 밖(신고기간 아님)","")&amp;IF(AND($AW113&lt;&gt;"",COUNTIF($AW$8:$AW$1007,$AW113)&gt;1)," / 승인번호 중복(두 번 붙여넣기?)","")&amp;IF(ABS($AU113-ROUND($AT113*0.1,0))&gt;설정!$B$8,IF($AU113=0," / 세액 0원(영세율·면세 여부 확인)"," / 세액이 공급가액 10%와 다름"),"")&amp;IF($BB113="수정"," / 수정세금계산서(합계에서 자동 가감)",""),4,200))</f>
        <v/>
      </c>
      <c r="BD113" s="2">
        <f>IF($BA113&lt;&gt;"포함","",IF(COUNTIFS($AX$8:$AX113,$AX113,$BA$8:$BA113,"포함")=1,MAX($BD$7:BD112)+1,""))</f>
        <v/>
      </c>
      <c r="BE113" s="2">
        <f>IF($BC113="","",MAX($BE$7:BE112)+1)</f>
        <v/>
      </c>
    </row>
    <row r="114">
      <c r="AR114" s="2">
        <f>IF(OR($A$5="",$B$6="",ROW()&lt;$A$5),"",IF(INDEX($A:$AP,ROW(),$B$6)="","",INDEX($A:$AP,ROW(),$B$6)))</f>
        <v/>
      </c>
      <c r="AS114" s="22">
        <f>IF($AR114="","",IF(ISNUMBER($AR114),IF($AR114&gt;=10000000,IFERROR(DATE(INT($AR114/10000),MOD(INT($AR114/100),100),MOD($AR114,100)),""),INT($AR114)),IFERROR(DATE(--LEFT(LEFT(SUBSTITUTE(SUBSTITUTE(SUBSTITUTE(SUBSTITUTE(TRIM($AR114),"-",""),".",""),"/","")," ",""),8),4),--MID(LEFT(SUBSTITUTE(SUBSTITUTE(SUBSTITUTE(SUBSTITUTE(TRIM($AR114),"-",""),".",""),"/","")," ",""),8),5,2),--MID(LEFT(SUBSTITUTE(SUBSTITUTE(SUBSTITUTE(SUBSTITUTE(TRIM($AR114),"-",""),".",""),"/","")," ",""),8),7,2)),"")))</f>
        <v/>
      </c>
      <c r="AT114" s="23">
        <f>IF($AS114="","",IF($F$6="",0,IF(ISNUMBER(INDEX($A:$AP,ROW(),$F$6)),INDEX($A:$AP,ROW(),$F$6),IFERROR(--SUBSTITUTE(SUBSTITUTE(TRIM(INDEX($A:$AP,ROW(),$F$6)),",",""),"원",""),0))))</f>
        <v/>
      </c>
      <c r="AU114" s="23">
        <f>IF($AS114="","",IF($G$6="",0,IF(ISNUMBER(INDEX($A:$AP,ROW(),$G$6)),INDEX($A:$AP,ROW(),$G$6),IFERROR(--SUBSTITUTE(SUBSTITUTE(TRIM(INDEX($A:$AP,ROW(),$G$6)),",",""),"원",""),0))))</f>
        <v/>
      </c>
      <c r="AV114" s="23">
        <f>IF($AS114="","",IF($H$6="",$AT114+$AU114,IF($H$6="",0,IF(ISNUMBER(INDEX($A:$AP,ROW(),$H$6)),INDEX($A:$AP,ROW(),$H$6),IFERROR(--SUBSTITUTE(SUBSTITUTE(TRIM(INDEX($A:$AP,ROW(),$H$6)),",",""),"원",""),0)))))</f>
        <v/>
      </c>
      <c r="AW114" s="2">
        <f>IF(OR($AS114="",$C$6=""),"",TRIM(INDEX($A:$AP,ROW(),$C$6)&amp;""))</f>
        <v/>
      </c>
      <c r="AX114" s="2">
        <f>IF($AS114="","",IF($AZ114&lt;&gt;"",SUBSTITUTE(SUBSTITUTE($AZ114,"-","")," ",""),$AY114))</f>
        <v/>
      </c>
      <c r="AY114" s="2">
        <f>IF(OR($AS114="",$E$6=""),"",TRIM(INDEX($A:$AP,ROW(),$E$6)&amp;""))</f>
        <v/>
      </c>
      <c r="AZ114" s="2">
        <f>IF(OR($AS114="",$D$6=""),"",TRIM(INDEX($A:$AP,ROW(),$D$6)&amp;""))</f>
        <v/>
      </c>
      <c r="BA114" s="2">
        <f>IF($AS114="","",IF(AND($AS114&gt;=설정!$B$10,$AS114&lt;=설정!$B$11),"포함","기간 밖"))</f>
        <v/>
      </c>
      <c r="BB114" s="2">
        <f>IF($AS114="","",IF(OR($AT114&lt;0,AND($I$6&lt;&gt;"",ISNUMBER(FIND("수정",INDEX($A:$AP,ROW(),IF($I$6="",1,$I$6))&amp;"")))),"수정","일반"))</f>
        <v/>
      </c>
      <c r="BC114" s="2">
        <f>IF($AS114="","",MID(IF($BA114="기간 밖"," / 기간 밖(신고기간 아님)","")&amp;IF(AND($AW114&lt;&gt;"",COUNTIF($AW$8:$AW$1007,$AW114)&gt;1)," / 승인번호 중복(두 번 붙여넣기?)","")&amp;IF(ABS($AU114-ROUND($AT114*0.1,0))&gt;설정!$B$8,IF($AU114=0," / 세액 0원(영세율·면세 여부 확인)"," / 세액이 공급가액 10%와 다름"),"")&amp;IF($BB114="수정"," / 수정세금계산서(합계에서 자동 가감)",""),4,200))</f>
        <v/>
      </c>
      <c r="BD114" s="2">
        <f>IF($BA114&lt;&gt;"포함","",IF(COUNTIFS($AX$8:$AX114,$AX114,$BA$8:$BA114,"포함")=1,MAX($BD$7:BD113)+1,""))</f>
        <v/>
      </c>
      <c r="BE114" s="2">
        <f>IF($BC114="","",MAX($BE$7:BE113)+1)</f>
        <v/>
      </c>
    </row>
    <row r="115">
      <c r="AR115" s="2">
        <f>IF(OR($A$5="",$B$6="",ROW()&lt;$A$5),"",IF(INDEX($A:$AP,ROW(),$B$6)="","",INDEX($A:$AP,ROW(),$B$6)))</f>
        <v/>
      </c>
      <c r="AS115" s="22">
        <f>IF($AR115="","",IF(ISNUMBER($AR115),IF($AR115&gt;=10000000,IFERROR(DATE(INT($AR115/10000),MOD(INT($AR115/100),100),MOD($AR115,100)),""),INT($AR115)),IFERROR(DATE(--LEFT(LEFT(SUBSTITUTE(SUBSTITUTE(SUBSTITUTE(SUBSTITUTE(TRIM($AR115),"-",""),".",""),"/","")," ",""),8),4),--MID(LEFT(SUBSTITUTE(SUBSTITUTE(SUBSTITUTE(SUBSTITUTE(TRIM($AR115),"-",""),".",""),"/","")," ",""),8),5,2),--MID(LEFT(SUBSTITUTE(SUBSTITUTE(SUBSTITUTE(SUBSTITUTE(TRIM($AR115),"-",""),".",""),"/","")," ",""),8),7,2)),"")))</f>
        <v/>
      </c>
      <c r="AT115" s="23">
        <f>IF($AS115="","",IF($F$6="",0,IF(ISNUMBER(INDEX($A:$AP,ROW(),$F$6)),INDEX($A:$AP,ROW(),$F$6),IFERROR(--SUBSTITUTE(SUBSTITUTE(TRIM(INDEX($A:$AP,ROW(),$F$6)),",",""),"원",""),0))))</f>
        <v/>
      </c>
      <c r="AU115" s="23">
        <f>IF($AS115="","",IF($G$6="",0,IF(ISNUMBER(INDEX($A:$AP,ROW(),$G$6)),INDEX($A:$AP,ROW(),$G$6),IFERROR(--SUBSTITUTE(SUBSTITUTE(TRIM(INDEX($A:$AP,ROW(),$G$6)),",",""),"원",""),0))))</f>
        <v/>
      </c>
      <c r="AV115" s="23">
        <f>IF($AS115="","",IF($H$6="",$AT115+$AU115,IF($H$6="",0,IF(ISNUMBER(INDEX($A:$AP,ROW(),$H$6)),INDEX($A:$AP,ROW(),$H$6),IFERROR(--SUBSTITUTE(SUBSTITUTE(TRIM(INDEX($A:$AP,ROW(),$H$6)),",",""),"원",""),0)))))</f>
        <v/>
      </c>
      <c r="AW115" s="2">
        <f>IF(OR($AS115="",$C$6=""),"",TRIM(INDEX($A:$AP,ROW(),$C$6)&amp;""))</f>
        <v/>
      </c>
      <c r="AX115" s="2">
        <f>IF($AS115="","",IF($AZ115&lt;&gt;"",SUBSTITUTE(SUBSTITUTE($AZ115,"-","")," ",""),$AY115))</f>
        <v/>
      </c>
      <c r="AY115" s="2">
        <f>IF(OR($AS115="",$E$6=""),"",TRIM(INDEX($A:$AP,ROW(),$E$6)&amp;""))</f>
        <v/>
      </c>
      <c r="AZ115" s="2">
        <f>IF(OR($AS115="",$D$6=""),"",TRIM(INDEX($A:$AP,ROW(),$D$6)&amp;""))</f>
        <v/>
      </c>
      <c r="BA115" s="2">
        <f>IF($AS115="","",IF(AND($AS115&gt;=설정!$B$10,$AS115&lt;=설정!$B$11),"포함","기간 밖"))</f>
        <v/>
      </c>
      <c r="BB115" s="2">
        <f>IF($AS115="","",IF(OR($AT115&lt;0,AND($I$6&lt;&gt;"",ISNUMBER(FIND("수정",INDEX($A:$AP,ROW(),IF($I$6="",1,$I$6))&amp;"")))),"수정","일반"))</f>
        <v/>
      </c>
      <c r="BC115" s="2">
        <f>IF($AS115="","",MID(IF($BA115="기간 밖"," / 기간 밖(신고기간 아님)","")&amp;IF(AND($AW115&lt;&gt;"",COUNTIF($AW$8:$AW$1007,$AW115)&gt;1)," / 승인번호 중복(두 번 붙여넣기?)","")&amp;IF(ABS($AU115-ROUND($AT115*0.1,0))&gt;설정!$B$8,IF($AU115=0," / 세액 0원(영세율·면세 여부 확인)"," / 세액이 공급가액 10%와 다름"),"")&amp;IF($BB115="수정"," / 수정세금계산서(합계에서 자동 가감)",""),4,200))</f>
        <v/>
      </c>
      <c r="BD115" s="2">
        <f>IF($BA115&lt;&gt;"포함","",IF(COUNTIFS($AX$8:$AX115,$AX115,$BA$8:$BA115,"포함")=1,MAX($BD$7:BD114)+1,""))</f>
        <v/>
      </c>
      <c r="BE115" s="2">
        <f>IF($BC115="","",MAX($BE$7:BE114)+1)</f>
        <v/>
      </c>
    </row>
    <row r="116">
      <c r="AR116" s="2">
        <f>IF(OR($A$5="",$B$6="",ROW()&lt;$A$5),"",IF(INDEX($A:$AP,ROW(),$B$6)="","",INDEX($A:$AP,ROW(),$B$6)))</f>
        <v/>
      </c>
      <c r="AS116" s="22">
        <f>IF($AR116="","",IF(ISNUMBER($AR116),IF($AR116&gt;=10000000,IFERROR(DATE(INT($AR116/10000),MOD(INT($AR116/100),100),MOD($AR116,100)),""),INT($AR116)),IFERROR(DATE(--LEFT(LEFT(SUBSTITUTE(SUBSTITUTE(SUBSTITUTE(SUBSTITUTE(TRIM($AR116),"-",""),".",""),"/","")," ",""),8),4),--MID(LEFT(SUBSTITUTE(SUBSTITUTE(SUBSTITUTE(SUBSTITUTE(TRIM($AR116),"-",""),".",""),"/","")," ",""),8),5,2),--MID(LEFT(SUBSTITUTE(SUBSTITUTE(SUBSTITUTE(SUBSTITUTE(TRIM($AR116),"-",""),".",""),"/","")," ",""),8),7,2)),"")))</f>
        <v/>
      </c>
      <c r="AT116" s="23">
        <f>IF($AS116="","",IF($F$6="",0,IF(ISNUMBER(INDEX($A:$AP,ROW(),$F$6)),INDEX($A:$AP,ROW(),$F$6),IFERROR(--SUBSTITUTE(SUBSTITUTE(TRIM(INDEX($A:$AP,ROW(),$F$6)),",",""),"원",""),0))))</f>
        <v/>
      </c>
      <c r="AU116" s="23">
        <f>IF($AS116="","",IF($G$6="",0,IF(ISNUMBER(INDEX($A:$AP,ROW(),$G$6)),INDEX($A:$AP,ROW(),$G$6),IFERROR(--SUBSTITUTE(SUBSTITUTE(TRIM(INDEX($A:$AP,ROW(),$G$6)),",",""),"원",""),0))))</f>
        <v/>
      </c>
      <c r="AV116" s="23">
        <f>IF($AS116="","",IF($H$6="",$AT116+$AU116,IF($H$6="",0,IF(ISNUMBER(INDEX($A:$AP,ROW(),$H$6)),INDEX($A:$AP,ROW(),$H$6),IFERROR(--SUBSTITUTE(SUBSTITUTE(TRIM(INDEX($A:$AP,ROW(),$H$6)),",",""),"원",""),0)))))</f>
        <v/>
      </c>
      <c r="AW116" s="2">
        <f>IF(OR($AS116="",$C$6=""),"",TRIM(INDEX($A:$AP,ROW(),$C$6)&amp;""))</f>
        <v/>
      </c>
      <c r="AX116" s="2">
        <f>IF($AS116="","",IF($AZ116&lt;&gt;"",SUBSTITUTE(SUBSTITUTE($AZ116,"-","")," ",""),$AY116))</f>
        <v/>
      </c>
      <c r="AY116" s="2">
        <f>IF(OR($AS116="",$E$6=""),"",TRIM(INDEX($A:$AP,ROW(),$E$6)&amp;""))</f>
        <v/>
      </c>
      <c r="AZ116" s="2">
        <f>IF(OR($AS116="",$D$6=""),"",TRIM(INDEX($A:$AP,ROW(),$D$6)&amp;""))</f>
        <v/>
      </c>
      <c r="BA116" s="2">
        <f>IF($AS116="","",IF(AND($AS116&gt;=설정!$B$10,$AS116&lt;=설정!$B$11),"포함","기간 밖"))</f>
        <v/>
      </c>
      <c r="BB116" s="2">
        <f>IF($AS116="","",IF(OR($AT116&lt;0,AND($I$6&lt;&gt;"",ISNUMBER(FIND("수정",INDEX($A:$AP,ROW(),IF($I$6="",1,$I$6))&amp;"")))),"수정","일반"))</f>
        <v/>
      </c>
      <c r="BC116" s="2">
        <f>IF($AS116="","",MID(IF($BA116="기간 밖"," / 기간 밖(신고기간 아님)","")&amp;IF(AND($AW116&lt;&gt;"",COUNTIF($AW$8:$AW$1007,$AW116)&gt;1)," / 승인번호 중복(두 번 붙여넣기?)","")&amp;IF(ABS($AU116-ROUND($AT116*0.1,0))&gt;설정!$B$8,IF($AU116=0," / 세액 0원(영세율·면세 여부 확인)"," / 세액이 공급가액 10%와 다름"),"")&amp;IF($BB116="수정"," / 수정세금계산서(합계에서 자동 가감)",""),4,200))</f>
        <v/>
      </c>
      <c r="BD116" s="2">
        <f>IF($BA116&lt;&gt;"포함","",IF(COUNTIFS($AX$8:$AX116,$AX116,$BA$8:$BA116,"포함")=1,MAX($BD$7:BD115)+1,""))</f>
        <v/>
      </c>
      <c r="BE116" s="2">
        <f>IF($BC116="","",MAX($BE$7:BE115)+1)</f>
        <v/>
      </c>
    </row>
    <row r="117">
      <c r="AR117" s="2">
        <f>IF(OR($A$5="",$B$6="",ROW()&lt;$A$5),"",IF(INDEX($A:$AP,ROW(),$B$6)="","",INDEX($A:$AP,ROW(),$B$6)))</f>
        <v/>
      </c>
      <c r="AS117" s="22">
        <f>IF($AR117="","",IF(ISNUMBER($AR117),IF($AR117&gt;=10000000,IFERROR(DATE(INT($AR117/10000),MOD(INT($AR117/100),100),MOD($AR117,100)),""),INT($AR117)),IFERROR(DATE(--LEFT(LEFT(SUBSTITUTE(SUBSTITUTE(SUBSTITUTE(SUBSTITUTE(TRIM($AR117),"-",""),".",""),"/","")," ",""),8),4),--MID(LEFT(SUBSTITUTE(SUBSTITUTE(SUBSTITUTE(SUBSTITUTE(TRIM($AR117),"-",""),".",""),"/","")," ",""),8),5,2),--MID(LEFT(SUBSTITUTE(SUBSTITUTE(SUBSTITUTE(SUBSTITUTE(TRIM($AR117),"-",""),".",""),"/","")," ",""),8),7,2)),"")))</f>
        <v/>
      </c>
      <c r="AT117" s="23">
        <f>IF($AS117="","",IF($F$6="",0,IF(ISNUMBER(INDEX($A:$AP,ROW(),$F$6)),INDEX($A:$AP,ROW(),$F$6),IFERROR(--SUBSTITUTE(SUBSTITUTE(TRIM(INDEX($A:$AP,ROW(),$F$6)),",",""),"원",""),0))))</f>
        <v/>
      </c>
      <c r="AU117" s="23">
        <f>IF($AS117="","",IF($G$6="",0,IF(ISNUMBER(INDEX($A:$AP,ROW(),$G$6)),INDEX($A:$AP,ROW(),$G$6),IFERROR(--SUBSTITUTE(SUBSTITUTE(TRIM(INDEX($A:$AP,ROW(),$G$6)),",",""),"원",""),0))))</f>
        <v/>
      </c>
      <c r="AV117" s="23">
        <f>IF($AS117="","",IF($H$6="",$AT117+$AU117,IF($H$6="",0,IF(ISNUMBER(INDEX($A:$AP,ROW(),$H$6)),INDEX($A:$AP,ROW(),$H$6),IFERROR(--SUBSTITUTE(SUBSTITUTE(TRIM(INDEX($A:$AP,ROW(),$H$6)),",",""),"원",""),0)))))</f>
        <v/>
      </c>
      <c r="AW117" s="2">
        <f>IF(OR($AS117="",$C$6=""),"",TRIM(INDEX($A:$AP,ROW(),$C$6)&amp;""))</f>
        <v/>
      </c>
      <c r="AX117" s="2">
        <f>IF($AS117="","",IF($AZ117&lt;&gt;"",SUBSTITUTE(SUBSTITUTE($AZ117,"-","")," ",""),$AY117))</f>
        <v/>
      </c>
      <c r="AY117" s="2">
        <f>IF(OR($AS117="",$E$6=""),"",TRIM(INDEX($A:$AP,ROW(),$E$6)&amp;""))</f>
        <v/>
      </c>
      <c r="AZ117" s="2">
        <f>IF(OR($AS117="",$D$6=""),"",TRIM(INDEX($A:$AP,ROW(),$D$6)&amp;""))</f>
        <v/>
      </c>
      <c r="BA117" s="2">
        <f>IF($AS117="","",IF(AND($AS117&gt;=설정!$B$10,$AS117&lt;=설정!$B$11),"포함","기간 밖"))</f>
        <v/>
      </c>
      <c r="BB117" s="2">
        <f>IF($AS117="","",IF(OR($AT117&lt;0,AND($I$6&lt;&gt;"",ISNUMBER(FIND("수정",INDEX($A:$AP,ROW(),IF($I$6="",1,$I$6))&amp;"")))),"수정","일반"))</f>
        <v/>
      </c>
      <c r="BC117" s="2">
        <f>IF($AS117="","",MID(IF($BA117="기간 밖"," / 기간 밖(신고기간 아님)","")&amp;IF(AND($AW117&lt;&gt;"",COUNTIF($AW$8:$AW$1007,$AW117)&gt;1)," / 승인번호 중복(두 번 붙여넣기?)","")&amp;IF(ABS($AU117-ROUND($AT117*0.1,0))&gt;설정!$B$8,IF($AU117=0," / 세액 0원(영세율·면세 여부 확인)"," / 세액이 공급가액 10%와 다름"),"")&amp;IF($BB117="수정"," / 수정세금계산서(합계에서 자동 가감)",""),4,200))</f>
        <v/>
      </c>
      <c r="BD117" s="2">
        <f>IF($BA117&lt;&gt;"포함","",IF(COUNTIFS($AX$8:$AX117,$AX117,$BA$8:$BA117,"포함")=1,MAX($BD$7:BD116)+1,""))</f>
        <v/>
      </c>
      <c r="BE117" s="2">
        <f>IF($BC117="","",MAX($BE$7:BE116)+1)</f>
        <v/>
      </c>
    </row>
    <row r="118">
      <c r="AR118" s="2">
        <f>IF(OR($A$5="",$B$6="",ROW()&lt;$A$5),"",IF(INDEX($A:$AP,ROW(),$B$6)="","",INDEX($A:$AP,ROW(),$B$6)))</f>
        <v/>
      </c>
      <c r="AS118" s="22">
        <f>IF($AR118="","",IF(ISNUMBER($AR118),IF($AR118&gt;=10000000,IFERROR(DATE(INT($AR118/10000),MOD(INT($AR118/100),100),MOD($AR118,100)),""),INT($AR118)),IFERROR(DATE(--LEFT(LEFT(SUBSTITUTE(SUBSTITUTE(SUBSTITUTE(SUBSTITUTE(TRIM($AR118),"-",""),".",""),"/","")," ",""),8),4),--MID(LEFT(SUBSTITUTE(SUBSTITUTE(SUBSTITUTE(SUBSTITUTE(TRIM($AR118),"-",""),".",""),"/","")," ",""),8),5,2),--MID(LEFT(SUBSTITUTE(SUBSTITUTE(SUBSTITUTE(SUBSTITUTE(TRIM($AR118),"-",""),".",""),"/","")," ",""),8),7,2)),"")))</f>
        <v/>
      </c>
      <c r="AT118" s="23">
        <f>IF($AS118="","",IF($F$6="",0,IF(ISNUMBER(INDEX($A:$AP,ROW(),$F$6)),INDEX($A:$AP,ROW(),$F$6),IFERROR(--SUBSTITUTE(SUBSTITUTE(TRIM(INDEX($A:$AP,ROW(),$F$6)),",",""),"원",""),0))))</f>
        <v/>
      </c>
      <c r="AU118" s="23">
        <f>IF($AS118="","",IF($G$6="",0,IF(ISNUMBER(INDEX($A:$AP,ROW(),$G$6)),INDEX($A:$AP,ROW(),$G$6),IFERROR(--SUBSTITUTE(SUBSTITUTE(TRIM(INDEX($A:$AP,ROW(),$G$6)),",",""),"원",""),0))))</f>
        <v/>
      </c>
      <c r="AV118" s="23">
        <f>IF($AS118="","",IF($H$6="",$AT118+$AU118,IF($H$6="",0,IF(ISNUMBER(INDEX($A:$AP,ROW(),$H$6)),INDEX($A:$AP,ROW(),$H$6),IFERROR(--SUBSTITUTE(SUBSTITUTE(TRIM(INDEX($A:$AP,ROW(),$H$6)),",",""),"원",""),0)))))</f>
        <v/>
      </c>
      <c r="AW118" s="2">
        <f>IF(OR($AS118="",$C$6=""),"",TRIM(INDEX($A:$AP,ROW(),$C$6)&amp;""))</f>
        <v/>
      </c>
      <c r="AX118" s="2">
        <f>IF($AS118="","",IF($AZ118&lt;&gt;"",SUBSTITUTE(SUBSTITUTE($AZ118,"-","")," ",""),$AY118))</f>
        <v/>
      </c>
      <c r="AY118" s="2">
        <f>IF(OR($AS118="",$E$6=""),"",TRIM(INDEX($A:$AP,ROW(),$E$6)&amp;""))</f>
        <v/>
      </c>
      <c r="AZ118" s="2">
        <f>IF(OR($AS118="",$D$6=""),"",TRIM(INDEX($A:$AP,ROW(),$D$6)&amp;""))</f>
        <v/>
      </c>
      <c r="BA118" s="2">
        <f>IF($AS118="","",IF(AND($AS118&gt;=설정!$B$10,$AS118&lt;=설정!$B$11),"포함","기간 밖"))</f>
        <v/>
      </c>
      <c r="BB118" s="2">
        <f>IF($AS118="","",IF(OR($AT118&lt;0,AND($I$6&lt;&gt;"",ISNUMBER(FIND("수정",INDEX($A:$AP,ROW(),IF($I$6="",1,$I$6))&amp;"")))),"수정","일반"))</f>
        <v/>
      </c>
      <c r="BC118" s="2">
        <f>IF($AS118="","",MID(IF($BA118="기간 밖"," / 기간 밖(신고기간 아님)","")&amp;IF(AND($AW118&lt;&gt;"",COUNTIF($AW$8:$AW$1007,$AW118)&gt;1)," / 승인번호 중복(두 번 붙여넣기?)","")&amp;IF(ABS($AU118-ROUND($AT118*0.1,0))&gt;설정!$B$8,IF($AU118=0," / 세액 0원(영세율·면세 여부 확인)"," / 세액이 공급가액 10%와 다름"),"")&amp;IF($BB118="수정"," / 수정세금계산서(합계에서 자동 가감)",""),4,200))</f>
        <v/>
      </c>
      <c r="BD118" s="2">
        <f>IF($BA118&lt;&gt;"포함","",IF(COUNTIFS($AX$8:$AX118,$AX118,$BA$8:$BA118,"포함")=1,MAX($BD$7:BD117)+1,""))</f>
        <v/>
      </c>
      <c r="BE118" s="2">
        <f>IF($BC118="","",MAX($BE$7:BE117)+1)</f>
        <v/>
      </c>
    </row>
    <row r="119">
      <c r="AR119" s="2">
        <f>IF(OR($A$5="",$B$6="",ROW()&lt;$A$5),"",IF(INDEX($A:$AP,ROW(),$B$6)="","",INDEX($A:$AP,ROW(),$B$6)))</f>
        <v/>
      </c>
      <c r="AS119" s="22">
        <f>IF($AR119="","",IF(ISNUMBER($AR119),IF($AR119&gt;=10000000,IFERROR(DATE(INT($AR119/10000),MOD(INT($AR119/100),100),MOD($AR119,100)),""),INT($AR119)),IFERROR(DATE(--LEFT(LEFT(SUBSTITUTE(SUBSTITUTE(SUBSTITUTE(SUBSTITUTE(TRIM($AR119),"-",""),".",""),"/","")," ",""),8),4),--MID(LEFT(SUBSTITUTE(SUBSTITUTE(SUBSTITUTE(SUBSTITUTE(TRIM($AR119),"-",""),".",""),"/","")," ",""),8),5,2),--MID(LEFT(SUBSTITUTE(SUBSTITUTE(SUBSTITUTE(SUBSTITUTE(TRIM($AR119),"-",""),".",""),"/","")," ",""),8),7,2)),"")))</f>
        <v/>
      </c>
      <c r="AT119" s="23">
        <f>IF($AS119="","",IF($F$6="",0,IF(ISNUMBER(INDEX($A:$AP,ROW(),$F$6)),INDEX($A:$AP,ROW(),$F$6),IFERROR(--SUBSTITUTE(SUBSTITUTE(TRIM(INDEX($A:$AP,ROW(),$F$6)),",",""),"원",""),0))))</f>
        <v/>
      </c>
      <c r="AU119" s="23">
        <f>IF($AS119="","",IF($G$6="",0,IF(ISNUMBER(INDEX($A:$AP,ROW(),$G$6)),INDEX($A:$AP,ROW(),$G$6),IFERROR(--SUBSTITUTE(SUBSTITUTE(TRIM(INDEX($A:$AP,ROW(),$G$6)),",",""),"원",""),0))))</f>
        <v/>
      </c>
      <c r="AV119" s="23">
        <f>IF($AS119="","",IF($H$6="",$AT119+$AU119,IF($H$6="",0,IF(ISNUMBER(INDEX($A:$AP,ROW(),$H$6)),INDEX($A:$AP,ROW(),$H$6),IFERROR(--SUBSTITUTE(SUBSTITUTE(TRIM(INDEX($A:$AP,ROW(),$H$6)),",",""),"원",""),0)))))</f>
        <v/>
      </c>
      <c r="AW119" s="2">
        <f>IF(OR($AS119="",$C$6=""),"",TRIM(INDEX($A:$AP,ROW(),$C$6)&amp;""))</f>
        <v/>
      </c>
      <c r="AX119" s="2">
        <f>IF($AS119="","",IF($AZ119&lt;&gt;"",SUBSTITUTE(SUBSTITUTE($AZ119,"-","")," ",""),$AY119))</f>
        <v/>
      </c>
      <c r="AY119" s="2">
        <f>IF(OR($AS119="",$E$6=""),"",TRIM(INDEX($A:$AP,ROW(),$E$6)&amp;""))</f>
        <v/>
      </c>
      <c r="AZ119" s="2">
        <f>IF(OR($AS119="",$D$6=""),"",TRIM(INDEX($A:$AP,ROW(),$D$6)&amp;""))</f>
        <v/>
      </c>
      <c r="BA119" s="2">
        <f>IF($AS119="","",IF(AND($AS119&gt;=설정!$B$10,$AS119&lt;=설정!$B$11),"포함","기간 밖"))</f>
        <v/>
      </c>
      <c r="BB119" s="2">
        <f>IF($AS119="","",IF(OR($AT119&lt;0,AND($I$6&lt;&gt;"",ISNUMBER(FIND("수정",INDEX($A:$AP,ROW(),IF($I$6="",1,$I$6))&amp;"")))),"수정","일반"))</f>
        <v/>
      </c>
      <c r="BC119" s="2">
        <f>IF($AS119="","",MID(IF($BA119="기간 밖"," / 기간 밖(신고기간 아님)","")&amp;IF(AND($AW119&lt;&gt;"",COUNTIF($AW$8:$AW$1007,$AW119)&gt;1)," / 승인번호 중복(두 번 붙여넣기?)","")&amp;IF(ABS($AU119-ROUND($AT119*0.1,0))&gt;설정!$B$8,IF($AU119=0," / 세액 0원(영세율·면세 여부 확인)"," / 세액이 공급가액 10%와 다름"),"")&amp;IF($BB119="수정"," / 수정세금계산서(합계에서 자동 가감)",""),4,200))</f>
        <v/>
      </c>
      <c r="BD119" s="2">
        <f>IF($BA119&lt;&gt;"포함","",IF(COUNTIFS($AX$8:$AX119,$AX119,$BA$8:$BA119,"포함")=1,MAX($BD$7:BD118)+1,""))</f>
        <v/>
      </c>
      <c r="BE119" s="2">
        <f>IF($BC119="","",MAX($BE$7:BE118)+1)</f>
        <v/>
      </c>
    </row>
    <row r="120">
      <c r="AR120" s="2">
        <f>IF(OR($A$5="",$B$6="",ROW()&lt;$A$5),"",IF(INDEX($A:$AP,ROW(),$B$6)="","",INDEX($A:$AP,ROW(),$B$6)))</f>
        <v/>
      </c>
      <c r="AS120" s="22">
        <f>IF($AR120="","",IF(ISNUMBER($AR120),IF($AR120&gt;=10000000,IFERROR(DATE(INT($AR120/10000),MOD(INT($AR120/100),100),MOD($AR120,100)),""),INT($AR120)),IFERROR(DATE(--LEFT(LEFT(SUBSTITUTE(SUBSTITUTE(SUBSTITUTE(SUBSTITUTE(TRIM($AR120),"-",""),".",""),"/","")," ",""),8),4),--MID(LEFT(SUBSTITUTE(SUBSTITUTE(SUBSTITUTE(SUBSTITUTE(TRIM($AR120),"-",""),".",""),"/","")," ",""),8),5,2),--MID(LEFT(SUBSTITUTE(SUBSTITUTE(SUBSTITUTE(SUBSTITUTE(TRIM($AR120),"-",""),".",""),"/","")," ",""),8),7,2)),"")))</f>
        <v/>
      </c>
      <c r="AT120" s="23">
        <f>IF($AS120="","",IF($F$6="",0,IF(ISNUMBER(INDEX($A:$AP,ROW(),$F$6)),INDEX($A:$AP,ROW(),$F$6),IFERROR(--SUBSTITUTE(SUBSTITUTE(TRIM(INDEX($A:$AP,ROW(),$F$6)),",",""),"원",""),0))))</f>
        <v/>
      </c>
      <c r="AU120" s="23">
        <f>IF($AS120="","",IF($G$6="",0,IF(ISNUMBER(INDEX($A:$AP,ROW(),$G$6)),INDEX($A:$AP,ROW(),$G$6),IFERROR(--SUBSTITUTE(SUBSTITUTE(TRIM(INDEX($A:$AP,ROW(),$G$6)),",",""),"원",""),0))))</f>
        <v/>
      </c>
      <c r="AV120" s="23">
        <f>IF($AS120="","",IF($H$6="",$AT120+$AU120,IF($H$6="",0,IF(ISNUMBER(INDEX($A:$AP,ROW(),$H$6)),INDEX($A:$AP,ROW(),$H$6),IFERROR(--SUBSTITUTE(SUBSTITUTE(TRIM(INDEX($A:$AP,ROW(),$H$6)),",",""),"원",""),0)))))</f>
        <v/>
      </c>
      <c r="AW120" s="2">
        <f>IF(OR($AS120="",$C$6=""),"",TRIM(INDEX($A:$AP,ROW(),$C$6)&amp;""))</f>
        <v/>
      </c>
      <c r="AX120" s="2">
        <f>IF($AS120="","",IF($AZ120&lt;&gt;"",SUBSTITUTE(SUBSTITUTE($AZ120,"-","")," ",""),$AY120))</f>
        <v/>
      </c>
      <c r="AY120" s="2">
        <f>IF(OR($AS120="",$E$6=""),"",TRIM(INDEX($A:$AP,ROW(),$E$6)&amp;""))</f>
        <v/>
      </c>
      <c r="AZ120" s="2">
        <f>IF(OR($AS120="",$D$6=""),"",TRIM(INDEX($A:$AP,ROW(),$D$6)&amp;""))</f>
        <v/>
      </c>
      <c r="BA120" s="2">
        <f>IF($AS120="","",IF(AND($AS120&gt;=설정!$B$10,$AS120&lt;=설정!$B$11),"포함","기간 밖"))</f>
        <v/>
      </c>
      <c r="BB120" s="2">
        <f>IF($AS120="","",IF(OR($AT120&lt;0,AND($I$6&lt;&gt;"",ISNUMBER(FIND("수정",INDEX($A:$AP,ROW(),IF($I$6="",1,$I$6))&amp;"")))),"수정","일반"))</f>
        <v/>
      </c>
      <c r="BC120" s="2">
        <f>IF($AS120="","",MID(IF($BA120="기간 밖"," / 기간 밖(신고기간 아님)","")&amp;IF(AND($AW120&lt;&gt;"",COUNTIF($AW$8:$AW$1007,$AW120)&gt;1)," / 승인번호 중복(두 번 붙여넣기?)","")&amp;IF(ABS($AU120-ROUND($AT120*0.1,0))&gt;설정!$B$8,IF($AU120=0," / 세액 0원(영세율·면세 여부 확인)"," / 세액이 공급가액 10%와 다름"),"")&amp;IF($BB120="수정"," / 수정세금계산서(합계에서 자동 가감)",""),4,200))</f>
        <v/>
      </c>
      <c r="BD120" s="2">
        <f>IF($BA120&lt;&gt;"포함","",IF(COUNTIFS($AX$8:$AX120,$AX120,$BA$8:$BA120,"포함")=1,MAX($BD$7:BD119)+1,""))</f>
        <v/>
      </c>
      <c r="BE120" s="2">
        <f>IF($BC120="","",MAX($BE$7:BE119)+1)</f>
        <v/>
      </c>
    </row>
    <row r="121">
      <c r="AR121" s="2">
        <f>IF(OR($A$5="",$B$6="",ROW()&lt;$A$5),"",IF(INDEX($A:$AP,ROW(),$B$6)="","",INDEX($A:$AP,ROW(),$B$6)))</f>
        <v/>
      </c>
      <c r="AS121" s="22">
        <f>IF($AR121="","",IF(ISNUMBER($AR121),IF($AR121&gt;=10000000,IFERROR(DATE(INT($AR121/10000),MOD(INT($AR121/100),100),MOD($AR121,100)),""),INT($AR121)),IFERROR(DATE(--LEFT(LEFT(SUBSTITUTE(SUBSTITUTE(SUBSTITUTE(SUBSTITUTE(TRIM($AR121),"-",""),".",""),"/","")," ",""),8),4),--MID(LEFT(SUBSTITUTE(SUBSTITUTE(SUBSTITUTE(SUBSTITUTE(TRIM($AR121),"-",""),".",""),"/","")," ",""),8),5,2),--MID(LEFT(SUBSTITUTE(SUBSTITUTE(SUBSTITUTE(SUBSTITUTE(TRIM($AR121),"-",""),".",""),"/","")," ",""),8),7,2)),"")))</f>
        <v/>
      </c>
      <c r="AT121" s="23">
        <f>IF($AS121="","",IF($F$6="",0,IF(ISNUMBER(INDEX($A:$AP,ROW(),$F$6)),INDEX($A:$AP,ROW(),$F$6),IFERROR(--SUBSTITUTE(SUBSTITUTE(TRIM(INDEX($A:$AP,ROW(),$F$6)),",",""),"원",""),0))))</f>
        <v/>
      </c>
      <c r="AU121" s="23">
        <f>IF($AS121="","",IF($G$6="",0,IF(ISNUMBER(INDEX($A:$AP,ROW(),$G$6)),INDEX($A:$AP,ROW(),$G$6),IFERROR(--SUBSTITUTE(SUBSTITUTE(TRIM(INDEX($A:$AP,ROW(),$G$6)),",",""),"원",""),0))))</f>
        <v/>
      </c>
      <c r="AV121" s="23">
        <f>IF($AS121="","",IF($H$6="",$AT121+$AU121,IF($H$6="",0,IF(ISNUMBER(INDEX($A:$AP,ROW(),$H$6)),INDEX($A:$AP,ROW(),$H$6),IFERROR(--SUBSTITUTE(SUBSTITUTE(TRIM(INDEX($A:$AP,ROW(),$H$6)),",",""),"원",""),0)))))</f>
        <v/>
      </c>
      <c r="AW121" s="2">
        <f>IF(OR($AS121="",$C$6=""),"",TRIM(INDEX($A:$AP,ROW(),$C$6)&amp;""))</f>
        <v/>
      </c>
      <c r="AX121" s="2">
        <f>IF($AS121="","",IF($AZ121&lt;&gt;"",SUBSTITUTE(SUBSTITUTE($AZ121,"-","")," ",""),$AY121))</f>
        <v/>
      </c>
      <c r="AY121" s="2">
        <f>IF(OR($AS121="",$E$6=""),"",TRIM(INDEX($A:$AP,ROW(),$E$6)&amp;""))</f>
        <v/>
      </c>
      <c r="AZ121" s="2">
        <f>IF(OR($AS121="",$D$6=""),"",TRIM(INDEX($A:$AP,ROW(),$D$6)&amp;""))</f>
        <v/>
      </c>
      <c r="BA121" s="2">
        <f>IF($AS121="","",IF(AND($AS121&gt;=설정!$B$10,$AS121&lt;=설정!$B$11),"포함","기간 밖"))</f>
        <v/>
      </c>
      <c r="BB121" s="2">
        <f>IF($AS121="","",IF(OR($AT121&lt;0,AND($I$6&lt;&gt;"",ISNUMBER(FIND("수정",INDEX($A:$AP,ROW(),IF($I$6="",1,$I$6))&amp;"")))),"수정","일반"))</f>
        <v/>
      </c>
      <c r="BC121" s="2">
        <f>IF($AS121="","",MID(IF($BA121="기간 밖"," / 기간 밖(신고기간 아님)","")&amp;IF(AND($AW121&lt;&gt;"",COUNTIF($AW$8:$AW$1007,$AW121)&gt;1)," / 승인번호 중복(두 번 붙여넣기?)","")&amp;IF(ABS($AU121-ROUND($AT121*0.1,0))&gt;설정!$B$8,IF($AU121=0," / 세액 0원(영세율·면세 여부 확인)"," / 세액이 공급가액 10%와 다름"),"")&amp;IF($BB121="수정"," / 수정세금계산서(합계에서 자동 가감)",""),4,200))</f>
        <v/>
      </c>
      <c r="BD121" s="2">
        <f>IF($BA121&lt;&gt;"포함","",IF(COUNTIFS($AX$8:$AX121,$AX121,$BA$8:$BA121,"포함")=1,MAX($BD$7:BD120)+1,""))</f>
        <v/>
      </c>
      <c r="BE121" s="2">
        <f>IF($BC121="","",MAX($BE$7:BE120)+1)</f>
        <v/>
      </c>
    </row>
    <row r="122">
      <c r="AR122" s="2">
        <f>IF(OR($A$5="",$B$6="",ROW()&lt;$A$5),"",IF(INDEX($A:$AP,ROW(),$B$6)="","",INDEX($A:$AP,ROW(),$B$6)))</f>
        <v/>
      </c>
      <c r="AS122" s="22">
        <f>IF($AR122="","",IF(ISNUMBER($AR122),IF($AR122&gt;=10000000,IFERROR(DATE(INT($AR122/10000),MOD(INT($AR122/100),100),MOD($AR122,100)),""),INT($AR122)),IFERROR(DATE(--LEFT(LEFT(SUBSTITUTE(SUBSTITUTE(SUBSTITUTE(SUBSTITUTE(TRIM($AR122),"-",""),".",""),"/","")," ",""),8),4),--MID(LEFT(SUBSTITUTE(SUBSTITUTE(SUBSTITUTE(SUBSTITUTE(TRIM($AR122),"-",""),".",""),"/","")," ",""),8),5,2),--MID(LEFT(SUBSTITUTE(SUBSTITUTE(SUBSTITUTE(SUBSTITUTE(TRIM($AR122),"-",""),".",""),"/","")," ",""),8),7,2)),"")))</f>
        <v/>
      </c>
      <c r="AT122" s="23">
        <f>IF($AS122="","",IF($F$6="",0,IF(ISNUMBER(INDEX($A:$AP,ROW(),$F$6)),INDEX($A:$AP,ROW(),$F$6),IFERROR(--SUBSTITUTE(SUBSTITUTE(TRIM(INDEX($A:$AP,ROW(),$F$6)),",",""),"원",""),0))))</f>
        <v/>
      </c>
      <c r="AU122" s="23">
        <f>IF($AS122="","",IF($G$6="",0,IF(ISNUMBER(INDEX($A:$AP,ROW(),$G$6)),INDEX($A:$AP,ROW(),$G$6),IFERROR(--SUBSTITUTE(SUBSTITUTE(TRIM(INDEX($A:$AP,ROW(),$G$6)),",",""),"원",""),0))))</f>
        <v/>
      </c>
      <c r="AV122" s="23">
        <f>IF($AS122="","",IF($H$6="",$AT122+$AU122,IF($H$6="",0,IF(ISNUMBER(INDEX($A:$AP,ROW(),$H$6)),INDEX($A:$AP,ROW(),$H$6),IFERROR(--SUBSTITUTE(SUBSTITUTE(TRIM(INDEX($A:$AP,ROW(),$H$6)),",",""),"원",""),0)))))</f>
        <v/>
      </c>
      <c r="AW122" s="2">
        <f>IF(OR($AS122="",$C$6=""),"",TRIM(INDEX($A:$AP,ROW(),$C$6)&amp;""))</f>
        <v/>
      </c>
      <c r="AX122" s="2">
        <f>IF($AS122="","",IF($AZ122&lt;&gt;"",SUBSTITUTE(SUBSTITUTE($AZ122,"-","")," ",""),$AY122))</f>
        <v/>
      </c>
      <c r="AY122" s="2">
        <f>IF(OR($AS122="",$E$6=""),"",TRIM(INDEX($A:$AP,ROW(),$E$6)&amp;""))</f>
        <v/>
      </c>
      <c r="AZ122" s="2">
        <f>IF(OR($AS122="",$D$6=""),"",TRIM(INDEX($A:$AP,ROW(),$D$6)&amp;""))</f>
        <v/>
      </c>
      <c r="BA122" s="2">
        <f>IF($AS122="","",IF(AND($AS122&gt;=설정!$B$10,$AS122&lt;=설정!$B$11),"포함","기간 밖"))</f>
        <v/>
      </c>
      <c r="BB122" s="2">
        <f>IF($AS122="","",IF(OR($AT122&lt;0,AND($I$6&lt;&gt;"",ISNUMBER(FIND("수정",INDEX($A:$AP,ROW(),IF($I$6="",1,$I$6))&amp;"")))),"수정","일반"))</f>
        <v/>
      </c>
      <c r="BC122" s="2">
        <f>IF($AS122="","",MID(IF($BA122="기간 밖"," / 기간 밖(신고기간 아님)","")&amp;IF(AND($AW122&lt;&gt;"",COUNTIF($AW$8:$AW$1007,$AW122)&gt;1)," / 승인번호 중복(두 번 붙여넣기?)","")&amp;IF(ABS($AU122-ROUND($AT122*0.1,0))&gt;설정!$B$8,IF($AU122=0," / 세액 0원(영세율·면세 여부 확인)"," / 세액이 공급가액 10%와 다름"),"")&amp;IF($BB122="수정"," / 수정세금계산서(합계에서 자동 가감)",""),4,200))</f>
        <v/>
      </c>
      <c r="BD122" s="2">
        <f>IF($BA122&lt;&gt;"포함","",IF(COUNTIFS($AX$8:$AX122,$AX122,$BA$8:$BA122,"포함")=1,MAX($BD$7:BD121)+1,""))</f>
        <v/>
      </c>
      <c r="BE122" s="2">
        <f>IF($BC122="","",MAX($BE$7:BE121)+1)</f>
        <v/>
      </c>
    </row>
    <row r="123">
      <c r="AR123" s="2">
        <f>IF(OR($A$5="",$B$6="",ROW()&lt;$A$5),"",IF(INDEX($A:$AP,ROW(),$B$6)="","",INDEX($A:$AP,ROW(),$B$6)))</f>
        <v/>
      </c>
      <c r="AS123" s="22">
        <f>IF($AR123="","",IF(ISNUMBER($AR123),IF($AR123&gt;=10000000,IFERROR(DATE(INT($AR123/10000),MOD(INT($AR123/100),100),MOD($AR123,100)),""),INT($AR123)),IFERROR(DATE(--LEFT(LEFT(SUBSTITUTE(SUBSTITUTE(SUBSTITUTE(SUBSTITUTE(TRIM($AR123),"-",""),".",""),"/","")," ",""),8),4),--MID(LEFT(SUBSTITUTE(SUBSTITUTE(SUBSTITUTE(SUBSTITUTE(TRIM($AR123),"-",""),".",""),"/","")," ",""),8),5,2),--MID(LEFT(SUBSTITUTE(SUBSTITUTE(SUBSTITUTE(SUBSTITUTE(TRIM($AR123),"-",""),".",""),"/","")," ",""),8),7,2)),"")))</f>
        <v/>
      </c>
      <c r="AT123" s="23">
        <f>IF($AS123="","",IF($F$6="",0,IF(ISNUMBER(INDEX($A:$AP,ROW(),$F$6)),INDEX($A:$AP,ROW(),$F$6),IFERROR(--SUBSTITUTE(SUBSTITUTE(TRIM(INDEX($A:$AP,ROW(),$F$6)),",",""),"원",""),0))))</f>
        <v/>
      </c>
      <c r="AU123" s="23">
        <f>IF($AS123="","",IF($G$6="",0,IF(ISNUMBER(INDEX($A:$AP,ROW(),$G$6)),INDEX($A:$AP,ROW(),$G$6),IFERROR(--SUBSTITUTE(SUBSTITUTE(TRIM(INDEX($A:$AP,ROW(),$G$6)),",",""),"원",""),0))))</f>
        <v/>
      </c>
      <c r="AV123" s="23">
        <f>IF($AS123="","",IF($H$6="",$AT123+$AU123,IF($H$6="",0,IF(ISNUMBER(INDEX($A:$AP,ROW(),$H$6)),INDEX($A:$AP,ROW(),$H$6),IFERROR(--SUBSTITUTE(SUBSTITUTE(TRIM(INDEX($A:$AP,ROW(),$H$6)),",",""),"원",""),0)))))</f>
        <v/>
      </c>
      <c r="AW123" s="2">
        <f>IF(OR($AS123="",$C$6=""),"",TRIM(INDEX($A:$AP,ROW(),$C$6)&amp;""))</f>
        <v/>
      </c>
      <c r="AX123" s="2">
        <f>IF($AS123="","",IF($AZ123&lt;&gt;"",SUBSTITUTE(SUBSTITUTE($AZ123,"-","")," ",""),$AY123))</f>
        <v/>
      </c>
      <c r="AY123" s="2">
        <f>IF(OR($AS123="",$E$6=""),"",TRIM(INDEX($A:$AP,ROW(),$E$6)&amp;""))</f>
        <v/>
      </c>
      <c r="AZ123" s="2">
        <f>IF(OR($AS123="",$D$6=""),"",TRIM(INDEX($A:$AP,ROW(),$D$6)&amp;""))</f>
        <v/>
      </c>
      <c r="BA123" s="2">
        <f>IF($AS123="","",IF(AND($AS123&gt;=설정!$B$10,$AS123&lt;=설정!$B$11),"포함","기간 밖"))</f>
        <v/>
      </c>
      <c r="BB123" s="2">
        <f>IF($AS123="","",IF(OR($AT123&lt;0,AND($I$6&lt;&gt;"",ISNUMBER(FIND("수정",INDEX($A:$AP,ROW(),IF($I$6="",1,$I$6))&amp;"")))),"수정","일반"))</f>
        <v/>
      </c>
      <c r="BC123" s="2">
        <f>IF($AS123="","",MID(IF($BA123="기간 밖"," / 기간 밖(신고기간 아님)","")&amp;IF(AND($AW123&lt;&gt;"",COUNTIF($AW$8:$AW$1007,$AW123)&gt;1)," / 승인번호 중복(두 번 붙여넣기?)","")&amp;IF(ABS($AU123-ROUND($AT123*0.1,0))&gt;설정!$B$8,IF($AU123=0," / 세액 0원(영세율·면세 여부 확인)"," / 세액이 공급가액 10%와 다름"),"")&amp;IF($BB123="수정"," / 수정세금계산서(합계에서 자동 가감)",""),4,200))</f>
        <v/>
      </c>
      <c r="BD123" s="2">
        <f>IF($BA123&lt;&gt;"포함","",IF(COUNTIFS($AX$8:$AX123,$AX123,$BA$8:$BA123,"포함")=1,MAX($BD$7:BD122)+1,""))</f>
        <v/>
      </c>
      <c r="BE123" s="2">
        <f>IF($BC123="","",MAX($BE$7:BE122)+1)</f>
        <v/>
      </c>
    </row>
    <row r="124">
      <c r="AR124" s="2">
        <f>IF(OR($A$5="",$B$6="",ROW()&lt;$A$5),"",IF(INDEX($A:$AP,ROW(),$B$6)="","",INDEX($A:$AP,ROW(),$B$6)))</f>
        <v/>
      </c>
      <c r="AS124" s="22">
        <f>IF($AR124="","",IF(ISNUMBER($AR124),IF($AR124&gt;=10000000,IFERROR(DATE(INT($AR124/10000),MOD(INT($AR124/100),100),MOD($AR124,100)),""),INT($AR124)),IFERROR(DATE(--LEFT(LEFT(SUBSTITUTE(SUBSTITUTE(SUBSTITUTE(SUBSTITUTE(TRIM($AR124),"-",""),".",""),"/","")," ",""),8),4),--MID(LEFT(SUBSTITUTE(SUBSTITUTE(SUBSTITUTE(SUBSTITUTE(TRIM($AR124),"-",""),".",""),"/","")," ",""),8),5,2),--MID(LEFT(SUBSTITUTE(SUBSTITUTE(SUBSTITUTE(SUBSTITUTE(TRIM($AR124),"-",""),".",""),"/","")," ",""),8),7,2)),"")))</f>
        <v/>
      </c>
      <c r="AT124" s="23">
        <f>IF($AS124="","",IF($F$6="",0,IF(ISNUMBER(INDEX($A:$AP,ROW(),$F$6)),INDEX($A:$AP,ROW(),$F$6),IFERROR(--SUBSTITUTE(SUBSTITUTE(TRIM(INDEX($A:$AP,ROW(),$F$6)),",",""),"원",""),0))))</f>
        <v/>
      </c>
      <c r="AU124" s="23">
        <f>IF($AS124="","",IF($G$6="",0,IF(ISNUMBER(INDEX($A:$AP,ROW(),$G$6)),INDEX($A:$AP,ROW(),$G$6),IFERROR(--SUBSTITUTE(SUBSTITUTE(TRIM(INDEX($A:$AP,ROW(),$G$6)),",",""),"원",""),0))))</f>
        <v/>
      </c>
      <c r="AV124" s="23">
        <f>IF($AS124="","",IF($H$6="",$AT124+$AU124,IF($H$6="",0,IF(ISNUMBER(INDEX($A:$AP,ROW(),$H$6)),INDEX($A:$AP,ROW(),$H$6),IFERROR(--SUBSTITUTE(SUBSTITUTE(TRIM(INDEX($A:$AP,ROW(),$H$6)),",",""),"원",""),0)))))</f>
        <v/>
      </c>
      <c r="AW124" s="2">
        <f>IF(OR($AS124="",$C$6=""),"",TRIM(INDEX($A:$AP,ROW(),$C$6)&amp;""))</f>
        <v/>
      </c>
      <c r="AX124" s="2">
        <f>IF($AS124="","",IF($AZ124&lt;&gt;"",SUBSTITUTE(SUBSTITUTE($AZ124,"-","")," ",""),$AY124))</f>
        <v/>
      </c>
      <c r="AY124" s="2">
        <f>IF(OR($AS124="",$E$6=""),"",TRIM(INDEX($A:$AP,ROW(),$E$6)&amp;""))</f>
        <v/>
      </c>
      <c r="AZ124" s="2">
        <f>IF(OR($AS124="",$D$6=""),"",TRIM(INDEX($A:$AP,ROW(),$D$6)&amp;""))</f>
        <v/>
      </c>
      <c r="BA124" s="2">
        <f>IF($AS124="","",IF(AND($AS124&gt;=설정!$B$10,$AS124&lt;=설정!$B$11),"포함","기간 밖"))</f>
        <v/>
      </c>
      <c r="BB124" s="2">
        <f>IF($AS124="","",IF(OR($AT124&lt;0,AND($I$6&lt;&gt;"",ISNUMBER(FIND("수정",INDEX($A:$AP,ROW(),IF($I$6="",1,$I$6))&amp;"")))),"수정","일반"))</f>
        <v/>
      </c>
      <c r="BC124" s="2">
        <f>IF($AS124="","",MID(IF($BA124="기간 밖"," / 기간 밖(신고기간 아님)","")&amp;IF(AND($AW124&lt;&gt;"",COUNTIF($AW$8:$AW$1007,$AW124)&gt;1)," / 승인번호 중복(두 번 붙여넣기?)","")&amp;IF(ABS($AU124-ROUND($AT124*0.1,0))&gt;설정!$B$8,IF($AU124=0," / 세액 0원(영세율·면세 여부 확인)"," / 세액이 공급가액 10%와 다름"),"")&amp;IF($BB124="수정"," / 수정세금계산서(합계에서 자동 가감)",""),4,200))</f>
        <v/>
      </c>
      <c r="BD124" s="2">
        <f>IF($BA124&lt;&gt;"포함","",IF(COUNTIFS($AX$8:$AX124,$AX124,$BA$8:$BA124,"포함")=1,MAX($BD$7:BD123)+1,""))</f>
        <v/>
      </c>
      <c r="BE124" s="2">
        <f>IF($BC124="","",MAX($BE$7:BE123)+1)</f>
        <v/>
      </c>
    </row>
    <row r="125">
      <c r="AR125" s="2">
        <f>IF(OR($A$5="",$B$6="",ROW()&lt;$A$5),"",IF(INDEX($A:$AP,ROW(),$B$6)="","",INDEX($A:$AP,ROW(),$B$6)))</f>
        <v/>
      </c>
      <c r="AS125" s="22">
        <f>IF($AR125="","",IF(ISNUMBER($AR125),IF($AR125&gt;=10000000,IFERROR(DATE(INT($AR125/10000),MOD(INT($AR125/100),100),MOD($AR125,100)),""),INT($AR125)),IFERROR(DATE(--LEFT(LEFT(SUBSTITUTE(SUBSTITUTE(SUBSTITUTE(SUBSTITUTE(TRIM($AR125),"-",""),".",""),"/","")," ",""),8),4),--MID(LEFT(SUBSTITUTE(SUBSTITUTE(SUBSTITUTE(SUBSTITUTE(TRIM($AR125),"-",""),".",""),"/","")," ",""),8),5,2),--MID(LEFT(SUBSTITUTE(SUBSTITUTE(SUBSTITUTE(SUBSTITUTE(TRIM($AR125),"-",""),".",""),"/","")," ",""),8),7,2)),"")))</f>
        <v/>
      </c>
      <c r="AT125" s="23">
        <f>IF($AS125="","",IF($F$6="",0,IF(ISNUMBER(INDEX($A:$AP,ROW(),$F$6)),INDEX($A:$AP,ROW(),$F$6),IFERROR(--SUBSTITUTE(SUBSTITUTE(TRIM(INDEX($A:$AP,ROW(),$F$6)),",",""),"원",""),0))))</f>
        <v/>
      </c>
      <c r="AU125" s="23">
        <f>IF($AS125="","",IF($G$6="",0,IF(ISNUMBER(INDEX($A:$AP,ROW(),$G$6)),INDEX($A:$AP,ROW(),$G$6),IFERROR(--SUBSTITUTE(SUBSTITUTE(TRIM(INDEX($A:$AP,ROW(),$G$6)),",",""),"원",""),0))))</f>
        <v/>
      </c>
      <c r="AV125" s="23">
        <f>IF($AS125="","",IF($H$6="",$AT125+$AU125,IF($H$6="",0,IF(ISNUMBER(INDEX($A:$AP,ROW(),$H$6)),INDEX($A:$AP,ROW(),$H$6),IFERROR(--SUBSTITUTE(SUBSTITUTE(TRIM(INDEX($A:$AP,ROW(),$H$6)),",",""),"원",""),0)))))</f>
        <v/>
      </c>
      <c r="AW125" s="2">
        <f>IF(OR($AS125="",$C$6=""),"",TRIM(INDEX($A:$AP,ROW(),$C$6)&amp;""))</f>
        <v/>
      </c>
      <c r="AX125" s="2">
        <f>IF($AS125="","",IF($AZ125&lt;&gt;"",SUBSTITUTE(SUBSTITUTE($AZ125,"-","")," ",""),$AY125))</f>
        <v/>
      </c>
      <c r="AY125" s="2">
        <f>IF(OR($AS125="",$E$6=""),"",TRIM(INDEX($A:$AP,ROW(),$E$6)&amp;""))</f>
        <v/>
      </c>
      <c r="AZ125" s="2">
        <f>IF(OR($AS125="",$D$6=""),"",TRIM(INDEX($A:$AP,ROW(),$D$6)&amp;""))</f>
        <v/>
      </c>
      <c r="BA125" s="2">
        <f>IF($AS125="","",IF(AND($AS125&gt;=설정!$B$10,$AS125&lt;=설정!$B$11),"포함","기간 밖"))</f>
        <v/>
      </c>
      <c r="BB125" s="2">
        <f>IF($AS125="","",IF(OR($AT125&lt;0,AND($I$6&lt;&gt;"",ISNUMBER(FIND("수정",INDEX($A:$AP,ROW(),IF($I$6="",1,$I$6))&amp;"")))),"수정","일반"))</f>
        <v/>
      </c>
      <c r="BC125" s="2">
        <f>IF($AS125="","",MID(IF($BA125="기간 밖"," / 기간 밖(신고기간 아님)","")&amp;IF(AND($AW125&lt;&gt;"",COUNTIF($AW$8:$AW$1007,$AW125)&gt;1)," / 승인번호 중복(두 번 붙여넣기?)","")&amp;IF(ABS($AU125-ROUND($AT125*0.1,0))&gt;설정!$B$8,IF($AU125=0," / 세액 0원(영세율·면세 여부 확인)"," / 세액이 공급가액 10%와 다름"),"")&amp;IF($BB125="수정"," / 수정세금계산서(합계에서 자동 가감)",""),4,200))</f>
        <v/>
      </c>
      <c r="BD125" s="2">
        <f>IF($BA125&lt;&gt;"포함","",IF(COUNTIFS($AX$8:$AX125,$AX125,$BA$8:$BA125,"포함")=1,MAX($BD$7:BD124)+1,""))</f>
        <v/>
      </c>
      <c r="BE125" s="2">
        <f>IF($BC125="","",MAX($BE$7:BE124)+1)</f>
        <v/>
      </c>
    </row>
    <row r="126">
      <c r="AR126" s="2">
        <f>IF(OR($A$5="",$B$6="",ROW()&lt;$A$5),"",IF(INDEX($A:$AP,ROW(),$B$6)="","",INDEX($A:$AP,ROW(),$B$6)))</f>
        <v/>
      </c>
      <c r="AS126" s="22">
        <f>IF($AR126="","",IF(ISNUMBER($AR126),IF($AR126&gt;=10000000,IFERROR(DATE(INT($AR126/10000),MOD(INT($AR126/100),100),MOD($AR126,100)),""),INT($AR126)),IFERROR(DATE(--LEFT(LEFT(SUBSTITUTE(SUBSTITUTE(SUBSTITUTE(SUBSTITUTE(TRIM($AR126),"-",""),".",""),"/","")," ",""),8),4),--MID(LEFT(SUBSTITUTE(SUBSTITUTE(SUBSTITUTE(SUBSTITUTE(TRIM($AR126),"-",""),".",""),"/","")," ",""),8),5,2),--MID(LEFT(SUBSTITUTE(SUBSTITUTE(SUBSTITUTE(SUBSTITUTE(TRIM($AR126),"-",""),".",""),"/","")," ",""),8),7,2)),"")))</f>
        <v/>
      </c>
      <c r="AT126" s="23">
        <f>IF($AS126="","",IF($F$6="",0,IF(ISNUMBER(INDEX($A:$AP,ROW(),$F$6)),INDEX($A:$AP,ROW(),$F$6),IFERROR(--SUBSTITUTE(SUBSTITUTE(TRIM(INDEX($A:$AP,ROW(),$F$6)),",",""),"원",""),0))))</f>
        <v/>
      </c>
      <c r="AU126" s="23">
        <f>IF($AS126="","",IF($G$6="",0,IF(ISNUMBER(INDEX($A:$AP,ROW(),$G$6)),INDEX($A:$AP,ROW(),$G$6),IFERROR(--SUBSTITUTE(SUBSTITUTE(TRIM(INDEX($A:$AP,ROW(),$G$6)),",",""),"원",""),0))))</f>
        <v/>
      </c>
      <c r="AV126" s="23">
        <f>IF($AS126="","",IF($H$6="",$AT126+$AU126,IF($H$6="",0,IF(ISNUMBER(INDEX($A:$AP,ROW(),$H$6)),INDEX($A:$AP,ROW(),$H$6),IFERROR(--SUBSTITUTE(SUBSTITUTE(TRIM(INDEX($A:$AP,ROW(),$H$6)),",",""),"원",""),0)))))</f>
        <v/>
      </c>
      <c r="AW126" s="2">
        <f>IF(OR($AS126="",$C$6=""),"",TRIM(INDEX($A:$AP,ROW(),$C$6)&amp;""))</f>
        <v/>
      </c>
      <c r="AX126" s="2">
        <f>IF($AS126="","",IF($AZ126&lt;&gt;"",SUBSTITUTE(SUBSTITUTE($AZ126,"-","")," ",""),$AY126))</f>
        <v/>
      </c>
      <c r="AY126" s="2">
        <f>IF(OR($AS126="",$E$6=""),"",TRIM(INDEX($A:$AP,ROW(),$E$6)&amp;""))</f>
        <v/>
      </c>
      <c r="AZ126" s="2">
        <f>IF(OR($AS126="",$D$6=""),"",TRIM(INDEX($A:$AP,ROW(),$D$6)&amp;""))</f>
        <v/>
      </c>
      <c r="BA126" s="2">
        <f>IF($AS126="","",IF(AND($AS126&gt;=설정!$B$10,$AS126&lt;=설정!$B$11),"포함","기간 밖"))</f>
        <v/>
      </c>
      <c r="BB126" s="2">
        <f>IF($AS126="","",IF(OR($AT126&lt;0,AND($I$6&lt;&gt;"",ISNUMBER(FIND("수정",INDEX($A:$AP,ROW(),IF($I$6="",1,$I$6))&amp;"")))),"수정","일반"))</f>
        <v/>
      </c>
      <c r="BC126" s="2">
        <f>IF($AS126="","",MID(IF($BA126="기간 밖"," / 기간 밖(신고기간 아님)","")&amp;IF(AND($AW126&lt;&gt;"",COUNTIF($AW$8:$AW$1007,$AW126)&gt;1)," / 승인번호 중복(두 번 붙여넣기?)","")&amp;IF(ABS($AU126-ROUND($AT126*0.1,0))&gt;설정!$B$8,IF($AU126=0," / 세액 0원(영세율·면세 여부 확인)"," / 세액이 공급가액 10%와 다름"),"")&amp;IF($BB126="수정"," / 수정세금계산서(합계에서 자동 가감)",""),4,200))</f>
        <v/>
      </c>
      <c r="BD126" s="2">
        <f>IF($BA126&lt;&gt;"포함","",IF(COUNTIFS($AX$8:$AX126,$AX126,$BA$8:$BA126,"포함")=1,MAX($BD$7:BD125)+1,""))</f>
        <v/>
      </c>
      <c r="BE126" s="2">
        <f>IF($BC126="","",MAX($BE$7:BE125)+1)</f>
        <v/>
      </c>
    </row>
    <row r="127">
      <c r="AR127" s="2">
        <f>IF(OR($A$5="",$B$6="",ROW()&lt;$A$5),"",IF(INDEX($A:$AP,ROW(),$B$6)="","",INDEX($A:$AP,ROW(),$B$6)))</f>
        <v/>
      </c>
      <c r="AS127" s="22">
        <f>IF($AR127="","",IF(ISNUMBER($AR127),IF($AR127&gt;=10000000,IFERROR(DATE(INT($AR127/10000),MOD(INT($AR127/100),100),MOD($AR127,100)),""),INT($AR127)),IFERROR(DATE(--LEFT(LEFT(SUBSTITUTE(SUBSTITUTE(SUBSTITUTE(SUBSTITUTE(TRIM($AR127),"-",""),".",""),"/","")," ",""),8),4),--MID(LEFT(SUBSTITUTE(SUBSTITUTE(SUBSTITUTE(SUBSTITUTE(TRIM($AR127),"-",""),".",""),"/","")," ",""),8),5,2),--MID(LEFT(SUBSTITUTE(SUBSTITUTE(SUBSTITUTE(SUBSTITUTE(TRIM($AR127),"-",""),".",""),"/","")," ",""),8),7,2)),"")))</f>
        <v/>
      </c>
      <c r="AT127" s="23">
        <f>IF($AS127="","",IF($F$6="",0,IF(ISNUMBER(INDEX($A:$AP,ROW(),$F$6)),INDEX($A:$AP,ROW(),$F$6),IFERROR(--SUBSTITUTE(SUBSTITUTE(TRIM(INDEX($A:$AP,ROW(),$F$6)),",",""),"원",""),0))))</f>
        <v/>
      </c>
      <c r="AU127" s="23">
        <f>IF($AS127="","",IF($G$6="",0,IF(ISNUMBER(INDEX($A:$AP,ROW(),$G$6)),INDEX($A:$AP,ROW(),$G$6),IFERROR(--SUBSTITUTE(SUBSTITUTE(TRIM(INDEX($A:$AP,ROW(),$G$6)),",",""),"원",""),0))))</f>
        <v/>
      </c>
      <c r="AV127" s="23">
        <f>IF($AS127="","",IF($H$6="",$AT127+$AU127,IF($H$6="",0,IF(ISNUMBER(INDEX($A:$AP,ROW(),$H$6)),INDEX($A:$AP,ROW(),$H$6),IFERROR(--SUBSTITUTE(SUBSTITUTE(TRIM(INDEX($A:$AP,ROW(),$H$6)),",",""),"원",""),0)))))</f>
        <v/>
      </c>
      <c r="AW127" s="2">
        <f>IF(OR($AS127="",$C$6=""),"",TRIM(INDEX($A:$AP,ROW(),$C$6)&amp;""))</f>
        <v/>
      </c>
      <c r="AX127" s="2">
        <f>IF($AS127="","",IF($AZ127&lt;&gt;"",SUBSTITUTE(SUBSTITUTE($AZ127,"-","")," ",""),$AY127))</f>
        <v/>
      </c>
      <c r="AY127" s="2">
        <f>IF(OR($AS127="",$E$6=""),"",TRIM(INDEX($A:$AP,ROW(),$E$6)&amp;""))</f>
        <v/>
      </c>
      <c r="AZ127" s="2">
        <f>IF(OR($AS127="",$D$6=""),"",TRIM(INDEX($A:$AP,ROW(),$D$6)&amp;""))</f>
        <v/>
      </c>
      <c r="BA127" s="2">
        <f>IF($AS127="","",IF(AND($AS127&gt;=설정!$B$10,$AS127&lt;=설정!$B$11),"포함","기간 밖"))</f>
        <v/>
      </c>
      <c r="BB127" s="2">
        <f>IF($AS127="","",IF(OR($AT127&lt;0,AND($I$6&lt;&gt;"",ISNUMBER(FIND("수정",INDEX($A:$AP,ROW(),IF($I$6="",1,$I$6))&amp;"")))),"수정","일반"))</f>
        <v/>
      </c>
      <c r="BC127" s="2">
        <f>IF($AS127="","",MID(IF($BA127="기간 밖"," / 기간 밖(신고기간 아님)","")&amp;IF(AND($AW127&lt;&gt;"",COUNTIF($AW$8:$AW$1007,$AW127)&gt;1)," / 승인번호 중복(두 번 붙여넣기?)","")&amp;IF(ABS($AU127-ROUND($AT127*0.1,0))&gt;설정!$B$8,IF($AU127=0," / 세액 0원(영세율·면세 여부 확인)"," / 세액이 공급가액 10%와 다름"),"")&amp;IF($BB127="수정"," / 수정세금계산서(합계에서 자동 가감)",""),4,200))</f>
        <v/>
      </c>
      <c r="BD127" s="2">
        <f>IF($BA127&lt;&gt;"포함","",IF(COUNTIFS($AX$8:$AX127,$AX127,$BA$8:$BA127,"포함")=1,MAX($BD$7:BD126)+1,""))</f>
        <v/>
      </c>
      <c r="BE127" s="2">
        <f>IF($BC127="","",MAX($BE$7:BE126)+1)</f>
        <v/>
      </c>
    </row>
    <row r="128">
      <c r="AR128" s="2">
        <f>IF(OR($A$5="",$B$6="",ROW()&lt;$A$5),"",IF(INDEX($A:$AP,ROW(),$B$6)="","",INDEX($A:$AP,ROW(),$B$6)))</f>
        <v/>
      </c>
      <c r="AS128" s="22">
        <f>IF($AR128="","",IF(ISNUMBER($AR128),IF($AR128&gt;=10000000,IFERROR(DATE(INT($AR128/10000),MOD(INT($AR128/100),100),MOD($AR128,100)),""),INT($AR128)),IFERROR(DATE(--LEFT(LEFT(SUBSTITUTE(SUBSTITUTE(SUBSTITUTE(SUBSTITUTE(TRIM($AR128),"-",""),".",""),"/","")," ",""),8),4),--MID(LEFT(SUBSTITUTE(SUBSTITUTE(SUBSTITUTE(SUBSTITUTE(TRIM($AR128),"-",""),".",""),"/","")," ",""),8),5,2),--MID(LEFT(SUBSTITUTE(SUBSTITUTE(SUBSTITUTE(SUBSTITUTE(TRIM($AR128),"-",""),".",""),"/","")," ",""),8),7,2)),"")))</f>
        <v/>
      </c>
      <c r="AT128" s="23">
        <f>IF($AS128="","",IF($F$6="",0,IF(ISNUMBER(INDEX($A:$AP,ROW(),$F$6)),INDEX($A:$AP,ROW(),$F$6),IFERROR(--SUBSTITUTE(SUBSTITUTE(TRIM(INDEX($A:$AP,ROW(),$F$6)),",",""),"원",""),0))))</f>
        <v/>
      </c>
      <c r="AU128" s="23">
        <f>IF($AS128="","",IF($G$6="",0,IF(ISNUMBER(INDEX($A:$AP,ROW(),$G$6)),INDEX($A:$AP,ROW(),$G$6),IFERROR(--SUBSTITUTE(SUBSTITUTE(TRIM(INDEX($A:$AP,ROW(),$G$6)),",",""),"원",""),0))))</f>
        <v/>
      </c>
      <c r="AV128" s="23">
        <f>IF($AS128="","",IF($H$6="",$AT128+$AU128,IF($H$6="",0,IF(ISNUMBER(INDEX($A:$AP,ROW(),$H$6)),INDEX($A:$AP,ROW(),$H$6),IFERROR(--SUBSTITUTE(SUBSTITUTE(TRIM(INDEX($A:$AP,ROW(),$H$6)),",",""),"원",""),0)))))</f>
        <v/>
      </c>
      <c r="AW128" s="2">
        <f>IF(OR($AS128="",$C$6=""),"",TRIM(INDEX($A:$AP,ROW(),$C$6)&amp;""))</f>
        <v/>
      </c>
      <c r="AX128" s="2">
        <f>IF($AS128="","",IF($AZ128&lt;&gt;"",SUBSTITUTE(SUBSTITUTE($AZ128,"-","")," ",""),$AY128))</f>
        <v/>
      </c>
      <c r="AY128" s="2">
        <f>IF(OR($AS128="",$E$6=""),"",TRIM(INDEX($A:$AP,ROW(),$E$6)&amp;""))</f>
        <v/>
      </c>
      <c r="AZ128" s="2">
        <f>IF(OR($AS128="",$D$6=""),"",TRIM(INDEX($A:$AP,ROW(),$D$6)&amp;""))</f>
        <v/>
      </c>
      <c r="BA128" s="2">
        <f>IF($AS128="","",IF(AND($AS128&gt;=설정!$B$10,$AS128&lt;=설정!$B$11),"포함","기간 밖"))</f>
        <v/>
      </c>
      <c r="BB128" s="2">
        <f>IF($AS128="","",IF(OR($AT128&lt;0,AND($I$6&lt;&gt;"",ISNUMBER(FIND("수정",INDEX($A:$AP,ROW(),IF($I$6="",1,$I$6))&amp;"")))),"수정","일반"))</f>
        <v/>
      </c>
      <c r="BC128" s="2">
        <f>IF($AS128="","",MID(IF($BA128="기간 밖"," / 기간 밖(신고기간 아님)","")&amp;IF(AND($AW128&lt;&gt;"",COUNTIF($AW$8:$AW$1007,$AW128)&gt;1)," / 승인번호 중복(두 번 붙여넣기?)","")&amp;IF(ABS($AU128-ROUND($AT128*0.1,0))&gt;설정!$B$8,IF($AU128=0," / 세액 0원(영세율·면세 여부 확인)"," / 세액이 공급가액 10%와 다름"),"")&amp;IF($BB128="수정"," / 수정세금계산서(합계에서 자동 가감)",""),4,200))</f>
        <v/>
      </c>
      <c r="BD128" s="2">
        <f>IF($BA128&lt;&gt;"포함","",IF(COUNTIFS($AX$8:$AX128,$AX128,$BA$8:$BA128,"포함")=1,MAX($BD$7:BD127)+1,""))</f>
        <v/>
      </c>
      <c r="BE128" s="2">
        <f>IF($BC128="","",MAX($BE$7:BE127)+1)</f>
        <v/>
      </c>
    </row>
    <row r="129">
      <c r="AR129" s="2">
        <f>IF(OR($A$5="",$B$6="",ROW()&lt;$A$5),"",IF(INDEX($A:$AP,ROW(),$B$6)="","",INDEX($A:$AP,ROW(),$B$6)))</f>
        <v/>
      </c>
      <c r="AS129" s="22">
        <f>IF($AR129="","",IF(ISNUMBER($AR129),IF($AR129&gt;=10000000,IFERROR(DATE(INT($AR129/10000),MOD(INT($AR129/100),100),MOD($AR129,100)),""),INT($AR129)),IFERROR(DATE(--LEFT(LEFT(SUBSTITUTE(SUBSTITUTE(SUBSTITUTE(SUBSTITUTE(TRIM($AR129),"-",""),".",""),"/","")," ",""),8),4),--MID(LEFT(SUBSTITUTE(SUBSTITUTE(SUBSTITUTE(SUBSTITUTE(TRIM($AR129),"-",""),".",""),"/","")," ",""),8),5,2),--MID(LEFT(SUBSTITUTE(SUBSTITUTE(SUBSTITUTE(SUBSTITUTE(TRIM($AR129),"-",""),".",""),"/","")," ",""),8),7,2)),"")))</f>
        <v/>
      </c>
      <c r="AT129" s="23">
        <f>IF($AS129="","",IF($F$6="",0,IF(ISNUMBER(INDEX($A:$AP,ROW(),$F$6)),INDEX($A:$AP,ROW(),$F$6),IFERROR(--SUBSTITUTE(SUBSTITUTE(TRIM(INDEX($A:$AP,ROW(),$F$6)),",",""),"원",""),0))))</f>
        <v/>
      </c>
      <c r="AU129" s="23">
        <f>IF($AS129="","",IF($G$6="",0,IF(ISNUMBER(INDEX($A:$AP,ROW(),$G$6)),INDEX($A:$AP,ROW(),$G$6),IFERROR(--SUBSTITUTE(SUBSTITUTE(TRIM(INDEX($A:$AP,ROW(),$G$6)),",",""),"원",""),0))))</f>
        <v/>
      </c>
      <c r="AV129" s="23">
        <f>IF($AS129="","",IF($H$6="",$AT129+$AU129,IF($H$6="",0,IF(ISNUMBER(INDEX($A:$AP,ROW(),$H$6)),INDEX($A:$AP,ROW(),$H$6),IFERROR(--SUBSTITUTE(SUBSTITUTE(TRIM(INDEX($A:$AP,ROW(),$H$6)),",",""),"원",""),0)))))</f>
        <v/>
      </c>
      <c r="AW129" s="2">
        <f>IF(OR($AS129="",$C$6=""),"",TRIM(INDEX($A:$AP,ROW(),$C$6)&amp;""))</f>
        <v/>
      </c>
      <c r="AX129" s="2">
        <f>IF($AS129="","",IF($AZ129&lt;&gt;"",SUBSTITUTE(SUBSTITUTE($AZ129,"-","")," ",""),$AY129))</f>
        <v/>
      </c>
      <c r="AY129" s="2">
        <f>IF(OR($AS129="",$E$6=""),"",TRIM(INDEX($A:$AP,ROW(),$E$6)&amp;""))</f>
        <v/>
      </c>
      <c r="AZ129" s="2">
        <f>IF(OR($AS129="",$D$6=""),"",TRIM(INDEX($A:$AP,ROW(),$D$6)&amp;""))</f>
        <v/>
      </c>
      <c r="BA129" s="2">
        <f>IF($AS129="","",IF(AND($AS129&gt;=설정!$B$10,$AS129&lt;=설정!$B$11),"포함","기간 밖"))</f>
        <v/>
      </c>
      <c r="BB129" s="2">
        <f>IF($AS129="","",IF(OR($AT129&lt;0,AND($I$6&lt;&gt;"",ISNUMBER(FIND("수정",INDEX($A:$AP,ROW(),IF($I$6="",1,$I$6))&amp;"")))),"수정","일반"))</f>
        <v/>
      </c>
      <c r="BC129" s="2">
        <f>IF($AS129="","",MID(IF($BA129="기간 밖"," / 기간 밖(신고기간 아님)","")&amp;IF(AND($AW129&lt;&gt;"",COUNTIF($AW$8:$AW$1007,$AW129)&gt;1)," / 승인번호 중복(두 번 붙여넣기?)","")&amp;IF(ABS($AU129-ROUND($AT129*0.1,0))&gt;설정!$B$8,IF($AU129=0," / 세액 0원(영세율·면세 여부 확인)"," / 세액이 공급가액 10%와 다름"),"")&amp;IF($BB129="수정"," / 수정세금계산서(합계에서 자동 가감)",""),4,200))</f>
        <v/>
      </c>
      <c r="BD129" s="2">
        <f>IF($BA129&lt;&gt;"포함","",IF(COUNTIFS($AX$8:$AX129,$AX129,$BA$8:$BA129,"포함")=1,MAX($BD$7:BD128)+1,""))</f>
        <v/>
      </c>
      <c r="BE129" s="2">
        <f>IF($BC129="","",MAX($BE$7:BE128)+1)</f>
        <v/>
      </c>
    </row>
    <row r="130">
      <c r="AR130" s="2">
        <f>IF(OR($A$5="",$B$6="",ROW()&lt;$A$5),"",IF(INDEX($A:$AP,ROW(),$B$6)="","",INDEX($A:$AP,ROW(),$B$6)))</f>
        <v/>
      </c>
      <c r="AS130" s="22">
        <f>IF($AR130="","",IF(ISNUMBER($AR130),IF($AR130&gt;=10000000,IFERROR(DATE(INT($AR130/10000),MOD(INT($AR130/100),100),MOD($AR130,100)),""),INT($AR130)),IFERROR(DATE(--LEFT(LEFT(SUBSTITUTE(SUBSTITUTE(SUBSTITUTE(SUBSTITUTE(TRIM($AR130),"-",""),".",""),"/","")," ",""),8),4),--MID(LEFT(SUBSTITUTE(SUBSTITUTE(SUBSTITUTE(SUBSTITUTE(TRIM($AR130),"-",""),".",""),"/","")," ",""),8),5,2),--MID(LEFT(SUBSTITUTE(SUBSTITUTE(SUBSTITUTE(SUBSTITUTE(TRIM($AR130),"-",""),".",""),"/","")," ",""),8),7,2)),"")))</f>
        <v/>
      </c>
      <c r="AT130" s="23">
        <f>IF($AS130="","",IF($F$6="",0,IF(ISNUMBER(INDEX($A:$AP,ROW(),$F$6)),INDEX($A:$AP,ROW(),$F$6),IFERROR(--SUBSTITUTE(SUBSTITUTE(TRIM(INDEX($A:$AP,ROW(),$F$6)),",",""),"원",""),0))))</f>
        <v/>
      </c>
      <c r="AU130" s="23">
        <f>IF($AS130="","",IF($G$6="",0,IF(ISNUMBER(INDEX($A:$AP,ROW(),$G$6)),INDEX($A:$AP,ROW(),$G$6),IFERROR(--SUBSTITUTE(SUBSTITUTE(TRIM(INDEX($A:$AP,ROW(),$G$6)),",",""),"원",""),0))))</f>
        <v/>
      </c>
      <c r="AV130" s="23">
        <f>IF($AS130="","",IF($H$6="",$AT130+$AU130,IF($H$6="",0,IF(ISNUMBER(INDEX($A:$AP,ROW(),$H$6)),INDEX($A:$AP,ROW(),$H$6),IFERROR(--SUBSTITUTE(SUBSTITUTE(TRIM(INDEX($A:$AP,ROW(),$H$6)),",",""),"원",""),0)))))</f>
        <v/>
      </c>
      <c r="AW130" s="2">
        <f>IF(OR($AS130="",$C$6=""),"",TRIM(INDEX($A:$AP,ROW(),$C$6)&amp;""))</f>
        <v/>
      </c>
      <c r="AX130" s="2">
        <f>IF($AS130="","",IF($AZ130&lt;&gt;"",SUBSTITUTE(SUBSTITUTE($AZ130,"-","")," ",""),$AY130))</f>
        <v/>
      </c>
      <c r="AY130" s="2">
        <f>IF(OR($AS130="",$E$6=""),"",TRIM(INDEX($A:$AP,ROW(),$E$6)&amp;""))</f>
        <v/>
      </c>
      <c r="AZ130" s="2">
        <f>IF(OR($AS130="",$D$6=""),"",TRIM(INDEX($A:$AP,ROW(),$D$6)&amp;""))</f>
        <v/>
      </c>
      <c r="BA130" s="2">
        <f>IF($AS130="","",IF(AND($AS130&gt;=설정!$B$10,$AS130&lt;=설정!$B$11),"포함","기간 밖"))</f>
        <v/>
      </c>
      <c r="BB130" s="2">
        <f>IF($AS130="","",IF(OR($AT130&lt;0,AND($I$6&lt;&gt;"",ISNUMBER(FIND("수정",INDEX($A:$AP,ROW(),IF($I$6="",1,$I$6))&amp;"")))),"수정","일반"))</f>
        <v/>
      </c>
      <c r="BC130" s="2">
        <f>IF($AS130="","",MID(IF($BA130="기간 밖"," / 기간 밖(신고기간 아님)","")&amp;IF(AND($AW130&lt;&gt;"",COUNTIF($AW$8:$AW$1007,$AW130)&gt;1)," / 승인번호 중복(두 번 붙여넣기?)","")&amp;IF(ABS($AU130-ROUND($AT130*0.1,0))&gt;설정!$B$8,IF($AU130=0," / 세액 0원(영세율·면세 여부 확인)"," / 세액이 공급가액 10%와 다름"),"")&amp;IF($BB130="수정"," / 수정세금계산서(합계에서 자동 가감)",""),4,200))</f>
        <v/>
      </c>
      <c r="BD130" s="2">
        <f>IF($BA130&lt;&gt;"포함","",IF(COUNTIFS($AX$8:$AX130,$AX130,$BA$8:$BA130,"포함")=1,MAX($BD$7:BD129)+1,""))</f>
        <v/>
      </c>
      <c r="BE130" s="2">
        <f>IF($BC130="","",MAX($BE$7:BE129)+1)</f>
        <v/>
      </c>
    </row>
    <row r="131">
      <c r="AR131" s="2">
        <f>IF(OR($A$5="",$B$6="",ROW()&lt;$A$5),"",IF(INDEX($A:$AP,ROW(),$B$6)="","",INDEX($A:$AP,ROW(),$B$6)))</f>
        <v/>
      </c>
      <c r="AS131" s="22">
        <f>IF($AR131="","",IF(ISNUMBER($AR131),IF($AR131&gt;=10000000,IFERROR(DATE(INT($AR131/10000),MOD(INT($AR131/100),100),MOD($AR131,100)),""),INT($AR131)),IFERROR(DATE(--LEFT(LEFT(SUBSTITUTE(SUBSTITUTE(SUBSTITUTE(SUBSTITUTE(TRIM($AR131),"-",""),".",""),"/","")," ",""),8),4),--MID(LEFT(SUBSTITUTE(SUBSTITUTE(SUBSTITUTE(SUBSTITUTE(TRIM($AR131),"-",""),".",""),"/","")," ",""),8),5,2),--MID(LEFT(SUBSTITUTE(SUBSTITUTE(SUBSTITUTE(SUBSTITUTE(TRIM($AR131),"-",""),".",""),"/","")," ",""),8),7,2)),"")))</f>
        <v/>
      </c>
      <c r="AT131" s="23">
        <f>IF($AS131="","",IF($F$6="",0,IF(ISNUMBER(INDEX($A:$AP,ROW(),$F$6)),INDEX($A:$AP,ROW(),$F$6),IFERROR(--SUBSTITUTE(SUBSTITUTE(TRIM(INDEX($A:$AP,ROW(),$F$6)),",",""),"원",""),0))))</f>
        <v/>
      </c>
      <c r="AU131" s="23">
        <f>IF($AS131="","",IF($G$6="",0,IF(ISNUMBER(INDEX($A:$AP,ROW(),$G$6)),INDEX($A:$AP,ROW(),$G$6),IFERROR(--SUBSTITUTE(SUBSTITUTE(TRIM(INDEX($A:$AP,ROW(),$G$6)),",",""),"원",""),0))))</f>
        <v/>
      </c>
      <c r="AV131" s="23">
        <f>IF($AS131="","",IF($H$6="",$AT131+$AU131,IF($H$6="",0,IF(ISNUMBER(INDEX($A:$AP,ROW(),$H$6)),INDEX($A:$AP,ROW(),$H$6),IFERROR(--SUBSTITUTE(SUBSTITUTE(TRIM(INDEX($A:$AP,ROW(),$H$6)),",",""),"원",""),0)))))</f>
        <v/>
      </c>
      <c r="AW131" s="2">
        <f>IF(OR($AS131="",$C$6=""),"",TRIM(INDEX($A:$AP,ROW(),$C$6)&amp;""))</f>
        <v/>
      </c>
      <c r="AX131" s="2">
        <f>IF($AS131="","",IF($AZ131&lt;&gt;"",SUBSTITUTE(SUBSTITUTE($AZ131,"-","")," ",""),$AY131))</f>
        <v/>
      </c>
      <c r="AY131" s="2">
        <f>IF(OR($AS131="",$E$6=""),"",TRIM(INDEX($A:$AP,ROW(),$E$6)&amp;""))</f>
        <v/>
      </c>
      <c r="AZ131" s="2">
        <f>IF(OR($AS131="",$D$6=""),"",TRIM(INDEX($A:$AP,ROW(),$D$6)&amp;""))</f>
        <v/>
      </c>
      <c r="BA131" s="2">
        <f>IF($AS131="","",IF(AND($AS131&gt;=설정!$B$10,$AS131&lt;=설정!$B$11),"포함","기간 밖"))</f>
        <v/>
      </c>
      <c r="BB131" s="2">
        <f>IF($AS131="","",IF(OR($AT131&lt;0,AND($I$6&lt;&gt;"",ISNUMBER(FIND("수정",INDEX($A:$AP,ROW(),IF($I$6="",1,$I$6))&amp;"")))),"수정","일반"))</f>
        <v/>
      </c>
      <c r="BC131" s="2">
        <f>IF($AS131="","",MID(IF($BA131="기간 밖"," / 기간 밖(신고기간 아님)","")&amp;IF(AND($AW131&lt;&gt;"",COUNTIF($AW$8:$AW$1007,$AW131)&gt;1)," / 승인번호 중복(두 번 붙여넣기?)","")&amp;IF(ABS($AU131-ROUND($AT131*0.1,0))&gt;설정!$B$8,IF($AU131=0," / 세액 0원(영세율·면세 여부 확인)"," / 세액이 공급가액 10%와 다름"),"")&amp;IF($BB131="수정"," / 수정세금계산서(합계에서 자동 가감)",""),4,200))</f>
        <v/>
      </c>
      <c r="BD131" s="2">
        <f>IF($BA131&lt;&gt;"포함","",IF(COUNTIFS($AX$8:$AX131,$AX131,$BA$8:$BA131,"포함")=1,MAX($BD$7:BD130)+1,""))</f>
        <v/>
      </c>
      <c r="BE131" s="2">
        <f>IF($BC131="","",MAX($BE$7:BE130)+1)</f>
        <v/>
      </c>
    </row>
    <row r="132">
      <c r="AR132" s="2">
        <f>IF(OR($A$5="",$B$6="",ROW()&lt;$A$5),"",IF(INDEX($A:$AP,ROW(),$B$6)="","",INDEX($A:$AP,ROW(),$B$6)))</f>
        <v/>
      </c>
      <c r="AS132" s="22">
        <f>IF($AR132="","",IF(ISNUMBER($AR132),IF($AR132&gt;=10000000,IFERROR(DATE(INT($AR132/10000),MOD(INT($AR132/100),100),MOD($AR132,100)),""),INT($AR132)),IFERROR(DATE(--LEFT(LEFT(SUBSTITUTE(SUBSTITUTE(SUBSTITUTE(SUBSTITUTE(TRIM($AR132),"-",""),".",""),"/","")," ",""),8),4),--MID(LEFT(SUBSTITUTE(SUBSTITUTE(SUBSTITUTE(SUBSTITUTE(TRIM($AR132),"-",""),".",""),"/","")," ",""),8),5,2),--MID(LEFT(SUBSTITUTE(SUBSTITUTE(SUBSTITUTE(SUBSTITUTE(TRIM($AR132),"-",""),".",""),"/","")," ",""),8),7,2)),"")))</f>
        <v/>
      </c>
      <c r="AT132" s="23">
        <f>IF($AS132="","",IF($F$6="",0,IF(ISNUMBER(INDEX($A:$AP,ROW(),$F$6)),INDEX($A:$AP,ROW(),$F$6),IFERROR(--SUBSTITUTE(SUBSTITUTE(TRIM(INDEX($A:$AP,ROW(),$F$6)),",",""),"원",""),0))))</f>
        <v/>
      </c>
      <c r="AU132" s="23">
        <f>IF($AS132="","",IF($G$6="",0,IF(ISNUMBER(INDEX($A:$AP,ROW(),$G$6)),INDEX($A:$AP,ROW(),$G$6),IFERROR(--SUBSTITUTE(SUBSTITUTE(TRIM(INDEX($A:$AP,ROW(),$G$6)),",",""),"원",""),0))))</f>
        <v/>
      </c>
      <c r="AV132" s="23">
        <f>IF($AS132="","",IF($H$6="",$AT132+$AU132,IF($H$6="",0,IF(ISNUMBER(INDEX($A:$AP,ROW(),$H$6)),INDEX($A:$AP,ROW(),$H$6),IFERROR(--SUBSTITUTE(SUBSTITUTE(TRIM(INDEX($A:$AP,ROW(),$H$6)),",",""),"원",""),0)))))</f>
        <v/>
      </c>
      <c r="AW132" s="2">
        <f>IF(OR($AS132="",$C$6=""),"",TRIM(INDEX($A:$AP,ROW(),$C$6)&amp;""))</f>
        <v/>
      </c>
      <c r="AX132" s="2">
        <f>IF($AS132="","",IF($AZ132&lt;&gt;"",SUBSTITUTE(SUBSTITUTE($AZ132,"-","")," ",""),$AY132))</f>
        <v/>
      </c>
      <c r="AY132" s="2">
        <f>IF(OR($AS132="",$E$6=""),"",TRIM(INDEX($A:$AP,ROW(),$E$6)&amp;""))</f>
        <v/>
      </c>
      <c r="AZ132" s="2">
        <f>IF(OR($AS132="",$D$6=""),"",TRIM(INDEX($A:$AP,ROW(),$D$6)&amp;""))</f>
        <v/>
      </c>
      <c r="BA132" s="2">
        <f>IF($AS132="","",IF(AND($AS132&gt;=설정!$B$10,$AS132&lt;=설정!$B$11),"포함","기간 밖"))</f>
        <v/>
      </c>
      <c r="BB132" s="2">
        <f>IF($AS132="","",IF(OR($AT132&lt;0,AND($I$6&lt;&gt;"",ISNUMBER(FIND("수정",INDEX($A:$AP,ROW(),IF($I$6="",1,$I$6))&amp;"")))),"수정","일반"))</f>
        <v/>
      </c>
      <c r="BC132" s="2">
        <f>IF($AS132="","",MID(IF($BA132="기간 밖"," / 기간 밖(신고기간 아님)","")&amp;IF(AND($AW132&lt;&gt;"",COUNTIF($AW$8:$AW$1007,$AW132)&gt;1)," / 승인번호 중복(두 번 붙여넣기?)","")&amp;IF(ABS($AU132-ROUND($AT132*0.1,0))&gt;설정!$B$8,IF($AU132=0," / 세액 0원(영세율·면세 여부 확인)"," / 세액이 공급가액 10%와 다름"),"")&amp;IF($BB132="수정"," / 수정세금계산서(합계에서 자동 가감)",""),4,200))</f>
        <v/>
      </c>
      <c r="BD132" s="2">
        <f>IF($BA132&lt;&gt;"포함","",IF(COUNTIFS($AX$8:$AX132,$AX132,$BA$8:$BA132,"포함")=1,MAX($BD$7:BD131)+1,""))</f>
        <v/>
      </c>
      <c r="BE132" s="2">
        <f>IF($BC132="","",MAX($BE$7:BE131)+1)</f>
        <v/>
      </c>
    </row>
    <row r="133">
      <c r="AR133" s="2">
        <f>IF(OR($A$5="",$B$6="",ROW()&lt;$A$5),"",IF(INDEX($A:$AP,ROW(),$B$6)="","",INDEX($A:$AP,ROW(),$B$6)))</f>
        <v/>
      </c>
      <c r="AS133" s="22">
        <f>IF($AR133="","",IF(ISNUMBER($AR133),IF($AR133&gt;=10000000,IFERROR(DATE(INT($AR133/10000),MOD(INT($AR133/100),100),MOD($AR133,100)),""),INT($AR133)),IFERROR(DATE(--LEFT(LEFT(SUBSTITUTE(SUBSTITUTE(SUBSTITUTE(SUBSTITUTE(TRIM($AR133),"-",""),".",""),"/","")," ",""),8),4),--MID(LEFT(SUBSTITUTE(SUBSTITUTE(SUBSTITUTE(SUBSTITUTE(TRIM($AR133),"-",""),".",""),"/","")," ",""),8),5,2),--MID(LEFT(SUBSTITUTE(SUBSTITUTE(SUBSTITUTE(SUBSTITUTE(TRIM($AR133),"-",""),".",""),"/","")," ",""),8),7,2)),"")))</f>
        <v/>
      </c>
      <c r="AT133" s="23">
        <f>IF($AS133="","",IF($F$6="",0,IF(ISNUMBER(INDEX($A:$AP,ROW(),$F$6)),INDEX($A:$AP,ROW(),$F$6),IFERROR(--SUBSTITUTE(SUBSTITUTE(TRIM(INDEX($A:$AP,ROW(),$F$6)),",",""),"원",""),0))))</f>
        <v/>
      </c>
      <c r="AU133" s="23">
        <f>IF($AS133="","",IF($G$6="",0,IF(ISNUMBER(INDEX($A:$AP,ROW(),$G$6)),INDEX($A:$AP,ROW(),$G$6),IFERROR(--SUBSTITUTE(SUBSTITUTE(TRIM(INDEX($A:$AP,ROW(),$G$6)),",",""),"원",""),0))))</f>
        <v/>
      </c>
      <c r="AV133" s="23">
        <f>IF($AS133="","",IF($H$6="",$AT133+$AU133,IF($H$6="",0,IF(ISNUMBER(INDEX($A:$AP,ROW(),$H$6)),INDEX($A:$AP,ROW(),$H$6),IFERROR(--SUBSTITUTE(SUBSTITUTE(TRIM(INDEX($A:$AP,ROW(),$H$6)),",",""),"원",""),0)))))</f>
        <v/>
      </c>
      <c r="AW133" s="2">
        <f>IF(OR($AS133="",$C$6=""),"",TRIM(INDEX($A:$AP,ROW(),$C$6)&amp;""))</f>
        <v/>
      </c>
      <c r="AX133" s="2">
        <f>IF($AS133="","",IF($AZ133&lt;&gt;"",SUBSTITUTE(SUBSTITUTE($AZ133,"-","")," ",""),$AY133))</f>
        <v/>
      </c>
      <c r="AY133" s="2">
        <f>IF(OR($AS133="",$E$6=""),"",TRIM(INDEX($A:$AP,ROW(),$E$6)&amp;""))</f>
        <v/>
      </c>
      <c r="AZ133" s="2">
        <f>IF(OR($AS133="",$D$6=""),"",TRIM(INDEX($A:$AP,ROW(),$D$6)&amp;""))</f>
        <v/>
      </c>
      <c r="BA133" s="2">
        <f>IF($AS133="","",IF(AND($AS133&gt;=설정!$B$10,$AS133&lt;=설정!$B$11),"포함","기간 밖"))</f>
        <v/>
      </c>
      <c r="BB133" s="2">
        <f>IF($AS133="","",IF(OR($AT133&lt;0,AND($I$6&lt;&gt;"",ISNUMBER(FIND("수정",INDEX($A:$AP,ROW(),IF($I$6="",1,$I$6))&amp;"")))),"수정","일반"))</f>
        <v/>
      </c>
      <c r="BC133" s="2">
        <f>IF($AS133="","",MID(IF($BA133="기간 밖"," / 기간 밖(신고기간 아님)","")&amp;IF(AND($AW133&lt;&gt;"",COUNTIF($AW$8:$AW$1007,$AW133)&gt;1)," / 승인번호 중복(두 번 붙여넣기?)","")&amp;IF(ABS($AU133-ROUND($AT133*0.1,0))&gt;설정!$B$8,IF($AU133=0," / 세액 0원(영세율·면세 여부 확인)"," / 세액이 공급가액 10%와 다름"),"")&amp;IF($BB133="수정"," / 수정세금계산서(합계에서 자동 가감)",""),4,200))</f>
        <v/>
      </c>
      <c r="BD133" s="2">
        <f>IF($BA133&lt;&gt;"포함","",IF(COUNTIFS($AX$8:$AX133,$AX133,$BA$8:$BA133,"포함")=1,MAX($BD$7:BD132)+1,""))</f>
        <v/>
      </c>
      <c r="BE133" s="2">
        <f>IF($BC133="","",MAX($BE$7:BE132)+1)</f>
        <v/>
      </c>
    </row>
    <row r="134">
      <c r="AR134" s="2">
        <f>IF(OR($A$5="",$B$6="",ROW()&lt;$A$5),"",IF(INDEX($A:$AP,ROW(),$B$6)="","",INDEX($A:$AP,ROW(),$B$6)))</f>
        <v/>
      </c>
      <c r="AS134" s="22">
        <f>IF($AR134="","",IF(ISNUMBER($AR134),IF($AR134&gt;=10000000,IFERROR(DATE(INT($AR134/10000),MOD(INT($AR134/100),100),MOD($AR134,100)),""),INT($AR134)),IFERROR(DATE(--LEFT(LEFT(SUBSTITUTE(SUBSTITUTE(SUBSTITUTE(SUBSTITUTE(TRIM($AR134),"-",""),".",""),"/","")," ",""),8),4),--MID(LEFT(SUBSTITUTE(SUBSTITUTE(SUBSTITUTE(SUBSTITUTE(TRIM($AR134),"-",""),".",""),"/","")," ",""),8),5,2),--MID(LEFT(SUBSTITUTE(SUBSTITUTE(SUBSTITUTE(SUBSTITUTE(TRIM($AR134),"-",""),".",""),"/","")," ",""),8),7,2)),"")))</f>
        <v/>
      </c>
      <c r="AT134" s="23">
        <f>IF($AS134="","",IF($F$6="",0,IF(ISNUMBER(INDEX($A:$AP,ROW(),$F$6)),INDEX($A:$AP,ROW(),$F$6),IFERROR(--SUBSTITUTE(SUBSTITUTE(TRIM(INDEX($A:$AP,ROW(),$F$6)),",",""),"원",""),0))))</f>
        <v/>
      </c>
      <c r="AU134" s="23">
        <f>IF($AS134="","",IF($G$6="",0,IF(ISNUMBER(INDEX($A:$AP,ROW(),$G$6)),INDEX($A:$AP,ROW(),$G$6),IFERROR(--SUBSTITUTE(SUBSTITUTE(TRIM(INDEX($A:$AP,ROW(),$G$6)),",",""),"원",""),0))))</f>
        <v/>
      </c>
      <c r="AV134" s="23">
        <f>IF($AS134="","",IF($H$6="",$AT134+$AU134,IF($H$6="",0,IF(ISNUMBER(INDEX($A:$AP,ROW(),$H$6)),INDEX($A:$AP,ROW(),$H$6),IFERROR(--SUBSTITUTE(SUBSTITUTE(TRIM(INDEX($A:$AP,ROW(),$H$6)),",",""),"원",""),0)))))</f>
        <v/>
      </c>
      <c r="AW134" s="2">
        <f>IF(OR($AS134="",$C$6=""),"",TRIM(INDEX($A:$AP,ROW(),$C$6)&amp;""))</f>
        <v/>
      </c>
      <c r="AX134" s="2">
        <f>IF($AS134="","",IF($AZ134&lt;&gt;"",SUBSTITUTE(SUBSTITUTE($AZ134,"-","")," ",""),$AY134))</f>
        <v/>
      </c>
      <c r="AY134" s="2">
        <f>IF(OR($AS134="",$E$6=""),"",TRIM(INDEX($A:$AP,ROW(),$E$6)&amp;""))</f>
        <v/>
      </c>
      <c r="AZ134" s="2">
        <f>IF(OR($AS134="",$D$6=""),"",TRIM(INDEX($A:$AP,ROW(),$D$6)&amp;""))</f>
        <v/>
      </c>
      <c r="BA134" s="2">
        <f>IF($AS134="","",IF(AND($AS134&gt;=설정!$B$10,$AS134&lt;=설정!$B$11),"포함","기간 밖"))</f>
        <v/>
      </c>
      <c r="BB134" s="2">
        <f>IF($AS134="","",IF(OR($AT134&lt;0,AND($I$6&lt;&gt;"",ISNUMBER(FIND("수정",INDEX($A:$AP,ROW(),IF($I$6="",1,$I$6))&amp;"")))),"수정","일반"))</f>
        <v/>
      </c>
      <c r="BC134" s="2">
        <f>IF($AS134="","",MID(IF($BA134="기간 밖"," / 기간 밖(신고기간 아님)","")&amp;IF(AND($AW134&lt;&gt;"",COUNTIF($AW$8:$AW$1007,$AW134)&gt;1)," / 승인번호 중복(두 번 붙여넣기?)","")&amp;IF(ABS($AU134-ROUND($AT134*0.1,0))&gt;설정!$B$8,IF($AU134=0," / 세액 0원(영세율·면세 여부 확인)"," / 세액이 공급가액 10%와 다름"),"")&amp;IF($BB134="수정"," / 수정세금계산서(합계에서 자동 가감)",""),4,200))</f>
        <v/>
      </c>
      <c r="BD134" s="2">
        <f>IF($BA134&lt;&gt;"포함","",IF(COUNTIFS($AX$8:$AX134,$AX134,$BA$8:$BA134,"포함")=1,MAX($BD$7:BD133)+1,""))</f>
        <v/>
      </c>
      <c r="BE134" s="2">
        <f>IF($BC134="","",MAX($BE$7:BE133)+1)</f>
        <v/>
      </c>
    </row>
    <row r="135">
      <c r="AR135" s="2">
        <f>IF(OR($A$5="",$B$6="",ROW()&lt;$A$5),"",IF(INDEX($A:$AP,ROW(),$B$6)="","",INDEX($A:$AP,ROW(),$B$6)))</f>
        <v/>
      </c>
      <c r="AS135" s="22">
        <f>IF($AR135="","",IF(ISNUMBER($AR135),IF($AR135&gt;=10000000,IFERROR(DATE(INT($AR135/10000),MOD(INT($AR135/100),100),MOD($AR135,100)),""),INT($AR135)),IFERROR(DATE(--LEFT(LEFT(SUBSTITUTE(SUBSTITUTE(SUBSTITUTE(SUBSTITUTE(TRIM($AR135),"-",""),".",""),"/","")," ",""),8),4),--MID(LEFT(SUBSTITUTE(SUBSTITUTE(SUBSTITUTE(SUBSTITUTE(TRIM($AR135),"-",""),".",""),"/","")," ",""),8),5,2),--MID(LEFT(SUBSTITUTE(SUBSTITUTE(SUBSTITUTE(SUBSTITUTE(TRIM($AR135),"-",""),".",""),"/","")," ",""),8),7,2)),"")))</f>
        <v/>
      </c>
      <c r="AT135" s="23">
        <f>IF($AS135="","",IF($F$6="",0,IF(ISNUMBER(INDEX($A:$AP,ROW(),$F$6)),INDEX($A:$AP,ROW(),$F$6),IFERROR(--SUBSTITUTE(SUBSTITUTE(TRIM(INDEX($A:$AP,ROW(),$F$6)),",",""),"원",""),0))))</f>
        <v/>
      </c>
      <c r="AU135" s="23">
        <f>IF($AS135="","",IF($G$6="",0,IF(ISNUMBER(INDEX($A:$AP,ROW(),$G$6)),INDEX($A:$AP,ROW(),$G$6),IFERROR(--SUBSTITUTE(SUBSTITUTE(TRIM(INDEX($A:$AP,ROW(),$G$6)),",",""),"원",""),0))))</f>
        <v/>
      </c>
      <c r="AV135" s="23">
        <f>IF($AS135="","",IF($H$6="",$AT135+$AU135,IF($H$6="",0,IF(ISNUMBER(INDEX($A:$AP,ROW(),$H$6)),INDEX($A:$AP,ROW(),$H$6),IFERROR(--SUBSTITUTE(SUBSTITUTE(TRIM(INDEX($A:$AP,ROW(),$H$6)),",",""),"원",""),0)))))</f>
        <v/>
      </c>
      <c r="AW135" s="2">
        <f>IF(OR($AS135="",$C$6=""),"",TRIM(INDEX($A:$AP,ROW(),$C$6)&amp;""))</f>
        <v/>
      </c>
      <c r="AX135" s="2">
        <f>IF($AS135="","",IF($AZ135&lt;&gt;"",SUBSTITUTE(SUBSTITUTE($AZ135,"-","")," ",""),$AY135))</f>
        <v/>
      </c>
      <c r="AY135" s="2">
        <f>IF(OR($AS135="",$E$6=""),"",TRIM(INDEX($A:$AP,ROW(),$E$6)&amp;""))</f>
        <v/>
      </c>
      <c r="AZ135" s="2">
        <f>IF(OR($AS135="",$D$6=""),"",TRIM(INDEX($A:$AP,ROW(),$D$6)&amp;""))</f>
        <v/>
      </c>
      <c r="BA135" s="2">
        <f>IF($AS135="","",IF(AND($AS135&gt;=설정!$B$10,$AS135&lt;=설정!$B$11),"포함","기간 밖"))</f>
        <v/>
      </c>
      <c r="BB135" s="2">
        <f>IF($AS135="","",IF(OR($AT135&lt;0,AND($I$6&lt;&gt;"",ISNUMBER(FIND("수정",INDEX($A:$AP,ROW(),IF($I$6="",1,$I$6))&amp;"")))),"수정","일반"))</f>
        <v/>
      </c>
      <c r="BC135" s="2">
        <f>IF($AS135="","",MID(IF($BA135="기간 밖"," / 기간 밖(신고기간 아님)","")&amp;IF(AND($AW135&lt;&gt;"",COUNTIF($AW$8:$AW$1007,$AW135)&gt;1)," / 승인번호 중복(두 번 붙여넣기?)","")&amp;IF(ABS($AU135-ROUND($AT135*0.1,0))&gt;설정!$B$8,IF($AU135=0," / 세액 0원(영세율·면세 여부 확인)"," / 세액이 공급가액 10%와 다름"),"")&amp;IF($BB135="수정"," / 수정세금계산서(합계에서 자동 가감)",""),4,200))</f>
        <v/>
      </c>
      <c r="BD135" s="2">
        <f>IF($BA135&lt;&gt;"포함","",IF(COUNTIFS($AX$8:$AX135,$AX135,$BA$8:$BA135,"포함")=1,MAX($BD$7:BD134)+1,""))</f>
        <v/>
      </c>
      <c r="BE135" s="2">
        <f>IF($BC135="","",MAX($BE$7:BE134)+1)</f>
        <v/>
      </c>
    </row>
    <row r="136">
      <c r="AR136" s="2">
        <f>IF(OR($A$5="",$B$6="",ROW()&lt;$A$5),"",IF(INDEX($A:$AP,ROW(),$B$6)="","",INDEX($A:$AP,ROW(),$B$6)))</f>
        <v/>
      </c>
      <c r="AS136" s="22">
        <f>IF($AR136="","",IF(ISNUMBER($AR136),IF($AR136&gt;=10000000,IFERROR(DATE(INT($AR136/10000),MOD(INT($AR136/100),100),MOD($AR136,100)),""),INT($AR136)),IFERROR(DATE(--LEFT(LEFT(SUBSTITUTE(SUBSTITUTE(SUBSTITUTE(SUBSTITUTE(TRIM($AR136),"-",""),".",""),"/","")," ",""),8),4),--MID(LEFT(SUBSTITUTE(SUBSTITUTE(SUBSTITUTE(SUBSTITUTE(TRIM($AR136),"-",""),".",""),"/","")," ",""),8),5,2),--MID(LEFT(SUBSTITUTE(SUBSTITUTE(SUBSTITUTE(SUBSTITUTE(TRIM($AR136),"-",""),".",""),"/","")," ",""),8),7,2)),"")))</f>
        <v/>
      </c>
      <c r="AT136" s="23">
        <f>IF($AS136="","",IF($F$6="",0,IF(ISNUMBER(INDEX($A:$AP,ROW(),$F$6)),INDEX($A:$AP,ROW(),$F$6),IFERROR(--SUBSTITUTE(SUBSTITUTE(TRIM(INDEX($A:$AP,ROW(),$F$6)),",",""),"원",""),0))))</f>
        <v/>
      </c>
      <c r="AU136" s="23">
        <f>IF($AS136="","",IF($G$6="",0,IF(ISNUMBER(INDEX($A:$AP,ROW(),$G$6)),INDEX($A:$AP,ROW(),$G$6),IFERROR(--SUBSTITUTE(SUBSTITUTE(TRIM(INDEX($A:$AP,ROW(),$G$6)),",",""),"원",""),0))))</f>
        <v/>
      </c>
      <c r="AV136" s="23">
        <f>IF($AS136="","",IF($H$6="",$AT136+$AU136,IF($H$6="",0,IF(ISNUMBER(INDEX($A:$AP,ROW(),$H$6)),INDEX($A:$AP,ROW(),$H$6),IFERROR(--SUBSTITUTE(SUBSTITUTE(TRIM(INDEX($A:$AP,ROW(),$H$6)),",",""),"원",""),0)))))</f>
        <v/>
      </c>
      <c r="AW136" s="2">
        <f>IF(OR($AS136="",$C$6=""),"",TRIM(INDEX($A:$AP,ROW(),$C$6)&amp;""))</f>
        <v/>
      </c>
      <c r="AX136" s="2">
        <f>IF($AS136="","",IF($AZ136&lt;&gt;"",SUBSTITUTE(SUBSTITUTE($AZ136,"-","")," ",""),$AY136))</f>
        <v/>
      </c>
      <c r="AY136" s="2">
        <f>IF(OR($AS136="",$E$6=""),"",TRIM(INDEX($A:$AP,ROW(),$E$6)&amp;""))</f>
        <v/>
      </c>
      <c r="AZ136" s="2">
        <f>IF(OR($AS136="",$D$6=""),"",TRIM(INDEX($A:$AP,ROW(),$D$6)&amp;""))</f>
        <v/>
      </c>
      <c r="BA136" s="2">
        <f>IF($AS136="","",IF(AND($AS136&gt;=설정!$B$10,$AS136&lt;=설정!$B$11),"포함","기간 밖"))</f>
        <v/>
      </c>
      <c r="BB136" s="2">
        <f>IF($AS136="","",IF(OR($AT136&lt;0,AND($I$6&lt;&gt;"",ISNUMBER(FIND("수정",INDEX($A:$AP,ROW(),IF($I$6="",1,$I$6))&amp;"")))),"수정","일반"))</f>
        <v/>
      </c>
      <c r="BC136" s="2">
        <f>IF($AS136="","",MID(IF($BA136="기간 밖"," / 기간 밖(신고기간 아님)","")&amp;IF(AND($AW136&lt;&gt;"",COUNTIF($AW$8:$AW$1007,$AW136)&gt;1)," / 승인번호 중복(두 번 붙여넣기?)","")&amp;IF(ABS($AU136-ROUND($AT136*0.1,0))&gt;설정!$B$8,IF($AU136=0," / 세액 0원(영세율·면세 여부 확인)"," / 세액이 공급가액 10%와 다름"),"")&amp;IF($BB136="수정"," / 수정세금계산서(합계에서 자동 가감)",""),4,200))</f>
        <v/>
      </c>
      <c r="BD136" s="2">
        <f>IF($BA136&lt;&gt;"포함","",IF(COUNTIFS($AX$8:$AX136,$AX136,$BA$8:$BA136,"포함")=1,MAX($BD$7:BD135)+1,""))</f>
        <v/>
      </c>
      <c r="BE136" s="2">
        <f>IF($BC136="","",MAX($BE$7:BE135)+1)</f>
        <v/>
      </c>
    </row>
    <row r="137">
      <c r="AR137" s="2">
        <f>IF(OR($A$5="",$B$6="",ROW()&lt;$A$5),"",IF(INDEX($A:$AP,ROW(),$B$6)="","",INDEX($A:$AP,ROW(),$B$6)))</f>
        <v/>
      </c>
      <c r="AS137" s="22">
        <f>IF($AR137="","",IF(ISNUMBER($AR137),IF($AR137&gt;=10000000,IFERROR(DATE(INT($AR137/10000),MOD(INT($AR137/100),100),MOD($AR137,100)),""),INT($AR137)),IFERROR(DATE(--LEFT(LEFT(SUBSTITUTE(SUBSTITUTE(SUBSTITUTE(SUBSTITUTE(TRIM($AR137),"-",""),".",""),"/","")," ",""),8),4),--MID(LEFT(SUBSTITUTE(SUBSTITUTE(SUBSTITUTE(SUBSTITUTE(TRIM($AR137),"-",""),".",""),"/","")," ",""),8),5,2),--MID(LEFT(SUBSTITUTE(SUBSTITUTE(SUBSTITUTE(SUBSTITUTE(TRIM($AR137),"-",""),".",""),"/","")," ",""),8),7,2)),"")))</f>
        <v/>
      </c>
      <c r="AT137" s="23">
        <f>IF($AS137="","",IF($F$6="",0,IF(ISNUMBER(INDEX($A:$AP,ROW(),$F$6)),INDEX($A:$AP,ROW(),$F$6),IFERROR(--SUBSTITUTE(SUBSTITUTE(TRIM(INDEX($A:$AP,ROW(),$F$6)),",",""),"원",""),0))))</f>
        <v/>
      </c>
      <c r="AU137" s="23">
        <f>IF($AS137="","",IF($G$6="",0,IF(ISNUMBER(INDEX($A:$AP,ROW(),$G$6)),INDEX($A:$AP,ROW(),$G$6),IFERROR(--SUBSTITUTE(SUBSTITUTE(TRIM(INDEX($A:$AP,ROW(),$G$6)),",",""),"원",""),0))))</f>
        <v/>
      </c>
      <c r="AV137" s="23">
        <f>IF($AS137="","",IF($H$6="",$AT137+$AU137,IF($H$6="",0,IF(ISNUMBER(INDEX($A:$AP,ROW(),$H$6)),INDEX($A:$AP,ROW(),$H$6),IFERROR(--SUBSTITUTE(SUBSTITUTE(TRIM(INDEX($A:$AP,ROW(),$H$6)),",",""),"원",""),0)))))</f>
        <v/>
      </c>
      <c r="AW137" s="2">
        <f>IF(OR($AS137="",$C$6=""),"",TRIM(INDEX($A:$AP,ROW(),$C$6)&amp;""))</f>
        <v/>
      </c>
      <c r="AX137" s="2">
        <f>IF($AS137="","",IF($AZ137&lt;&gt;"",SUBSTITUTE(SUBSTITUTE($AZ137,"-","")," ",""),$AY137))</f>
        <v/>
      </c>
      <c r="AY137" s="2">
        <f>IF(OR($AS137="",$E$6=""),"",TRIM(INDEX($A:$AP,ROW(),$E$6)&amp;""))</f>
        <v/>
      </c>
      <c r="AZ137" s="2">
        <f>IF(OR($AS137="",$D$6=""),"",TRIM(INDEX($A:$AP,ROW(),$D$6)&amp;""))</f>
        <v/>
      </c>
      <c r="BA137" s="2">
        <f>IF($AS137="","",IF(AND($AS137&gt;=설정!$B$10,$AS137&lt;=설정!$B$11),"포함","기간 밖"))</f>
        <v/>
      </c>
      <c r="BB137" s="2">
        <f>IF($AS137="","",IF(OR($AT137&lt;0,AND($I$6&lt;&gt;"",ISNUMBER(FIND("수정",INDEX($A:$AP,ROW(),IF($I$6="",1,$I$6))&amp;"")))),"수정","일반"))</f>
        <v/>
      </c>
      <c r="BC137" s="2">
        <f>IF($AS137="","",MID(IF($BA137="기간 밖"," / 기간 밖(신고기간 아님)","")&amp;IF(AND($AW137&lt;&gt;"",COUNTIF($AW$8:$AW$1007,$AW137)&gt;1)," / 승인번호 중복(두 번 붙여넣기?)","")&amp;IF(ABS($AU137-ROUND($AT137*0.1,0))&gt;설정!$B$8,IF($AU137=0," / 세액 0원(영세율·면세 여부 확인)"," / 세액이 공급가액 10%와 다름"),"")&amp;IF($BB137="수정"," / 수정세금계산서(합계에서 자동 가감)",""),4,200))</f>
        <v/>
      </c>
      <c r="BD137" s="2">
        <f>IF($BA137&lt;&gt;"포함","",IF(COUNTIFS($AX$8:$AX137,$AX137,$BA$8:$BA137,"포함")=1,MAX($BD$7:BD136)+1,""))</f>
        <v/>
      </c>
      <c r="BE137" s="2">
        <f>IF($BC137="","",MAX($BE$7:BE136)+1)</f>
        <v/>
      </c>
    </row>
    <row r="138">
      <c r="AR138" s="2">
        <f>IF(OR($A$5="",$B$6="",ROW()&lt;$A$5),"",IF(INDEX($A:$AP,ROW(),$B$6)="","",INDEX($A:$AP,ROW(),$B$6)))</f>
        <v/>
      </c>
      <c r="AS138" s="22">
        <f>IF($AR138="","",IF(ISNUMBER($AR138),IF($AR138&gt;=10000000,IFERROR(DATE(INT($AR138/10000),MOD(INT($AR138/100),100),MOD($AR138,100)),""),INT($AR138)),IFERROR(DATE(--LEFT(LEFT(SUBSTITUTE(SUBSTITUTE(SUBSTITUTE(SUBSTITUTE(TRIM($AR138),"-",""),".",""),"/","")," ",""),8),4),--MID(LEFT(SUBSTITUTE(SUBSTITUTE(SUBSTITUTE(SUBSTITUTE(TRIM($AR138),"-",""),".",""),"/","")," ",""),8),5,2),--MID(LEFT(SUBSTITUTE(SUBSTITUTE(SUBSTITUTE(SUBSTITUTE(TRIM($AR138),"-",""),".",""),"/","")," ",""),8),7,2)),"")))</f>
        <v/>
      </c>
      <c r="AT138" s="23">
        <f>IF($AS138="","",IF($F$6="",0,IF(ISNUMBER(INDEX($A:$AP,ROW(),$F$6)),INDEX($A:$AP,ROW(),$F$6),IFERROR(--SUBSTITUTE(SUBSTITUTE(TRIM(INDEX($A:$AP,ROW(),$F$6)),",",""),"원",""),0))))</f>
        <v/>
      </c>
      <c r="AU138" s="23">
        <f>IF($AS138="","",IF($G$6="",0,IF(ISNUMBER(INDEX($A:$AP,ROW(),$G$6)),INDEX($A:$AP,ROW(),$G$6),IFERROR(--SUBSTITUTE(SUBSTITUTE(TRIM(INDEX($A:$AP,ROW(),$G$6)),",",""),"원",""),0))))</f>
        <v/>
      </c>
      <c r="AV138" s="23">
        <f>IF($AS138="","",IF($H$6="",$AT138+$AU138,IF($H$6="",0,IF(ISNUMBER(INDEX($A:$AP,ROW(),$H$6)),INDEX($A:$AP,ROW(),$H$6),IFERROR(--SUBSTITUTE(SUBSTITUTE(TRIM(INDEX($A:$AP,ROW(),$H$6)),",",""),"원",""),0)))))</f>
        <v/>
      </c>
      <c r="AW138" s="2">
        <f>IF(OR($AS138="",$C$6=""),"",TRIM(INDEX($A:$AP,ROW(),$C$6)&amp;""))</f>
        <v/>
      </c>
      <c r="AX138" s="2">
        <f>IF($AS138="","",IF($AZ138&lt;&gt;"",SUBSTITUTE(SUBSTITUTE($AZ138,"-","")," ",""),$AY138))</f>
        <v/>
      </c>
      <c r="AY138" s="2">
        <f>IF(OR($AS138="",$E$6=""),"",TRIM(INDEX($A:$AP,ROW(),$E$6)&amp;""))</f>
        <v/>
      </c>
      <c r="AZ138" s="2">
        <f>IF(OR($AS138="",$D$6=""),"",TRIM(INDEX($A:$AP,ROW(),$D$6)&amp;""))</f>
        <v/>
      </c>
      <c r="BA138" s="2">
        <f>IF($AS138="","",IF(AND($AS138&gt;=설정!$B$10,$AS138&lt;=설정!$B$11),"포함","기간 밖"))</f>
        <v/>
      </c>
      <c r="BB138" s="2">
        <f>IF($AS138="","",IF(OR($AT138&lt;0,AND($I$6&lt;&gt;"",ISNUMBER(FIND("수정",INDEX($A:$AP,ROW(),IF($I$6="",1,$I$6))&amp;"")))),"수정","일반"))</f>
        <v/>
      </c>
      <c r="BC138" s="2">
        <f>IF($AS138="","",MID(IF($BA138="기간 밖"," / 기간 밖(신고기간 아님)","")&amp;IF(AND($AW138&lt;&gt;"",COUNTIF($AW$8:$AW$1007,$AW138)&gt;1)," / 승인번호 중복(두 번 붙여넣기?)","")&amp;IF(ABS($AU138-ROUND($AT138*0.1,0))&gt;설정!$B$8,IF($AU138=0," / 세액 0원(영세율·면세 여부 확인)"," / 세액이 공급가액 10%와 다름"),"")&amp;IF($BB138="수정"," / 수정세금계산서(합계에서 자동 가감)",""),4,200))</f>
        <v/>
      </c>
      <c r="BD138" s="2">
        <f>IF($BA138&lt;&gt;"포함","",IF(COUNTIFS($AX$8:$AX138,$AX138,$BA$8:$BA138,"포함")=1,MAX($BD$7:BD137)+1,""))</f>
        <v/>
      </c>
      <c r="BE138" s="2">
        <f>IF($BC138="","",MAX($BE$7:BE137)+1)</f>
        <v/>
      </c>
    </row>
    <row r="139">
      <c r="AR139" s="2">
        <f>IF(OR($A$5="",$B$6="",ROW()&lt;$A$5),"",IF(INDEX($A:$AP,ROW(),$B$6)="","",INDEX($A:$AP,ROW(),$B$6)))</f>
        <v/>
      </c>
      <c r="AS139" s="22">
        <f>IF($AR139="","",IF(ISNUMBER($AR139),IF($AR139&gt;=10000000,IFERROR(DATE(INT($AR139/10000),MOD(INT($AR139/100),100),MOD($AR139,100)),""),INT($AR139)),IFERROR(DATE(--LEFT(LEFT(SUBSTITUTE(SUBSTITUTE(SUBSTITUTE(SUBSTITUTE(TRIM($AR139),"-",""),".",""),"/","")," ",""),8),4),--MID(LEFT(SUBSTITUTE(SUBSTITUTE(SUBSTITUTE(SUBSTITUTE(TRIM($AR139),"-",""),".",""),"/","")," ",""),8),5,2),--MID(LEFT(SUBSTITUTE(SUBSTITUTE(SUBSTITUTE(SUBSTITUTE(TRIM($AR139),"-",""),".",""),"/","")," ",""),8),7,2)),"")))</f>
        <v/>
      </c>
      <c r="AT139" s="23">
        <f>IF($AS139="","",IF($F$6="",0,IF(ISNUMBER(INDEX($A:$AP,ROW(),$F$6)),INDEX($A:$AP,ROW(),$F$6),IFERROR(--SUBSTITUTE(SUBSTITUTE(TRIM(INDEX($A:$AP,ROW(),$F$6)),",",""),"원",""),0))))</f>
        <v/>
      </c>
      <c r="AU139" s="23">
        <f>IF($AS139="","",IF($G$6="",0,IF(ISNUMBER(INDEX($A:$AP,ROW(),$G$6)),INDEX($A:$AP,ROW(),$G$6),IFERROR(--SUBSTITUTE(SUBSTITUTE(TRIM(INDEX($A:$AP,ROW(),$G$6)),",",""),"원",""),0))))</f>
        <v/>
      </c>
      <c r="AV139" s="23">
        <f>IF($AS139="","",IF($H$6="",$AT139+$AU139,IF($H$6="",0,IF(ISNUMBER(INDEX($A:$AP,ROW(),$H$6)),INDEX($A:$AP,ROW(),$H$6),IFERROR(--SUBSTITUTE(SUBSTITUTE(TRIM(INDEX($A:$AP,ROW(),$H$6)),",",""),"원",""),0)))))</f>
        <v/>
      </c>
      <c r="AW139" s="2">
        <f>IF(OR($AS139="",$C$6=""),"",TRIM(INDEX($A:$AP,ROW(),$C$6)&amp;""))</f>
        <v/>
      </c>
      <c r="AX139" s="2">
        <f>IF($AS139="","",IF($AZ139&lt;&gt;"",SUBSTITUTE(SUBSTITUTE($AZ139,"-","")," ",""),$AY139))</f>
        <v/>
      </c>
      <c r="AY139" s="2">
        <f>IF(OR($AS139="",$E$6=""),"",TRIM(INDEX($A:$AP,ROW(),$E$6)&amp;""))</f>
        <v/>
      </c>
      <c r="AZ139" s="2">
        <f>IF(OR($AS139="",$D$6=""),"",TRIM(INDEX($A:$AP,ROW(),$D$6)&amp;""))</f>
        <v/>
      </c>
      <c r="BA139" s="2">
        <f>IF($AS139="","",IF(AND($AS139&gt;=설정!$B$10,$AS139&lt;=설정!$B$11),"포함","기간 밖"))</f>
        <v/>
      </c>
      <c r="BB139" s="2">
        <f>IF($AS139="","",IF(OR($AT139&lt;0,AND($I$6&lt;&gt;"",ISNUMBER(FIND("수정",INDEX($A:$AP,ROW(),IF($I$6="",1,$I$6))&amp;"")))),"수정","일반"))</f>
        <v/>
      </c>
      <c r="BC139" s="2">
        <f>IF($AS139="","",MID(IF($BA139="기간 밖"," / 기간 밖(신고기간 아님)","")&amp;IF(AND($AW139&lt;&gt;"",COUNTIF($AW$8:$AW$1007,$AW139)&gt;1)," / 승인번호 중복(두 번 붙여넣기?)","")&amp;IF(ABS($AU139-ROUND($AT139*0.1,0))&gt;설정!$B$8,IF($AU139=0," / 세액 0원(영세율·면세 여부 확인)"," / 세액이 공급가액 10%와 다름"),"")&amp;IF($BB139="수정"," / 수정세금계산서(합계에서 자동 가감)",""),4,200))</f>
        <v/>
      </c>
      <c r="BD139" s="2">
        <f>IF($BA139&lt;&gt;"포함","",IF(COUNTIFS($AX$8:$AX139,$AX139,$BA$8:$BA139,"포함")=1,MAX($BD$7:BD138)+1,""))</f>
        <v/>
      </c>
      <c r="BE139" s="2">
        <f>IF($BC139="","",MAX($BE$7:BE138)+1)</f>
        <v/>
      </c>
    </row>
    <row r="140">
      <c r="AR140" s="2">
        <f>IF(OR($A$5="",$B$6="",ROW()&lt;$A$5),"",IF(INDEX($A:$AP,ROW(),$B$6)="","",INDEX($A:$AP,ROW(),$B$6)))</f>
        <v/>
      </c>
      <c r="AS140" s="22">
        <f>IF($AR140="","",IF(ISNUMBER($AR140),IF($AR140&gt;=10000000,IFERROR(DATE(INT($AR140/10000),MOD(INT($AR140/100),100),MOD($AR140,100)),""),INT($AR140)),IFERROR(DATE(--LEFT(LEFT(SUBSTITUTE(SUBSTITUTE(SUBSTITUTE(SUBSTITUTE(TRIM($AR140),"-",""),".",""),"/","")," ",""),8),4),--MID(LEFT(SUBSTITUTE(SUBSTITUTE(SUBSTITUTE(SUBSTITUTE(TRIM($AR140),"-",""),".",""),"/","")," ",""),8),5,2),--MID(LEFT(SUBSTITUTE(SUBSTITUTE(SUBSTITUTE(SUBSTITUTE(TRIM($AR140),"-",""),".",""),"/","")," ",""),8),7,2)),"")))</f>
        <v/>
      </c>
      <c r="AT140" s="23">
        <f>IF($AS140="","",IF($F$6="",0,IF(ISNUMBER(INDEX($A:$AP,ROW(),$F$6)),INDEX($A:$AP,ROW(),$F$6),IFERROR(--SUBSTITUTE(SUBSTITUTE(TRIM(INDEX($A:$AP,ROW(),$F$6)),",",""),"원",""),0))))</f>
        <v/>
      </c>
      <c r="AU140" s="23">
        <f>IF($AS140="","",IF($G$6="",0,IF(ISNUMBER(INDEX($A:$AP,ROW(),$G$6)),INDEX($A:$AP,ROW(),$G$6),IFERROR(--SUBSTITUTE(SUBSTITUTE(TRIM(INDEX($A:$AP,ROW(),$G$6)),",",""),"원",""),0))))</f>
        <v/>
      </c>
      <c r="AV140" s="23">
        <f>IF($AS140="","",IF($H$6="",$AT140+$AU140,IF($H$6="",0,IF(ISNUMBER(INDEX($A:$AP,ROW(),$H$6)),INDEX($A:$AP,ROW(),$H$6),IFERROR(--SUBSTITUTE(SUBSTITUTE(TRIM(INDEX($A:$AP,ROW(),$H$6)),",",""),"원",""),0)))))</f>
        <v/>
      </c>
      <c r="AW140" s="2">
        <f>IF(OR($AS140="",$C$6=""),"",TRIM(INDEX($A:$AP,ROW(),$C$6)&amp;""))</f>
        <v/>
      </c>
      <c r="AX140" s="2">
        <f>IF($AS140="","",IF($AZ140&lt;&gt;"",SUBSTITUTE(SUBSTITUTE($AZ140,"-","")," ",""),$AY140))</f>
        <v/>
      </c>
      <c r="AY140" s="2">
        <f>IF(OR($AS140="",$E$6=""),"",TRIM(INDEX($A:$AP,ROW(),$E$6)&amp;""))</f>
        <v/>
      </c>
      <c r="AZ140" s="2">
        <f>IF(OR($AS140="",$D$6=""),"",TRIM(INDEX($A:$AP,ROW(),$D$6)&amp;""))</f>
        <v/>
      </c>
      <c r="BA140" s="2">
        <f>IF($AS140="","",IF(AND($AS140&gt;=설정!$B$10,$AS140&lt;=설정!$B$11),"포함","기간 밖"))</f>
        <v/>
      </c>
      <c r="BB140" s="2">
        <f>IF($AS140="","",IF(OR($AT140&lt;0,AND($I$6&lt;&gt;"",ISNUMBER(FIND("수정",INDEX($A:$AP,ROW(),IF($I$6="",1,$I$6))&amp;"")))),"수정","일반"))</f>
        <v/>
      </c>
      <c r="BC140" s="2">
        <f>IF($AS140="","",MID(IF($BA140="기간 밖"," / 기간 밖(신고기간 아님)","")&amp;IF(AND($AW140&lt;&gt;"",COUNTIF($AW$8:$AW$1007,$AW140)&gt;1)," / 승인번호 중복(두 번 붙여넣기?)","")&amp;IF(ABS($AU140-ROUND($AT140*0.1,0))&gt;설정!$B$8,IF($AU140=0," / 세액 0원(영세율·면세 여부 확인)"," / 세액이 공급가액 10%와 다름"),"")&amp;IF($BB140="수정"," / 수정세금계산서(합계에서 자동 가감)",""),4,200))</f>
        <v/>
      </c>
      <c r="BD140" s="2">
        <f>IF($BA140&lt;&gt;"포함","",IF(COUNTIFS($AX$8:$AX140,$AX140,$BA$8:$BA140,"포함")=1,MAX($BD$7:BD139)+1,""))</f>
        <v/>
      </c>
      <c r="BE140" s="2">
        <f>IF($BC140="","",MAX($BE$7:BE139)+1)</f>
        <v/>
      </c>
    </row>
    <row r="141">
      <c r="AR141" s="2">
        <f>IF(OR($A$5="",$B$6="",ROW()&lt;$A$5),"",IF(INDEX($A:$AP,ROW(),$B$6)="","",INDEX($A:$AP,ROW(),$B$6)))</f>
        <v/>
      </c>
      <c r="AS141" s="22">
        <f>IF($AR141="","",IF(ISNUMBER($AR141),IF($AR141&gt;=10000000,IFERROR(DATE(INT($AR141/10000),MOD(INT($AR141/100),100),MOD($AR141,100)),""),INT($AR141)),IFERROR(DATE(--LEFT(LEFT(SUBSTITUTE(SUBSTITUTE(SUBSTITUTE(SUBSTITUTE(TRIM($AR141),"-",""),".",""),"/","")," ",""),8),4),--MID(LEFT(SUBSTITUTE(SUBSTITUTE(SUBSTITUTE(SUBSTITUTE(TRIM($AR141),"-",""),".",""),"/","")," ",""),8),5,2),--MID(LEFT(SUBSTITUTE(SUBSTITUTE(SUBSTITUTE(SUBSTITUTE(TRIM($AR141),"-",""),".",""),"/","")," ",""),8),7,2)),"")))</f>
        <v/>
      </c>
      <c r="AT141" s="23">
        <f>IF($AS141="","",IF($F$6="",0,IF(ISNUMBER(INDEX($A:$AP,ROW(),$F$6)),INDEX($A:$AP,ROW(),$F$6),IFERROR(--SUBSTITUTE(SUBSTITUTE(TRIM(INDEX($A:$AP,ROW(),$F$6)),",",""),"원",""),0))))</f>
        <v/>
      </c>
      <c r="AU141" s="23">
        <f>IF($AS141="","",IF($G$6="",0,IF(ISNUMBER(INDEX($A:$AP,ROW(),$G$6)),INDEX($A:$AP,ROW(),$G$6),IFERROR(--SUBSTITUTE(SUBSTITUTE(TRIM(INDEX($A:$AP,ROW(),$G$6)),",",""),"원",""),0))))</f>
        <v/>
      </c>
      <c r="AV141" s="23">
        <f>IF($AS141="","",IF($H$6="",$AT141+$AU141,IF($H$6="",0,IF(ISNUMBER(INDEX($A:$AP,ROW(),$H$6)),INDEX($A:$AP,ROW(),$H$6),IFERROR(--SUBSTITUTE(SUBSTITUTE(TRIM(INDEX($A:$AP,ROW(),$H$6)),",",""),"원",""),0)))))</f>
        <v/>
      </c>
      <c r="AW141" s="2">
        <f>IF(OR($AS141="",$C$6=""),"",TRIM(INDEX($A:$AP,ROW(),$C$6)&amp;""))</f>
        <v/>
      </c>
      <c r="AX141" s="2">
        <f>IF($AS141="","",IF($AZ141&lt;&gt;"",SUBSTITUTE(SUBSTITUTE($AZ141,"-","")," ",""),$AY141))</f>
        <v/>
      </c>
      <c r="AY141" s="2">
        <f>IF(OR($AS141="",$E$6=""),"",TRIM(INDEX($A:$AP,ROW(),$E$6)&amp;""))</f>
        <v/>
      </c>
      <c r="AZ141" s="2">
        <f>IF(OR($AS141="",$D$6=""),"",TRIM(INDEX($A:$AP,ROW(),$D$6)&amp;""))</f>
        <v/>
      </c>
      <c r="BA141" s="2">
        <f>IF($AS141="","",IF(AND($AS141&gt;=설정!$B$10,$AS141&lt;=설정!$B$11),"포함","기간 밖"))</f>
        <v/>
      </c>
      <c r="BB141" s="2">
        <f>IF($AS141="","",IF(OR($AT141&lt;0,AND($I$6&lt;&gt;"",ISNUMBER(FIND("수정",INDEX($A:$AP,ROW(),IF($I$6="",1,$I$6))&amp;"")))),"수정","일반"))</f>
        <v/>
      </c>
      <c r="BC141" s="2">
        <f>IF($AS141="","",MID(IF($BA141="기간 밖"," / 기간 밖(신고기간 아님)","")&amp;IF(AND($AW141&lt;&gt;"",COUNTIF($AW$8:$AW$1007,$AW141)&gt;1)," / 승인번호 중복(두 번 붙여넣기?)","")&amp;IF(ABS($AU141-ROUND($AT141*0.1,0))&gt;설정!$B$8,IF($AU141=0," / 세액 0원(영세율·면세 여부 확인)"," / 세액이 공급가액 10%와 다름"),"")&amp;IF($BB141="수정"," / 수정세금계산서(합계에서 자동 가감)",""),4,200))</f>
        <v/>
      </c>
      <c r="BD141" s="2">
        <f>IF($BA141&lt;&gt;"포함","",IF(COUNTIFS($AX$8:$AX141,$AX141,$BA$8:$BA141,"포함")=1,MAX($BD$7:BD140)+1,""))</f>
        <v/>
      </c>
      <c r="BE141" s="2">
        <f>IF($BC141="","",MAX($BE$7:BE140)+1)</f>
        <v/>
      </c>
    </row>
    <row r="142">
      <c r="AR142" s="2">
        <f>IF(OR($A$5="",$B$6="",ROW()&lt;$A$5),"",IF(INDEX($A:$AP,ROW(),$B$6)="","",INDEX($A:$AP,ROW(),$B$6)))</f>
        <v/>
      </c>
      <c r="AS142" s="22">
        <f>IF($AR142="","",IF(ISNUMBER($AR142),IF($AR142&gt;=10000000,IFERROR(DATE(INT($AR142/10000),MOD(INT($AR142/100),100),MOD($AR142,100)),""),INT($AR142)),IFERROR(DATE(--LEFT(LEFT(SUBSTITUTE(SUBSTITUTE(SUBSTITUTE(SUBSTITUTE(TRIM($AR142),"-",""),".",""),"/","")," ",""),8),4),--MID(LEFT(SUBSTITUTE(SUBSTITUTE(SUBSTITUTE(SUBSTITUTE(TRIM($AR142),"-",""),".",""),"/","")," ",""),8),5,2),--MID(LEFT(SUBSTITUTE(SUBSTITUTE(SUBSTITUTE(SUBSTITUTE(TRIM($AR142),"-",""),".",""),"/","")," ",""),8),7,2)),"")))</f>
        <v/>
      </c>
      <c r="AT142" s="23">
        <f>IF($AS142="","",IF($F$6="",0,IF(ISNUMBER(INDEX($A:$AP,ROW(),$F$6)),INDEX($A:$AP,ROW(),$F$6),IFERROR(--SUBSTITUTE(SUBSTITUTE(TRIM(INDEX($A:$AP,ROW(),$F$6)),",",""),"원",""),0))))</f>
        <v/>
      </c>
      <c r="AU142" s="23">
        <f>IF($AS142="","",IF($G$6="",0,IF(ISNUMBER(INDEX($A:$AP,ROW(),$G$6)),INDEX($A:$AP,ROW(),$G$6),IFERROR(--SUBSTITUTE(SUBSTITUTE(TRIM(INDEX($A:$AP,ROW(),$G$6)),",",""),"원",""),0))))</f>
        <v/>
      </c>
      <c r="AV142" s="23">
        <f>IF($AS142="","",IF($H$6="",$AT142+$AU142,IF($H$6="",0,IF(ISNUMBER(INDEX($A:$AP,ROW(),$H$6)),INDEX($A:$AP,ROW(),$H$6),IFERROR(--SUBSTITUTE(SUBSTITUTE(TRIM(INDEX($A:$AP,ROW(),$H$6)),",",""),"원",""),0)))))</f>
        <v/>
      </c>
      <c r="AW142" s="2">
        <f>IF(OR($AS142="",$C$6=""),"",TRIM(INDEX($A:$AP,ROW(),$C$6)&amp;""))</f>
        <v/>
      </c>
      <c r="AX142" s="2">
        <f>IF($AS142="","",IF($AZ142&lt;&gt;"",SUBSTITUTE(SUBSTITUTE($AZ142,"-","")," ",""),$AY142))</f>
        <v/>
      </c>
      <c r="AY142" s="2">
        <f>IF(OR($AS142="",$E$6=""),"",TRIM(INDEX($A:$AP,ROW(),$E$6)&amp;""))</f>
        <v/>
      </c>
      <c r="AZ142" s="2">
        <f>IF(OR($AS142="",$D$6=""),"",TRIM(INDEX($A:$AP,ROW(),$D$6)&amp;""))</f>
        <v/>
      </c>
      <c r="BA142" s="2">
        <f>IF($AS142="","",IF(AND($AS142&gt;=설정!$B$10,$AS142&lt;=설정!$B$11),"포함","기간 밖"))</f>
        <v/>
      </c>
      <c r="BB142" s="2">
        <f>IF($AS142="","",IF(OR($AT142&lt;0,AND($I$6&lt;&gt;"",ISNUMBER(FIND("수정",INDEX($A:$AP,ROW(),IF($I$6="",1,$I$6))&amp;"")))),"수정","일반"))</f>
        <v/>
      </c>
      <c r="BC142" s="2">
        <f>IF($AS142="","",MID(IF($BA142="기간 밖"," / 기간 밖(신고기간 아님)","")&amp;IF(AND($AW142&lt;&gt;"",COUNTIF($AW$8:$AW$1007,$AW142)&gt;1)," / 승인번호 중복(두 번 붙여넣기?)","")&amp;IF(ABS($AU142-ROUND($AT142*0.1,0))&gt;설정!$B$8,IF($AU142=0," / 세액 0원(영세율·면세 여부 확인)"," / 세액이 공급가액 10%와 다름"),"")&amp;IF($BB142="수정"," / 수정세금계산서(합계에서 자동 가감)",""),4,200))</f>
        <v/>
      </c>
      <c r="BD142" s="2">
        <f>IF($BA142&lt;&gt;"포함","",IF(COUNTIFS($AX$8:$AX142,$AX142,$BA$8:$BA142,"포함")=1,MAX($BD$7:BD141)+1,""))</f>
        <v/>
      </c>
      <c r="BE142" s="2">
        <f>IF($BC142="","",MAX($BE$7:BE141)+1)</f>
        <v/>
      </c>
    </row>
    <row r="143">
      <c r="AR143" s="2">
        <f>IF(OR($A$5="",$B$6="",ROW()&lt;$A$5),"",IF(INDEX($A:$AP,ROW(),$B$6)="","",INDEX($A:$AP,ROW(),$B$6)))</f>
        <v/>
      </c>
      <c r="AS143" s="22">
        <f>IF($AR143="","",IF(ISNUMBER($AR143),IF($AR143&gt;=10000000,IFERROR(DATE(INT($AR143/10000),MOD(INT($AR143/100),100),MOD($AR143,100)),""),INT($AR143)),IFERROR(DATE(--LEFT(LEFT(SUBSTITUTE(SUBSTITUTE(SUBSTITUTE(SUBSTITUTE(TRIM($AR143),"-",""),".",""),"/","")," ",""),8),4),--MID(LEFT(SUBSTITUTE(SUBSTITUTE(SUBSTITUTE(SUBSTITUTE(TRIM($AR143),"-",""),".",""),"/","")," ",""),8),5,2),--MID(LEFT(SUBSTITUTE(SUBSTITUTE(SUBSTITUTE(SUBSTITUTE(TRIM($AR143),"-",""),".",""),"/","")," ",""),8),7,2)),"")))</f>
        <v/>
      </c>
      <c r="AT143" s="23">
        <f>IF($AS143="","",IF($F$6="",0,IF(ISNUMBER(INDEX($A:$AP,ROW(),$F$6)),INDEX($A:$AP,ROW(),$F$6),IFERROR(--SUBSTITUTE(SUBSTITUTE(TRIM(INDEX($A:$AP,ROW(),$F$6)),",",""),"원",""),0))))</f>
        <v/>
      </c>
      <c r="AU143" s="23">
        <f>IF($AS143="","",IF($G$6="",0,IF(ISNUMBER(INDEX($A:$AP,ROW(),$G$6)),INDEX($A:$AP,ROW(),$G$6),IFERROR(--SUBSTITUTE(SUBSTITUTE(TRIM(INDEX($A:$AP,ROW(),$G$6)),",",""),"원",""),0))))</f>
        <v/>
      </c>
      <c r="AV143" s="23">
        <f>IF($AS143="","",IF($H$6="",$AT143+$AU143,IF($H$6="",0,IF(ISNUMBER(INDEX($A:$AP,ROW(),$H$6)),INDEX($A:$AP,ROW(),$H$6),IFERROR(--SUBSTITUTE(SUBSTITUTE(TRIM(INDEX($A:$AP,ROW(),$H$6)),",",""),"원",""),0)))))</f>
        <v/>
      </c>
      <c r="AW143" s="2">
        <f>IF(OR($AS143="",$C$6=""),"",TRIM(INDEX($A:$AP,ROW(),$C$6)&amp;""))</f>
        <v/>
      </c>
      <c r="AX143" s="2">
        <f>IF($AS143="","",IF($AZ143&lt;&gt;"",SUBSTITUTE(SUBSTITUTE($AZ143,"-","")," ",""),$AY143))</f>
        <v/>
      </c>
      <c r="AY143" s="2">
        <f>IF(OR($AS143="",$E$6=""),"",TRIM(INDEX($A:$AP,ROW(),$E$6)&amp;""))</f>
        <v/>
      </c>
      <c r="AZ143" s="2">
        <f>IF(OR($AS143="",$D$6=""),"",TRIM(INDEX($A:$AP,ROW(),$D$6)&amp;""))</f>
        <v/>
      </c>
      <c r="BA143" s="2">
        <f>IF($AS143="","",IF(AND($AS143&gt;=설정!$B$10,$AS143&lt;=설정!$B$11),"포함","기간 밖"))</f>
        <v/>
      </c>
      <c r="BB143" s="2">
        <f>IF($AS143="","",IF(OR($AT143&lt;0,AND($I$6&lt;&gt;"",ISNUMBER(FIND("수정",INDEX($A:$AP,ROW(),IF($I$6="",1,$I$6))&amp;"")))),"수정","일반"))</f>
        <v/>
      </c>
      <c r="BC143" s="2">
        <f>IF($AS143="","",MID(IF($BA143="기간 밖"," / 기간 밖(신고기간 아님)","")&amp;IF(AND($AW143&lt;&gt;"",COUNTIF($AW$8:$AW$1007,$AW143)&gt;1)," / 승인번호 중복(두 번 붙여넣기?)","")&amp;IF(ABS($AU143-ROUND($AT143*0.1,0))&gt;설정!$B$8,IF($AU143=0," / 세액 0원(영세율·면세 여부 확인)"," / 세액이 공급가액 10%와 다름"),"")&amp;IF($BB143="수정"," / 수정세금계산서(합계에서 자동 가감)",""),4,200))</f>
        <v/>
      </c>
      <c r="BD143" s="2">
        <f>IF($BA143&lt;&gt;"포함","",IF(COUNTIFS($AX$8:$AX143,$AX143,$BA$8:$BA143,"포함")=1,MAX($BD$7:BD142)+1,""))</f>
        <v/>
      </c>
      <c r="BE143" s="2">
        <f>IF($BC143="","",MAX($BE$7:BE142)+1)</f>
        <v/>
      </c>
    </row>
    <row r="144">
      <c r="AR144" s="2">
        <f>IF(OR($A$5="",$B$6="",ROW()&lt;$A$5),"",IF(INDEX($A:$AP,ROW(),$B$6)="","",INDEX($A:$AP,ROW(),$B$6)))</f>
        <v/>
      </c>
      <c r="AS144" s="22">
        <f>IF($AR144="","",IF(ISNUMBER($AR144),IF($AR144&gt;=10000000,IFERROR(DATE(INT($AR144/10000),MOD(INT($AR144/100),100),MOD($AR144,100)),""),INT($AR144)),IFERROR(DATE(--LEFT(LEFT(SUBSTITUTE(SUBSTITUTE(SUBSTITUTE(SUBSTITUTE(TRIM($AR144),"-",""),".",""),"/","")," ",""),8),4),--MID(LEFT(SUBSTITUTE(SUBSTITUTE(SUBSTITUTE(SUBSTITUTE(TRIM($AR144),"-",""),".",""),"/","")," ",""),8),5,2),--MID(LEFT(SUBSTITUTE(SUBSTITUTE(SUBSTITUTE(SUBSTITUTE(TRIM($AR144),"-",""),".",""),"/","")," ",""),8),7,2)),"")))</f>
        <v/>
      </c>
      <c r="AT144" s="23">
        <f>IF($AS144="","",IF($F$6="",0,IF(ISNUMBER(INDEX($A:$AP,ROW(),$F$6)),INDEX($A:$AP,ROW(),$F$6),IFERROR(--SUBSTITUTE(SUBSTITUTE(TRIM(INDEX($A:$AP,ROW(),$F$6)),",",""),"원",""),0))))</f>
        <v/>
      </c>
      <c r="AU144" s="23">
        <f>IF($AS144="","",IF($G$6="",0,IF(ISNUMBER(INDEX($A:$AP,ROW(),$G$6)),INDEX($A:$AP,ROW(),$G$6),IFERROR(--SUBSTITUTE(SUBSTITUTE(TRIM(INDEX($A:$AP,ROW(),$G$6)),",",""),"원",""),0))))</f>
        <v/>
      </c>
      <c r="AV144" s="23">
        <f>IF($AS144="","",IF($H$6="",$AT144+$AU144,IF($H$6="",0,IF(ISNUMBER(INDEX($A:$AP,ROW(),$H$6)),INDEX($A:$AP,ROW(),$H$6),IFERROR(--SUBSTITUTE(SUBSTITUTE(TRIM(INDEX($A:$AP,ROW(),$H$6)),",",""),"원",""),0)))))</f>
        <v/>
      </c>
      <c r="AW144" s="2">
        <f>IF(OR($AS144="",$C$6=""),"",TRIM(INDEX($A:$AP,ROW(),$C$6)&amp;""))</f>
        <v/>
      </c>
      <c r="AX144" s="2">
        <f>IF($AS144="","",IF($AZ144&lt;&gt;"",SUBSTITUTE(SUBSTITUTE($AZ144,"-","")," ",""),$AY144))</f>
        <v/>
      </c>
      <c r="AY144" s="2">
        <f>IF(OR($AS144="",$E$6=""),"",TRIM(INDEX($A:$AP,ROW(),$E$6)&amp;""))</f>
        <v/>
      </c>
      <c r="AZ144" s="2">
        <f>IF(OR($AS144="",$D$6=""),"",TRIM(INDEX($A:$AP,ROW(),$D$6)&amp;""))</f>
        <v/>
      </c>
      <c r="BA144" s="2">
        <f>IF($AS144="","",IF(AND($AS144&gt;=설정!$B$10,$AS144&lt;=설정!$B$11),"포함","기간 밖"))</f>
        <v/>
      </c>
      <c r="BB144" s="2">
        <f>IF($AS144="","",IF(OR($AT144&lt;0,AND($I$6&lt;&gt;"",ISNUMBER(FIND("수정",INDEX($A:$AP,ROW(),IF($I$6="",1,$I$6))&amp;"")))),"수정","일반"))</f>
        <v/>
      </c>
      <c r="BC144" s="2">
        <f>IF($AS144="","",MID(IF($BA144="기간 밖"," / 기간 밖(신고기간 아님)","")&amp;IF(AND($AW144&lt;&gt;"",COUNTIF($AW$8:$AW$1007,$AW144)&gt;1)," / 승인번호 중복(두 번 붙여넣기?)","")&amp;IF(ABS($AU144-ROUND($AT144*0.1,0))&gt;설정!$B$8,IF($AU144=0," / 세액 0원(영세율·면세 여부 확인)"," / 세액이 공급가액 10%와 다름"),"")&amp;IF($BB144="수정"," / 수정세금계산서(합계에서 자동 가감)",""),4,200))</f>
        <v/>
      </c>
      <c r="BD144" s="2">
        <f>IF($BA144&lt;&gt;"포함","",IF(COUNTIFS($AX$8:$AX144,$AX144,$BA$8:$BA144,"포함")=1,MAX($BD$7:BD143)+1,""))</f>
        <v/>
      </c>
      <c r="BE144" s="2">
        <f>IF($BC144="","",MAX($BE$7:BE143)+1)</f>
        <v/>
      </c>
    </row>
    <row r="145">
      <c r="AR145" s="2">
        <f>IF(OR($A$5="",$B$6="",ROW()&lt;$A$5),"",IF(INDEX($A:$AP,ROW(),$B$6)="","",INDEX($A:$AP,ROW(),$B$6)))</f>
        <v/>
      </c>
      <c r="AS145" s="22">
        <f>IF($AR145="","",IF(ISNUMBER($AR145),IF($AR145&gt;=10000000,IFERROR(DATE(INT($AR145/10000),MOD(INT($AR145/100),100),MOD($AR145,100)),""),INT($AR145)),IFERROR(DATE(--LEFT(LEFT(SUBSTITUTE(SUBSTITUTE(SUBSTITUTE(SUBSTITUTE(TRIM($AR145),"-",""),".",""),"/","")," ",""),8),4),--MID(LEFT(SUBSTITUTE(SUBSTITUTE(SUBSTITUTE(SUBSTITUTE(TRIM($AR145),"-",""),".",""),"/","")," ",""),8),5,2),--MID(LEFT(SUBSTITUTE(SUBSTITUTE(SUBSTITUTE(SUBSTITUTE(TRIM($AR145),"-",""),".",""),"/","")," ",""),8),7,2)),"")))</f>
        <v/>
      </c>
      <c r="AT145" s="23">
        <f>IF($AS145="","",IF($F$6="",0,IF(ISNUMBER(INDEX($A:$AP,ROW(),$F$6)),INDEX($A:$AP,ROW(),$F$6),IFERROR(--SUBSTITUTE(SUBSTITUTE(TRIM(INDEX($A:$AP,ROW(),$F$6)),",",""),"원",""),0))))</f>
        <v/>
      </c>
      <c r="AU145" s="23">
        <f>IF($AS145="","",IF($G$6="",0,IF(ISNUMBER(INDEX($A:$AP,ROW(),$G$6)),INDEX($A:$AP,ROW(),$G$6),IFERROR(--SUBSTITUTE(SUBSTITUTE(TRIM(INDEX($A:$AP,ROW(),$G$6)),",",""),"원",""),0))))</f>
        <v/>
      </c>
      <c r="AV145" s="23">
        <f>IF($AS145="","",IF($H$6="",$AT145+$AU145,IF($H$6="",0,IF(ISNUMBER(INDEX($A:$AP,ROW(),$H$6)),INDEX($A:$AP,ROW(),$H$6),IFERROR(--SUBSTITUTE(SUBSTITUTE(TRIM(INDEX($A:$AP,ROW(),$H$6)),",",""),"원",""),0)))))</f>
        <v/>
      </c>
      <c r="AW145" s="2">
        <f>IF(OR($AS145="",$C$6=""),"",TRIM(INDEX($A:$AP,ROW(),$C$6)&amp;""))</f>
        <v/>
      </c>
      <c r="AX145" s="2">
        <f>IF($AS145="","",IF($AZ145&lt;&gt;"",SUBSTITUTE(SUBSTITUTE($AZ145,"-","")," ",""),$AY145))</f>
        <v/>
      </c>
      <c r="AY145" s="2">
        <f>IF(OR($AS145="",$E$6=""),"",TRIM(INDEX($A:$AP,ROW(),$E$6)&amp;""))</f>
        <v/>
      </c>
      <c r="AZ145" s="2">
        <f>IF(OR($AS145="",$D$6=""),"",TRIM(INDEX($A:$AP,ROW(),$D$6)&amp;""))</f>
        <v/>
      </c>
      <c r="BA145" s="2">
        <f>IF($AS145="","",IF(AND($AS145&gt;=설정!$B$10,$AS145&lt;=설정!$B$11),"포함","기간 밖"))</f>
        <v/>
      </c>
      <c r="BB145" s="2">
        <f>IF($AS145="","",IF(OR($AT145&lt;0,AND($I$6&lt;&gt;"",ISNUMBER(FIND("수정",INDEX($A:$AP,ROW(),IF($I$6="",1,$I$6))&amp;"")))),"수정","일반"))</f>
        <v/>
      </c>
      <c r="BC145" s="2">
        <f>IF($AS145="","",MID(IF($BA145="기간 밖"," / 기간 밖(신고기간 아님)","")&amp;IF(AND($AW145&lt;&gt;"",COUNTIF($AW$8:$AW$1007,$AW145)&gt;1)," / 승인번호 중복(두 번 붙여넣기?)","")&amp;IF(ABS($AU145-ROUND($AT145*0.1,0))&gt;설정!$B$8,IF($AU145=0," / 세액 0원(영세율·면세 여부 확인)"," / 세액이 공급가액 10%와 다름"),"")&amp;IF($BB145="수정"," / 수정세금계산서(합계에서 자동 가감)",""),4,200))</f>
        <v/>
      </c>
      <c r="BD145" s="2">
        <f>IF($BA145&lt;&gt;"포함","",IF(COUNTIFS($AX$8:$AX145,$AX145,$BA$8:$BA145,"포함")=1,MAX($BD$7:BD144)+1,""))</f>
        <v/>
      </c>
      <c r="BE145" s="2">
        <f>IF($BC145="","",MAX($BE$7:BE144)+1)</f>
        <v/>
      </c>
    </row>
    <row r="146">
      <c r="AR146" s="2">
        <f>IF(OR($A$5="",$B$6="",ROW()&lt;$A$5),"",IF(INDEX($A:$AP,ROW(),$B$6)="","",INDEX($A:$AP,ROW(),$B$6)))</f>
        <v/>
      </c>
      <c r="AS146" s="22">
        <f>IF($AR146="","",IF(ISNUMBER($AR146),IF($AR146&gt;=10000000,IFERROR(DATE(INT($AR146/10000),MOD(INT($AR146/100),100),MOD($AR146,100)),""),INT($AR146)),IFERROR(DATE(--LEFT(LEFT(SUBSTITUTE(SUBSTITUTE(SUBSTITUTE(SUBSTITUTE(TRIM($AR146),"-",""),".",""),"/","")," ",""),8),4),--MID(LEFT(SUBSTITUTE(SUBSTITUTE(SUBSTITUTE(SUBSTITUTE(TRIM($AR146),"-",""),".",""),"/","")," ",""),8),5,2),--MID(LEFT(SUBSTITUTE(SUBSTITUTE(SUBSTITUTE(SUBSTITUTE(TRIM($AR146),"-",""),".",""),"/","")," ",""),8),7,2)),"")))</f>
        <v/>
      </c>
      <c r="AT146" s="23">
        <f>IF($AS146="","",IF($F$6="",0,IF(ISNUMBER(INDEX($A:$AP,ROW(),$F$6)),INDEX($A:$AP,ROW(),$F$6),IFERROR(--SUBSTITUTE(SUBSTITUTE(TRIM(INDEX($A:$AP,ROW(),$F$6)),",",""),"원",""),0))))</f>
        <v/>
      </c>
      <c r="AU146" s="23">
        <f>IF($AS146="","",IF($G$6="",0,IF(ISNUMBER(INDEX($A:$AP,ROW(),$G$6)),INDEX($A:$AP,ROW(),$G$6),IFERROR(--SUBSTITUTE(SUBSTITUTE(TRIM(INDEX($A:$AP,ROW(),$G$6)),",",""),"원",""),0))))</f>
        <v/>
      </c>
      <c r="AV146" s="23">
        <f>IF($AS146="","",IF($H$6="",$AT146+$AU146,IF($H$6="",0,IF(ISNUMBER(INDEX($A:$AP,ROW(),$H$6)),INDEX($A:$AP,ROW(),$H$6),IFERROR(--SUBSTITUTE(SUBSTITUTE(TRIM(INDEX($A:$AP,ROW(),$H$6)),",",""),"원",""),0)))))</f>
        <v/>
      </c>
      <c r="AW146" s="2">
        <f>IF(OR($AS146="",$C$6=""),"",TRIM(INDEX($A:$AP,ROW(),$C$6)&amp;""))</f>
        <v/>
      </c>
      <c r="AX146" s="2">
        <f>IF($AS146="","",IF($AZ146&lt;&gt;"",SUBSTITUTE(SUBSTITUTE($AZ146,"-","")," ",""),$AY146))</f>
        <v/>
      </c>
      <c r="AY146" s="2">
        <f>IF(OR($AS146="",$E$6=""),"",TRIM(INDEX($A:$AP,ROW(),$E$6)&amp;""))</f>
        <v/>
      </c>
      <c r="AZ146" s="2">
        <f>IF(OR($AS146="",$D$6=""),"",TRIM(INDEX($A:$AP,ROW(),$D$6)&amp;""))</f>
        <v/>
      </c>
      <c r="BA146" s="2">
        <f>IF($AS146="","",IF(AND($AS146&gt;=설정!$B$10,$AS146&lt;=설정!$B$11),"포함","기간 밖"))</f>
        <v/>
      </c>
      <c r="BB146" s="2">
        <f>IF($AS146="","",IF(OR($AT146&lt;0,AND($I$6&lt;&gt;"",ISNUMBER(FIND("수정",INDEX($A:$AP,ROW(),IF($I$6="",1,$I$6))&amp;"")))),"수정","일반"))</f>
        <v/>
      </c>
      <c r="BC146" s="2">
        <f>IF($AS146="","",MID(IF($BA146="기간 밖"," / 기간 밖(신고기간 아님)","")&amp;IF(AND($AW146&lt;&gt;"",COUNTIF($AW$8:$AW$1007,$AW146)&gt;1)," / 승인번호 중복(두 번 붙여넣기?)","")&amp;IF(ABS($AU146-ROUND($AT146*0.1,0))&gt;설정!$B$8,IF($AU146=0," / 세액 0원(영세율·면세 여부 확인)"," / 세액이 공급가액 10%와 다름"),"")&amp;IF($BB146="수정"," / 수정세금계산서(합계에서 자동 가감)",""),4,200))</f>
        <v/>
      </c>
      <c r="BD146" s="2">
        <f>IF($BA146&lt;&gt;"포함","",IF(COUNTIFS($AX$8:$AX146,$AX146,$BA$8:$BA146,"포함")=1,MAX($BD$7:BD145)+1,""))</f>
        <v/>
      </c>
      <c r="BE146" s="2">
        <f>IF($BC146="","",MAX($BE$7:BE145)+1)</f>
        <v/>
      </c>
    </row>
    <row r="147">
      <c r="AR147" s="2">
        <f>IF(OR($A$5="",$B$6="",ROW()&lt;$A$5),"",IF(INDEX($A:$AP,ROW(),$B$6)="","",INDEX($A:$AP,ROW(),$B$6)))</f>
        <v/>
      </c>
      <c r="AS147" s="22">
        <f>IF($AR147="","",IF(ISNUMBER($AR147),IF($AR147&gt;=10000000,IFERROR(DATE(INT($AR147/10000),MOD(INT($AR147/100),100),MOD($AR147,100)),""),INT($AR147)),IFERROR(DATE(--LEFT(LEFT(SUBSTITUTE(SUBSTITUTE(SUBSTITUTE(SUBSTITUTE(TRIM($AR147),"-",""),".",""),"/","")," ",""),8),4),--MID(LEFT(SUBSTITUTE(SUBSTITUTE(SUBSTITUTE(SUBSTITUTE(TRIM($AR147),"-",""),".",""),"/","")," ",""),8),5,2),--MID(LEFT(SUBSTITUTE(SUBSTITUTE(SUBSTITUTE(SUBSTITUTE(TRIM($AR147),"-",""),".",""),"/","")," ",""),8),7,2)),"")))</f>
        <v/>
      </c>
      <c r="AT147" s="23">
        <f>IF($AS147="","",IF($F$6="",0,IF(ISNUMBER(INDEX($A:$AP,ROW(),$F$6)),INDEX($A:$AP,ROW(),$F$6),IFERROR(--SUBSTITUTE(SUBSTITUTE(TRIM(INDEX($A:$AP,ROW(),$F$6)),",",""),"원",""),0))))</f>
        <v/>
      </c>
      <c r="AU147" s="23">
        <f>IF($AS147="","",IF($G$6="",0,IF(ISNUMBER(INDEX($A:$AP,ROW(),$G$6)),INDEX($A:$AP,ROW(),$G$6),IFERROR(--SUBSTITUTE(SUBSTITUTE(TRIM(INDEX($A:$AP,ROW(),$G$6)),",",""),"원",""),0))))</f>
        <v/>
      </c>
      <c r="AV147" s="23">
        <f>IF($AS147="","",IF($H$6="",$AT147+$AU147,IF($H$6="",0,IF(ISNUMBER(INDEX($A:$AP,ROW(),$H$6)),INDEX($A:$AP,ROW(),$H$6),IFERROR(--SUBSTITUTE(SUBSTITUTE(TRIM(INDEX($A:$AP,ROW(),$H$6)),",",""),"원",""),0)))))</f>
        <v/>
      </c>
      <c r="AW147" s="2">
        <f>IF(OR($AS147="",$C$6=""),"",TRIM(INDEX($A:$AP,ROW(),$C$6)&amp;""))</f>
        <v/>
      </c>
      <c r="AX147" s="2">
        <f>IF($AS147="","",IF($AZ147&lt;&gt;"",SUBSTITUTE(SUBSTITUTE($AZ147,"-","")," ",""),$AY147))</f>
        <v/>
      </c>
      <c r="AY147" s="2">
        <f>IF(OR($AS147="",$E$6=""),"",TRIM(INDEX($A:$AP,ROW(),$E$6)&amp;""))</f>
        <v/>
      </c>
      <c r="AZ147" s="2">
        <f>IF(OR($AS147="",$D$6=""),"",TRIM(INDEX($A:$AP,ROW(),$D$6)&amp;""))</f>
        <v/>
      </c>
      <c r="BA147" s="2">
        <f>IF($AS147="","",IF(AND($AS147&gt;=설정!$B$10,$AS147&lt;=설정!$B$11),"포함","기간 밖"))</f>
        <v/>
      </c>
      <c r="BB147" s="2">
        <f>IF($AS147="","",IF(OR($AT147&lt;0,AND($I$6&lt;&gt;"",ISNUMBER(FIND("수정",INDEX($A:$AP,ROW(),IF($I$6="",1,$I$6))&amp;"")))),"수정","일반"))</f>
        <v/>
      </c>
      <c r="BC147" s="2">
        <f>IF($AS147="","",MID(IF($BA147="기간 밖"," / 기간 밖(신고기간 아님)","")&amp;IF(AND($AW147&lt;&gt;"",COUNTIF($AW$8:$AW$1007,$AW147)&gt;1)," / 승인번호 중복(두 번 붙여넣기?)","")&amp;IF(ABS($AU147-ROUND($AT147*0.1,0))&gt;설정!$B$8,IF($AU147=0," / 세액 0원(영세율·면세 여부 확인)"," / 세액이 공급가액 10%와 다름"),"")&amp;IF($BB147="수정"," / 수정세금계산서(합계에서 자동 가감)",""),4,200))</f>
        <v/>
      </c>
      <c r="BD147" s="2">
        <f>IF($BA147&lt;&gt;"포함","",IF(COUNTIFS($AX$8:$AX147,$AX147,$BA$8:$BA147,"포함")=1,MAX($BD$7:BD146)+1,""))</f>
        <v/>
      </c>
      <c r="BE147" s="2">
        <f>IF($BC147="","",MAX($BE$7:BE146)+1)</f>
        <v/>
      </c>
    </row>
    <row r="148">
      <c r="AR148" s="2">
        <f>IF(OR($A$5="",$B$6="",ROW()&lt;$A$5),"",IF(INDEX($A:$AP,ROW(),$B$6)="","",INDEX($A:$AP,ROW(),$B$6)))</f>
        <v/>
      </c>
      <c r="AS148" s="22">
        <f>IF($AR148="","",IF(ISNUMBER($AR148),IF($AR148&gt;=10000000,IFERROR(DATE(INT($AR148/10000),MOD(INT($AR148/100),100),MOD($AR148,100)),""),INT($AR148)),IFERROR(DATE(--LEFT(LEFT(SUBSTITUTE(SUBSTITUTE(SUBSTITUTE(SUBSTITUTE(TRIM($AR148),"-",""),".",""),"/","")," ",""),8),4),--MID(LEFT(SUBSTITUTE(SUBSTITUTE(SUBSTITUTE(SUBSTITUTE(TRIM($AR148),"-",""),".",""),"/","")," ",""),8),5,2),--MID(LEFT(SUBSTITUTE(SUBSTITUTE(SUBSTITUTE(SUBSTITUTE(TRIM($AR148),"-",""),".",""),"/","")," ",""),8),7,2)),"")))</f>
        <v/>
      </c>
      <c r="AT148" s="23">
        <f>IF($AS148="","",IF($F$6="",0,IF(ISNUMBER(INDEX($A:$AP,ROW(),$F$6)),INDEX($A:$AP,ROW(),$F$6),IFERROR(--SUBSTITUTE(SUBSTITUTE(TRIM(INDEX($A:$AP,ROW(),$F$6)),",",""),"원",""),0))))</f>
        <v/>
      </c>
      <c r="AU148" s="23">
        <f>IF($AS148="","",IF($G$6="",0,IF(ISNUMBER(INDEX($A:$AP,ROW(),$G$6)),INDEX($A:$AP,ROW(),$G$6),IFERROR(--SUBSTITUTE(SUBSTITUTE(TRIM(INDEX($A:$AP,ROW(),$G$6)),",",""),"원",""),0))))</f>
        <v/>
      </c>
      <c r="AV148" s="23">
        <f>IF($AS148="","",IF($H$6="",$AT148+$AU148,IF($H$6="",0,IF(ISNUMBER(INDEX($A:$AP,ROW(),$H$6)),INDEX($A:$AP,ROW(),$H$6),IFERROR(--SUBSTITUTE(SUBSTITUTE(TRIM(INDEX($A:$AP,ROW(),$H$6)),",",""),"원",""),0)))))</f>
        <v/>
      </c>
      <c r="AW148" s="2">
        <f>IF(OR($AS148="",$C$6=""),"",TRIM(INDEX($A:$AP,ROW(),$C$6)&amp;""))</f>
        <v/>
      </c>
      <c r="AX148" s="2">
        <f>IF($AS148="","",IF($AZ148&lt;&gt;"",SUBSTITUTE(SUBSTITUTE($AZ148,"-","")," ",""),$AY148))</f>
        <v/>
      </c>
      <c r="AY148" s="2">
        <f>IF(OR($AS148="",$E$6=""),"",TRIM(INDEX($A:$AP,ROW(),$E$6)&amp;""))</f>
        <v/>
      </c>
      <c r="AZ148" s="2">
        <f>IF(OR($AS148="",$D$6=""),"",TRIM(INDEX($A:$AP,ROW(),$D$6)&amp;""))</f>
        <v/>
      </c>
      <c r="BA148" s="2">
        <f>IF($AS148="","",IF(AND($AS148&gt;=설정!$B$10,$AS148&lt;=설정!$B$11),"포함","기간 밖"))</f>
        <v/>
      </c>
      <c r="BB148" s="2">
        <f>IF($AS148="","",IF(OR($AT148&lt;0,AND($I$6&lt;&gt;"",ISNUMBER(FIND("수정",INDEX($A:$AP,ROW(),IF($I$6="",1,$I$6))&amp;"")))),"수정","일반"))</f>
        <v/>
      </c>
      <c r="BC148" s="2">
        <f>IF($AS148="","",MID(IF($BA148="기간 밖"," / 기간 밖(신고기간 아님)","")&amp;IF(AND($AW148&lt;&gt;"",COUNTIF($AW$8:$AW$1007,$AW148)&gt;1)," / 승인번호 중복(두 번 붙여넣기?)","")&amp;IF(ABS($AU148-ROUND($AT148*0.1,0))&gt;설정!$B$8,IF($AU148=0," / 세액 0원(영세율·면세 여부 확인)"," / 세액이 공급가액 10%와 다름"),"")&amp;IF($BB148="수정"," / 수정세금계산서(합계에서 자동 가감)",""),4,200))</f>
        <v/>
      </c>
      <c r="BD148" s="2">
        <f>IF($BA148&lt;&gt;"포함","",IF(COUNTIFS($AX$8:$AX148,$AX148,$BA$8:$BA148,"포함")=1,MAX($BD$7:BD147)+1,""))</f>
        <v/>
      </c>
      <c r="BE148" s="2">
        <f>IF($BC148="","",MAX($BE$7:BE147)+1)</f>
        <v/>
      </c>
    </row>
    <row r="149">
      <c r="AR149" s="2">
        <f>IF(OR($A$5="",$B$6="",ROW()&lt;$A$5),"",IF(INDEX($A:$AP,ROW(),$B$6)="","",INDEX($A:$AP,ROW(),$B$6)))</f>
        <v/>
      </c>
      <c r="AS149" s="22">
        <f>IF($AR149="","",IF(ISNUMBER($AR149),IF($AR149&gt;=10000000,IFERROR(DATE(INT($AR149/10000),MOD(INT($AR149/100),100),MOD($AR149,100)),""),INT($AR149)),IFERROR(DATE(--LEFT(LEFT(SUBSTITUTE(SUBSTITUTE(SUBSTITUTE(SUBSTITUTE(TRIM($AR149),"-",""),".",""),"/","")," ",""),8),4),--MID(LEFT(SUBSTITUTE(SUBSTITUTE(SUBSTITUTE(SUBSTITUTE(TRIM($AR149),"-",""),".",""),"/","")," ",""),8),5,2),--MID(LEFT(SUBSTITUTE(SUBSTITUTE(SUBSTITUTE(SUBSTITUTE(TRIM($AR149),"-",""),".",""),"/","")," ",""),8),7,2)),"")))</f>
        <v/>
      </c>
      <c r="AT149" s="23">
        <f>IF($AS149="","",IF($F$6="",0,IF(ISNUMBER(INDEX($A:$AP,ROW(),$F$6)),INDEX($A:$AP,ROW(),$F$6),IFERROR(--SUBSTITUTE(SUBSTITUTE(TRIM(INDEX($A:$AP,ROW(),$F$6)),",",""),"원",""),0))))</f>
        <v/>
      </c>
      <c r="AU149" s="23">
        <f>IF($AS149="","",IF($G$6="",0,IF(ISNUMBER(INDEX($A:$AP,ROW(),$G$6)),INDEX($A:$AP,ROW(),$G$6),IFERROR(--SUBSTITUTE(SUBSTITUTE(TRIM(INDEX($A:$AP,ROW(),$G$6)),",",""),"원",""),0))))</f>
        <v/>
      </c>
      <c r="AV149" s="23">
        <f>IF($AS149="","",IF($H$6="",$AT149+$AU149,IF($H$6="",0,IF(ISNUMBER(INDEX($A:$AP,ROW(),$H$6)),INDEX($A:$AP,ROW(),$H$6),IFERROR(--SUBSTITUTE(SUBSTITUTE(TRIM(INDEX($A:$AP,ROW(),$H$6)),",",""),"원",""),0)))))</f>
        <v/>
      </c>
      <c r="AW149" s="2">
        <f>IF(OR($AS149="",$C$6=""),"",TRIM(INDEX($A:$AP,ROW(),$C$6)&amp;""))</f>
        <v/>
      </c>
      <c r="AX149" s="2">
        <f>IF($AS149="","",IF($AZ149&lt;&gt;"",SUBSTITUTE(SUBSTITUTE($AZ149,"-","")," ",""),$AY149))</f>
        <v/>
      </c>
      <c r="AY149" s="2">
        <f>IF(OR($AS149="",$E$6=""),"",TRIM(INDEX($A:$AP,ROW(),$E$6)&amp;""))</f>
        <v/>
      </c>
      <c r="AZ149" s="2">
        <f>IF(OR($AS149="",$D$6=""),"",TRIM(INDEX($A:$AP,ROW(),$D$6)&amp;""))</f>
        <v/>
      </c>
      <c r="BA149" s="2">
        <f>IF($AS149="","",IF(AND($AS149&gt;=설정!$B$10,$AS149&lt;=설정!$B$11),"포함","기간 밖"))</f>
        <v/>
      </c>
      <c r="BB149" s="2">
        <f>IF($AS149="","",IF(OR($AT149&lt;0,AND($I$6&lt;&gt;"",ISNUMBER(FIND("수정",INDEX($A:$AP,ROW(),IF($I$6="",1,$I$6))&amp;"")))),"수정","일반"))</f>
        <v/>
      </c>
      <c r="BC149" s="2">
        <f>IF($AS149="","",MID(IF($BA149="기간 밖"," / 기간 밖(신고기간 아님)","")&amp;IF(AND($AW149&lt;&gt;"",COUNTIF($AW$8:$AW$1007,$AW149)&gt;1)," / 승인번호 중복(두 번 붙여넣기?)","")&amp;IF(ABS($AU149-ROUND($AT149*0.1,0))&gt;설정!$B$8,IF($AU149=0," / 세액 0원(영세율·면세 여부 확인)"," / 세액이 공급가액 10%와 다름"),"")&amp;IF($BB149="수정"," / 수정세금계산서(합계에서 자동 가감)",""),4,200))</f>
        <v/>
      </c>
      <c r="BD149" s="2">
        <f>IF($BA149&lt;&gt;"포함","",IF(COUNTIFS($AX$8:$AX149,$AX149,$BA$8:$BA149,"포함")=1,MAX($BD$7:BD148)+1,""))</f>
        <v/>
      </c>
      <c r="BE149" s="2">
        <f>IF($BC149="","",MAX($BE$7:BE148)+1)</f>
        <v/>
      </c>
    </row>
    <row r="150">
      <c r="AR150" s="2">
        <f>IF(OR($A$5="",$B$6="",ROW()&lt;$A$5),"",IF(INDEX($A:$AP,ROW(),$B$6)="","",INDEX($A:$AP,ROW(),$B$6)))</f>
        <v/>
      </c>
      <c r="AS150" s="22">
        <f>IF($AR150="","",IF(ISNUMBER($AR150),IF($AR150&gt;=10000000,IFERROR(DATE(INT($AR150/10000),MOD(INT($AR150/100),100),MOD($AR150,100)),""),INT($AR150)),IFERROR(DATE(--LEFT(LEFT(SUBSTITUTE(SUBSTITUTE(SUBSTITUTE(SUBSTITUTE(TRIM($AR150),"-",""),".",""),"/","")," ",""),8),4),--MID(LEFT(SUBSTITUTE(SUBSTITUTE(SUBSTITUTE(SUBSTITUTE(TRIM($AR150),"-",""),".",""),"/","")," ",""),8),5,2),--MID(LEFT(SUBSTITUTE(SUBSTITUTE(SUBSTITUTE(SUBSTITUTE(TRIM($AR150),"-",""),".",""),"/","")," ",""),8),7,2)),"")))</f>
        <v/>
      </c>
      <c r="AT150" s="23">
        <f>IF($AS150="","",IF($F$6="",0,IF(ISNUMBER(INDEX($A:$AP,ROW(),$F$6)),INDEX($A:$AP,ROW(),$F$6),IFERROR(--SUBSTITUTE(SUBSTITUTE(TRIM(INDEX($A:$AP,ROW(),$F$6)),",",""),"원",""),0))))</f>
        <v/>
      </c>
      <c r="AU150" s="23">
        <f>IF($AS150="","",IF($G$6="",0,IF(ISNUMBER(INDEX($A:$AP,ROW(),$G$6)),INDEX($A:$AP,ROW(),$G$6),IFERROR(--SUBSTITUTE(SUBSTITUTE(TRIM(INDEX($A:$AP,ROW(),$G$6)),",",""),"원",""),0))))</f>
        <v/>
      </c>
      <c r="AV150" s="23">
        <f>IF($AS150="","",IF($H$6="",$AT150+$AU150,IF($H$6="",0,IF(ISNUMBER(INDEX($A:$AP,ROW(),$H$6)),INDEX($A:$AP,ROW(),$H$6),IFERROR(--SUBSTITUTE(SUBSTITUTE(TRIM(INDEX($A:$AP,ROW(),$H$6)),",",""),"원",""),0)))))</f>
        <v/>
      </c>
      <c r="AW150" s="2">
        <f>IF(OR($AS150="",$C$6=""),"",TRIM(INDEX($A:$AP,ROW(),$C$6)&amp;""))</f>
        <v/>
      </c>
      <c r="AX150" s="2">
        <f>IF($AS150="","",IF($AZ150&lt;&gt;"",SUBSTITUTE(SUBSTITUTE($AZ150,"-","")," ",""),$AY150))</f>
        <v/>
      </c>
      <c r="AY150" s="2">
        <f>IF(OR($AS150="",$E$6=""),"",TRIM(INDEX($A:$AP,ROW(),$E$6)&amp;""))</f>
        <v/>
      </c>
      <c r="AZ150" s="2">
        <f>IF(OR($AS150="",$D$6=""),"",TRIM(INDEX($A:$AP,ROW(),$D$6)&amp;""))</f>
        <v/>
      </c>
      <c r="BA150" s="2">
        <f>IF($AS150="","",IF(AND($AS150&gt;=설정!$B$10,$AS150&lt;=설정!$B$11),"포함","기간 밖"))</f>
        <v/>
      </c>
      <c r="BB150" s="2">
        <f>IF($AS150="","",IF(OR($AT150&lt;0,AND($I$6&lt;&gt;"",ISNUMBER(FIND("수정",INDEX($A:$AP,ROW(),IF($I$6="",1,$I$6))&amp;"")))),"수정","일반"))</f>
        <v/>
      </c>
      <c r="BC150" s="2">
        <f>IF($AS150="","",MID(IF($BA150="기간 밖"," / 기간 밖(신고기간 아님)","")&amp;IF(AND($AW150&lt;&gt;"",COUNTIF($AW$8:$AW$1007,$AW150)&gt;1)," / 승인번호 중복(두 번 붙여넣기?)","")&amp;IF(ABS($AU150-ROUND($AT150*0.1,0))&gt;설정!$B$8,IF($AU150=0," / 세액 0원(영세율·면세 여부 확인)"," / 세액이 공급가액 10%와 다름"),"")&amp;IF($BB150="수정"," / 수정세금계산서(합계에서 자동 가감)",""),4,200))</f>
        <v/>
      </c>
      <c r="BD150" s="2">
        <f>IF($BA150&lt;&gt;"포함","",IF(COUNTIFS($AX$8:$AX150,$AX150,$BA$8:$BA150,"포함")=1,MAX($BD$7:BD149)+1,""))</f>
        <v/>
      </c>
      <c r="BE150" s="2">
        <f>IF($BC150="","",MAX($BE$7:BE149)+1)</f>
        <v/>
      </c>
    </row>
    <row r="151">
      <c r="AR151" s="2">
        <f>IF(OR($A$5="",$B$6="",ROW()&lt;$A$5),"",IF(INDEX($A:$AP,ROW(),$B$6)="","",INDEX($A:$AP,ROW(),$B$6)))</f>
        <v/>
      </c>
      <c r="AS151" s="22">
        <f>IF($AR151="","",IF(ISNUMBER($AR151),IF($AR151&gt;=10000000,IFERROR(DATE(INT($AR151/10000),MOD(INT($AR151/100),100),MOD($AR151,100)),""),INT($AR151)),IFERROR(DATE(--LEFT(LEFT(SUBSTITUTE(SUBSTITUTE(SUBSTITUTE(SUBSTITUTE(TRIM($AR151),"-",""),".",""),"/","")," ",""),8),4),--MID(LEFT(SUBSTITUTE(SUBSTITUTE(SUBSTITUTE(SUBSTITUTE(TRIM($AR151),"-",""),".",""),"/","")," ",""),8),5,2),--MID(LEFT(SUBSTITUTE(SUBSTITUTE(SUBSTITUTE(SUBSTITUTE(TRIM($AR151),"-",""),".",""),"/","")," ",""),8),7,2)),"")))</f>
        <v/>
      </c>
      <c r="AT151" s="23">
        <f>IF($AS151="","",IF($F$6="",0,IF(ISNUMBER(INDEX($A:$AP,ROW(),$F$6)),INDEX($A:$AP,ROW(),$F$6),IFERROR(--SUBSTITUTE(SUBSTITUTE(TRIM(INDEX($A:$AP,ROW(),$F$6)),",",""),"원",""),0))))</f>
        <v/>
      </c>
      <c r="AU151" s="23">
        <f>IF($AS151="","",IF($G$6="",0,IF(ISNUMBER(INDEX($A:$AP,ROW(),$G$6)),INDEX($A:$AP,ROW(),$G$6),IFERROR(--SUBSTITUTE(SUBSTITUTE(TRIM(INDEX($A:$AP,ROW(),$G$6)),",",""),"원",""),0))))</f>
        <v/>
      </c>
      <c r="AV151" s="23">
        <f>IF($AS151="","",IF($H$6="",$AT151+$AU151,IF($H$6="",0,IF(ISNUMBER(INDEX($A:$AP,ROW(),$H$6)),INDEX($A:$AP,ROW(),$H$6),IFERROR(--SUBSTITUTE(SUBSTITUTE(TRIM(INDEX($A:$AP,ROW(),$H$6)),",",""),"원",""),0)))))</f>
        <v/>
      </c>
      <c r="AW151" s="2">
        <f>IF(OR($AS151="",$C$6=""),"",TRIM(INDEX($A:$AP,ROW(),$C$6)&amp;""))</f>
        <v/>
      </c>
      <c r="AX151" s="2">
        <f>IF($AS151="","",IF($AZ151&lt;&gt;"",SUBSTITUTE(SUBSTITUTE($AZ151,"-","")," ",""),$AY151))</f>
        <v/>
      </c>
      <c r="AY151" s="2">
        <f>IF(OR($AS151="",$E$6=""),"",TRIM(INDEX($A:$AP,ROW(),$E$6)&amp;""))</f>
        <v/>
      </c>
      <c r="AZ151" s="2">
        <f>IF(OR($AS151="",$D$6=""),"",TRIM(INDEX($A:$AP,ROW(),$D$6)&amp;""))</f>
        <v/>
      </c>
      <c r="BA151" s="2">
        <f>IF($AS151="","",IF(AND($AS151&gt;=설정!$B$10,$AS151&lt;=설정!$B$11),"포함","기간 밖"))</f>
        <v/>
      </c>
      <c r="BB151" s="2">
        <f>IF($AS151="","",IF(OR($AT151&lt;0,AND($I$6&lt;&gt;"",ISNUMBER(FIND("수정",INDEX($A:$AP,ROW(),IF($I$6="",1,$I$6))&amp;"")))),"수정","일반"))</f>
        <v/>
      </c>
      <c r="BC151" s="2">
        <f>IF($AS151="","",MID(IF($BA151="기간 밖"," / 기간 밖(신고기간 아님)","")&amp;IF(AND($AW151&lt;&gt;"",COUNTIF($AW$8:$AW$1007,$AW151)&gt;1)," / 승인번호 중복(두 번 붙여넣기?)","")&amp;IF(ABS($AU151-ROUND($AT151*0.1,0))&gt;설정!$B$8,IF($AU151=0," / 세액 0원(영세율·면세 여부 확인)"," / 세액이 공급가액 10%와 다름"),"")&amp;IF($BB151="수정"," / 수정세금계산서(합계에서 자동 가감)",""),4,200))</f>
        <v/>
      </c>
      <c r="BD151" s="2">
        <f>IF($BA151&lt;&gt;"포함","",IF(COUNTIFS($AX$8:$AX151,$AX151,$BA$8:$BA151,"포함")=1,MAX($BD$7:BD150)+1,""))</f>
        <v/>
      </c>
      <c r="BE151" s="2">
        <f>IF($BC151="","",MAX($BE$7:BE150)+1)</f>
        <v/>
      </c>
    </row>
    <row r="152">
      <c r="AR152" s="2">
        <f>IF(OR($A$5="",$B$6="",ROW()&lt;$A$5),"",IF(INDEX($A:$AP,ROW(),$B$6)="","",INDEX($A:$AP,ROW(),$B$6)))</f>
        <v/>
      </c>
      <c r="AS152" s="22">
        <f>IF($AR152="","",IF(ISNUMBER($AR152),IF($AR152&gt;=10000000,IFERROR(DATE(INT($AR152/10000),MOD(INT($AR152/100),100),MOD($AR152,100)),""),INT($AR152)),IFERROR(DATE(--LEFT(LEFT(SUBSTITUTE(SUBSTITUTE(SUBSTITUTE(SUBSTITUTE(TRIM($AR152),"-",""),".",""),"/","")," ",""),8),4),--MID(LEFT(SUBSTITUTE(SUBSTITUTE(SUBSTITUTE(SUBSTITUTE(TRIM($AR152),"-",""),".",""),"/","")," ",""),8),5,2),--MID(LEFT(SUBSTITUTE(SUBSTITUTE(SUBSTITUTE(SUBSTITUTE(TRIM($AR152),"-",""),".",""),"/","")," ",""),8),7,2)),"")))</f>
        <v/>
      </c>
      <c r="AT152" s="23">
        <f>IF($AS152="","",IF($F$6="",0,IF(ISNUMBER(INDEX($A:$AP,ROW(),$F$6)),INDEX($A:$AP,ROW(),$F$6),IFERROR(--SUBSTITUTE(SUBSTITUTE(TRIM(INDEX($A:$AP,ROW(),$F$6)),",",""),"원",""),0))))</f>
        <v/>
      </c>
      <c r="AU152" s="23">
        <f>IF($AS152="","",IF($G$6="",0,IF(ISNUMBER(INDEX($A:$AP,ROW(),$G$6)),INDEX($A:$AP,ROW(),$G$6),IFERROR(--SUBSTITUTE(SUBSTITUTE(TRIM(INDEX($A:$AP,ROW(),$G$6)),",",""),"원",""),0))))</f>
        <v/>
      </c>
      <c r="AV152" s="23">
        <f>IF($AS152="","",IF($H$6="",$AT152+$AU152,IF($H$6="",0,IF(ISNUMBER(INDEX($A:$AP,ROW(),$H$6)),INDEX($A:$AP,ROW(),$H$6),IFERROR(--SUBSTITUTE(SUBSTITUTE(TRIM(INDEX($A:$AP,ROW(),$H$6)),",",""),"원",""),0)))))</f>
        <v/>
      </c>
      <c r="AW152" s="2">
        <f>IF(OR($AS152="",$C$6=""),"",TRIM(INDEX($A:$AP,ROW(),$C$6)&amp;""))</f>
        <v/>
      </c>
      <c r="AX152" s="2">
        <f>IF($AS152="","",IF($AZ152&lt;&gt;"",SUBSTITUTE(SUBSTITUTE($AZ152,"-","")," ",""),$AY152))</f>
        <v/>
      </c>
      <c r="AY152" s="2">
        <f>IF(OR($AS152="",$E$6=""),"",TRIM(INDEX($A:$AP,ROW(),$E$6)&amp;""))</f>
        <v/>
      </c>
      <c r="AZ152" s="2">
        <f>IF(OR($AS152="",$D$6=""),"",TRIM(INDEX($A:$AP,ROW(),$D$6)&amp;""))</f>
        <v/>
      </c>
      <c r="BA152" s="2">
        <f>IF($AS152="","",IF(AND($AS152&gt;=설정!$B$10,$AS152&lt;=설정!$B$11),"포함","기간 밖"))</f>
        <v/>
      </c>
      <c r="BB152" s="2">
        <f>IF($AS152="","",IF(OR($AT152&lt;0,AND($I$6&lt;&gt;"",ISNUMBER(FIND("수정",INDEX($A:$AP,ROW(),IF($I$6="",1,$I$6))&amp;"")))),"수정","일반"))</f>
        <v/>
      </c>
      <c r="BC152" s="2">
        <f>IF($AS152="","",MID(IF($BA152="기간 밖"," / 기간 밖(신고기간 아님)","")&amp;IF(AND($AW152&lt;&gt;"",COUNTIF($AW$8:$AW$1007,$AW152)&gt;1)," / 승인번호 중복(두 번 붙여넣기?)","")&amp;IF(ABS($AU152-ROUND($AT152*0.1,0))&gt;설정!$B$8,IF($AU152=0," / 세액 0원(영세율·면세 여부 확인)"," / 세액이 공급가액 10%와 다름"),"")&amp;IF($BB152="수정"," / 수정세금계산서(합계에서 자동 가감)",""),4,200))</f>
        <v/>
      </c>
      <c r="BD152" s="2">
        <f>IF($BA152&lt;&gt;"포함","",IF(COUNTIFS($AX$8:$AX152,$AX152,$BA$8:$BA152,"포함")=1,MAX($BD$7:BD151)+1,""))</f>
        <v/>
      </c>
      <c r="BE152" s="2">
        <f>IF($BC152="","",MAX($BE$7:BE151)+1)</f>
        <v/>
      </c>
    </row>
    <row r="153">
      <c r="AR153" s="2">
        <f>IF(OR($A$5="",$B$6="",ROW()&lt;$A$5),"",IF(INDEX($A:$AP,ROW(),$B$6)="","",INDEX($A:$AP,ROW(),$B$6)))</f>
        <v/>
      </c>
      <c r="AS153" s="22">
        <f>IF($AR153="","",IF(ISNUMBER($AR153),IF($AR153&gt;=10000000,IFERROR(DATE(INT($AR153/10000),MOD(INT($AR153/100),100),MOD($AR153,100)),""),INT($AR153)),IFERROR(DATE(--LEFT(LEFT(SUBSTITUTE(SUBSTITUTE(SUBSTITUTE(SUBSTITUTE(TRIM($AR153),"-",""),".",""),"/","")," ",""),8),4),--MID(LEFT(SUBSTITUTE(SUBSTITUTE(SUBSTITUTE(SUBSTITUTE(TRIM($AR153),"-",""),".",""),"/","")," ",""),8),5,2),--MID(LEFT(SUBSTITUTE(SUBSTITUTE(SUBSTITUTE(SUBSTITUTE(TRIM($AR153),"-",""),".",""),"/","")," ",""),8),7,2)),"")))</f>
        <v/>
      </c>
      <c r="AT153" s="23">
        <f>IF($AS153="","",IF($F$6="",0,IF(ISNUMBER(INDEX($A:$AP,ROW(),$F$6)),INDEX($A:$AP,ROW(),$F$6),IFERROR(--SUBSTITUTE(SUBSTITUTE(TRIM(INDEX($A:$AP,ROW(),$F$6)),",",""),"원",""),0))))</f>
        <v/>
      </c>
      <c r="AU153" s="23">
        <f>IF($AS153="","",IF($G$6="",0,IF(ISNUMBER(INDEX($A:$AP,ROW(),$G$6)),INDEX($A:$AP,ROW(),$G$6),IFERROR(--SUBSTITUTE(SUBSTITUTE(TRIM(INDEX($A:$AP,ROW(),$G$6)),",",""),"원",""),0))))</f>
        <v/>
      </c>
      <c r="AV153" s="23">
        <f>IF($AS153="","",IF($H$6="",$AT153+$AU153,IF($H$6="",0,IF(ISNUMBER(INDEX($A:$AP,ROW(),$H$6)),INDEX($A:$AP,ROW(),$H$6),IFERROR(--SUBSTITUTE(SUBSTITUTE(TRIM(INDEX($A:$AP,ROW(),$H$6)),",",""),"원",""),0)))))</f>
        <v/>
      </c>
      <c r="AW153" s="2">
        <f>IF(OR($AS153="",$C$6=""),"",TRIM(INDEX($A:$AP,ROW(),$C$6)&amp;""))</f>
        <v/>
      </c>
      <c r="AX153" s="2">
        <f>IF($AS153="","",IF($AZ153&lt;&gt;"",SUBSTITUTE(SUBSTITUTE($AZ153,"-","")," ",""),$AY153))</f>
        <v/>
      </c>
      <c r="AY153" s="2">
        <f>IF(OR($AS153="",$E$6=""),"",TRIM(INDEX($A:$AP,ROW(),$E$6)&amp;""))</f>
        <v/>
      </c>
      <c r="AZ153" s="2">
        <f>IF(OR($AS153="",$D$6=""),"",TRIM(INDEX($A:$AP,ROW(),$D$6)&amp;""))</f>
        <v/>
      </c>
      <c r="BA153" s="2">
        <f>IF($AS153="","",IF(AND($AS153&gt;=설정!$B$10,$AS153&lt;=설정!$B$11),"포함","기간 밖"))</f>
        <v/>
      </c>
      <c r="BB153" s="2">
        <f>IF($AS153="","",IF(OR($AT153&lt;0,AND($I$6&lt;&gt;"",ISNUMBER(FIND("수정",INDEX($A:$AP,ROW(),IF($I$6="",1,$I$6))&amp;"")))),"수정","일반"))</f>
        <v/>
      </c>
      <c r="BC153" s="2">
        <f>IF($AS153="","",MID(IF($BA153="기간 밖"," / 기간 밖(신고기간 아님)","")&amp;IF(AND($AW153&lt;&gt;"",COUNTIF($AW$8:$AW$1007,$AW153)&gt;1)," / 승인번호 중복(두 번 붙여넣기?)","")&amp;IF(ABS($AU153-ROUND($AT153*0.1,0))&gt;설정!$B$8,IF($AU153=0," / 세액 0원(영세율·면세 여부 확인)"," / 세액이 공급가액 10%와 다름"),"")&amp;IF($BB153="수정"," / 수정세금계산서(합계에서 자동 가감)",""),4,200))</f>
        <v/>
      </c>
      <c r="BD153" s="2">
        <f>IF($BA153&lt;&gt;"포함","",IF(COUNTIFS($AX$8:$AX153,$AX153,$BA$8:$BA153,"포함")=1,MAX($BD$7:BD152)+1,""))</f>
        <v/>
      </c>
      <c r="BE153" s="2">
        <f>IF($BC153="","",MAX($BE$7:BE152)+1)</f>
        <v/>
      </c>
    </row>
    <row r="154">
      <c r="AR154" s="2">
        <f>IF(OR($A$5="",$B$6="",ROW()&lt;$A$5),"",IF(INDEX($A:$AP,ROW(),$B$6)="","",INDEX($A:$AP,ROW(),$B$6)))</f>
        <v/>
      </c>
      <c r="AS154" s="22">
        <f>IF($AR154="","",IF(ISNUMBER($AR154),IF($AR154&gt;=10000000,IFERROR(DATE(INT($AR154/10000),MOD(INT($AR154/100),100),MOD($AR154,100)),""),INT($AR154)),IFERROR(DATE(--LEFT(LEFT(SUBSTITUTE(SUBSTITUTE(SUBSTITUTE(SUBSTITUTE(TRIM($AR154),"-",""),".",""),"/","")," ",""),8),4),--MID(LEFT(SUBSTITUTE(SUBSTITUTE(SUBSTITUTE(SUBSTITUTE(TRIM($AR154),"-",""),".",""),"/","")," ",""),8),5,2),--MID(LEFT(SUBSTITUTE(SUBSTITUTE(SUBSTITUTE(SUBSTITUTE(TRIM($AR154),"-",""),".",""),"/","")," ",""),8),7,2)),"")))</f>
        <v/>
      </c>
      <c r="AT154" s="23">
        <f>IF($AS154="","",IF($F$6="",0,IF(ISNUMBER(INDEX($A:$AP,ROW(),$F$6)),INDEX($A:$AP,ROW(),$F$6),IFERROR(--SUBSTITUTE(SUBSTITUTE(TRIM(INDEX($A:$AP,ROW(),$F$6)),",",""),"원",""),0))))</f>
        <v/>
      </c>
      <c r="AU154" s="23">
        <f>IF($AS154="","",IF($G$6="",0,IF(ISNUMBER(INDEX($A:$AP,ROW(),$G$6)),INDEX($A:$AP,ROW(),$G$6),IFERROR(--SUBSTITUTE(SUBSTITUTE(TRIM(INDEX($A:$AP,ROW(),$G$6)),",",""),"원",""),0))))</f>
        <v/>
      </c>
      <c r="AV154" s="23">
        <f>IF($AS154="","",IF($H$6="",$AT154+$AU154,IF($H$6="",0,IF(ISNUMBER(INDEX($A:$AP,ROW(),$H$6)),INDEX($A:$AP,ROW(),$H$6),IFERROR(--SUBSTITUTE(SUBSTITUTE(TRIM(INDEX($A:$AP,ROW(),$H$6)),",",""),"원",""),0)))))</f>
        <v/>
      </c>
      <c r="AW154" s="2">
        <f>IF(OR($AS154="",$C$6=""),"",TRIM(INDEX($A:$AP,ROW(),$C$6)&amp;""))</f>
        <v/>
      </c>
      <c r="AX154" s="2">
        <f>IF($AS154="","",IF($AZ154&lt;&gt;"",SUBSTITUTE(SUBSTITUTE($AZ154,"-","")," ",""),$AY154))</f>
        <v/>
      </c>
      <c r="AY154" s="2">
        <f>IF(OR($AS154="",$E$6=""),"",TRIM(INDEX($A:$AP,ROW(),$E$6)&amp;""))</f>
        <v/>
      </c>
      <c r="AZ154" s="2">
        <f>IF(OR($AS154="",$D$6=""),"",TRIM(INDEX($A:$AP,ROW(),$D$6)&amp;""))</f>
        <v/>
      </c>
      <c r="BA154" s="2">
        <f>IF($AS154="","",IF(AND($AS154&gt;=설정!$B$10,$AS154&lt;=설정!$B$11),"포함","기간 밖"))</f>
        <v/>
      </c>
      <c r="BB154" s="2">
        <f>IF($AS154="","",IF(OR($AT154&lt;0,AND($I$6&lt;&gt;"",ISNUMBER(FIND("수정",INDEX($A:$AP,ROW(),IF($I$6="",1,$I$6))&amp;"")))),"수정","일반"))</f>
        <v/>
      </c>
      <c r="BC154" s="2">
        <f>IF($AS154="","",MID(IF($BA154="기간 밖"," / 기간 밖(신고기간 아님)","")&amp;IF(AND($AW154&lt;&gt;"",COUNTIF($AW$8:$AW$1007,$AW154)&gt;1)," / 승인번호 중복(두 번 붙여넣기?)","")&amp;IF(ABS($AU154-ROUND($AT154*0.1,0))&gt;설정!$B$8,IF($AU154=0," / 세액 0원(영세율·면세 여부 확인)"," / 세액이 공급가액 10%와 다름"),"")&amp;IF($BB154="수정"," / 수정세금계산서(합계에서 자동 가감)",""),4,200))</f>
        <v/>
      </c>
      <c r="BD154" s="2">
        <f>IF($BA154&lt;&gt;"포함","",IF(COUNTIFS($AX$8:$AX154,$AX154,$BA$8:$BA154,"포함")=1,MAX($BD$7:BD153)+1,""))</f>
        <v/>
      </c>
      <c r="BE154" s="2">
        <f>IF($BC154="","",MAX($BE$7:BE153)+1)</f>
        <v/>
      </c>
    </row>
    <row r="155">
      <c r="AR155" s="2">
        <f>IF(OR($A$5="",$B$6="",ROW()&lt;$A$5),"",IF(INDEX($A:$AP,ROW(),$B$6)="","",INDEX($A:$AP,ROW(),$B$6)))</f>
        <v/>
      </c>
      <c r="AS155" s="22">
        <f>IF($AR155="","",IF(ISNUMBER($AR155),IF($AR155&gt;=10000000,IFERROR(DATE(INT($AR155/10000),MOD(INT($AR155/100),100),MOD($AR155,100)),""),INT($AR155)),IFERROR(DATE(--LEFT(LEFT(SUBSTITUTE(SUBSTITUTE(SUBSTITUTE(SUBSTITUTE(TRIM($AR155),"-",""),".",""),"/","")," ",""),8),4),--MID(LEFT(SUBSTITUTE(SUBSTITUTE(SUBSTITUTE(SUBSTITUTE(TRIM($AR155),"-",""),".",""),"/","")," ",""),8),5,2),--MID(LEFT(SUBSTITUTE(SUBSTITUTE(SUBSTITUTE(SUBSTITUTE(TRIM($AR155),"-",""),".",""),"/","")," ",""),8),7,2)),"")))</f>
        <v/>
      </c>
      <c r="AT155" s="23">
        <f>IF($AS155="","",IF($F$6="",0,IF(ISNUMBER(INDEX($A:$AP,ROW(),$F$6)),INDEX($A:$AP,ROW(),$F$6),IFERROR(--SUBSTITUTE(SUBSTITUTE(TRIM(INDEX($A:$AP,ROW(),$F$6)),",",""),"원",""),0))))</f>
        <v/>
      </c>
      <c r="AU155" s="23">
        <f>IF($AS155="","",IF($G$6="",0,IF(ISNUMBER(INDEX($A:$AP,ROW(),$G$6)),INDEX($A:$AP,ROW(),$G$6),IFERROR(--SUBSTITUTE(SUBSTITUTE(TRIM(INDEX($A:$AP,ROW(),$G$6)),",",""),"원",""),0))))</f>
        <v/>
      </c>
      <c r="AV155" s="23">
        <f>IF($AS155="","",IF($H$6="",$AT155+$AU155,IF($H$6="",0,IF(ISNUMBER(INDEX($A:$AP,ROW(),$H$6)),INDEX($A:$AP,ROW(),$H$6),IFERROR(--SUBSTITUTE(SUBSTITUTE(TRIM(INDEX($A:$AP,ROW(),$H$6)),",",""),"원",""),0)))))</f>
        <v/>
      </c>
      <c r="AW155" s="2">
        <f>IF(OR($AS155="",$C$6=""),"",TRIM(INDEX($A:$AP,ROW(),$C$6)&amp;""))</f>
        <v/>
      </c>
      <c r="AX155" s="2">
        <f>IF($AS155="","",IF($AZ155&lt;&gt;"",SUBSTITUTE(SUBSTITUTE($AZ155,"-","")," ",""),$AY155))</f>
        <v/>
      </c>
      <c r="AY155" s="2">
        <f>IF(OR($AS155="",$E$6=""),"",TRIM(INDEX($A:$AP,ROW(),$E$6)&amp;""))</f>
        <v/>
      </c>
      <c r="AZ155" s="2">
        <f>IF(OR($AS155="",$D$6=""),"",TRIM(INDEX($A:$AP,ROW(),$D$6)&amp;""))</f>
        <v/>
      </c>
      <c r="BA155" s="2">
        <f>IF($AS155="","",IF(AND($AS155&gt;=설정!$B$10,$AS155&lt;=설정!$B$11),"포함","기간 밖"))</f>
        <v/>
      </c>
      <c r="BB155" s="2">
        <f>IF($AS155="","",IF(OR($AT155&lt;0,AND($I$6&lt;&gt;"",ISNUMBER(FIND("수정",INDEX($A:$AP,ROW(),IF($I$6="",1,$I$6))&amp;"")))),"수정","일반"))</f>
        <v/>
      </c>
      <c r="BC155" s="2">
        <f>IF($AS155="","",MID(IF($BA155="기간 밖"," / 기간 밖(신고기간 아님)","")&amp;IF(AND($AW155&lt;&gt;"",COUNTIF($AW$8:$AW$1007,$AW155)&gt;1)," / 승인번호 중복(두 번 붙여넣기?)","")&amp;IF(ABS($AU155-ROUND($AT155*0.1,0))&gt;설정!$B$8,IF($AU155=0," / 세액 0원(영세율·면세 여부 확인)"," / 세액이 공급가액 10%와 다름"),"")&amp;IF($BB155="수정"," / 수정세금계산서(합계에서 자동 가감)",""),4,200))</f>
        <v/>
      </c>
      <c r="BD155" s="2">
        <f>IF($BA155&lt;&gt;"포함","",IF(COUNTIFS($AX$8:$AX155,$AX155,$BA$8:$BA155,"포함")=1,MAX($BD$7:BD154)+1,""))</f>
        <v/>
      </c>
      <c r="BE155" s="2">
        <f>IF($BC155="","",MAX($BE$7:BE154)+1)</f>
        <v/>
      </c>
    </row>
    <row r="156">
      <c r="AR156" s="2">
        <f>IF(OR($A$5="",$B$6="",ROW()&lt;$A$5),"",IF(INDEX($A:$AP,ROW(),$B$6)="","",INDEX($A:$AP,ROW(),$B$6)))</f>
        <v/>
      </c>
      <c r="AS156" s="22">
        <f>IF($AR156="","",IF(ISNUMBER($AR156),IF($AR156&gt;=10000000,IFERROR(DATE(INT($AR156/10000),MOD(INT($AR156/100),100),MOD($AR156,100)),""),INT($AR156)),IFERROR(DATE(--LEFT(LEFT(SUBSTITUTE(SUBSTITUTE(SUBSTITUTE(SUBSTITUTE(TRIM($AR156),"-",""),".",""),"/","")," ",""),8),4),--MID(LEFT(SUBSTITUTE(SUBSTITUTE(SUBSTITUTE(SUBSTITUTE(TRIM($AR156),"-",""),".",""),"/","")," ",""),8),5,2),--MID(LEFT(SUBSTITUTE(SUBSTITUTE(SUBSTITUTE(SUBSTITUTE(TRIM($AR156),"-",""),".",""),"/","")," ",""),8),7,2)),"")))</f>
        <v/>
      </c>
      <c r="AT156" s="23">
        <f>IF($AS156="","",IF($F$6="",0,IF(ISNUMBER(INDEX($A:$AP,ROW(),$F$6)),INDEX($A:$AP,ROW(),$F$6),IFERROR(--SUBSTITUTE(SUBSTITUTE(TRIM(INDEX($A:$AP,ROW(),$F$6)),",",""),"원",""),0))))</f>
        <v/>
      </c>
      <c r="AU156" s="23">
        <f>IF($AS156="","",IF($G$6="",0,IF(ISNUMBER(INDEX($A:$AP,ROW(),$G$6)),INDEX($A:$AP,ROW(),$G$6),IFERROR(--SUBSTITUTE(SUBSTITUTE(TRIM(INDEX($A:$AP,ROW(),$G$6)),",",""),"원",""),0))))</f>
        <v/>
      </c>
      <c r="AV156" s="23">
        <f>IF($AS156="","",IF($H$6="",$AT156+$AU156,IF($H$6="",0,IF(ISNUMBER(INDEX($A:$AP,ROW(),$H$6)),INDEX($A:$AP,ROW(),$H$6),IFERROR(--SUBSTITUTE(SUBSTITUTE(TRIM(INDEX($A:$AP,ROW(),$H$6)),",",""),"원",""),0)))))</f>
        <v/>
      </c>
      <c r="AW156" s="2">
        <f>IF(OR($AS156="",$C$6=""),"",TRIM(INDEX($A:$AP,ROW(),$C$6)&amp;""))</f>
        <v/>
      </c>
      <c r="AX156" s="2">
        <f>IF($AS156="","",IF($AZ156&lt;&gt;"",SUBSTITUTE(SUBSTITUTE($AZ156,"-","")," ",""),$AY156))</f>
        <v/>
      </c>
      <c r="AY156" s="2">
        <f>IF(OR($AS156="",$E$6=""),"",TRIM(INDEX($A:$AP,ROW(),$E$6)&amp;""))</f>
        <v/>
      </c>
      <c r="AZ156" s="2">
        <f>IF(OR($AS156="",$D$6=""),"",TRIM(INDEX($A:$AP,ROW(),$D$6)&amp;""))</f>
        <v/>
      </c>
      <c r="BA156" s="2">
        <f>IF($AS156="","",IF(AND($AS156&gt;=설정!$B$10,$AS156&lt;=설정!$B$11),"포함","기간 밖"))</f>
        <v/>
      </c>
      <c r="BB156" s="2">
        <f>IF($AS156="","",IF(OR($AT156&lt;0,AND($I$6&lt;&gt;"",ISNUMBER(FIND("수정",INDEX($A:$AP,ROW(),IF($I$6="",1,$I$6))&amp;"")))),"수정","일반"))</f>
        <v/>
      </c>
      <c r="BC156" s="2">
        <f>IF($AS156="","",MID(IF($BA156="기간 밖"," / 기간 밖(신고기간 아님)","")&amp;IF(AND($AW156&lt;&gt;"",COUNTIF($AW$8:$AW$1007,$AW156)&gt;1)," / 승인번호 중복(두 번 붙여넣기?)","")&amp;IF(ABS($AU156-ROUND($AT156*0.1,0))&gt;설정!$B$8,IF($AU156=0," / 세액 0원(영세율·면세 여부 확인)"," / 세액이 공급가액 10%와 다름"),"")&amp;IF($BB156="수정"," / 수정세금계산서(합계에서 자동 가감)",""),4,200))</f>
        <v/>
      </c>
      <c r="BD156" s="2">
        <f>IF($BA156&lt;&gt;"포함","",IF(COUNTIFS($AX$8:$AX156,$AX156,$BA$8:$BA156,"포함")=1,MAX($BD$7:BD155)+1,""))</f>
        <v/>
      </c>
      <c r="BE156" s="2">
        <f>IF($BC156="","",MAX($BE$7:BE155)+1)</f>
        <v/>
      </c>
    </row>
    <row r="157">
      <c r="AR157" s="2">
        <f>IF(OR($A$5="",$B$6="",ROW()&lt;$A$5),"",IF(INDEX($A:$AP,ROW(),$B$6)="","",INDEX($A:$AP,ROW(),$B$6)))</f>
        <v/>
      </c>
      <c r="AS157" s="22">
        <f>IF($AR157="","",IF(ISNUMBER($AR157),IF($AR157&gt;=10000000,IFERROR(DATE(INT($AR157/10000),MOD(INT($AR157/100),100),MOD($AR157,100)),""),INT($AR157)),IFERROR(DATE(--LEFT(LEFT(SUBSTITUTE(SUBSTITUTE(SUBSTITUTE(SUBSTITUTE(TRIM($AR157),"-",""),".",""),"/","")," ",""),8),4),--MID(LEFT(SUBSTITUTE(SUBSTITUTE(SUBSTITUTE(SUBSTITUTE(TRIM($AR157),"-",""),".",""),"/","")," ",""),8),5,2),--MID(LEFT(SUBSTITUTE(SUBSTITUTE(SUBSTITUTE(SUBSTITUTE(TRIM($AR157),"-",""),".",""),"/","")," ",""),8),7,2)),"")))</f>
        <v/>
      </c>
      <c r="AT157" s="23">
        <f>IF($AS157="","",IF($F$6="",0,IF(ISNUMBER(INDEX($A:$AP,ROW(),$F$6)),INDEX($A:$AP,ROW(),$F$6),IFERROR(--SUBSTITUTE(SUBSTITUTE(TRIM(INDEX($A:$AP,ROW(),$F$6)),",",""),"원",""),0))))</f>
        <v/>
      </c>
      <c r="AU157" s="23">
        <f>IF($AS157="","",IF($G$6="",0,IF(ISNUMBER(INDEX($A:$AP,ROW(),$G$6)),INDEX($A:$AP,ROW(),$G$6),IFERROR(--SUBSTITUTE(SUBSTITUTE(TRIM(INDEX($A:$AP,ROW(),$G$6)),",",""),"원",""),0))))</f>
        <v/>
      </c>
      <c r="AV157" s="23">
        <f>IF($AS157="","",IF($H$6="",$AT157+$AU157,IF($H$6="",0,IF(ISNUMBER(INDEX($A:$AP,ROW(),$H$6)),INDEX($A:$AP,ROW(),$H$6),IFERROR(--SUBSTITUTE(SUBSTITUTE(TRIM(INDEX($A:$AP,ROW(),$H$6)),",",""),"원",""),0)))))</f>
        <v/>
      </c>
      <c r="AW157" s="2">
        <f>IF(OR($AS157="",$C$6=""),"",TRIM(INDEX($A:$AP,ROW(),$C$6)&amp;""))</f>
        <v/>
      </c>
      <c r="AX157" s="2">
        <f>IF($AS157="","",IF($AZ157&lt;&gt;"",SUBSTITUTE(SUBSTITUTE($AZ157,"-","")," ",""),$AY157))</f>
        <v/>
      </c>
      <c r="AY157" s="2">
        <f>IF(OR($AS157="",$E$6=""),"",TRIM(INDEX($A:$AP,ROW(),$E$6)&amp;""))</f>
        <v/>
      </c>
      <c r="AZ157" s="2">
        <f>IF(OR($AS157="",$D$6=""),"",TRIM(INDEX($A:$AP,ROW(),$D$6)&amp;""))</f>
        <v/>
      </c>
      <c r="BA157" s="2">
        <f>IF($AS157="","",IF(AND($AS157&gt;=설정!$B$10,$AS157&lt;=설정!$B$11),"포함","기간 밖"))</f>
        <v/>
      </c>
      <c r="BB157" s="2">
        <f>IF($AS157="","",IF(OR($AT157&lt;0,AND($I$6&lt;&gt;"",ISNUMBER(FIND("수정",INDEX($A:$AP,ROW(),IF($I$6="",1,$I$6))&amp;"")))),"수정","일반"))</f>
        <v/>
      </c>
      <c r="BC157" s="2">
        <f>IF($AS157="","",MID(IF($BA157="기간 밖"," / 기간 밖(신고기간 아님)","")&amp;IF(AND($AW157&lt;&gt;"",COUNTIF($AW$8:$AW$1007,$AW157)&gt;1)," / 승인번호 중복(두 번 붙여넣기?)","")&amp;IF(ABS($AU157-ROUND($AT157*0.1,0))&gt;설정!$B$8,IF($AU157=0," / 세액 0원(영세율·면세 여부 확인)"," / 세액이 공급가액 10%와 다름"),"")&amp;IF($BB157="수정"," / 수정세금계산서(합계에서 자동 가감)",""),4,200))</f>
        <v/>
      </c>
      <c r="BD157" s="2">
        <f>IF($BA157&lt;&gt;"포함","",IF(COUNTIFS($AX$8:$AX157,$AX157,$BA$8:$BA157,"포함")=1,MAX($BD$7:BD156)+1,""))</f>
        <v/>
      </c>
      <c r="BE157" s="2">
        <f>IF($BC157="","",MAX($BE$7:BE156)+1)</f>
        <v/>
      </c>
    </row>
    <row r="158">
      <c r="AR158" s="2">
        <f>IF(OR($A$5="",$B$6="",ROW()&lt;$A$5),"",IF(INDEX($A:$AP,ROW(),$B$6)="","",INDEX($A:$AP,ROW(),$B$6)))</f>
        <v/>
      </c>
      <c r="AS158" s="22">
        <f>IF($AR158="","",IF(ISNUMBER($AR158),IF($AR158&gt;=10000000,IFERROR(DATE(INT($AR158/10000),MOD(INT($AR158/100),100),MOD($AR158,100)),""),INT($AR158)),IFERROR(DATE(--LEFT(LEFT(SUBSTITUTE(SUBSTITUTE(SUBSTITUTE(SUBSTITUTE(TRIM($AR158),"-",""),".",""),"/","")," ",""),8),4),--MID(LEFT(SUBSTITUTE(SUBSTITUTE(SUBSTITUTE(SUBSTITUTE(TRIM($AR158),"-",""),".",""),"/","")," ",""),8),5,2),--MID(LEFT(SUBSTITUTE(SUBSTITUTE(SUBSTITUTE(SUBSTITUTE(TRIM($AR158),"-",""),".",""),"/","")," ",""),8),7,2)),"")))</f>
        <v/>
      </c>
      <c r="AT158" s="23">
        <f>IF($AS158="","",IF($F$6="",0,IF(ISNUMBER(INDEX($A:$AP,ROW(),$F$6)),INDEX($A:$AP,ROW(),$F$6),IFERROR(--SUBSTITUTE(SUBSTITUTE(TRIM(INDEX($A:$AP,ROW(),$F$6)),",",""),"원",""),0))))</f>
        <v/>
      </c>
      <c r="AU158" s="23">
        <f>IF($AS158="","",IF($G$6="",0,IF(ISNUMBER(INDEX($A:$AP,ROW(),$G$6)),INDEX($A:$AP,ROW(),$G$6),IFERROR(--SUBSTITUTE(SUBSTITUTE(TRIM(INDEX($A:$AP,ROW(),$G$6)),",",""),"원",""),0))))</f>
        <v/>
      </c>
      <c r="AV158" s="23">
        <f>IF($AS158="","",IF($H$6="",$AT158+$AU158,IF($H$6="",0,IF(ISNUMBER(INDEX($A:$AP,ROW(),$H$6)),INDEX($A:$AP,ROW(),$H$6),IFERROR(--SUBSTITUTE(SUBSTITUTE(TRIM(INDEX($A:$AP,ROW(),$H$6)),",",""),"원",""),0)))))</f>
        <v/>
      </c>
      <c r="AW158" s="2">
        <f>IF(OR($AS158="",$C$6=""),"",TRIM(INDEX($A:$AP,ROW(),$C$6)&amp;""))</f>
        <v/>
      </c>
      <c r="AX158" s="2">
        <f>IF($AS158="","",IF($AZ158&lt;&gt;"",SUBSTITUTE(SUBSTITUTE($AZ158,"-","")," ",""),$AY158))</f>
        <v/>
      </c>
      <c r="AY158" s="2">
        <f>IF(OR($AS158="",$E$6=""),"",TRIM(INDEX($A:$AP,ROW(),$E$6)&amp;""))</f>
        <v/>
      </c>
      <c r="AZ158" s="2">
        <f>IF(OR($AS158="",$D$6=""),"",TRIM(INDEX($A:$AP,ROW(),$D$6)&amp;""))</f>
        <v/>
      </c>
      <c r="BA158" s="2">
        <f>IF($AS158="","",IF(AND($AS158&gt;=설정!$B$10,$AS158&lt;=설정!$B$11),"포함","기간 밖"))</f>
        <v/>
      </c>
      <c r="BB158" s="2">
        <f>IF($AS158="","",IF(OR($AT158&lt;0,AND($I$6&lt;&gt;"",ISNUMBER(FIND("수정",INDEX($A:$AP,ROW(),IF($I$6="",1,$I$6))&amp;"")))),"수정","일반"))</f>
        <v/>
      </c>
      <c r="BC158" s="2">
        <f>IF($AS158="","",MID(IF($BA158="기간 밖"," / 기간 밖(신고기간 아님)","")&amp;IF(AND($AW158&lt;&gt;"",COUNTIF($AW$8:$AW$1007,$AW158)&gt;1)," / 승인번호 중복(두 번 붙여넣기?)","")&amp;IF(ABS($AU158-ROUND($AT158*0.1,0))&gt;설정!$B$8,IF($AU158=0," / 세액 0원(영세율·면세 여부 확인)"," / 세액이 공급가액 10%와 다름"),"")&amp;IF($BB158="수정"," / 수정세금계산서(합계에서 자동 가감)",""),4,200))</f>
        <v/>
      </c>
      <c r="BD158" s="2">
        <f>IF($BA158&lt;&gt;"포함","",IF(COUNTIFS($AX$8:$AX158,$AX158,$BA$8:$BA158,"포함")=1,MAX($BD$7:BD157)+1,""))</f>
        <v/>
      </c>
      <c r="BE158" s="2">
        <f>IF($BC158="","",MAX($BE$7:BE157)+1)</f>
        <v/>
      </c>
    </row>
    <row r="159">
      <c r="AR159" s="2">
        <f>IF(OR($A$5="",$B$6="",ROW()&lt;$A$5),"",IF(INDEX($A:$AP,ROW(),$B$6)="","",INDEX($A:$AP,ROW(),$B$6)))</f>
        <v/>
      </c>
      <c r="AS159" s="22">
        <f>IF($AR159="","",IF(ISNUMBER($AR159),IF($AR159&gt;=10000000,IFERROR(DATE(INT($AR159/10000),MOD(INT($AR159/100),100),MOD($AR159,100)),""),INT($AR159)),IFERROR(DATE(--LEFT(LEFT(SUBSTITUTE(SUBSTITUTE(SUBSTITUTE(SUBSTITUTE(TRIM($AR159),"-",""),".",""),"/","")," ",""),8),4),--MID(LEFT(SUBSTITUTE(SUBSTITUTE(SUBSTITUTE(SUBSTITUTE(TRIM($AR159),"-",""),".",""),"/","")," ",""),8),5,2),--MID(LEFT(SUBSTITUTE(SUBSTITUTE(SUBSTITUTE(SUBSTITUTE(TRIM($AR159),"-",""),".",""),"/","")," ",""),8),7,2)),"")))</f>
        <v/>
      </c>
      <c r="AT159" s="23">
        <f>IF($AS159="","",IF($F$6="",0,IF(ISNUMBER(INDEX($A:$AP,ROW(),$F$6)),INDEX($A:$AP,ROW(),$F$6),IFERROR(--SUBSTITUTE(SUBSTITUTE(TRIM(INDEX($A:$AP,ROW(),$F$6)),",",""),"원",""),0))))</f>
        <v/>
      </c>
      <c r="AU159" s="23">
        <f>IF($AS159="","",IF($G$6="",0,IF(ISNUMBER(INDEX($A:$AP,ROW(),$G$6)),INDEX($A:$AP,ROW(),$G$6),IFERROR(--SUBSTITUTE(SUBSTITUTE(TRIM(INDEX($A:$AP,ROW(),$G$6)),",",""),"원",""),0))))</f>
        <v/>
      </c>
      <c r="AV159" s="23">
        <f>IF($AS159="","",IF($H$6="",$AT159+$AU159,IF($H$6="",0,IF(ISNUMBER(INDEX($A:$AP,ROW(),$H$6)),INDEX($A:$AP,ROW(),$H$6),IFERROR(--SUBSTITUTE(SUBSTITUTE(TRIM(INDEX($A:$AP,ROW(),$H$6)),",",""),"원",""),0)))))</f>
        <v/>
      </c>
      <c r="AW159" s="2">
        <f>IF(OR($AS159="",$C$6=""),"",TRIM(INDEX($A:$AP,ROW(),$C$6)&amp;""))</f>
        <v/>
      </c>
      <c r="AX159" s="2">
        <f>IF($AS159="","",IF($AZ159&lt;&gt;"",SUBSTITUTE(SUBSTITUTE($AZ159,"-","")," ",""),$AY159))</f>
        <v/>
      </c>
      <c r="AY159" s="2">
        <f>IF(OR($AS159="",$E$6=""),"",TRIM(INDEX($A:$AP,ROW(),$E$6)&amp;""))</f>
        <v/>
      </c>
      <c r="AZ159" s="2">
        <f>IF(OR($AS159="",$D$6=""),"",TRIM(INDEX($A:$AP,ROW(),$D$6)&amp;""))</f>
        <v/>
      </c>
      <c r="BA159" s="2">
        <f>IF($AS159="","",IF(AND($AS159&gt;=설정!$B$10,$AS159&lt;=설정!$B$11),"포함","기간 밖"))</f>
        <v/>
      </c>
      <c r="BB159" s="2">
        <f>IF($AS159="","",IF(OR($AT159&lt;0,AND($I$6&lt;&gt;"",ISNUMBER(FIND("수정",INDEX($A:$AP,ROW(),IF($I$6="",1,$I$6))&amp;"")))),"수정","일반"))</f>
        <v/>
      </c>
      <c r="BC159" s="2">
        <f>IF($AS159="","",MID(IF($BA159="기간 밖"," / 기간 밖(신고기간 아님)","")&amp;IF(AND($AW159&lt;&gt;"",COUNTIF($AW$8:$AW$1007,$AW159)&gt;1)," / 승인번호 중복(두 번 붙여넣기?)","")&amp;IF(ABS($AU159-ROUND($AT159*0.1,0))&gt;설정!$B$8,IF($AU159=0," / 세액 0원(영세율·면세 여부 확인)"," / 세액이 공급가액 10%와 다름"),"")&amp;IF($BB159="수정"," / 수정세금계산서(합계에서 자동 가감)",""),4,200))</f>
        <v/>
      </c>
      <c r="BD159" s="2">
        <f>IF($BA159&lt;&gt;"포함","",IF(COUNTIFS($AX$8:$AX159,$AX159,$BA$8:$BA159,"포함")=1,MAX($BD$7:BD158)+1,""))</f>
        <v/>
      </c>
      <c r="BE159" s="2">
        <f>IF($BC159="","",MAX($BE$7:BE158)+1)</f>
        <v/>
      </c>
    </row>
    <row r="160">
      <c r="AR160" s="2">
        <f>IF(OR($A$5="",$B$6="",ROW()&lt;$A$5),"",IF(INDEX($A:$AP,ROW(),$B$6)="","",INDEX($A:$AP,ROW(),$B$6)))</f>
        <v/>
      </c>
      <c r="AS160" s="22">
        <f>IF($AR160="","",IF(ISNUMBER($AR160),IF($AR160&gt;=10000000,IFERROR(DATE(INT($AR160/10000),MOD(INT($AR160/100),100),MOD($AR160,100)),""),INT($AR160)),IFERROR(DATE(--LEFT(LEFT(SUBSTITUTE(SUBSTITUTE(SUBSTITUTE(SUBSTITUTE(TRIM($AR160),"-",""),".",""),"/","")," ",""),8),4),--MID(LEFT(SUBSTITUTE(SUBSTITUTE(SUBSTITUTE(SUBSTITUTE(TRIM($AR160),"-",""),".",""),"/","")," ",""),8),5,2),--MID(LEFT(SUBSTITUTE(SUBSTITUTE(SUBSTITUTE(SUBSTITUTE(TRIM($AR160),"-",""),".",""),"/","")," ",""),8),7,2)),"")))</f>
        <v/>
      </c>
      <c r="AT160" s="23">
        <f>IF($AS160="","",IF($F$6="",0,IF(ISNUMBER(INDEX($A:$AP,ROW(),$F$6)),INDEX($A:$AP,ROW(),$F$6),IFERROR(--SUBSTITUTE(SUBSTITUTE(TRIM(INDEX($A:$AP,ROW(),$F$6)),",",""),"원",""),0))))</f>
        <v/>
      </c>
      <c r="AU160" s="23">
        <f>IF($AS160="","",IF($G$6="",0,IF(ISNUMBER(INDEX($A:$AP,ROW(),$G$6)),INDEX($A:$AP,ROW(),$G$6),IFERROR(--SUBSTITUTE(SUBSTITUTE(TRIM(INDEX($A:$AP,ROW(),$G$6)),",",""),"원",""),0))))</f>
        <v/>
      </c>
      <c r="AV160" s="23">
        <f>IF($AS160="","",IF($H$6="",$AT160+$AU160,IF($H$6="",0,IF(ISNUMBER(INDEX($A:$AP,ROW(),$H$6)),INDEX($A:$AP,ROW(),$H$6),IFERROR(--SUBSTITUTE(SUBSTITUTE(TRIM(INDEX($A:$AP,ROW(),$H$6)),",",""),"원",""),0)))))</f>
        <v/>
      </c>
      <c r="AW160" s="2">
        <f>IF(OR($AS160="",$C$6=""),"",TRIM(INDEX($A:$AP,ROW(),$C$6)&amp;""))</f>
        <v/>
      </c>
      <c r="AX160" s="2">
        <f>IF($AS160="","",IF($AZ160&lt;&gt;"",SUBSTITUTE(SUBSTITUTE($AZ160,"-","")," ",""),$AY160))</f>
        <v/>
      </c>
      <c r="AY160" s="2">
        <f>IF(OR($AS160="",$E$6=""),"",TRIM(INDEX($A:$AP,ROW(),$E$6)&amp;""))</f>
        <v/>
      </c>
      <c r="AZ160" s="2">
        <f>IF(OR($AS160="",$D$6=""),"",TRIM(INDEX($A:$AP,ROW(),$D$6)&amp;""))</f>
        <v/>
      </c>
      <c r="BA160" s="2">
        <f>IF($AS160="","",IF(AND($AS160&gt;=설정!$B$10,$AS160&lt;=설정!$B$11),"포함","기간 밖"))</f>
        <v/>
      </c>
      <c r="BB160" s="2">
        <f>IF($AS160="","",IF(OR($AT160&lt;0,AND($I$6&lt;&gt;"",ISNUMBER(FIND("수정",INDEX($A:$AP,ROW(),IF($I$6="",1,$I$6))&amp;"")))),"수정","일반"))</f>
        <v/>
      </c>
      <c r="BC160" s="2">
        <f>IF($AS160="","",MID(IF($BA160="기간 밖"," / 기간 밖(신고기간 아님)","")&amp;IF(AND($AW160&lt;&gt;"",COUNTIF($AW$8:$AW$1007,$AW160)&gt;1)," / 승인번호 중복(두 번 붙여넣기?)","")&amp;IF(ABS($AU160-ROUND($AT160*0.1,0))&gt;설정!$B$8,IF($AU160=0," / 세액 0원(영세율·면세 여부 확인)"," / 세액이 공급가액 10%와 다름"),"")&amp;IF($BB160="수정"," / 수정세금계산서(합계에서 자동 가감)",""),4,200))</f>
        <v/>
      </c>
      <c r="BD160" s="2">
        <f>IF($BA160&lt;&gt;"포함","",IF(COUNTIFS($AX$8:$AX160,$AX160,$BA$8:$BA160,"포함")=1,MAX($BD$7:BD159)+1,""))</f>
        <v/>
      </c>
      <c r="BE160" s="2">
        <f>IF($BC160="","",MAX($BE$7:BE159)+1)</f>
        <v/>
      </c>
    </row>
    <row r="161">
      <c r="AR161" s="2">
        <f>IF(OR($A$5="",$B$6="",ROW()&lt;$A$5),"",IF(INDEX($A:$AP,ROW(),$B$6)="","",INDEX($A:$AP,ROW(),$B$6)))</f>
        <v/>
      </c>
      <c r="AS161" s="22">
        <f>IF($AR161="","",IF(ISNUMBER($AR161),IF($AR161&gt;=10000000,IFERROR(DATE(INT($AR161/10000),MOD(INT($AR161/100),100),MOD($AR161,100)),""),INT($AR161)),IFERROR(DATE(--LEFT(LEFT(SUBSTITUTE(SUBSTITUTE(SUBSTITUTE(SUBSTITUTE(TRIM($AR161),"-",""),".",""),"/","")," ",""),8),4),--MID(LEFT(SUBSTITUTE(SUBSTITUTE(SUBSTITUTE(SUBSTITUTE(TRIM($AR161),"-",""),".",""),"/","")," ",""),8),5,2),--MID(LEFT(SUBSTITUTE(SUBSTITUTE(SUBSTITUTE(SUBSTITUTE(TRIM($AR161),"-",""),".",""),"/","")," ",""),8),7,2)),"")))</f>
        <v/>
      </c>
      <c r="AT161" s="23">
        <f>IF($AS161="","",IF($F$6="",0,IF(ISNUMBER(INDEX($A:$AP,ROW(),$F$6)),INDEX($A:$AP,ROW(),$F$6),IFERROR(--SUBSTITUTE(SUBSTITUTE(TRIM(INDEX($A:$AP,ROW(),$F$6)),",",""),"원",""),0))))</f>
        <v/>
      </c>
      <c r="AU161" s="23">
        <f>IF($AS161="","",IF($G$6="",0,IF(ISNUMBER(INDEX($A:$AP,ROW(),$G$6)),INDEX($A:$AP,ROW(),$G$6),IFERROR(--SUBSTITUTE(SUBSTITUTE(TRIM(INDEX($A:$AP,ROW(),$G$6)),",",""),"원",""),0))))</f>
        <v/>
      </c>
      <c r="AV161" s="23">
        <f>IF($AS161="","",IF($H$6="",$AT161+$AU161,IF($H$6="",0,IF(ISNUMBER(INDEX($A:$AP,ROW(),$H$6)),INDEX($A:$AP,ROW(),$H$6),IFERROR(--SUBSTITUTE(SUBSTITUTE(TRIM(INDEX($A:$AP,ROW(),$H$6)),",",""),"원",""),0)))))</f>
        <v/>
      </c>
      <c r="AW161" s="2">
        <f>IF(OR($AS161="",$C$6=""),"",TRIM(INDEX($A:$AP,ROW(),$C$6)&amp;""))</f>
        <v/>
      </c>
      <c r="AX161" s="2">
        <f>IF($AS161="","",IF($AZ161&lt;&gt;"",SUBSTITUTE(SUBSTITUTE($AZ161,"-","")," ",""),$AY161))</f>
        <v/>
      </c>
      <c r="AY161" s="2">
        <f>IF(OR($AS161="",$E$6=""),"",TRIM(INDEX($A:$AP,ROW(),$E$6)&amp;""))</f>
        <v/>
      </c>
      <c r="AZ161" s="2">
        <f>IF(OR($AS161="",$D$6=""),"",TRIM(INDEX($A:$AP,ROW(),$D$6)&amp;""))</f>
        <v/>
      </c>
      <c r="BA161" s="2">
        <f>IF($AS161="","",IF(AND($AS161&gt;=설정!$B$10,$AS161&lt;=설정!$B$11),"포함","기간 밖"))</f>
        <v/>
      </c>
      <c r="BB161" s="2">
        <f>IF($AS161="","",IF(OR($AT161&lt;0,AND($I$6&lt;&gt;"",ISNUMBER(FIND("수정",INDEX($A:$AP,ROW(),IF($I$6="",1,$I$6))&amp;"")))),"수정","일반"))</f>
        <v/>
      </c>
      <c r="BC161" s="2">
        <f>IF($AS161="","",MID(IF($BA161="기간 밖"," / 기간 밖(신고기간 아님)","")&amp;IF(AND($AW161&lt;&gt;"",COUNTIF($AW$8:$AW$1007,$AW161)&gt;1)," / 승인번호 중복(두 번 붙여넣기?)","")&amp;IF(ABS($AU161-ROUND($AT161*0.1,0))&gt;설정!$B$8,IF($AU161=0," / 세액 0원(영세율·면세 여부 확인)"," / 세액이 공급가액 10%와 다름"),"")&amp;IF($BB161="수정"," / 수정세금계산서(합계에서 자동 가감)",""),4,200))</f>
        <v/>
      </c>
      <c r="BD161" s="2">
        <f>IF($BA161&lt;&gt;"포함","",IF(COUNTIFS($AX$8:$AX161,$AX161,$BA$8:$BA161,"포함")=1,MAX($BD$7:BD160)+1,""))</f>
        <v/>
      </c>
      <c r="BE161" s="2">
        <f>IF($BC161="","",MAX($BE$7:BE160)+1)</f>
        <v/>
      </c>
    </row>
    <row r="162">
      <c r="AR162" s="2">
        <f>IF(OR($A$5="",$B$6="",ROW()&lt;$A$5),"",IF(INDEX($A:$AP,ROW(),$B$6)="","",INDEX($A:$AP,ROW(),$B$6)))</f>
        <v/>
      </c>
      <c r="AS162" s="22">
        <f>IF($AR162="","",IF(ISNUMBER($AR162),IF($AR162&gt;=10000000,IFERROR(DATE(INT($AR162/10000),MOD(INT($AR162/100),100),MOD($AR162,100)),""),INT($AR162)),IFERROR(DATE(--LEFT(LEFT(SUBSTITUTE(SUBSTITUTE(SUBSTITUTE(SUBSTITUTE(TRIM($AR162),"-",""),".",""),"/","")," ",""),8),4),--MID(LEFT(SUBSTITUTE(SUBSTITUTE(SUBSTITUTE(SUBSTITUTE(TRIM($AR162),"-",""),".",""),"/","")," ",""),8),5,2),--MID(LEFT(SUBSTITUTE(SUBSTITUTE(SUBSTITUTE(SUBSTITUTE(TRIM($AR162),"-",""),".",""),"/","")," ",""),8),7,2)),"")))</f>
        <v/>
      </c>
      <c r="AT162" s="23">
        <f>IF($AS162="","",IF($F$6="",0,IF(ISNUMBER(INDEX($A:$AP,ROW(),$F$6)),INDEX($A:$AP,ROW(),$F$6),IFERROR(--SUBSTITUTE(SUBSTITUTE(TRIM(INDEX($A:$AP,ROW(),$F$6)),",",""),"원",""),0))))</f>
        <v/>
      </c>
      <c r="AU162" s="23">
        <f>IF($AS162="","",IF($G$6="",0,IF(ISNUMBER(INDEX($A:$AP,ROW(),$G$6)),INDEX($A:$AP,ROW(),$G$6),IFERROR(--SUBSTITUTE(SUBSTITUTE(TRIM(INDEX($A:$AP,ROW(),$G$6)),",",""),"원",""),0))))</f>
        <v/>
      </c>
      <c r="AV162" s="23">
        <f>IF($AS162="","",IF($H$6="",$AT162+$AU162,IF($H$6="",0,IF(ISNUMBER(INDEX($A:$AP,ROW(),$H$6)),INDEX($A:$AP,ROW(),$H$6),IFERROR(--SUBSTITUTE(SUBSTITUTE(TRIM(INDEX($A:$AP,ROW(),$H$6)),",",""),"원",""),0)))))</f>
        <v/>
      </c>
      <c r="AW162" s="2">
        <f>IF(OR($AS162="",$C$6=""),"",TRIM(INDEX($A:$AP,ROW(),$C$6)&amp;""))</f>
        <v/>
      </c>
      <c r="AX162" s="2">
        <f>IF($AS162="","",IF($AZ162&lt;&gt;"",SUBSTITUTE(SUBSTITUTE($AZ162,"-","")," ",""),$AY162))</f>
        <v/>
      </c>
      <c r="AY162" s="2">
        <f>IF(OR($AS162="",$E$6=""),"",TRIM(INDEX($A:$AP,ROW(),$E$6)&amp;""))</f>
        <v/>
      </c>
      <c r="AZ162" s="2">
        <f>IF(OR($AS162="",$D$6=""),"",TRIM(INDEX($A:$AP,ROW(),$D$6)&amp;""))</f>
        <v/>
      </c>
      <c r="BA162" s="2">
        <f>IF($AS162="","",IF(AND($AS162&gt;=설정!$B$10,$AS162&lt;=설정!$B$11),"포함","기간 밖"))</f>
        <v/>
      </c>
      <c r="BB162" s="2">
        <f>IF($AS162="","",IF(OR($AT162&lt;0,AND($I$6&lt;&gt;"",ISNUMBER(FIND("수정",INDEX($A:$AP,ROW(),IF($I$6="",1,$I$6))&amp;"")))),"수정","일반"))</f>
        <v/>
      </c>
      <c r="BC162" s="2">
        <f>IF($AS162="","",MID(IF($BA162="기간 밖"," / 기간 밖(신고기간 아님)","")&amp;IF(AND($AW162&lt;&gt;"",COUNTIF($AW$8:$AW$1007,$AW162)&gt;1)," / 승인번호 중복(두 번 붙여넣기?)","")&amp;IF(ABS($AU162-ROUND($AT162*0.1,0))&gt;설정!$B$8,IF($AU162=0," / 세액 0원(영세율·면세 여부 확인)"," / 세액이 공급가액 10%와 다름"),"")&amp;IF($BB162="수정"," / 수정세금계산서(합계에서 자동 가감)",""),4,200))</f>
        <v/>
      </c>
      <c r="BD162" s="2">
        <f>IF($BA162&lt;&gt;"포함","",IF(COUNTIFS($AX$8:$AX162,$AX162,$BA$8:$BA162,"포함")=1,MAX($BD$7:BD161)+1,""))</f>
        <v/>
      </c>
      <c r="BE162" s="2">
        <f>IF($BC162="","",MAX($BE$7:BE161)+1)</f>
        <v/>
      </c>
    </row>
    <row r="163">
      <c r="AR163" s="2">
        <f>IF(OR($A$5="",$B$6="",ROW()&lt;$A$5),"",IF(INDEX($A:$AP,ROW(),$B$6)="","",INDEX($A:$AP,ROW(),$B$6)))</f>
        <v/>
      </c>
      <c r="AS163" s="22">
        <f>IF($AR163="","",IF(ISNUMBER($AR163),IF($AR163&gt;=10000000,IFERROR(DATE(INT($AR163/10000),MOD(INT($AR163/100),100),MOD($AR163,100)),""),INT($AR163)),IFERROR(DATE(--LEFT(LEFT(SUBSTITUTE(SUBSTITUTE(SUBSTITUTE(SUBSTITUTE(TRIM($AR163),"-",""),".",""),"/","")," ",""),8),4),--MID(LEFT(SUBSTITUTE(SUBSTITUTE(SUBSTITUTE(SUBSTITUTE(TRIM($AR163),"-",""),".",""),"/","")," ",""),8),5,2),--MID(LEFT(SUBSTITUTE(SUBSTITUTE(SUBSTITUTE(SUBSTITUTE(TRIM($AR163),"-",""),".",""),"/","")," ",""),8),7,2)),"")))</f>
        <v/>
      </c>
      <c r="AT163" s="23">
        <f>IF($AS163="","",IF($F$6="",0,IF(ISNUMBER(INDEX($A:$AP,ROW(),$F$6)),INDEX($A:$AP,ROW(),$F$6),IFERROR(--SUBSTITUTE(SUBSTITUTE(TRIM(INDEX($A:$AP,ROW(),$F$6)),",",""),"원",""),0))))</f>
        <v/>
      </c>
      <c r="AU163" s="23">
        <f>IF($AS163="","",IF($G$6="",0,IF(ISNUMBER(INDEX($A:$AP,ROW(),$G$6)),INDEX($A:$AP,ROW(),$G$6),IFERROR(--SUBSTITUTE(SUBSTITUTE(TRIM(INDEX($A:$AP,ROW(),$G$6)),",",""),"원",""),0))))</f>
        <v/>
      </c>
      <c r="AV163" s="23">
        <f>IF($AS163="","",IF($H$6="",$AT163+$AU163,IF($H$6="",0,IF(ISNUMBER(INDEX($A:$AP,ROW(),$H$6)),INDEX($A:$AP,ROW(),$H$6),IFERROR(--SUBSTITUTE(SUBSTITUTE(TRIM(INDEX($A:$AP,ROW(),$H$6)),",",""),"원",""),0)))))</f>
        <v/>
      </c>
      <c r="AW163" s="2">
        <f>IF(OR($AS163="",$C$6=""),"",TRIM(INDEX($A:$AP,ROW(),$C$6)&amp;""))</f>
        <v/>
      </c>
      <c r="AX163" s="2">
        <f>IF($AS163="","",IF($AZ163&lt;&gt;"",SUBSTITUTE(SUBSTITUTE($AZ163,"-","")," ",""),$AY163))</f>
        <v/>
      </c>
      <c r="AY163" s="2">
        <f>IF(OR($AS163="",$E$6=""),"",TRIM(INDEX($A:$AP,ROW(),$E$6)&amp;""))</f>
        <v/>
      </c>
      <c r="AZ163" s="2">
        <f>IF(OR($AS163="",$D$6=""),"",TRIM(INDEX($A:$AP,ROW(),$D$6)&amp;""))</f>
        <v/>
      </c>
      <c r="BA163" s="2">
        <f>IF($AS163="","",IF(AND($AS163&gt;=설정!$B$10,$AS163&lt;=설정!$B$11),"포함","기간 밖"))</f>
        <v/>
      </c>
      <c r="BB163" s="2">
        <f>IF($AS163="","",IF(OR($AT163&lt;0,AND($I$6&lt;&gt;"",ISNUMBER(FIND("수정",INDEX($A:$AP,ROW(),IF($I$6="",1,$I$6))&amp;"")))),"수정","일반"))</f>
        <v/>
      </c>
      <c r="BC163" s="2">
        <f>IF($AS163="","",MID(IF($BA163="기간 밖"," / 기간 밖(신고기간 아님)","")&amp;IF(AND($AW163&lt;&gt;"",COUNTIF($AW$8:$AW$1007,$AW163)&gt;1)," / 승인번호 중복(두 번 붙여넣기?)","")&amp;IF(ABS($AU163-ROUND($AT163*0.1,0))&gt;설정!$B$8,IF($AU163=0," / 세액 0원(영세율·면세 여부 확인)"," / 세액이 공급가액 10%와 다름"),"")&amp;IF($BB163="수정"," / 수정세금계산서(합계에서 자동 가감)",""),4,200))</f>
        <v/>
      </c>
      <c r="BD163" s="2">
        <f>IF($BA163&lt;&gt;"포함","",IF(COUNTIFS($AX$8:$AX163,$AX163,$BA$8:$BA163,"포함")=1,MAX($BD$7:BD162)+1,""))</f>
        <v/>
      </c>
      <c r="BE163" s="2">
        <f>IF($BC163="","",MAX($BE$7:BE162)+1)</f>
        <v/>
      </c>
    </row>
    <row r="164">
      <c r="AR164" s="2">
        <f>IF(OR($A$5="",$B$6="",ROW()&lt;$A$5),"",IF(INDEX($A:$AP,ROW(),$B$6)="","",INDEX($A:$AP,ROW(),$B$6)))</f>
        <v/>
      </c>
      <c r="AS164" s="22">
        <f>IF($AR164="","",IF(ISNUMBER($AR164),IF($AR164&gt;=10000000,IFERROR(DATE(INT($AR164/10000),MOD(INT($AR164/100),100),MOD($AR164,100)),""),INT($AR164)),IFERROR(DATE(--LEFT(LEFT(SUBSTITUTE(SUBSTITUTE(SUBSTITUTE(SUBSTITUTE(TRIM($AR164),"-",""),".",""),"/","")," ",""),8),4),--MID(LEFT(SUBSTITUTE(SUBSTITUTE(SUBSTITUTE(SUBSTITUTE(TRIM($AR164),"-",""),".",""),"/","")," ",""),8),5,2),--MID(LEFT(SUBSTITUTE(SUBSTITUTE(SUBSTITUTE(SUBSTITUTE(TRIM($AR164),"-",""),".",""),"/","")," ",""),8),7,2)),"")))</f>
        <v/>
      </c>
      <c r="AT164" s="23">
        <f>IF($AS164="","",IF($F$6="",0,IF(ISNUMBER(INDEX($A:$AP,ROW(),$F$6)),INDEX($A:$AP,ROW(),$F$6),IFERROR(--SUBSTITUTE(SUBSTITUTE(TRIM(INDEX($A:$AP,ROW(),$F$6)),",",""),"원",""),0))))</f>
        <v/>
      </c>
      <c r="AU164" s="23">
        <f>IF($AS164="","",IF($G$6="",0,IF(ISNUMBER(INDEX($A:$AP,ROW(),$G$6)),INDEX($A:$AP,ROW(),$G$6),IFERROR(--SUBSTITUTE(SUBSTITUTE(TRIM(INDEX($A:$AP,ROW(),$G$6)),",",""),"원",""),0))))</f>
        <v/>
      </c>
      <c r="AV164" s="23">
        <f>IF($AS164="","",IF($H$6="",$AT164+$AU164,IF($H$6="",0,IF(ISNUMBER(INDEX($A:$AP,ROW(),$H$6)),INDEX($A:$AP,ROW(),$H$6),IFERROR(--SUBSTITUTE(SUBSTITUTE(TRIM(INDEX($A:$AP,ROW(),$H$6)),",",""),"원",""),0)))))</f>
        <v/>
      </c>
      <c r="AW164" s="2">
        <f>IF(OR($AS164="",$C$6=""),"",TRIM(INDEX($A:$AP,ROW(),$C$6)&amp;""))</f>
        <v/>
      </c>
      <c r="AX164" s="2">
        <f>IF($AS164="","",IF($AZ164&lt;&gt;"",SUBSTITUTE(SUBSTITUTE($AZ164,"-","")," ",""),$AY164))</f>
        <v/>
      </c>
      <c r="AY164" s="2">
        <f>IF(OR($AS164="",$E$6=""),"",TRIM(INDEX($A:$AP,ROW(),$E$6)&amp;""))</f>
        <v/>
      </c>
      <c r="AZ164" s="2">
        <f>IF(OR($AS164="",$D$6=""),"",TRIM(INDEX($A:$AP,ROW(),$D$6)&amp;""))</f>
        <v/>
      </c>
      <c r="BA164" s="2">
        <f>IF($AS164="","",IF(AND($AS164&gt;=설정!$B$10,$AS164&lt;=설정!$B$11),"포함","기간 밖"))</f>
        <v/>
      </c>
      <c r="BB164" s="2">
        <f>IF($AS164="","",IF(OR($AT164&lt;0,AND($I$6&lt;&gt;"",ISNUMBER(FIND("수정",INDEX($A:$AP,ROW(),IF($I$6="",1,$I$6))&amp;"")))),"수정","일반"))</f>
        <v/>
      </c>
      <c r="BC164" s="2">
        <f>IF($AS164="","",MID(IF($BA164="기간 밖"," / 기간 밖(신고기간 아님)","")&amp;IF(AND($AW164&lt;&gt;"",COUNTIF($AW$8:$AW$1007,$AW164)&gt;1)," / 승인번호 중복(두 번 붙여넣기?)","")&amp;IF(ABS($AU164-ROUND($AT164*0.1,0))&gt;설정!$B$8,IF($AU164=0," / 세액 0원(영세율·면세 여부 확인)"," / 세액이 공급가액 10%와 다름"),"")&amp;IF($BB164="수정"," / 수정세금계산서(합계에서 자동 가감)",""),4,200))</f>
        <v/>
      </c>
      <c r="BD164" s="2">
        <f>IF($BA164&lt;&gt;"포함","",IF(COUNTIFS($AX$8:$AX164,$AX164,$BA$8:$BA164,"포함")=1,MAX($BD$7:BD163)+1,""))</f>
        <v/>
      </c>
      <c r="BE164" s="2">
        <f>IF($BC164="","",MAX($BE$7:BE163)+1)</f>
        <v/>
      </c>
    </row>
    <row r="165">
      <c r="AR165" s="2">
        <f>IF(OR($A$5="",$B$6="",ROW()&lt;$A$5),"",IF(INDEX($A:$AP,ROW(),$B$6)="","",INDEX($A:$AP,ROW(),$B$6)))</f>
        <v/>
      </c>
      <c r="AS165" s="22">
        <f>IF($AR165="","",IF(ISNUMBER($AR165),IF($AR165&gt;=10000000,IFERROR(DATE(INT($AR165/10000),MOD(INT($AR165/100),100),MOD($AR165,100)),""),INT($AR165)),IFERROR(DATE(--LEFT(LEFT(SUBSTITUTE(SUBSTITUTE(SUBSTITUTE(SUBSTITUTE(TRIM($AR165),"-",""),".",""),"/","")," ",""),8),4),--MID(LEFT(SUBSTITUTE(SUBSTITUTE(SUBSTITUTE(SUBSTITUTE(TRIM($AR165),"-",""),".",""),"/","")," ",""),8),5,2),--MID(LEFT(SUBSTITUTE(SUBSTITUTE(SUBSTITUTE(SUBSTITUTE(TRIM($AR165),"-",""),".",""),"/","")," ",""),8),7,2)),"")))</f>
        <v/>
      </c>
      <c r="AT165" s="23">
        <f>IF($AS165="","",IF($F$6="",0,IF(ISNUMBER(INDEX($A:$AP,ROW(),$F$6)),INDEX($A:$AP,ROW(),$F$6),IFERROR(--SUBSTITUTE(SUBSTITUTE(TRIM(INDEX($A:$AP,ROW(),$F$6)),",",""),"원",""),0))))</f>
        <v/>
      </c>
      <c r="AU165" s="23">
        <f>IF($AS165="","",IF($G$6="",0,IF(ISNUMBER(INDEX($A:$AP,ROW(),$G$6)),INDEX($A:$AP,ROW(),$G$6),IFERROR(--SUBSTITUTE(SUBSTITUTE(TRIM(INDEX($A:$AP,ROW(),$G$6)),",",""),"원",""),0))))</f>
        <v/>
      </c>
      <c r="AV165" s="23">
        <f>IF($AS165="","",IF($H$6="",$AT165+$AU165,IF($H$6="",0,IF(ISNUMBER(INDEX($A:$AP,ROW(),$H$6)),INDEX($A:$AP,ROW(),$H$6),IFERROR(--SUBSTITUTE(SUBSTITUTE(TRIM(INDEX($A:$AP,ROW(),$H$6)),",",""),"원",""),0)))))</f>
        <v/>
      </c>
      <c r="AW165" s="2">
        <f>IF(OR($AS165="",$C$6=""),"",TRIM(INDEX($A:$AP,ROW(),$C$6)&amp;""))</f>
        <v/>
      </c>
      <c r="AX165" s="2">
        <f>IF($AS165="","",IF($AZ165&lt;&gt;"",SUBSTITUTE(SUBSTITUTE($AZ165,"-","")," ",""),$AY165))</f>
        <v/>
      </c>
      <c r="AY165" s="2">
        <f>IF(OR($AS165="",$E$6=""),"",TRIM(INDEX($A:$AP,ROW(),$E$6)&amp;""))</f>
        <v/>
      </c>
      <c r="AZ165" s="2">
        <f>IF(OR($AS165="",$D$6=""),"",TRIM(INDEX($A:$AP,ROW(),$D$6)&amp;""))</f>
        <v/>
      </c>
      <c r="BA165" s="2">
        <f>IF($AS165="","",IF(AND($AS165&gt;=설정!$B$10,$AS165&lt;=설정!$B$11),"포함","기간 밖"))</f>
        <v/>
      </c>
      <c r="BB165" s="2">
        <f>IF($AS165="","",IF(OR($AT165&lt;0,AND($I$6&lt;&gt;"",ISNUMBER(FIND("수정",INDEX($A:$AP,ROW(),IF($I$6="",1,$I$6))&amp;"")))),"수정","일반"))</f>
        <v/>
      </c>
      <c r="BC165" s="2">
        <f>IF($AS165="","",MID(IF($BA165="기간 밖"," / 기간 밖(신고기간 아님)","")&amp;IF(AND($AW165&lt;&gt;"",COUNTIF($AW$8:$AW$1007,$AW165)&gt;1)," / 승인번호 중복(두 번 붙여넣기?)","")&amp;IF(ABS($AU165-ROUND($AT165*0.1,0))&gt;설정!$B$8,IF($AU165=0," / 세액 0원(영세율·면세 여부 확인)"," / 세액이 공급가액 10%와 다름"),"")&amp;IF($BB165="수정"," / 수정세금계산서(합계에서 자동 가감)",""),4,200))</f>
        <v/>
      </c>
      <c r="BD165" s="2">
        <f>IF($BA165&lt;&gt;"포함","",IF(COUNTIFS($AX$8:$AX165,$AX165,$BA$8:$BA165,"포함")=1,MAX($BD$7:BD164)+1,""))</f>
        <v/>
      </c>
      <c r="BE165" s="2">
        <f>IF($BC165="","",MAX($BE$7:BE164)+1)</f>
        <v/>
      </c>
    </row>
    <row r="166">
      <c r="AR166" s="2">
        <f>IF(OR($A$5="",$B$6="",ROW()&lt;$A$5),"",IF(INDEX($A:$AP,ROW(),$B$6)="","",INDEX($A:$AP,ROW(),$B$6)))</f>
        <v/>
      </c>
      <c r="AS166" s="22">
        <f>IF($AR166="","",IF(ISNUMBER($AR166),IF($AR166&gt;=10000000,IFERROR(DATE(INT($AR166/10000),MOD(INT($AR166/100),100),MOD($AR166,100)),""),INT($AR166)),IFERROR(DATE(--LEFT(LEFT(SUBSTITUTE(SUBSTITUTE(SUBSTITUTE(SUBSTITUTE(TRIM($AR166),"-",""),".",""),"/","")," ",""),8),4),--MID(LEFT(SUBSTITUTE(SUBSTITUTE(SUBSTITUTE(SUBSTITUTE(TRIM($AR166),"-",""),".",""),"/","")," ",""),8),5,2),--MID(LEFT(SUBSTITUTE(SUBSTITUTE(SUBSTITUTE(SUBSTITUTE(TRIM($AR166),"-",""),".",""),"/","")," ",""),8),7,2)),"")))</f>
        <v/>
      </c>
      <c r="AT166" s="23">
        <f>IF($AS166="","",IF($F$6="",0,IF(ISNUMBER(INDEX($A:$AP,ROW(),$F$6)),INDEX($A:$AP,ROW(),$F$6),IFERROR(--SUBSTITUTE(SUBSTITUTE(TRIM(INDEX($A:$AP,ROW(),$F$6)),",",""),"원",""),0))))</f>
        <v/>
      </c>
      <c r="AU166" s="23">
        <f>IF($AS166="","",IF($G$6="",0,IF(ISNUMBER(INDEX($A:$AP,ROW(),$G$6)),INDEX($A:$AP,ROW(),$G$6),IFERROR(--SUBSTITUTE(SUBSTITUTE(TRIM(INDEX($A:$AP,ROW(),$G$6)),",",""),"원",""),0))))</f>
        <v/>
      </c>
      <c r="AV166" s="23">
        <f>IF($AS166="","",IF($H$6="",$AT166+$AU166,IF($H$6="",0,IF(ISNUMBER(INDEX($A:$AP,ROW(),$H$6)),INDEX($A:$AP,ROW(),$H$6),IFERROR(--SUBSTITUTE(SUBSTITUTE(TRIM(INDEX($A:$AP,ROW(),$H$6)),",",""),"원",""),0)))))</f>
        <v/>
      </c>
      <c r="AW166" s="2">
        <f>IF(OR($AS166="",$C$6=""),"",TRIM(INDEX($A:$AP,ROW(),$C$6)&amp;""))</f>
        <v/>
      </c>
      <c r="AX166" s="2">
        <f>IF($AS166="","",IF($AZ166&lt;&gt;"",SUBSTITUTE(SUBSTITUTE($AZ166,"-","")," ",""),$AY166))</f>
        <v/>
      </c>
      <c r="AY166" s="2">
        <f>IF(OR($AS166="",$E$6=""),"",TRIM(INDEX($A:$AP,ROW(),$E$6)&amp;""))</f>
        <v/>
      </c>
      <c r="AZ166" s="2">
        <f>IF(OR($AS166="",$D$6=""),"",TRIM(INDEX($A:$AP,ROW(),$D$6)&amp;""))</f>
        <v/>
      </c>
      <c r="BA166" s="2">
        <f>IF($AS166="","",IF(AND($AS166&gt;=설정!$B$10,$AS166&lt;=설정!$B$11),"포함","기간 밖"))</f>
        <v/>
      </c>
      <c r="BB166" s="2">
        <f>IF($AS166="","",IF(OR($AT166&lt;0,AND($I$6&lt;&gt;"",ISNUMBER(FIND("수정",INDEX($A:$AP,ROW(),IF($I$6="",1,$I$6))&amp;"")))),"수정","일반"))</f>
        <v/>
      </c>
      <c r="BC166" s="2">
        <f>IF($AS166="","",MID(IF($BA166="기간 밖"," / 기간 밖(신고기간 아님)","")&amp;IF(AND($AW166&lt;&gt;"",COUNTIF($AW$8:$AW$1007,$AW166)&gt;1)," / 승인번호 중복(두 번 붙여넣기?)","")&amp;IF(ABS($AU166-ROUND($AT166*0.1,0))&gt;설정!$B$8,IF($AU166=0," / 세액 0원(영세율·면세 여부 확인)"," / 세액이 공급가액 10%와 다름"),"")&amp;IF($BB166="수정"," / 수정세금계산서(합계에서 자동 가감)",""),4,200))</f>
        <v/>
      </c>
      <c r="BD166" s="2">
        <f>IF($BA166&lt;&gt;"포함","",IF(COUNTIFS($AX$8:$AX166,$AX166,$BA$8:$BA166,"포함")=1,MAX($BD$7:BD165)+1,""))</f>
        <v/>
      </c>
      <c r="BE166" s="2">
        <f>IF($BC166="","",MAX($BE$7:BE165)+1)</f>
        <v/>
      </c>
    </row>
    <row r="167">
      <c r="AR167" s="2">
        <f>IF(OR($A$5="",$B$6="",ROW()&lt;$A$5),"",IF(INDEX($A:$AP,ROW(),$B$6)="","",INDEX($A:$AP,ROW(),$B$6)))</f>
        <v/>
      </c>
      <c r="AS167" s="22">
        <f>IF($AR167="","",IF(ISNUMBER($AR167),IF($AR167&gt;=10000000,IFERROR(DATE(INT($AR167/10000),MOD(INT($AR167/100),100),MOD($AR167,100)),""),INT($AR167)),IFERROR(DATE(--LEFT(LEFT(SUBSTITUTE(SUBSTITUTE(SUBSTITUTE(SUBSTITUTE(TRIM($AR167),"-",""),".",""),"/","")," ",""),8),4),--MID(LEFT(SUBSTITUTE(SUBSTITUTE(SUBSTITUTE(SUBSTITUTE(TRIM($AR167),"-",""),".",""),"/","")," ",""),8),5,2),--MID(LEFT(SUBSTITUTE(SUBSTITUTE(SUBSTITUTE(SUBSTITUTE(TRIM($AR167),"-",""),".",""),"/","")," ",""),8),7,2)),"")))</f>
        <v/>
      </c>
      <c r="AT167" s="23">
        <f>IF($AS167="","",IF($F$6="",0,IF(ISNUMBER(INDEX($A:$AP,ROW(),$F$6)),INDEX($A:$AP,ROW(),$F$6),IFERROR(--SUBSTITUTE(SUBSTITUTE(TRIM(INDEX($A:$AP,ROW(),$F$6)),",",""),"원",""),0))))</f>
        <v/>
      </c>
      <c r="AU167" s="23">
        <f>IF($AS167="","",IF($G$6="",0,IF(ISNUMBER(INDEX($A:$AP,ROW(),$G$6)),INDEX($A:$AP,ROW(),$G$6),IFERROR(--SUBSTITUTE(SUBSTITUTE(TRIM(INDEX($A:$AP,ROW(),$G$6)),",",""),"원",""),0))))</f>
        <v/>
      </c>
      <c r="AV167" s="23">
        <f>IF($AS167="","",IF($H$6="",$AT167+$AU167,IF($H$6="",0,IF(ISNUMBER(INDEX($A:$AP,ROW(),$H$6)),INDEX($A:$AP,ROW(),$H$6),IFERROR(--SUBSTITUTE(SUBSTITUTE(TRIM(INDEX($A:$AP,ROW(),$H$6)),",",""),"원",""),0)))))</f>
        <v/>
      </c>
      <c r="AW167" s="2">
        <f>IF(OR($AS167="",$C$6=""),"",TRIM(INDEX($A:$AP,ROW(),$C$6)&amp;""))</f>
        <v/>
      </c>
      <c r="AX167" s="2">
        <f>IF($AS167="","",IF($AZ167&lt;&gt;"",SUBSTITUTE(SUBSTITUTE($AZ167,"-","")," ",""),$AY167))</f>
        <v/>
      </c>
      <c r="AY167" s="2">
        <f>IF(OR($AS167="",$E$6=""),"",TRIM(INDEX($A:$AP,ROW(),$E$6)&amp;""))</f>
        <v/>
      </c>
      <c r="AZ167" s="2">
        <f>IF(OR($AS167="",$D$6=""),"",TRIM(INDEX($A:$AP,ROW(),$D$6)&amp;""))</f>
        <v/>
      </c>
      <c r="BA167" s="2">
        <f>IF($AS167="","",IF(AND($AS167&gt;=설정!$B$10,$AS167&lt;=설정!$B$11),"포함","기간 밖"))</f>
        <v/>
      </c>
      <c r="BB167" s="2">
        <f>IF($AS167="","",IF(OR($AT167&lt;0,AND($I$6&lt;&gt;"",ISNUMBER(FIND("수정",INDEX($A:$AP,ROW(),IF($I$6="",1,$I$6))&amp;"")))),"수정","일반"))</f>
        <v/>
      </c>
      <c r="BC167" s="2">
        <f>IF($AS167="","",MID(IF($BA167="기간 밖"," / 기간 밖(신고기간 아님)","")&amp;IF(AND($AW167&lt;&gt;"",COUNTIF($AW$8:$AW$1007,$AW167)&gt;1)," / 승인번호 중복(두 번 붙여넣기?)","")&amp;IF(ABS($AU167-ROUND($AT167*0.1,0))&gt;설정!$B$8,IF($AU167=0," / 세액 0원(영세율·면세 여부 확인)"," / 세액이 공급가액 10%와 다름"),"")&amp;IF($BB167="수정"," / 수정세금계산서(합계에서 자동 가감)",""),4,200))</f>
        <v/>
      </c>
      <c r="BD167" s="2">
        <f>IF($BA167&lt;&gt;"포함","",IF(COUNTIFS($AX$8:$AX167,$AX167,$BA$8:$BA167,"포함")=1,MAX($BD$7:BD166)+1,""))</f>
        <v/>
      </c>
      <c r="BE167" s="2">
        <f>IF($BC167="","",MAX($BE$7:BE166)+1)</f>
        <v/>
      </c>
    </row>
    <row r="168">
      <c r="AR168" s="2">
        <f>IF(OR($A$5="",$B$6="",ROW()&lt;$A$5),"",IF(INDEX($A:$AP,ROW(),$B$6)="","",INDEX($A:$AP,ROW(),$B$6)))</f>
        <v/>
      </c>
      <c r="AS168" s="22">
        <f>IF($AR168="","",IF(ISNUMBER($AR168),IF($AR168&gt;=10000000,IFERROR(DATE(INT($AR168/10000),MOD(INT($AR168/100),100),MOD($AR168,100)),""),INT($AR168)),IFERROR(DATE(--LEFT(LEFT(SUBSTITUTE(SUBSTITUTE(SUBSTITUTE(SUBSTITUTE(TRIM($AR168),"-",""),".",""),"/","")," ",""),8),4),--MID(LEFT(SUBSTITUTE(SUBSTITUTE(SUBSTITUTE(SUBSTITUTE(TRIM($AR168),"-",""),".",""),"/","")," ",""),8),5,2),--MID(LEFT(SUBSTITUTE(SUBSTITUTE(SUBSTITUTE(SUBSTITUTE(TRIM($AR168),"-",""),".",""),"/","")," ",""),8),7,2)),"")))</f>
        <v/>
      </c>
      <c r="AT168" s="23">
        <f>IF($AS168="","",IF($F$6="",0,IF(ISNUMBER(INDEX($A:$AP,ROW(),$F$6)),INDEX($A:$AP,ROW(),$F$6),IFERROR(--SUBSTITUTE(SUBSTITUTE(TRIM(INDEX($A:$AP,ROW(),$F$6)),",",""),"원",""),0))))</f>
        <v/>
      </c>
      <c r="AU168" s="23">
        <f>IF($AS168="","",IF($G$6="",0,IF(ISNUMBER(INDEX($A:$AP,ROW(),$G$6)),INDEX($A:$AP,ROW(),$G$6),IFERROR(--SUBSTITUTE(SUBSTITUTE(TRIM(INDEX($A:$AP,ROW(),$G$6)),",",""),"원",""),0))))</f>
        <v/>
      </c>
      <c r="AV168" s="23">
        <f>IF($AS168="","",IF($H$6="",$AT168+$AU168,IF($H$6="",0,IF(ISNUMBER(INDEX($A:$AP,ROW(),$H$6)),INDEX($A:$AP,ROW(),$H$6),IFERROR(--SUBSTITUTE(SUBSTITUTE(TRIM(INDEX($A:$AP,ROW(),$H$6)),",",""),"원",""),0)))))</f>
        <v/>
      </c>
      <c r="AW168" s="2">
        <f>IF(OR($AS168="",$C$6=""),"",TRIM(INDEX($A:$AP,ROW(),$C$6)&amp;""))</f>
        <v/>
      </c>
      <c r="AX168" s="2">
        <f>IF($AS168="","",IF($AZ168&lt;&gt;"",SUBSTITUTE(SUBSTITUTE($AZ168,"-","")," ",""),$AY168))</f>
        <v/>
      </c>
      <c r="AY168" s="2">
        <f>IF(OR($AS168="",$E$6=""),"",TRIM(INDEX($A:$AP,ROW(),$E$6)&amp;""))</f>
        <v/>
      </c>
      <c r="AZ168" s="2">
        <f>IF(OR($AS168="",$D$6=""),"",TRIM(INDEX($A:$AP,ROW(),$D$6)&amp;""))</f>
        <v/>
      </c>
      <c r="BA168" s="2">
        <f>IF($AS168="","",IF(AND($AS168&gt;=설정!$B$10,$AS168&lt;=설정!$B$11),"포함","기간 밖"))</f>
        <v/>
      </c>
      <c r="BB168" s="2">
        <f>IF($AS168="","",IF(OR($AT168&lt;0,AND($I$6&lt;&gt;"",ISNUMBER(FIND("수정",INDEX($A:$AP,ROW(),IF($I$6="",1,$I$6))&amp;"")))),"수정","일반"))</f>
        <v/>
      </c>
      <c r="BC168" s="2">
        <f>IF($AS168="","",MID(IF($BA168="기간 밖"," / 기간 밖(신고기간 아님)","")&amp;IF(AND($AW168&lt;&gt;"",COUNTIF($AW$8:$AW$1007,$AW168)&gt;1)," / 승인번호 중복(두 번 붙여넣기?)","")&amp;IF(ABS($AU168-ROUND($AT168*0.1,0))&gt;설정!$B$8,IF($AU168=0," / 세액 0원(영세율·면세 여부 확인)"," / 세액이 공급가액 10%와 다름"),"")&amp;IF($BB168="수정"," / 수정세금계산서(합계에서 자동 가감)",""),4,200))</f>
        <v/>
      </c>
      <c r="BD168" s="2">
        <f>IF($BA168&lt;&gt;"포함","",IF(COUNTIFS($AX$8:$AX168,$AX168,$BA$8:$BA168,"포함")=1,MAX($BD$7:BD167)+1,""))</f>
        <v/>
      </c>
      <c r="BE168" s="2">
        <f>IF($BC168="","",MAX($BE$7:BE167)+1)</f>
        <v/>
      </c>
    </row>
    <row r="169">
      <c r="AR169" s="2">
        <f>IF(OR($A$5="",$B$6="",ROW()&lt;$A$5),"",IF(INDEX($A:$AP,ROW(),$B$6)="","",INDEX($A:$AP,ROW(),$B$6)))</f>
        <v/>
      </c>
      <c r="AS169" s="22">
        <f>IF($AR169="","",IF(ISNUMBER($AR169),IF($AR169&gt;=10000000,IFERROR(DATE(INT($AR169/10000),MOD(INT($AR169/100),100),MOD($AR169,100)),""),INT($AR169)),IFERROR(DATE(--LEFT(LEFT(SUBSTITUTE(SUBSTITUTE(SUBSTITUTE(SUBSTITUTE(TRIM($AR169),"-",""),".",""),"/","")," ",""),8),4),--MID(LEFT(SUBSTITUTE(SUBSTITUTE(SUBSTITUTE(SUBSTITUTE(TRIM($AR169),"-",""),".",""),"/","")," ",""),8),5,2),--MID(LEFT(SUBSTITUTE(SUBSTITUTE(SUBSTITUTE(SUBSTITUTE(TRIM($AR169),"-",""),".",""),"/","")," ",""),8),7,2)),"")))</f>
        <v/>
      </c>
      <c r="AT169" s="23">
        <f>IF($AS169="","",IF($F$6="",0,IF(ISNUMBER(INDEX($A:$AP,ROW(),$F$6)),INDEX($A:$AP,ROW(),$F$6),IFERROR(--SUBSTITUTE(SUBSTITUTE(TRIM(INDEX($A:$AP,ROW(),$F$6)),",",""),"원",""),0))))</f>
        <v/>
      </c>
      <c r="AU169" s="23">
        <f>IF($AS169="","",IF($G$6="",0,IF(ISNUMBER(INDEX($A:$AP,ROW(),$G$6)),INDEX($A:$AP,ROW(),$G$6),IFERROR(--SUBSTITUTE(SUBSTITUTE(TRIM(INDEX($A:$AP,ROW(),$G$6)),",",""),"원",""),0))))</f>
        <v/>
      </c>
      <c r="AV169" s="23">
        <f>IF($AS169="","",IF($H$6="",$AT169+$AU169,IF($H$6="",0,IF(ISNUMBER(INDEX($A:$AP,ROW(),$H$6)),INDEX($A:$AP,ROW(),$H$6),IFERROR(--SUBSTITUTE(SUBSTITUTE(TRIM(INDEX($A:$AP,ROW(),$H$6)),",",""),"원",""),0)))))</f>
        <v/>
      </c>
      <c r="AW169" s="2">
        <f>IF(OR($AS169="",$C$6=""),"",TRIM(INDEX($A:$AP,ROW(),$C$6)&amp;""))</f>
        <v/>
      </c>
      <c r="AX169" s="2">
        <f>IF($AS169="","",IF($AZ169&lt;&gt;"",SUBSTITUTE(SUBSTITUTE($AZ169,"-","")," ",""),$AY169))</f>
        <v/>
      </c>
      <c r="AY169" s="2">
        <f>IF(OR($AS169="",$E$6=""),"",TRIM(INDEX($A:$AP,ROW(),$E$6)&amp;""))</f>
        <v/>
      </c>
      <c r="AZ169" s="2">
        <f>IF(OR($AS169="",$D$6=""),"",TRIM(INDEX($A:$AP,ROW(),$D$6)&amp;""))</f>
        <v/>
      </c>
      <c r="BA169" s="2">
        <f>IF($AS169="","",IF(AND($AS169&gt;=설정!$B$10,$AS169&lt;=설정!$B$11),"포함","기간 밖"))</f>
        <v/>
      </c>
      <c r="BB169" s="2">
        <f>IF($AS169="","",IF(OR($AT169&lt;0,AND($I$6&lt;&gt;"",ISNUMBER(FIND("수정",INDEX($A:$AP,ROW(),IF($I$6="",1,$I$6))&amp;"")))),"수정","일반"))</f>
        <v/>
      </c>
      <c r="BC169" s="2">
        <f>IF($AS169="","",MID(IF($BA169="기간 밖"," / 기간 밖(신고기간 아님)","")&amp;IF(AND($AW169&lt;&gt;"",COUNTIF($AW$8:$AW$1007,$AW169)&gt;1)," / 승인번호 중복(두 번 붙여넣기?)","")&amp;IF(ABS($AU169-ROUND($AT169*0.1,0))&gt;설정!$B$8,IF($AU169=0," / 세액 0원(영세율·면세 여부 확인)"," / 세액이 공급가액 10%와 다름"),"")&amp;IF($BB169="수정"," / 수정세금계산서(합계에서 자동 가감)",""),4,200))</f>
        <v/>
      </c>
      <c r="BD169" s="2">
        <f>IF($BA169&lt;&gt;"포함","",IF(COUNTIFS($AX$8:$AX169,$AX169,$BA$8:$BA169,"포함")=1,MAX($BD$7:BD168)+1,""))</f>
        <v/>
      </c>
      <c r="BE169" s="2">
        <f>IF($BC169="","",MAX($BE$7:BE168)+1)</f>
        <v/>
      </c>
    </row>
    <row r="170">
      <c r="AR170" s="2">
        <f>IF(OR($A$5="",$B$6="",ROW()&lt;$A$5),"",IF(INDEX($A:$AP,ROW(),$B$6)="","",INDEX($A:$AP,ROW(),$B$6)))</f>
        <v/>
      </c>
      <c r="AS170" s="22">
        <f>IF($AR170="","",IF(ISNUMBER($AR170),IF($AR170&gt;=10000000,IFERROR(DATE(INT($AR170/10000),MOD(INT($AR170/100),100),MOD($AR170,100)),""),INT($AR170)),IFERROR(DATE(--LEFT(LEFT(SUBSTITUTE(SUBSTITUTE(SUBSTITUTE(SUBSTITUTE(TRIM($AR170),"-",""),".",""),"/","")," ",""),8),4),--MID(LEFT(SUBSTITUTE(SUBSTITUTE(SUBSTITUTE(SUBSTITUTE(TRIM($AR170),"-",""),".",""),"/","")," ",""),8),5,2),--MID(LEFT(SUBSTITUTE(SUBSTITUTE(SUBSTITUTE(SUBSTITUTE(TRIM($AR170),"-",""),".",""),"/","")," ",""),8),7,2)),"")))</f>
        <v/>
      </c>
      <c r="AT170" s="23">
        <f>IF($AS170="","",IF($F$6="",0,IF(ISNUMBER(INDEX($A:$AP,ROW(),$F$6)),INDEX($A:$AP,ROW(),$F$6),IFERROR(--SUBSTITUTE(SUBSTITUTE(TRIM(INDEX($A:$AP,ROW(),$F$6)),",",""),"원",""),0))))</f>
        <v/>
      </c>
      <c r="AU170" s="23">
        <f>IF($AS170="","",IF($G$6="",0,IF(ISNUMBER(INDEX($A:$AP,ROW(),$G$6)),INDEX($A:$AP,ROW(),$G$6),IFERROR(--SUBSTITUTE(SUBSTITUTE(TRIM(INDEX($A:$AP,ROW(),$G$6)),",",""),"원",""),0))))</f>
        <v/>
      </c>
      <c r="AV170" s="23">
        <f>IF($AS170="","",IF($H$6="",$AT170+$AU170,IF($H$6="",0,IF(ISNUMBER(INDEX($A:$AP,ROW(),$H$6)),INDEX($A:$AP,ROW(),$H$6),IFERROR(--SUBSTITUTE(SUBSTITUTE(TRIM(INDEX($A:$AP,ROW(),$H$6)),",",""),"원",""),0)))))</f>
        <v/>
      </c>
      <c r="AW170" s="2">
        <f>IF(OR($AS170="",$C$6=""),"",TRIM(INDEX($A:$AP,ROW(),$C$6)&amp;""))</f>
        <v/>
      </c>
      <c r="AX170" s="2">
        <f>IF($AS170="","",IF($AZ170&lt;&gt;"",SUBSTITUTE(SUBSTITUTE($AZ170,"-","")," ",""),$AY170))</f>
        <v/>
      </c>
      <c r="AY170" s="2">
        <f>IF(OR($AS170="",$E$6=""),"",TRIM(INDEX($A:$AP,ROW(),$E$6)&amp;""))</f>
        <v/>
      </c>
      <c r="AZ170" s="2">
        <f>IF(OR($AS170="",$D$6=""),"",TRIM(INDEX($A:$AP,ROW(),$D$6)&amp;""))</f>
        <v/>
      </c>
      <c r="BA170" s="2">
        <f>IF($AS170="","",IF(AND($AS170&gt;=설정!$B$10,$AS170&lt;=설정!$B$11),"포함","기간 밖"))</f>
        <v/>
      </c>
      <c r="BB170" s="2">
        <f>IF($AS170="","",IF(OR($AT170&lt;0,AND($I$6&lt;&gt;"",ISNUMBER(FIND("수정",INDEX($A:$AP,ROW(),IF($I$6="",1,$I$6))&amp;"")))),"수정","일반"))</f>
        <v/>
      </c>
      <c r="BC170" s="2">
        <f>IF($AS170="","",MID(IF($BA170="기간 밖"," / 기간 밖(신고기간 아님)","")&amp;IF(AND($AW170&lt;&gt;"",COUNTIF($AW$8:$AW$1007,$AW170)&gt;1)," / 승인번호 중복(두 번 붙여넣기?)","")&amp;IF(ABS($AU170-ROUND($AT170*0.1,0))&gt;설정!$B$8,IF($AU170=0," / 세액 0원(영세율·면세 여부 확인)"," / 세액이 공급가액 10%와 다름"),"")&amp;IF($BB170="수정"," / 수정세금계산서(합계에서 자동 가감)",""),4,200))</f>
        <v/>
      </c>
      <c r="BD170" s="2">
        <f>IF($BA170&lt;&gt;"포함","",IF(COUNTIFS($AX$8:$AX170,$AX170,$BA$8:$BA170,"포함")=1,MAX($BD$7:BD169)+1,""))</f>
        <v/>
      </c>
      <c r="BE170" s="2">
        <f>IF($BC170="","",MAX($BE$7:BE169)+1)</f>
        <v/>
      </c>
    </row>
    <row r="171">
      <c r="AR171" s="2">
        <f>IF(OR($A$5="",$B$6="",ROW()&lt;$A$5),"",IF(INDEX($A:$AP,ROW(),$B$6)="","",INDEX($A:$AP,ROW(),$B$6)))</f>
        <v/>
      </c>
      <c r="AS171" s="22">
        <f>IF($AR171="","",IF(ISNUMBER($AR171),IF($AR171&gt;=10000000,IFERROR(DATE(INT($AR171/10000),MOD(INT($AR171/100),100),MOD($AR171,100)),""),INT($AR171)),IFERROR(DATE(--LEFT(LEFT(SUBSTITUTE(SUBSTITUTE(SUBSTITUTE(SUBSTITUTE(TRIM($AR171),"-",""),".",""),"/","")," ",""),8),4),--MID(LEFT(SUBSTITUTE(SUBSTITUTE(SUBSTITUTE(SUBSTITUTE(TRIM($AR171),"-",""),".",""),"/","")," ",""),8),5,2),--MID(LEFT(SUBSTITUTE(SUBSTITUTE(SUBSTITUTE(SUBSTITUTE(TRIM($AR171),"-",""),".",""),"/","")," ",""),8),7,2)),"")))</f>
        <v/>
      </c>
      <c r="AT171" s="23">
        <f>IF($AS171="","",IF($F$6="",0,IF(ISNUMBER(INDEX($A:$AP,ROW(),$F$6)),INDEX($A:$AP,ROW(),$F$6),IFERROR(--SUBSTITUTE(SUBSTITUTE(TRIM(INDEX($A:$AP,ROW(),$F$6)),",",""),"원",""),0))))</f>
        <v/>
      </c>
      <c r="AU171" s="23">
        <f>IF($AS171="","",IF($G$6="",0,IF(ISNUMBER(INDEX($A:$AP,ROW(),$G$6)),INDEX($A:$AP,ROW(),$G$6),IFERROR(--SUBSTITUTE(SUBSTITUTE(TRIM(INDEX($A:$AP,ROW(),$G$6)),",",""),"원",""),0))))</f>
        <v/>
      </c>
      <c r="AV171" s="23">
        <f>IF($AS171="","",IF($H$6="",$AT171+$AU171,IF($H$6="",0,IF(ISNUMBER(INDEX($A:$AP,ROW(),$H$6)),INDEX($A:$AP,ROW(),$H$6),IFERROR(--SUBSTITUTE(SUBSTITUTE(TRIM(INDEX($A:$AP,ROW(),$H$6)),",",""),"원",""),0)))))</f>
        <v/>
      </c>
      <c r="AW171" s="2">
        <f>IF(OR($AS171="",$C$6=""),"",TRIM(INDEX($A:$AP,ROW(),$C$6)&amp;""))</f>
        <v/>
      </c>
      <c r="AX171" s="2">
        <f>IF($AS171="","",IF($AZ171&lt;&gt;"",SUBSTITUTE(SUBSTITUTE($AZ171,"-","")," ",""),$AY171))</f>
        <v/>
      </c>
      <c r="AY171" s="2">
        <f>IF(OR($AS171="",$E$6=""),"",TRIM(INDEX($A:$AP,ROW(),$E$6)&amp;""))</f>
        <v/>
      </c>
      <c r="AZ171" s="2">
        <f>IF(OR($AS171="",$D$6=""),"",TRIM(INDEX($A:$AP,ROW(),$D$6)&amp;""))</f>
        <v/>
      </c>
      <c r="BA171" s="2">
        <f>IF($AS171="","",IF(AND($AS171&gt;=설정!$B$10,$AS171&lt;=설정!$B$11),"포함","기간 밖"))</f>
        <v/>
      </c>
      <c r="BB171" s="2">
        <f>IF($AS171="","",IF(OR($AT171&lt;0,AND($I$6&lt;&gt;"",ISNUMBER(FIND("수정",INDEX($A:$AP,ROW(),IF($I$6="",1,$I$6))&amp;"")))),"수정","일반"))</f>
        <v/>
      </c>
      <c r="BC171" s="2">
        <f>IF($AS171="","",MID(IF($BA171="기간 밖"," / 기간 밖(신고기간 아님)","")&amp;IF(AND($AW171&lt;&gt;"",COUNTIF($AW$8:$AW$1007,$AW171)&gt;1)," / 승인번호 중복(두 번 붙여넣기?)","")&amp;IF(ABS($AU171-ROUND($AT171*0.1,0))&gt;설정!$B$8,IF($AU171=0," / 세액 0원(영세율·면세 여부 확인)"," / 세액이 공급가액 10%와 다름"),"")&amp;IF($BB171="수정"," / 수정세금계산서(합계에서 자동 가감)",""),4,200))</f>
        <v/>
      </c>
      <c r="BD171" s="2">
        <f>IF($BA171&lt;&gt;"포함","",IF(COUNTIFS($AX$8:$AX171,$AX171,$BA$8:$BA171,"포함")=1,MAX($BD$7:BD170)+1,""))</f>
        <v/>
      </c>
      <c r="BE171" s="2">
        <f>IF($BC171="","",MAX($BE$7:BE170)+1)</f>
        <v/>
      </c>
    </row>
    <row r="172">
      <c r="AR172" s="2">
        <f>IF(OR($A$5="",$B$6="",ROW()&lt;$A$5),"",IF(INDEX($A:$AP,ROW(),$B$6)="","",INDEX($A:$AP,ROW(),$B$6)))</f>
        <v/>
      </c>
      <c r="AS172" s="22">
        <f>IF($AR172="","",IF(ISNUMBER($AR172),IF($AR172&gt;=10000000,IFERROR(DATE(INT($AR172/10000),MOD(INT($AR172/100),100),MOD($AR172,100)),""),INT($AR172)),IFERROR(DATE(--LEFT(LEFT(SUBSTITUTE(SUBSTITUTE(SUBSTITUTE(SUBSTITUTE(TRIM($AR172),"-",""),".",""),"/","")," ",""),8),4),--MID(LEFT(SUBSTITUTE(SUBSTITUTE(SUBSTITUTE(SUBSTITUTE(TRIM($AR172),"-",""),".",""),"/","")," ",""),8),5,2),--MID(LEFT(SUBSTITUTE(SUBSTITUTE(SUBSTITUTE(SUBSTITUTE(TRIM($AR172),"-",""),".",""),"/","")," ",""),8),7,2)),"")))</f>
        <v/>
      </c>
      <c r="AT172" s="23">
        <f>IF($AS172="","",IF($F$6="",0,IF(ISNUMBER(INDEX($A:$AP,ROW(),$F$6)),INDEX($A:$AP,ROW(),$F$6),IFERROR(--SUBSTITUTE(SUBSTITUTE(TRIM(INDEX($A:$AP,ROW(),$F$6)),",",""),"원",""),0))))</f>
        <v/>
      </c>
      <c r="AU172" s="23">
        <f>IF($AS172="","",IF($G$6="",0,IF(ISNUMBER(INDEX($A:$AP,ROW(),$G$6)),INDEX($A:$AP,ROW(),$G$6),IFERROR(--SUBSTITUTE(SUBSTITUTE(TRIM(INDEX($A:$AP,ROW(),$G$6)),",",""),"원",""),0))))</f>
        <v/>
      </c>
      <c r="AV172" s="23">
        <f>IF($AS172="","",IF($H$6="",$AT172+$AU172,IF($H$6="",0,IF(ISNUMBER(INDEX($A:$AP,ROW(),$H$6)),INDEX($A:$AP,ROW(),$H$6),IFERROR(--SUBSTITUTE(SUBSTITUTE(TRIM(INDEX($A:$AP,ROW(),$H$6)),",",""),"원",""),0)))))</f>
        <v/>
      </c>
      <c r="AW172" s="2">
        <f>IF(OR($AS172="",$C$6=""),"",TRIM(INDEX($A:$AP,ROW(),$C$6)&amp;""))</f>
        <v/>
      </c>
      <c r="AX172" s="2">
        <f>IF($AS172="","",IF($AZ172&lt;&gt;"",SUBSTITUTE(SUBSTITUTE($AZ172,"-","")," ",""),$AY172))</f>
        <v/>
      </c>
      <c r="AY172" s="2">
        <f>IF(OR($AS172="",$E$6=""),"",TRIM(INDEX($A:$AP,ROW(),$E$6)&amp;""))</f>
        <v/>
      </c>
      <c r="AZ172" s="2">
        <f>IF(OR($AS172="",$D$6=""),"",TRIM(INDEX($A:$AP,ROW(),$D$6)&amp;""))</f>
        <v/>
      </c>
      <c r="BA172" s="2">
        <f>IF($AS172="","",IF(AND($AS172&gt;=설정!$B$10,$AS172&lt;=설정!$B$11),"포함","기간 밖"))</f>
        <v/>
      </c>
      <c r="BB172" s="2">
        <f>IF($AS172="","",IF(OR($AT172&lt;0,AND($I$6&lt;&gt;"",ISNUMBER(FIND("수정",INDEX($A:$AP,ROW(),IF($I$6="",1,$I$6))&amp;"")))),"수정","일반"))</f>
        <v/>
      </c>
      <c r="BC172" s="2">
        <f>IF($AS172="","",MID(IF($BA172="기간 밖"," / 기간 밖(신고기간 아님)","")&amp;IF(AND($AW172&lt;&gt;"",COUNTIF($AW$8:$AW$1007,$AW172)&gt;1)," / 승인번호 중복(두 번 붙여넣기?)","")&amp;IF(ABS($AU172-ROUND($AT172*0.1,0))&gt;설정!$B$8,IF($AU172=0," / 세액 0원(영세율·면세 여부 확인)"," / 세액이 공급가액 10%와 다름"),"")&amp;IF($BB172="수정"," / 수정세금계산서(합계에서 자동 가감)",""),4,200))</f>
        <v/>
      </c>
      <c r="BD172" s="2">
        <f>IF($BA172&lt;&gt;"포함","",IF(COUNTIFS($AX$8:$AX172,$AX172,$BA$8:$BA172,"포함")=1,MAX($BD$7:BD171)+1,""))</f>
        <v/>
      </c>
      <c r="BE172" s="2">
        <f>IF($BC172="","",MAX($BE$7:BE171)+1)</f>
        <v/>
      </c>
    </row>
    <row r="173">
      <c r="AR173" s="2">
        <f>IF(OR($A$5="",$B$6="",ROW()&lt;$A$5),"",IF(INDEX($A:$AP,ROW(),$B$6)="","",INDEX($A:$AP,ROW(),$B$6)))</f>
        <v/>
      </c>
      <c r="AS173" s="22">
        <f>IF($AR173="","",IF(ISNUMBER($AR173),IF($AR173&gt;=10000000,IFERROR(DATE(INT($AR173/10000),MOD(INT($AR173/100),100),MOD($AR173,100)),""),INT($AR173)),IFERROR(DATE(--LEFT(LEFT(SUBSTITUTE(SUBSTITUTE(SUBSTITUTE(SUBSTITUTE(TRIM($AR173),"-",""),".",""),"/","")," ",""),8),4),--MID(LEFT(SUBSTITUTE(SUBSTITUTE(SUBSTITUTE(SUBSTITUTE(TRIM($AR173),"-",""),".",""),"/","")," ",""),8),5,2),--MID(LEFT(SUBSTITUTE(SUBSTITUTE(SUBSTITUTE(SUBSTITUTE(TRIM($AR173),"-",""),".",""),"/","")," ",""),8),7,2)),"")))</f>
        <v/>
      </c>
      <c r="AT173" s="23">
        <f>IF($AS173="","",IF($F$6="",0,IF(ISNUMBER(INDEX($A:$AP,ROW(),$F$6)),INDEX($A:$AP,ROW(),$F$6),IFERROR(--SUBSTITUTE(SUBSTITUTE(TRIM(INDEX($A:$AP,ROW(),$F$6)),",",""),"원",""),0))))</f>
        <v/>
      </c>
      <c r="AU173" s="23">
        <f>IF($AS173="","",IF($G$6="",0,IF(ISNUMBER(INDEX($A:$AP,ROW(),$G$6)),INDEX($A:$AP,ROW(),$G$6),IFERROR(--SUBSTITUTE(SUBSTITUTE(TRIM(INDEX($A:$AP,ROW(),$G$6)),",",""),"원",""),0))))</f>
        <v/>
      </c>
      <c r="AV173" s="23">
        <f>IF($AS173="","",IF($H$6="",$AT173+$AU173,IF($H$6="",0,IF(ISNUMBER(INDEX($A:$AP,ROW(),$H$6)),INDEX($A:$AP,ROW(),$H$6),IFERROR(--SUBSTITUTE(SUBSTITUTE(TRIM(INDEX($A:$AP,ROW(),$H$6)),",",""),"원",""),0)))))</f>
        <v/>
      </c>
      <c r="AW173" s="2">
        <f>IF(OR($AS173="",$C$6=""),"",TRIM(INDEX($A:$AP,ROW(),$C$6)&amp;""))</f>
        <v/>
      </c>
      <c r="AX173" s="2">
        <f>IF($AS173="","",IF($AZ173&lt;&gt;"",SUBSTITUTE(SUBSTITUTE($AZ173,"-","")," ",""),$AY173))</f>
        <v/>
      </c>
      <c r="AY173" s="2">
        <f>IF(OR($AS173="",$E$6=""),"",TRIM(INDEX($A:$AP,ROW(),$E$6)&amp;""))</f>
        <v/>
      </c>
      <c r="AZ173" s="2">
        <f>IF(OR($AS173="",$D$6=""),"",TRIM(INDEX($A:$AP,ROW(),$D$6)&amp;""))</f>
        <v/>
      </c>
      <c r="BA173" s="2">
        <f>IF($AS173="","",IF(AND($AS173&gt;=설정!$B$10,$AS173&lt;=설정!$B$11),"포함","기간 밖"))</f>
        <v/>
      </c>
      <c r="BB173" s="2">
        <f>IF($AS173="","",IF(OR($AT173&lt;0,AND($I$6&lt;&gt;"",ISNUMBER(FIND("수정",INDEX($A:$AP,ROW(),IF($I$6="",1,$I$6))&amp;"")))),"수정","일반"))</f>
        <v/>
      </c>
      <c r="BC173" s="2">
        <f>IF($AS173="","",MID(IF($BA173="기간 밖"," / 기간 밖(신고기간 아님)","")&amp;IF(AND($AW173&lt;&gt;"",COUNTIF($AW$8:$AW$1007,$AW173)&gt;1)," / 승인번호 중복(두 번 붙여넣기?)","")&amp;IF(ABS($AU173-ROUND($AT173*0.1,0))&gt;설정!$B$8,IF($AU173=0," / 세액 0원(영세율·면세 여부 확인)"," / 세액이 공급가액 10%와 다름"),"")&amp;IF($BB173="수정"," / 수정세금계산서(합계에서 자동 가감)",""),4,200))</f>
        <v/>
      </c>
      <c r="BD173" s="2">
        <f>IF($BA173&lt;&gt;"포함","",IF(COUNTIFS($AX$8:$AX173,$AX173,$BA$8:$BA173,"포함")=1,MAX($BD$7:BD172)+1,""))</f>
        <v/>
      </c>
      <c r="BE173" s="2">
        <f>IF($BC173="","",MAX($BE$7:BE172)+1)</f>
        <v/>
      </c>
    </row>
    <row r="174">
      <c r="AR174" s="2">
        <f>IF(OR($A$5="",$B$6="",ROW()&lt;$A$5),"",IF(INDEX($A:$AP,ROW(),$B$6)="","",INDEX($A:$AP,ROW(),$B$6)))</f>
        <v/>
      </c>
      <c r="AS174" s="22">
        <f>IF($AR174="","",IF(ISNUMBER($AR174),IF($AR174&gt;=10000000,IFERROR(DATE(INT($AR174/10000),MOD(INT($AR174/100),100),MOD($AR174,100)),""),INT($AR174)),IFERROR(DATE(--LEFT(LEFT(SUBSTITUTE(SUBSTITUTE(SUBSTITUTE(SUBSTITUTE(TRIM($AR174),"-",""),".",""),"/","")," ",""),8),4),--MID(LEFT(SUBSTITUTE(SUBSTITUTE(SUBSTITUTE(SUBSTITUTE(TRIM($AR174),"-",""),".",""),"/","")," ",""),8),5,2),--MID(LEFT(SUBSTITUTE(SUBSTITUTE(SUBSTITUTE(SUBSTITUTE(TRIM($AR174),"-",""),".",""),"/","")," ",""),8),7,2)),"")))</f>
        <v/>
      </c>
      <c r="AT174" s="23">
        <f>IF($AS174="","",IF($F$6="",0,IF(ISNUMBER(INDEX($A:$AP,ROW(),$F$6)),INDEX($A:$AP,ROW(),$F$6),IFERROR(--SUBSTITUTE(SUBSTITUTE(TRIM(INDEX($A:$AP,ROW(),$F$6)),",",""),"원",""),0))))</f>
        <v/>
      </c>
      <c r="AU174" s="23">
        <f>IF($AS174="","",IF($G$6="",0,IF(ISNUMBER(INDEX($A:$AP,ROW(),$G$6)),INDEX($A:$AP,ROW(),$G$6),IFERROR(--SUBSTITUTE(SUBSTITUTE(TRIM(INDEX($A:$AP,ROW(),$G$6)),",",""),"원",""),0))))</f>
        <v/>
      </c>
      <c r="AV174" s="23">
        <f>IF($AS174="","",IF($H$6="",$AT174+$AU174,IF($H$6="",0,IF(ISNUMBER(INDEX($A:$AP,ROW(),$H$6)),INDEX($A:$AP,ROW(),$H$6),IFERROR(--SUBSTITUTE(SUBSTITUTE(TRIM(INDEX($A:$AP,ROW(),$H$6)),",",""),"원",""),0)))))</f>
        <v/>
      </c>
      <c r="AW174" s="2">
        <f>IF(OR($AS174="",$C$6=""),"",TRIM(INDEX($A:$AP,ROW(),$C$6)&amp;""))</f>
        <v/>
      </c>
      <c r="AX174" s="2">
        <f>IF($AS174="","",IF($AZ174&lt;&gt;"",SUBSTITUTE(SUBSTITUTE($AZ174,"-","")," ",""),$AY174))</f>
        <v/>
      </c>
      <c r="AY174" s="2">
        <f>IF(OR($AS174="",$E$6=""),"",TRIM(INDEX($A:$AP,ROW(),$E$6)&amp;""))</f>
        <v/>
      </c>
      <c r="AZ174" s="2">
        <f>IF(OR($AS174="",$D$6=""),"",TRIM(INDEX($A:$AP,ROW(),$D$6)&amp;""))</f>
        <v/>
      </c>
      <c r="BA174" s="2">
        <f>IF($AS174="","",IF(AND($AS174&gt;=설정!$B$10,$AS174&lt;=설정!$B$11),"포함","기간 밖"))</f>
        <v/>
      </c>
      <c r="BB174" s="2">
        <f>IF($AS174="","",IF(OR($AT174&lt;0,AND($I$6&lt;&gt;"",ISNUMBER(FIND("수정",INDEX($A:$AP,ROW(),IF($I$6="",1,$I$6))&amp;"")))),"수정","일반"))</f>
        <v/>
      </c>
      <c r="BC174" s="2">
        <f>IF($AS174="","",MID(IF($BA174="기간 밖"," / 기간 밖(신고기간 아님)","")&amp;IF(AND($AW174&lt;&gt;"",COUNTIF($AW$8:$AW$1007,$AW174)&gt;1)," / 승인번호 중복(두 번 붙여넣기?)","")&amp;IF(ABS($AU174-ROUND($AT174*0.1,0))&gt;설정!$B$8,IF($AU174=0," / 세액 0원(영세율·면세 여부 확인)"," / 세액이 공급가액 10%와 다름"),"")&amp;IF($BB174="수정"," / 수정세금계산서(합계에서 자동 가감)",""),4,200))</f>
        <v/>
      </c>
      <c r="BD174" s="2">
        <f>IF($BA174&lt;&gt;"포함","",IF(COUNTIFS($AX$8:$AX174,$AX174,$BA$8:$BA174,"포함")=1,MAX($BD$7:BD173)+1,""))</f>
        <v/>
      </c>
      <c r="BE174" s="2">
        <f>IF($BC174="","",MAX($BE$7:BE173)+1)</f>
        <v/>
      </c>
    </row>
    <row r="175">
      <c r="AR175" s="2">
        <f>IF(OR($A$5="",$B$6="",ROW()&lt;$A$5),"",IF(INDEX($A:$AP,ROW(),$B$6)="","",INDEX($A:$AP,ROW(),$B$6)))</f>
        <v/>
      </c>
      <c r="AS175" s="22">
        <f>IF($AR175="","",IF(ISNUMBER($AR175),IF($AR175&gt;=10000000,IFERROR(DATE(INT($AR175/10000),MOD(INT($AR175/100),100),MOD($AR175,100)),""),INT($AR175)),IFERROR(DATE(--LEFT(LEFT(SUBSTITUTE(SUBSTITUTE(SUBSTITUTE(SUBSTITUTE(TRIM($AR175),"-",""),".",""),"/","")," ",""),8),4),--MID(LEFT(SUBSTITUTE(SUBSTITUTE(SUBSTITUTE(SUBSTITUTE(TRIM($AR175),"-",""),".",""),"/","")," ",""),8),5,2),--MID(LEFT(SUBSTITUTE(SUBSTITUTE(SUBSTITUTE(SUBSTITUTE(TRIM($AR175),"-",""),".",""),"/","")," ",""),8),7,2)),"")))</f>
        <v/>
      </c>
      <c r="AT175" s="23">
        <f>IF($AS175="","",IF($F$6="",0,IF(ISNUMBER(INDEX($A:$AP,ROW(),$F$6)),INDEX($A:$AP,ROW(),$F$6),IFERROR(--SUBSTITUTE(SUBSTITUTE(TRIM(INDEX($A:$AP,ROW(),$F$6)),",",""),"원",""),0))))</f>
        <v/>
      </c>
      <c r="AU175" s="23">
        <f>IF($AS175="","",IF($G$6="",0,IF(ISNUMBER(INDEX($A:$AP,ROW(),$G$6)),INDEX($A:$AP,ROW(),$G$6),IFERROR(--SUBSTITUTE(SUBSTITUTE(TRIM(INDEX($A:$AP,ROW(),$G$6)),",",""),"원",""),0))))</f>
        <v/>
      </c>
      <c r="AV175" s="23">
        <f>IF($AS175="","",IF($H$6="",$AT175+$AU175,IF($H$6="",0,IF(ISNUMBER(INDEX($A:$AP,ROW(),$H$6)),INDEX($A:$AP,ROW(),$H$6),IFERROR(--SUBSTITUTE(SUBSTITUTE(TRIM(INDEX($A:$AP,ROW(),$H$6)),",",""),"원",""),0)))))</f>
        <v/>
      </c>
      <c r="AW175" s="2">
        <f>IF(OR($AS175="",$C$6=""),"",TRIM(INDEX($A:$AP,ROW(),$C$6)&amp;""))</f>
        <v/>
      </c>
      <c r="AX175" s="2">
        <f>IF($AS175="","",IF($AZ175&lt;&gt;"",SUBSTITUTE(SUBSTITUTE($AZ175,"-","")," ",""),$AY175))</f>
        <v/>
      </c>
      <c r="AY175" s="2">
        <f>IF(OR($AS175="",$E$6=""),"",TRIM(INDEX($A:$AP,ROW(),$E$6)&amp;""))</f>
        <v/>
      </c>
      <c r="AZ175" s="2">
        <f>IF(OR($AS175="",$D$6=""),"",TRIM(INDEX($A:$AP,ROW(),$D$6)&amp;""))</f>
        <v/>
      </c>
      <c r="BA175" s="2">
        <f>IF($AS175="","",IF(AND($AS175&gt;=설정!$B$10,$AS175&lt;=설정!$B$11),"포함","기간 밖"))</f>
        <v/>
      </c>
      <c r="BB175" s="2">
        <f>IF($AS175="","",IF(OR($AT175&lt;0,AND($I$6&lt;&gt;"",ISNUMBER(FIND("수정",INDEX($A:$AP,ROW(),IF($I$6="",1,$I$6))&amp;"")))),"수정","일반"))</f>
        <v/>
      </c>
      <c r="BC175" s="2">
        <f>IF($AS175="","",MID(IF($BA175="기간 밖"," / 기간 밖(신고기간 아님)","")&amp;IF(AND($AW175&lt;&gt;"",COUNTIF($AW$8:$AW$1007,$AW175)&gt;1)," / 승인번호 중복(두 번 붙여넣기?)","")&amp;IF(ABS($AU175-ROUND($AT175*0.1,0))&gt;설정!$B$8,IF($AU175=0," / 세액 0원(영세율·면세 여부 확인)"," / 세액이 공급가액 10%와 다름"),"")&amp;IF($BB175="수정"," / 수정세금계산서(합계에서 자동 가감)",""),4,200))</f>
        <v/>
      </c>
      <c r="BD175" s="2">
        <f>IF($BA175&lt;&gt;"포함","",IF(COUNTIFS($AX$8:$AX175,$AX175,$BA$8:$BA175,"포함")=1,MAX($BD$7:BD174)+1,""))</f>
        <v/>
      </c>
      <c r="BE175" s="2">
        <f>IF($BC175="","",MAX($BE$7:BE174)+1)</f>
        <v/>
      </c>
    </row>
    <row r="176">
      <c r="AR176" s="2">
        <f>IF(OR($A$5="",$B$6="",ROW()&lt;$A$5),"",IF(INDEX($A:$AP,ROW(),$B$6)="","",INDEX($A:$AP,ROW(),$B$6)))</f>
        <v/>
      </c>
      <c r="AS176" s="22">
        <f>IF($AR176="","",IF(ISNUMBER($AR176),IF($AR176&gt;=10000000,IFERROR(DATE(INT($AR176/10000),MOD(INT($AR176/100),100),MOD($AR176,100)),""),INT($AR176)),IFERROR(DATE(--LEFT(LEFT(SUBSTITUTE(SUBSTITUTE(SUBSTITUTE(SUBSTITUTE(TRIM($AR176),"-",""),".",""),"/","")," ",""),8),4),--MID(LEFT(SUBSTITUTE(SUBSTITUTE(SUBSTITUTE(SUBSTITUTE(TRIM($AR176),"-",""),".",""),"/","")," ",""),8),5,2),--MID(LEFT(SUBSTITUTE(SUBSTITUTE(SUBSTITUTE(SUBSTITUTE(TRIM($AR176),"-",""),".",""),"/","")," ",""),8),7,2)),"")))</f>
        <v/>
      </c>
      <c r="AT176" s="23">
        <f>IF($AS176="","",IF($F$6="",0,IF(ISNUMBER(INDEX($A:$AP,ROW(),$F$6)),INDEX($A:$AP,ROW(),$F$6),IFERROR(--SUBSTITUTE(SUBSTITUTE(TRIM(INDEX($A:$AP,ROW(),$F$6)),",",""),"원",""),0))))</f>
        <v/>
      </c>
      <c r="AU176" s="23">
        <f>IF($AS176="","",IF($G$6="",0,IF(ISNUMBER(INDEX($A:$AP,ROW(),$G$6)),INDEX($A:$AP,ROW(),$G$6),IFERROR(--SUBSTITUTE(SUBSTITUTE(TRIM(INDEX($A:$AP,ROW(),$G$6)),",",""),"원",""),0))))</f>
        <v/>
      </c>
      <c r="AV176" s="23">
        <f>IF($AS176="","",IF($H$6="",$AT176+$AU176,IF($H$6="",0,IF(ISNUMBER(INDEX($A:$AP,ROW(),$H$6)),INDEX($A:$AP,ROW(),$H$6),IFERROR(--SUBSTITUTE(SUBSTITUTE(TRIM(INDEX($A:$AP,ROW(),$H$6)),",",""),"원",""),0)))))</f>
        <v/>
      </c>
      <c r="AW176" s="2">
        <f>IF(OR($AS176="",$C$6=""),"",TRIM(INDEX($A:$AP,ROW(),$C$6)&amp;""))</f>
        <v/>
      </c>
      <c r="AX176" s="2">
        <f>IF($AS176="","",IF($AZ176&lt;&gt;"",SUBSTITUTE(SUBSTITUTE($AZ176,"-","")," ",""),$AY176))</f>
        <v/>
      </c>
      <c r="AY176" s="2">
        <f>IF(OR($AS176="",$E$6=""),"",TRIM(INDEX($A:$AP,ROW(),$E$6)&amp;""))</f>
        <v/>
      </c>
      <c r="AZ176" s="2">
        <f>IF(OR($AS176="",$D$6=""),"",TRIM(INDEX($A:$AP,ROW(),$D$6)&amp;""))</f>
        <v/>
      </c>
      <c r="BA176" s="2">
        <f>IF($AS176="","",IF(AND($AS176&gt;=설정!$B$10,$AS176&lt;=설정!$B$11),"포함","기간 밖"))</f>
        <v/>
      </c>
      <c r="BB176" s="2">
        <f>IF($AS176="","",IF(OR($AT176&lt;0,AND($I$6&lt;&gt;"",ISNUMBER(FIND("수정",INDEX($A:$AP,ROW(),IF($I$6="",1,$I$6))&amp;"")))),"수정","일반"))</f>
        <v/>
      </c>
      <c r="BC176" s="2">
        <f>IF($AS176="","",MID(IF($BA176="기간 밖"," / 기간 밖(신고기간 아님)","")&amp;IF(AND($AW176&lt;&gt;"",COUNTIF($AW$8:$AW$1007,$AW176)&gt;1)," / 승인번호 중복(두 번 붙여넣기?)","")&amp;IF(ABS($AU176-ROUND($AT176*0.1,0))&gt;설정!$B$8,IF($AU176=0," / 세액 0원(영세율·면세 여부 확인)"," / 세액이 공급가액 10%와 다름"),"")&amp;IF($BB176="수정"," / 수정세금계산서(합계에서 자동 가감)",""),4,200))</f>
        <v/>
      </c>
      <c r="BD176" s="2">
        <f>IF($BA176&lt;&gt;"포함","",IF(COUNTIFS($AX$8:$AX176,$AX176,$BA$8:$BA176,"포함")=1,MAX($BD$7:BD175)+1,""))</f>
        <v/>
      </c>
      <c r="BE176" s="2">
        <f>IF($BC176="","",MAX($BE$7:BE175)+1)</f>
        <v/>
      </c>
    </row>
    <row r="177">
      <c r="AR177" s="2">
        <f>IF(OR($A$5="",$B$6="",ROW()&lt;$A$5),"",IF(INDEX($A:$AP,ROW(),$B$6)="","",INDEX($A:$AP,ROW(),$B$6)))</f>
        <v/>
      </c>
      <c r="AS177" s="22">
        <f>IF($AR177="","",IF(ISNUMBER($AR177),IF($AR177&gt;=10000000,IFERROR(DATE(INT($AR177/10000),MOD(INT($AR177/100),100),MOD($AR177,100)),""),INT($AR177)),IFERROR(DATE(--LEFT(LEFT(SUBSTITUTE(SUBSTITUTE(SUBSTITUTE(SUBSTITUTE(TRIM($AR177),"-",""),".",""),"/","")," ",""),8),4),--MID(LEFT(SUBSTITUTE(SUBSTITUTE(SUBSTITUTE(SUBSTITUTE(TRIM($AR177),"-",""),".",""),"/","")," ",""),8),5,2),--MID(LEFT(SUBSTITUTE(SUBSTITUTE(SUBSTITUTE(SUBSTITUTE(TRIM($AR177),"-",""),".",""),"/","")," ",""),8),7,2)),"")))</f>
        <v/>
      </c>
      <c r="AT177" s="23">
        <f>IF($AS177="","",IF($F$6="",0,IF(ISNUMBER(INDEX($A:$AP,ROW(),$F$6)),INDEX($A:$AP,ROW(),$F$6),IFERROR(--SUBSTITUTE(SUBSTITUTE(TRIM(INDEX($A:$AP,ROW(),$F$6)),",",""),"원",""),0))))</f>
        <v/>
      </c>
      <c r="AU177" s="23">
        <f>IF($AS177="","",IF($G$6="",0,IF(ISNUMBER(INDEX($A:$AP,ROW(),$G$6)),INDEX($A:$AP,ROW(),$G$6),IFERROR(--SUBSTITUTE(SUBSTITUTE(TRIM(INDEX($A:$AP,ROW(),$G$6)),",",""),"원",""),0))))</f>
        <v/>
      </c>
      <c r="AV177" s="23">
        <f>IF($AS177="","",IF($H$6="",$AT177+$AU177,IF($H$6="",0,IF(ISNUMBER(INDEX($A:$AP,ROW(),$H$6)),INDEX($A:$AP,ROW(),$H$6),IFERROR(--SUBSTITUTE(SUBSTITUTE(TRIM(INDEX($A:$AP,ROW(),$H$6)),",",""),"원",""),0)))))</f>
        <v/>
      </c>
      <c r="AW177" s="2">
        <f>IF(OR($AS177="",$C$6=""),"",TRIM(INDEX($A:$AP,ROW(),$C$6)&amp;""))</f>
        <v/>
      </c>
      <c r="AX177" s="2">
        <f>IF($AS177="","",IF($AZ177&lt;&gt;"",SUBSTITUTE(SUBSTITUTE($AZ177,"-","")," ",""),$AY177))</f>
        <v/>
      </c>
      <c r="AY177" s="2">
        <f>IF(OR($AS177="",$E$6=""),"",TRIM(INDEX($A:$AP,ROW(),$E$6)&amp;""))</f>
        <v/>
      </c>
      <c r="AZ177" s="2">
        <f>IF(OR($AS177="",$D$6=""),"",TRIM(INDEX($A:$AP,ROW(),$D$6)&amp;""))</f>
        <v/>
      </c>
      <c r="BA177" s="2">
        <f>IF($AS177="","",IF(AND($AS177&gt;=설정!$B$10,$AS177&lt;=설정!$B$11),"포함","기간 밖"))</f>
        <v/>
      </c>
      <c r="BB177" s="2">
        <f>IF($AS177="","",IF(OR($AT177&lt;0,AND($I$6&lt;&gt;"",ISNUMBER(FIND("수정",INDEX($A:$AP,ROW(),IF($I$6="",1,$I$6))&amp;"")))),"수정","일반"))</f>
        <v/>
      </c>
      <c r="BC177" s="2">
        <f>IF($AS177="","",MID(IF($BA177="기간 밖"," / 기간 밖(신고기간 아님)","")&amp;IF(AND($AW177&lt;&gt;"",COUNTIF($AW$8:$AW$1007,$AW177)&gt;1)," / 승인번호 중복(두 번 붙여넣기?)","")&amp;IF(ABS($AU177-ROUND($AT177*0.1,0))&gt;설정!$B$8,IF($AU177=0," / 세액 0원(영세율·면세 여부 확인)"," / 세액이 공급가액 10%와 다름"),"")&amp;IF($BB177="수정"," / 수정세금계산서(합계에서 자동 가감)",""),4,200))</f>
        <v/>
      </c>
      <c r="BD177" s="2">
        <f>IF($BA177&lt;&gt;"포함","",IF(COUNTIFS($AX$8:$AX177,$AX177,$BA$8:$BA177,"포함")=1,MAX($BD$7:BD176)+1,""))</f>
        <v/>
      </c>
      <c r="BE177" s="2">
        <f>IF($BC177="","",MAX($BE$7:BE176)+1)</f>
        <v/>
      </c>
    </row>
    <row r="178">
      <c r="AR178" s="2">
        <f>IF(OR($A$5="",$B$6="",ROW()&lt;$A$5),"",IF(INDEX($A:$AP,ROW(),$B$6)="","",INDEX($A:$AP,ROW(),$B$6)))</f>
        <v/>
      </c>
      <c r="AS178" s="22">
        <f>IF($AR178="","",IF(ISNUMBER($AR178),IF($AR178&gt;=10000000,IFERROR(DATE(INT($AR178/10000),MOD(INT($AR178/100),100),MOD($AR178,100)),""),INT($AR178)),IFERROR(DATE(--LEFT(LEFT(SUBSTITUTE(SUBSTITUTE(SUBSTITUTE(SUBSTITUTE(TRIM($AR178),"-",""),".",""),"/","")," ",""),8),4),--MID(LEFT(SUBSTITUTE(SUBSTITUTE(SUBSTITUTE(SUBSTITUTE(TRIM($AR178),"-",""),".",""),"/","")," ",""),8),5,2),--MID(LEFT(SUBSTITUTE(SUBSTITUTE(SUBSTITUTE(SUBSTITUTE(TRIM($AR178),"-",""),".",""),"/","")," ",""),8),7,2)),"")))</f>
        <v/>
      </c>
      <c r="AT178" s="23">
        <f>IF($AS178="","",IF($F$6="",0,IF(ISNUMBER(INDEX($A:$AP,ROW(),$F$6)),INDEX($A:$AP,ROW(),$F$6),IFERROR(--SUBSTITUTE(SUBSTITUTE(TRIM(INDEX($A:$AP,ROW(),$F$6)),",",""),"원",""),0))))</f>
        <v/>
      </c>
      <c r="AU178" s="23">
        <f>IF($AS178="","",IF($G$6="",0,IF(ISNUMBER(INDEX($A:$AP,ROW(),$G$6)),INDEX($A:$AP,ROW(),$G$6),IFERROR(--SUBSTITUTE(SUBSTITUTE(TRIM(INDEX($A:$AP,ROW(),$G$6)),",",""),"원",""),0))))</f>
        <v/>
      </c>
      <c r="AV178" s="23">
        <f>IF($AS178="","",IF($H$6="",$AT178+$AU178,IF($H$6="",0,IF(ISNUMBER(INDEX($A:$AP,ROW(),$H$6)),INDEX($A:$AP,ROW(),$H$6),IFERROR(--SUBSTITUTE(SUBSTITUTE(TRIM(INDEX($A:$AP,ROW(),$H$6)),",",""),"원",""),0)))))</f>
        <v/>
      </c>
      <c r="AW178" s="2">
        <f>IF(OR($AS178="",$C$6=""),"",TRIM(INDEX($A:$AP,ROW(),$C$6)&amp;""))</f>
        <v/>
      </c>
      <c r="AX178" s="2">
        <f>IF($AS178="","",IF($AZ178&lt;&gt;"",SUBSTITUTE(SUBSTITUTE($AZ178,"-","")," ",""),$AY178))</f>
        <v/>
      </c>
      <c r="AY178" s="2">
        <f>IF(OR($AS178="",$E$6=""),"",TRIM(INDEX($A:$AP,ROW(),$E$6)&amp;""))</f>
        <v/>
      </c>
      <c r="AZ178" s="2">
        <f>IF(OR($AS178="",$D$6=""),"",TRIM(INDEX($A:$AP,ROW(),$D$6)&amp;""))</f>
        <v/>
      </c>
      <c r="BA178" s="2">
        <f>IF($AS178="","",IF(AND($AS178&gt;=설정!$B$10,$AS178&lt;=설정!$B$11),"포함","기간 밖"))</f>
        <v/>
      </c>
      <c r="BB178" s="2">
        <f>IF($AS178="","",IF(OR($AT178&lt;0,AND($I$6&lt;&gt;"",ISNUMBER(FIND("수정",INDEX($A:$AP,ROW(),IF($I$6="",1,$I$6))&amp;"")))),"수정","일반"))</f>
        <v/>
      </c>
      <c r="BC178" s="2">
        <f>IF($AS178="","",MID(IF($BA178="기간 밖"," / 기간 밖(신고기간 아님)","")&amp;IF(AND($AW178&lt;&gt;"",COUNTIF($AW$8:$AW$1007,$AW178)&gt;1)," / 승인번호 중복(두 번 붙여넣기?)","")&amp;IF(ABS($AU178-ROUND($AT178*0.1,0))&gt;설정!$B$8,IF($AU178=0," / 세액 0원(영세율·면세 여부 확인)"," / 세액이 공급가액 10%와 다름"),"")&amp;IF($BB178="수정"," / 수정세금계산서(합계에서 자동 가감)",""),4,200))</f>
        <v/>
      </c>
      <c r="BD178" s="2">
        <f>IF($BA178&lt;&gt;"포함","",IF(COUNTIFS($AX$8:$AX178,$AX178,$BA$8:$BA178,"포함")=1,MAX($BD$7:BD177)+1,""))</f>
        <v/>
      </c>
      <c r="BE178" s="2">
        <f>IF($BC178="","",MAX($BE$7:BE177)+1)</f>
        <v/>
      </c>
    </row>
    <row r="179">
      <c r="AR179" s="2">
        <f>IF(OR($A$5="",$B$6="",ROW()&lt;$A$5),"",IF(INDEX($A:$AP,ROW(),$B$6)="","",INDEX($A:$AP,ROW(),$B$6)))</f>
        <v/>
      </c>
      <c r="AS179" s="22">
        <f>IF($AR179="","",IF(ISNUMBER($AR179),IF($AR179&gt;=10000000,IFERROR(DATE(INT($AR179/10000),MOD(INT($AR179/100),100),MOD($AR179,100)),""),INT($AR179)),IFERROR(DATE(--LEFT(LEFT(SUBSTITUTE(SUBSTITUTE(SUBSTITUTE(SUBSTITUTE(TRIM($AR179),"-",""),".",""),"/","")," ",""),8),4),--MID(LEFT(SUBSTITUTE(SUBSTITUTE(SUBSTITUTE(SUBSTITUTE(TRIM($AR179),"-",""),".",""),"/","")," ",""),8),5,2),--MID(LEFT(SUBSTITUTE(SUBSTITUTE(SUBSTITUTE(SUBSTITUTE(TRIM($AR179),"-",""),".",""),"/","")," ",""),8),7,2)),"")))</f>
        <v/>
      </c>
      <c r="AT179" s="23">
        <f>IF($AS179="","",IF($F$6="",0,IF(ISNUMBER(INDEX($A:$AP,ROW(),$F$6)),INDEX($A:$AP,ROW(),$F$6),IFERROR(--SUBSTITUTE(SUBSTITUTE(TRIM(INDEX($A:$AP,ROW(),$F$6)),",",""),"원",""),0))))</f>
        <v/>
      </c>
      <c r="AU179" s="23">
        <f>IF($AS179="","",IF($G$6="",0,IF(ISNUMBER(INDEX($A:$AP,ROW(),$G$6)),INDEX($A:$AP,ROW(),$G$6),IFERROR(--SUBSTITUTE(SUBSTITUTE(TRIM(INDEX($A:$AP,ROW(),$G$6)),",",""),"원",""),0))))</f>
        <v/>
      </c>
      <c r="AV179" s="23">
        <f>IF($AS179="","",IF($H$6="",$AT179+$AU179,IF($H$6="",0,IF(ISNUMBER(INDEX($A:$AP,ROW(),$H$6)),INDEX($A:$AP,ROW(),$H$6),IFERROR(--SUBSTITUTE(SUBSTITUTE(TRIM(INDEX($A:$AP,ROW(),$H$6)),",",""),"원",""),0)))))</f>
        <v/>
      </c>
      <c r="AW179" s="2">
        <f>IF(OR($AS179="",$C$6=""),"",TRIM(INDEX($A:$AP,ROW(),$C$6)&amp;""))</f>
        <v/>
      </c>
      <c r="AX179" s="2">
        <f>IF($AS179="","",IF($AZ179&lt;&gt;"",SUBSTITUTE(SUBSTITUTE($AZ179,"-","")," ",""),$AY179))</f>
        <v/>
      </c>
      <c r="AY179" s="2">
        <f>IF(OR($AS179="",$E$6=""),"",TRIM(INDEX($A:$AP,ROW(),$E$6)&amp;""))</f>
        <v/>
      </c>
      <c r="AZ179" s="2">
        <f>IF(OR($AS179="",$D$6=""),"",TRIM(INDEX($A:$AP,ROW(),$D$6)&amp;""))</f>
        <v/>
      </c>
      <c r="BA179" s="2">
        <f>IF($AS179="","",IF(AND($AS179&gt;=설정!$B$10,$AS179&lt;=설정!$B$11),"포함","기간 밖"))</f>
        <v/>
      </c>
      <c r="BB179" s="2">
        <f>IF($AS179="","",IF(OR($AT179&lt;0,AND($I$6&lt;&gt;"",ISNUMBER(FIND("수정",INDEX($A:$AP,ROW(),IF($I$6="",1,$I$6))&amp;"")))),"수정","일반"))</f>
        <v/>
      </c>
      <c r="BC179" s="2">
        <f>IF($AS179="","",MID(IF($BA179="기간 밖"," / 기간 밖(신고기간 아님)","")&amp;IF(AND($AW179&lt;&gt;"",COUNTIF($AW$8:$AW$1007,$AW179)&gt;1)," / 승인번호 중복(두 번 붙여넣기?)","")&amp;IF(ABS($AU179-ROUND($AT179*0.1,0))&gt;설정!$B$8,IF($AU179=0," / 세액 0원(영세율·면세 여부 확인)"," / 세액이 공급가액 10%와 다름"),"")&amp;IF($BB179="수정"," / 수정세금계산서(합계에서 자동 가감)",""),4,200))</f>
        <v/>
      </c>
      <c r="BD179" s="2">
        <f>IF($BA179&lt;&gt;"포함","",IF(COUNTIFS($AX$8:$AX179,$AX179,$BA$8:$BA179,"포함")=1,MAX($BD$7:BD178)+1,""))</f>
        <v/>
      </c>
      <c r="BE179" s="2">
        <f>IF($BC179="","",MAX($BE$7:BE178)+1)</f>
        <v/>
      </c>
    </row>
    <row r="180">
      <c r="AR180" s="2">
        <f>IF(OR($A$5="",$B$6="",ROW()&lt;$A$5),"",IF(INDEX($A:$AP,ROW(),$B$6)="","",INDEX($A:$AP,ROW(),$B$6)))</f>
        <v/>
      </c>
      <c r="AS180" s="22">
        <f>IF($AR180="","",IF(ISNUMBER($AR180),IF($AR180&gt;=10000000,IFERROR(DATE(INT($AR180/10000),MOD(INT($AR180/100),100),MOD($AR180,100)),""),INT($AR180)),IFERROR(DATE(--LEFT(LEFT(SUBSTITUTE(SUBSTITUTE(SUBSTITUTE(SUBSTITUTE(TRIM($AR180),"-",""),".",""),"/","")," ",""),8),4),--MID(LEFT(SUBSTITUTE(SUBSTITUTE(SUBSTITUTE(SUBSTITUTE(TRIM($AR180),"-",""),".",""),"/","")," ",""),8),5,2),--MID(LEFT(SUBSTITUTE(SUBSTITUTE(SUBSTITUTE(SUBSTITUTE(TRIM($AR180),"-",""),".",""),"/","")," ",""),8),7,2)),"")))</f>
        <v/>
      </c>
      <c r="AT180" s="23">
        <f>IF($AS180="","",IF($F$6="",0,IF(ISNUMBER(INDEX($A:$AP,ROW(),$F$6)),INDEX($A:$AP,ROW(),$F$6),IFERROR(--SUBSTITUTE(SUBSTITUTE(TRIM(INDEX($A:$AP,ROW(),$F$6)),",",""),"원",""),0))))</f>
        <v/>
      </c>
      <c r="AU180" s="23">
        <f>IF($AS180="","",IF($G$6="",0,IF(ISNUMBER(INDEX($A:$AP,ROW(),$G$6)),INDEX($A:$AP,ROW(),$G$6),IFERROR(--SUBSTITUTE(SUBSTITUTE(TRIM(INDEX($A:$AP,ROW(),$G$6)),",",""),"원",""),0))))</f>
        <v/>
      </c>
      <c r="AV180" s="23">
        <f>IF($AS180="","",IF($H$6="",$AT180+$AU180,IF($H$6="",0,IF(ISNUMBER(INDEX($A:$AP,ROW(),$H$6)),INDEX($A:$AP,ROW(),$H$6),IFERROR(--SUBSTITUTE(SUBSTITUTE(TRIM(INDEX($A:$AP,ROW(),$H$6)),",",""),"원",""),0)))))</f>
        <v/>
      </c>
      <c r="AW180" s="2">
        <f>IF(OR($AS180="",$C$6=""),"",TRIM(INDEX($A:$AP,ROW(),$C$6)&amp;""))</f>
        <v/>
      </c>
      <c r="AX180" s="2">
        <f>IF($AS180="","",IF($AZ180&lt;&gt;"",SUBSTITUTE(SUBSTITUTE($AZ180,"-","")," ",""),$AY180))</f>
        <v/>
      </c>
      <c r="AY180" s="2">
        <f>IF(OR($AS180="",$E$6=""),"",TRIM(INDEX($A:$AP,ROW(),$E$6)&amp;""))</f>
        <v/>
      </c>
      <c r="AZ180" s="2">
        <f>IF(OR($AS180="",$D$6=""),"",TRIM(INDEX($A:$AP,ROW(),$D$6)&amp;""))</f>
        <v/>
      </c>
      <c r="BA180" s="2">
        <f>IF($AS180="","",IF(AND($AS180&gt;=설정!$B$10,$AS180&lt;=설정!$B$11),"포함","기간 밖"))</f>
        <v/>
      </c>
      <c r="BB180" s="2">
        <f>IF($AS180="","",IF(OR($AT180&lt;0,AND($I$6&lt;&gt;"",ISNUMBER(FIND("수정",INDEX($A:$AP,ROW(),IF($I$6="",1,$I$6))&amp;"")))),"수정","일반"))</f>
        <v/>
      </c>
      <c r="BC180" s="2">
        <f>IF($AS180="","",MID(IF($BA180="기간 밖"," / 기간 밖(신고기간 아님)","")&amp;IF(AND($AW180&lt;&gt;"",COUNTIF($AW$8:$AW$1007,$AW180)&gt;1)," / 승인번호 중복(두 번 붙여넣기?)","")&amp;IF(ABS($AU180-ROUND($AT180*0.1,0))&gt;설정!$B$8,IF($AU180=0," / 세액 0원(영세율·면세 여부 확인)"," / 세액이 공급가액 10%와 다름"),"")&amp;IF($BB180="수정"," / 수정세금계산서(합계에서 자동 가감)",""),4,200))</f>
        <v/>
      </c>
      <c r="BD180" s="2">
        <f>IF($BA180&lt;&gt;"포함","",IF(COUNTIFS($AX$8:$AX180,$AX180,$BA$8:$BA180,"포함")=1,MAX($BD$7:BD179)+1,""))</f>
        <v/>
      </c>
      <c r="BE180" s="2">
        <f>IF($BC180="","",MAX($BE$7:BE179)+1)</f>
        <v/>
      </c>
    </row>
    <row r="181">
      <c r="AR181" s="2">
        <f>IF(OR($A$5="",$B$6="",ROW()&lt;$A$5),"",IF(INDEX($A:$AP,ROW(),$B$6)="","",INDEX($A:$AP,ROW(),$B$6)))</f>
        <v/>
      </c>
      <c r="AS181" s="22">
        <f>IF($AR181="","",IF(ISNUMBER($AR181),IF($AR181&gt;=10000000,IFERROR(DATE(INT($AR181/10000),MOD(INT($AR181/100),100),MOD($AR181,100)),""),INT($AR181)),IFERROR(DATE(--LEFT(LEFT(SUBSTITUTE(SUBSTITUTE(SUBSTITUTE(SUBSTITUTE(TRIM($AR181),"-",""),".",""),"/","")," ",""),8),4),--MID(LEFT(SUBSTITUTE(SUBSTITUTE(SUBSTITUTE(SUBSTITUTE(TRIM($AR181),"-",""),".",""),"/","")," ",""),8),5,2),--MID(LEFT(SUBSTITUTE(SUBSTITUTE(SUBSTITUTE(SUBSTITUTE(TRIM($AR181),"-",""),".",""),"/","")," ",""),8),7,2)),"")))</f>
        <v/>
      </c>
      <c r="AT181" s="23">
        <f>IF($AS181="","",IF($F$6="",0,IF(ISNUMBER(INDEX($A:$AP,ROW(),$F$6)),INDEX($A:$AP,ROW(),$F$6),IFERROR(--SUBSTITUTE(SUBSTITUTE(TRIM(INDEX($A:$AP,ROW(),$F$6)),",",""),"원",""),0))))</f>
        <v/>
      </c>
      <c r="AU181" s="23">
        <f>IF($AS181="","",IF($G$6="",0,IF(ISNUMBER(INDEX($A:$AP,ROW(),$G$6)),INDEX($A:$AP,ROW(),$G$6),IFERROR(--SUBSTITUTE(SUBSTITUTE(TRIM(INDEX($A:$AP,ROW(),$G$6)),",",""),"원",""),0))))</f>
        <v/>
      </c>
      <c r="AV181" s="23">
        <f>IF($AS181="","",IF($H$6="",$AT181+$AU181,IF($H$6="",0,IF(ISNUMBER(INDEX($A:$AP,ROW(),$H$6)),INDEX($A:$AP,ROW(),$H$6),IFERROR(--SUBSTITUTE(SUBSTITUTE(TRIM(INDEX($A:$AP,ROW(),$H$6)),",",""),"원",""),0)))))</f>
        <v/>
      </c>
      <c r="AW181" s="2">
        <f>IF(OR($AS181="",$C$6=""),"",TRIM(INDEX($A:$AP,ROW(),$C$6)&amp;""))</f>
        <v/>
      </c>
      <c r="AX181" s="2">
        <f>IF($AS181="","",IF($AZ181&lt;&gt;"",SUBSTITUTE(SUBSTITUTE($AZ181,"-","")," ",""),$AY181))</f>
        <v/>
      </c>
      <c r="AY181" s="2">
        <f>IF(OR($AS181="",$E$6=""),"",TRIM(INDEX($A:$AP,ROW(),$E$6)&amp;""))</f>
        <v/>
      </c>
      <c r="AZ181" s="2">
        <f>IF(OR($AS181="",$D$6=""),"",TRIM(INDEX($A:$AP,ROW(),$D$6)&amp;""))</f>
        <v/>
      </c>
      <c r="BA181" s="2">
        <f>IF($AS181="","",IF(AND($AS181&gt;=설정!$B$10,$AS181&lt;=설정!$B$11),"포함","기간 밖"))</f>
        <v/>
      </c>
      <c r="BB181" s="2">
        <f>IF($AS181="","",IF(OR($AT181&lt;0,AND($I$6&lt;&gt;"",ISNUMBER(FIND("수정",INDEX($A:$AP,ROW(),IF($I$6="",1,$I$6))&amp;"")))),"수정","일반"))</f>
        <v/>
      </c>
      <c r="BC181" s="2">
        <f>IF($AS181="","",MID(IF($BA181="기간 밖"," / 기간 밖(신고기간 아님)","")&amp;IF(AND($AW181&lt;&gt;"",COUNTIF($AW$8:$AW$1007,$AW181)&gt;1)," / 승인번호 중복(두 번 붙여넣기?)","")&amp;IF(ABS($AU181-ROUND($AT181*0.1,0))&gt;설정!$B$8,IF($AU181=0," / 세액 0원(영세율·면세 여부 확인)"," / 세액이 공급가액 10%와 다름"),"")&amp;IF($BB181="수정"," / 수정세금계산서(합계에서 자동 가감)",""),4,200))</f>
        <v/>
      </c>
      <c r="BD181" s="2">
        <f>IF($BA181&lt;&gt;"포함","",IF(COUNTIFS($AX$8:$AX181,$AX181,$BA$8:$BA181,"포함")=1,MAX($BD$7:BD180)+1,""))</f>
        <v/>
      </c>
      <c r="BE181" s="2">
        <f>IF($BC181="","",MAX($BE$7:BE180)+1)</f>
        <v/>
      </c>
    </row>
    <row r="182">
      <c r="AR182" s="2">
        <f>IF(OR($A$5="",$B$6="",ROW()&lt;$A$5),"",IF(INDEX($A:$AP,ROW(),$B$6)="","",INDEX($A:$AP,ROW(),$B$6)))</f>
        <v/>
      </c>
      <c r="AS182" s="22">
        <f>IF($AR182="","",IF(ISNUMBER($AR182),IF($AR182&gt;=10000000,IFERROR(DATE(INT($AR182/10000),MOD(INT($AR182/100),100),MOD($AR182,100)),""),INT($AR182)),IFERROR(DATE(--LEFT(LEFT(SUBSTITUTE(SUBSTITUTE(SUBSTITUTE(SUBSTITUTE(TRIM($AR182),"-",""),".",""),"/","")," ",""),8),4),--MID(LEFT(SUBSTITUTE(SUBSTITUTE(SUBSTITUTE(SUBSTITUTE(TRIM($AR182),"-",""),".",""),"/","")," ",""),8),5,2),--MID(LEFT(SUBSTITUTE(SUBSTITUTE(SUBSTITUTE(SUBSTITUTE(TRIM($AR182),"-",""),".",""),"/","")," ",""),8),7,2)),"")))</f>
        <v/>
      </c>
      <c r="AT182" s="23">
        <f>IF($AS182="","",IF($F$6="",0,IF(ISNUMBER(INDEX($A:$AP,ROW(),$F$6)),INDEX($A:$AP,ROW(),$F$6),IFERROR(--SUBSTITUTE(SUBSTITUTE(TRIM(INDEX($A:$AP,ROW(),$F$6)),",",""),"원",""),0))))</f>
        <v/>
      </c>
      <c r="AU182" s="23">
        <f>IF($AS182="","",IF($G$6="",0,IF(ISNUMBER(INDEX($A:$AP,ROW(),$G$6)),INDEX($A:$AP,ROW(),$G$6),IFERROR(--SUBSTITUTE(SUBSTITUTE(TRIM(INDEX($A:$AP,ROW(),$G$6)),",",""),"원",""),0))))</f>
        <v/>
      </c>
      <c r="AV182" s="23">
        <f>IF($AS182="","",IF($H$6="",$AT182+$AU182,IF($H$6="",0,IF(ISNUMBER(INDEX($A:$AP,ROW(),$H$6)),INDEX($A:$AP,ROW(),$H$6),IFERROR(--SUBSTITUTE(SUBSTITUTE(TRIM(INDEX($A:$AP,ROW(),$H$6)),",",""),"원",""),0)))))</f>
        <v/>
      </c>
      <c r="AW182" s="2">
        <f>IF(OR($AS182="",$C$6=""),"",TRIM(INDEX($A:$AP,ROW(),$C$6)&amp;""))</f>
        <v/>
      </c>
      <c r="AX182" s="2">
        <f>IF($AS182="","",IF($AZ182&lt;&gt;"",SUBSTITUTE(SUBSTITUTE($AZ182,"-","")," ",""),$AY182))</f>
        <v/>
      </c>
      <c r="AY182" s="2">
        <f>IF(OR($AS182="",$E$6=""),"",TRIM(INDEX($A:$AP,ROW(),$E$6)&amp;""))</f>
        <v/>
      </c>
      <c r="AZ182" s="2">
        <f>IF(OR($AS182="",$D$6=""),"",TRIM(INDEX($A:$AP,ROW(),$D$6)&amp;""))</f>
        <v/>
      </c>
      <c r="BA182" s="2">
        <f>IF($AS182="","",IF(AND($AS182&gt;=설정!$B$10,$AS182&lt;=설정!$B$11),"포함","기간 밖"))</f>
        <v/>
      </c>
      <c r="BB182" s="2">
        <f>IF($AS182="","",IF(OR($AT182&lt;0,AND($I$6&lt;&gt;"",ISNUMBER(FIND("수정",INDEX($A:$AP,ROW(),IF($I$6="",1,$I$6))&amp;"")))),"수정","일반"))</f>
        <v/>
      </c>
      <c r="BC182" s="2">
        <f>IF($AS182="","",MID(IF($BA182="기간 밖"," / 기간 밖(신고기간 아님)","")&amp;IF(AND($AW182&lt;&gt;"",COUNTIF($AW$8:$AW$1007,$AW182)&gt;1)," / 승인번호 중복(두 번 붙여넣기?)","")&amp;IF(ABS($AU182-ROUND($AT182*0.1,0))&gt;설정!$B$8,IF($AU182=0," / 세액 0원(영세율·면세 여부 확인)"," / 세액이 공급가액 10%와 다름"),"")&amp;IF($BB182="수정"," / 수정세금계산서(합계에서 자동 가감)",""),4,200))</f>
        <v/>
      </c>
      <c r="BD182" s="2">
        <f>IF($BA182&lt;&gt;"포함","",IF(COUNTIFS($AX$8:$AX182,$AX182,$BA$8:$BA182,"포함")=1,MAX($BD$7:BD181)+1,""))</f>
        <v/>
      </c>
      <c r="BE182" s="2">
        <f>IF($BC182="","",MAX($BE$7:BE181)+1)</f>
        <v/>
      </c>
    </row>
    <row r="183">
      <c r="AR183" s="2">
        <f>IF(OR($A$5="",$B$6="",ROW()&lt;$A$5),"",IF(INDEX($A:$AP,ROW(),$B$6)="","",INDEX($A:$AP,ROW(),$B$6)))</f>
        <v/>
      </c>
      <c r="AS183" s="22">
        <f>IF($AR183="","",IF(ISNUMBER($AR183),IF($AR183&gt;=10000000,IFERROR(DATE(INT($AR183/10000),MOD(INT($AR183/100),100),MOD($AR183,100)),""),INT($AR183)),IFERROR(DATE(--LEFT(LEFT(SUBSTITUTE(SUBSTITUTE(SUBSTITUTE(SUBSTITUTE(TRIM($AR183),"-",""),".",""),"/","")," ",""),8),4),--MID(LEFT(SUBSTITUTE(SUBSTITUTE(SUBSTITUTE(SUBSTITUTE(TRIM($AR183),"-",""),".",""),"/","")," ",""),8),5,2),--MID(LEFT(SUBSTITUTE(SUBSTITUTE(SUBSTITUTE(SUBSTITUTE(TRIM($AR183),"-",""),".",""),"/","")," ",""),8),7,2)),"")))</f>
        <v/>
      </c>
      <c r="AT183" s="23">
        <f>IF($AS183="","",IF($F$6="",0,IF(ISNUMBER(INDEX($A:$AP,ROW(),$F$6)),INDEX($A:$AP,ROW(),$F$6),IFERROR(--SUBSTITUTE(SUBSTITUTE(TRIM(INDEX($A:$AP,ROW(),$F$6)),",",""),"원",""),0))))</f>
        <v/>
      </c>
      <c r="AU183" s="23">
        <f>IF($AS183="","",IF($G$6="",0,IF(ISNUMBER(INDEX($A:$AP,ROW(),$G$6)),INDEX($A:$AP,ROW(),$G$6),IFERROR(--SUBSTITUTE(SUBSTITUTE(TRIM(INDEX($A:$AP,ROW(),$G$6)),",",""),"원",""),0))))</f>
        <v/>
      </c>
      <c r="AV183" s="23">
        <f>IF($AS183="","",IF($H$6="",$AT183+$AU183,IF($H$6="",0,IF(ISNUMBER(INDEX($A:$AP,ROW(),$H$6)),INDEX($A:$AP,ROW(),$H$6),IFERROR(--SUBSTITUTE(SUBSTITUTE(TRIM(INDEX($A:$AP,ROW(),$H$6)),",",""),"원",""),0)))))</f>
        <v/>
      </c>
      <c r="AW183" s="2">
        <f>IF(OR($AS183="",$C$6=""),"",TRIM(INDEX($A:$AP,ROW(),$C$6)&amp;""))</f>
        <v/>
      </c>
      <c r="AX183" s="2">
        <f>IF($AS183="","",IF($AZ183&lt;&gt;"",SUBSTITUTE(SUBSTITUTE($AZ183,"-","")," ",""),$AY183))</f>
        <v/>
      </c>
      <c r="AY183" s="2">
        <f>IF(OR($AS183="",$E$6=""),"",TRIM(INDEX($A:$AP,ROW(),$E$6)&amp;""))</f>
        <v/>
      </c>
      <c r="AZ183" s="2">
        <f>IF(OR($AS183="",$D$6=""),"",TRIM(INDEX($A:$AP,ROW(),$D$6)&amp;""))</f>
        <v/>
      </c>
      <c r="BA183" s="2">
        <f>IF($AS183="","",IF(AND($AS183&gt;=설정!$B$10,$AS183&lt;=설정!$B$11),"포함","기간 밖"))</f>
        <v/>
      </c>
      <c r="BB183" s="2">
        <f>IF($AS183="","",IF(OR($AT183&lt;0,AND($I$6&lt;&gt;"",ISNUMBER(FIND("수정",INDEX($A:$AP,ROW(),IF($I$6="",1,$I$6))&amp;"")))),"수정","일반"))</f>
        <v/>
      </c>
      <c r="BC183" s="2">
        <f>IF($AS183="","",MID(IF($BA183="기간 밖"," / 기간 밖(신고기간 아님)","")&amp;IF(AND($AW183&lt;&gt;"",COUNTIF($AW$8:$AW$1007,$AW183)&gt;1)," / 승인번호 중복(두 번 붙여넣기?)","")&amp;IF(ABS($AU183-ROUND($AT183*0.1,0))&gt;설정!$B$8,IF($AU183=0," / 세액 0원(영세율·면세 여부 확인)"," / 세액이 공급가액 10%와 다름"),"")&amp;IF($BB183="수정"," / 수정세금계산서(합계에서 자동 가감)",""),4,200))</f>
        <v/>
      </c>
      <c r="BD183" s="2">
        <f>IF($BA183&lt;&gt;"포함","",IF(COUNTIFS($AX$8:$AX183,$AX183,$BA$8:$BA183,"포함")=1,MAX($BD$7:BD182)+1,""))</f>
        <v/>
      </c>
      <c r="BE183" s="2">
        <f>IF($BC183="","",MAX($BE$7:BE182)+1)</f>
        <v/>
      </c>
    </row>
    <row r="184">
      <c r="AR184" s="2">
        <f>IF(OR($A$5="",$B$6="",ROW()&lt;$A$5),"",IF(INDEX($A:$AP,ROW(),$B$6)="","",INDEX($A:$AP,ROW(),$B$6)))</f>
        <v/>
      </c>
      <c r="AS184" s="22">
        <f>IF($AR184="","",IF(ISNUMBER($AR184),IF($AR184&gt;=10000000,IFERROR(DATE(INT($AR184/10000),MOD(INT($AR184/100),100),MOD($AR184,100)),""),INT($AR184)),IFERROR(DATE(--LEFT(LEFT(SUBSTITUTE(SUBSTITUTE(SUBSTITUTE(SUBSTITUTE(TRIM($AR184),"-",""),".",""),"/","")," ",""),8),4),--MID(LEFT(SUBSTITUTE(SUBSTITUTE(SUBSTITUTE(SUBSTITUTE(TRIM($AR184),"-",""),".",""),"/","")," ",""),8),5,2),--MID(LEFT(SUBSTITUTE(SUBSTITUTE(SUBSTITUTE(SUBSTITUTE(TRIM($AR184),"-",""),".",""),"/","")," ",""),8),7,2)),"")))</f>
        <v/>
      </c>
      <c r="AT184" s="23">
        <f>IF($AS184="","",IF($F$6="",0,IF(ISNUMBER(INDEX($A:$AP,ROW(),$F$6)),INDEX($A:$AP,ROW(),$F$6),IFERROR(--SUBSTITUTE(SUBSTITUTE(TRIM(INDEX($A:$AP,ROW(),$F$6)),",",""),"원",""),0))))</f>
        <v/>
      </c>
      <c r="AU184" s="23">
        <f>IF($AS184="","",IF($G$6="",0,IF(ISNUMBER(INDEX($A:$AP,ROW(),$G$6)),INDEX($A:$AP,ROW(),$G$6),IFERROR(--SUBSTITUTE(SUBSTITUTE(TRIM(INDEX($A:$AP,ROW(),$G$6)),",",""),"원",""),0))))</f>
        <v/>
      </c>
      <c r="AV184" s="23">
        <f>IF($AS184="","",IF($H$6="",$AT184+$AU184,IF($H$6="",0,IF(ISNUMBER(INDEX($A:$AP,ROW(),$H$6)),INDEX($A:$AP,ROW(),$H$6),IFERROR(--SUBSTITUTE(SUBSTITUTE(TRIM(INDEX($A:$AP,ROW(),$H$6)),",",""),"원",""),0)))))</f>
        <v/>
      </c>
      <c r="AW184" s="2">
        <f>IF(OR($AS184="",$C$6=""),"",TRIM(INDEX($A:$AP,ROW(),$C$6)&amp;""))</f>
        <v/>
      </c>
      <c r="AX184" s="2">
        <f>IF($AS184="","",IF($AZ184&lt;&gt;"",SUBSTITUTE(SUBSTITUTE($AZ184,"-","")," ",""),$AY184))</f>
        <v/>
      </c>
      <c r="AY184" s="2">
        <f>IF(OR($AS184="",$E$6=""),"",TRIM(INDEX($A:$AP,ROW(),$E$6)&amp;""))</f>
        <v/>
      </c>
      <c r="AZ184" s="2">
        <f>IF(OR($AS184="",$D$6=""),"",TRIM(INDEX($A:$AP,ROW(),$D$6)&amp;""))</f>
        <v/>
      </c>
      <c r="BA184" s="2">
        <f>IF($AS184="","",IF(AND($AS184&gt;=설정!$B$10,$AS184&lt;=설정!$B$11),"포함","기간 밖"))</f>
        <v/>
      </c>
      <c r="BB184" s="2">
        <f>IF($AS184="","",IF(OR($AT184&lt;0,AND($I$6&lt;&gt;"",ISNUMBER(FIND("수정",INDEX($A:$AP,ROW(),IF($I$6="",1,$I$6))&amp;"")))),"수정","일반"))</f>
        <v/>
      </c>
      <c r="BC184" s="2">
        <f>IF($AS184="","",MID(IF($BA184="기간 밖"," / 기간 밖(신고기간 아님)","")&amp;IF(AND($AW184&lt;&gt;"",COUNTIF($AW$8:$AW$1007,$AW184)&gt;1)," / 승인번호 중복(두 번 붙여넣기?)","")&amp;IF(ABS($AU184-ROUND($AT184*0.1,0))&gt;설정!$B$8,IF($AU184=0," / 세액 0원(영세율·면세 여부 확인)"," / 세액이 공급가액 10%와 다름"),"")&amp;IF($BB184="수정"," / 수정세금계산서(합계에서 자동 가감)",""),4,200))</f>
        <v/>
      </c>
      <c r="BD184" s="2">
        <f>IF($BA184&lt;&gt;"포함","",IF(COUNTIFS($AX$8:$AX184,$AX184,$BA$8:$BA184,"포함")=1,MAX($BD$7:BD183)+1,""))</f>
        <v/>
      </c>
      <c r="BE184" s="2">
        <f>IF($BC184="","",MAX($BE$7:BE183)+1)</f>
        <v/>
      </c>
    </row>
    <row r="185">
      <c r="AR185" s="2">
        <f>IF(OR($A$5="",$B$6="",ROW()&lt;$A$5),"",IF(INDEX($A:$AP,ROW(),$B$6)="","",INDEX($A:$AP,ROW(),$B$6)))</f>
        <v/>
      </c>
      <c r="AS185" s="22">
        <f>IF($AR185="","",IF(ISNUMBER($AR185),IF($AR185&gt;=10000000,IFERROR(DATE(INT($AR185/10000),MOD(INT($AR185/100),100),MOD($AR185,100)),""),INT($AR185)),IFERROR(DATE(--LEFT(LEFT(SUBSTITUTE(SUBSTITUTE(SUBSTITUTE(SUBSTITUTE(TRIM($AR185),"-",""),".",""),"/","")," ",""),8),4),--MID(LEFT(SUBSTITUTE(SUBSTITUTE(SUBSTITUTE(SUBSTITUTE(TRIM($AR185),"-",""),".",""),"/","")," ",""),8),5,2),--MID(LEFT(SUBSTITUTE(SUBSTITUTE(SUBSTITUTE(SUBSTITUTE(TRIM($AR185),"-",""),".",""),"/","")," ",""),8),7,2)),"")))</f>
        <v/>
      </c>
      <c r="AT185" s="23">
        <f>IF($AS185="","",IF($F$6="",0,IF(ISNUMBER(INDEX($A:$AP,ROW(),$F$6)),INDEX($A:$AP,ROW(),$F$6),IFERROR(--SUBSTITUTE(SUBSTITUTE(TRIM(INDEX($A:$AP,ROW(),$F$6)),",",""),"원",""),0))))</f>
        <v/>
      </c>
      <c r="AU185" s="23">
        <f>IF($AS185="","",IF($G$6="",0,IF(ISNUMBER(INDEX($A:$AP,ROW(),$G$6)),INDEX($A:$AP,ROW(),$G$6),IFERROR(--SUBSTITUTE(SUBSTITUTE(TRIM(INDEX($A:$AP,ROW(),$G$6)),",",""),"원",""),0))))</f>
        <v/>
      </c>
      <c r="AV185" s="23">
        <f>IF($AS185="","",IF($H$6="",$AT185+$AU185,IF($H$6="",0,IF(ISNUMBER(INDEX($A:$AP,ROW(),$H$6)),INDEX($A:$AP,ROW(),$H$6),IFERROR(--SUBSTITUTE(SUBSTITUTE(TRIM(INDEX($A:$AP,ROW(),$H$6)),",",""),"원",""),0)))))</f>
        <v/>
      </c>
      <c r="AW185" s="2">
        <f>IF(OR($AS185="",$C$6=""),"",TRIM(INDEX($A:$AP,ROW(),$C$6)&amp;""))</f>
        <v/>
      </c>
      <c r="AX185" s="2">
        <f>IF($AS185="","",IF($AZ185&lt;&gt;"",SUBSTITUTE(SUBSTITUTE($AZ185,"-","")," ",""),$AY185))</f>
        <v/>
      </c>
      <c r="AY185" s="2">
        <f>IF(OR($AS185="",$E$6=""),"",TRIM(INDEX($A:$AP,ROW(),$E$6)&amp;""))</f>
        <v/>
      </c>
      <c r="AZ185" s="2">
        <f>IF(OR($AS185="",$D$6=""),"",TRIM(INDEX($A:$AP,ROW(),$D$6)&amp;""))</f>
        <v/>
      </c>
      <c r="BA185" s="2">
        <f>IF($AS185="","",IF(AND($AS185&gt;=설정!$B$10,$AS185&lt;=설정!$B$11),"포함","기간 밖"))</f>
        <v/>
      </c>
      <c r="BB185" s="2">
        <f>IF($AS185="","",IF(OR($AT185&lt;0,AND($I$6&lt;&gt;"",ISNUMBER(FIND("수정",INDEX($A:$AP,ROW(),IF($I$6="",1,$I$6))&amp;"")))),"수정","일반"))</f>
        <v/>
      </c>
      <c r="BC185" s="2">
        <f>IF($AS185="","",MID(IF($BA185="기간 밖"," / 기간 밖(신고기간 아님)","")&amp;IF(AND($AW185&lt;&gt;"",COUNTIF($AW$8:$AW$1007,$AW185)&gt;1)," / 승인번호 중복(두 번 붙여넣기?)","")&amp;IF(ABS($AU185-ROUND($AT185*0.1,0))&gt;설정!$B$8,IF($AU185=0," / 세액 0원(영세율·면세 여부 확인)"," / 세액이 공급가액 10%와 다름"),"")&amp;IF($BB185="수정"," / 수정세금계산서(합계에서 자동 가감)",""),4,200))</f>
        <v/>
      </c>
      <c r="BD185" s="2">
        <f>IF($BA185&lt;&gt;"포함","",IF(COUNTIFS($AX$8:$AX185,$AX185,$BA$8:$BA185,"포함")=1,MAX($BD$7:BD184)+1,""))</f>
        <v/>
      </c>
      <c r="BE185" s="2">
        <f>IF($BC185="","",MAX($BE$7:BE184)+1)</f>
        <v/>
      </c>
    </row>
    <row r="186">
      <c r="AR186" s="2">
        <f>IF(OR($A$5="",$B$6="",ROW()&lt;$A$5),"",IF(INDEX($A:$AP,ROW(),$B$6)="","",INDEX($A:$AP,ROW(),$B$6)))</f>
        <v/>
      </c>
      <c r="AS186" s="22">
        <f>IF($AR186="","",IF(ISNUMBER($AR186),IF($AR186&gt;=10000000,IFERROR(DATE(INT($AR186/10000),MOD(INT($AR186/100),100),MOD($AR186,100)),""),INT($AR186)),IFERROR(DATE(--LEFT(LEFT(SUBSTITUTE(SUBSTITUTE(SUBSTITUTE(SUBSTITUTE(TRIM($AR186),"-",""),".",""),"/","")," ",""),8),4),--MID(LEFT(SUBSTITUTE(SUBSTITUTE(SUBSTITUTE(SUBSTITUTE(TRIM($AR186),"-",""),".",""),"/","")," ",""),8),5,2),--MID(LEFT(SUBSTITUTE(SUBSTITUTE(SUBSTITUTE(SUBSTITUTE(TRIM($AR186),"-",""),".",""),"/","")," ",""),8),7,2)),"")))</f>
        <v/>
      </c>
      <c r="AT186" s="23">
        <f>IF($AS186="","",IF($F$6="",0,IF(ISNUMBER(INDEX($A:$AP,ROW(),$F$6)),INDEX($A:$AP,ROW(),$F$6),IFERROR(--SUBSTITUTE(SUBSTITUTE(TRIM(INDEX($A:$AP,ROW(),$F$6)),",",""),"원",""),0))))</f>
        <v/>
      </c>
      <c r="AU186" s="23">
        <f>IF($AS186="","",IF($G$6="",0,IF(ISNUMBER(INDEX($A:$AP,ROW(),$G$6)),INDEX($A:$AP,ROW(),$G$6),IFERROR(--SUBSTITUTE(SUBSTITUTE(TRIM(INDEX($A:$AP,ROW(),$G$6)),",",""),"원",""),0))))</f>
        <v/>
      </c>
      <c r="AV186" s="23">
        <f>IF($AS186="","",IF($H$6="",$AT186+$AU186,IF($H$6="",0,IF(ISNUMBER(INDEX($A:$AP,ROW(),$H$6)),INDEX($A:$AP,ROW(),$H$6),IFERROR(--SUBSTITUTE(SUBSTITUTE(TRIM(INDEX($A:$AP,ROW(),$H$6)),",",""),"원",""),0)))))</f>
        <v/>
      </c>
      <c r="AW186" s="2">
        <f>IF(OR($AS186="",$C$6=""),"",TRIM(INDEX($A:$AP,ROW(),$C$6)&amp;""))</f>
        <v/>
      </c>
      <c r="AX186" s="2">
        <f>IF($AS186="","",IF($AZ186&lt;&gt;"",SUBSTITUTE(SUBSTITUTE($AZ186,"-","")," ",""),$AY186))</f>
        <v/>
      </c>
      <c r="AY186" s="2">
        <f>IF(OR($AS186="",$E$6=""),"",TRIM(INDEX($A:$AP,ROW(),$E$6)&amp;""))</f>
        <v/>
      </c>
      <c r="AZ186" s="2">
        <f>IF(OR($AS186="",$D$6=""),"",TRIM(INDEX($A:$AP,ROW(),$D$6)&amp;""))</f>
        <v/>
      </c>
      <c r="BA186" s="2">
        <f>IF($AS186="","",IF(AND($AS186&gt;=설정!$B$10,$AS186&lt;=설정!$B$11),"포함","기간 밖"))</f>
        <v/>
      </c>
      <c r="BB186" s="2">
        <f>IF($AS186="","",IF(OR($AT186&lt;0,AND($I$6&lt;&gt;"",ISNUMBER(FIND("수정",INDEX($A:$AP,ROW(),IF($I$6="",1,$I$6))&amp;"")))),"수정","일반"))</f>
        <v/>
      </c>
      <c r="BC186" s="2">
        <f>IF($AS186="","",MID(IF($BA186="기간 밖"," / 기간 밖(신고기간 아님)","")&amp;IF(AND($AW186&lt;&gt;"",COUNTIF($AW$8:$AW$1007,$AW186)&gt;1)," / 승인번호 중복(두 번 붙여넣기?)","")&amp;IF(ABS($AU186-ROUND($AT186*0.1,0))&gt;설정!$B$8,IF($AU186=0," / 세액 0원(영세율·면세 여부 확인)"," / 세액이 공급가액 10%와 다름"),"")&amp;IF($BB186="수정"," / 수정세금계산서(합계에서 자동 가감)",""),4,200))</f>
        <v/>
      </c>
      <c r="BD186" s="2">
        <f>IF($BA186&lt;&gt;"포함","",IF(COUNTIFS($AX$8:$AX186,$AX186,$BA$8:$BA186,"포함")=1,MAX($BD$7:BD185)+1,""))</f>
        <v/>
      </c>
      <c r="BE186" s="2">
        <f>IF($BC186="","",MAX($BE$7:BE185)+1)</f>
        <v/>
      </c>
    </row>
    <row r="187">
      <c r="AR187" s="2">
        <f>IF(OR($A$5="",$B$6="",ROW()&lt;$A$5),"",IF(INDEX($A:$AP,ROW(),$B$6)="","",INDEX($A:$AP,ROW(),$B$6)))</f>
        <v/>
      </c>
      <c r="AS187" s="22">
        <f>IF($AR187="","",IF(ISNUMBER($AR187),IF($AR187&gt;=10000000,IFERROR(DATE(INT($AR187/10000),MOD(INT($AR187/100),100),MOD($AR187,100)),""),INT($AR187)),IFERROR(DATE(--LEFT(LEFT(SUBSTITUTE(SUBSTITUTE(SUBSTITUTE(SUBSTITUTE(TRIM($AR187),"-",""),".",""),"/","")," ",""),8),4),--MID(LEFT(SUBSTITUTE(SUBSTITUTE(SUBSTITUTE(SUBSTITUTE(TRIM($AR187),"-",""),".",""),"/","")," ",""),8),5,2),--MID(LEFT(SUBSTITUTE(SUBSTITUTE(SUBSTITUTE(SUBSTITUTE(TRIM($AR187),"-",""),".",""),"/","")," ",""),8),7,2)),"")))</f>
        <v/>
      </c>
      <c r="AT187" s="23">
        <f>IF($AS187="","",IF($F$6="",0,IF(ISNUMBER(INDEX($A:$AP,ROW(),$F$6)),INDEX($A:$AP,ROW(),$F$6),IFERROR(--SUBSTITUTE(SUBSTITUTE(TRIM(INDEX($A:$AP,ROW(),$F$6)),",",""),"원",""),0))))</f>
        <v/>
      </c>
      <c r="AU187" s="23">
        <f>IF($AS187="","",IF($G$6="",0,IF(ISNUMBER(INDEX($A:$AP,ROW(),$G$6)),INDEX($A:$AP,ROW(),$G$6),IFERROR(--SUBSTITUTE(SUBSTITUTE(TRIM(INDEX($A:$AP,ROW(),$G$6)),",",""),"원",""),0))))</f>
        <v/>
      </c>
      <c r="AV187" s="23">
        <f>IF($AS187="","",IF($H$6="",$AT187+$AU187,IF($H$6="",0,IF(ISNUMBER(INDEX($A:$AP,ROW(),$H$6)),INDEX($A:$AP,ROW(),$H$6),IFERROR(--SUBSTITUTE(SUBSTITUTE(TRIM(INDEX($A:$AP,ROW(),$H$6)),",",""),"원",""),0)))))</f>
        <v/>
      </c>
      <c r="AW187" s="2">
        <f>IF(OR($AS187="",$C$6=""),"",TRIM(INDEX($A:$AP,ROW(),$C$6)&amp;""))</f>
        <v/>
      </c>
      <c r="AX187" s="2">
        <f>IF($AS187="","",IF($AZ187&lt;&gt;"",SUBSTITUTE(SUBSTITUTE($AZ187,"-","")," ",""),$AY187))</f>
        <v/>
      </c>
      <c r="AY187" s="2">
        <f>IF(OR($AS187="",$E$6=""),"",TRIM(INDEX($A:$AP,ROW(),$E$6)&amp;""))</f>
        <v/>
      </c>
      <c r="AZ187" s="2">
        <f>IF(OR($AS187="",$D$6=""),"",TRIM(INDEX($A:$AP,ROW(),$D$6)&amp;""))</f>
        <v/>
      </c>
      <c r="BA187" s="2">
        <f>IF($AS187="","",IF(AND($AS187&gt;=설정!$B$10,$AS187&lt;=설정!$B$11),"포함","기간 밖"))</f>
        <v/>
      </c>
      <c r="BB187" s="2">
        <f>IF($AS187="","",IF(OR($AT187&lt;0,AND($I$6&lt;&gt;"",ISNUMBER(FIND("수정",INDEX($A:$AP,ROW(),IF($I$6="",1,$I$6))&amp;"")))),"수정","일반"))</f>
        <v/>
      </c>
      <c r="BC187" s="2">
        <f>IF($AS187="","",MID(IF($BA187="기간 밖"," / 기간 밖(신고기간 아님)","")&amp;IF(AND($AW187&lt;&gt;"",COUNTIF($AW$8:$AW$1007,$AW187)&gt;1)," / 승인번호 중복(두 번 붙여넣기?)","")&amp;IF(ABS($AU187-ROUND($AT187*0.1,0))&gt;설정!$B$8,IF($AU187=0," / 세액 0원(영세율·면세 여부 확인)"," / 세액이 공급가액 10%와 다름"),"")&amp;IF($BB187="수정"," / 수정세금계산서(합계에서 자동 가감)",""),4,200))</f>
        <v/>
      </c>
      <c r="BD187" s="2">
        <f>IF($BA187&lt;&gt;"포함","",IF(COUNTIFS($AX$8:$AX187,$AX187,$BA$8:$BA187,"포함")=1,MAX($BD$7:BD186)+1,""))</f>
        <v/>
      </c>
      <c r="BE187" s="2">
        <f>IF($BC187="","",MAX($BE$7:BE186)+1)</f>
        <v/>
      </c>
    </row>
    <row r="188">
      <c r="AR188" s="2">
        <f>IF(OR($A$5="",$B$6="",ROW()&lt;$A$5),"",IF(INDEX($A:$AP,ROW(),$B$6)="","",INDEX($A:$AP,ROW(),$B$6)))</f>
        <v/>
      </c>
      <c r="AS188" s="22">
        <f>IF($AR188="","",IF(ISNUMBER($AR188),IF($AR188&gt;=10000000,IFERROR(DATE(INT($AR188/10000),MOD(INT($AR188/100),100),MOD($AR188,100)),""),INT($AR188)),IFERROR(DATE(--LEFT(LEFT(SUBSTITUTE(SUBSTITUTE(SUBSTITUTE(SUBSTITUTE(TRIM($AR188),"-",""),".",""),"/","")," ",""),8),4),--MID(LEFT(SUBSTITUTE(SUBSTITUTE(SUBSTITUTE(SUBSTITUTE(TRIM($AR188),"-",""),".",""),"/","")," ",""),8),5,2),--MID(LEFT(SUBSTITUTE(SUBSTITUTE(SUBSTITUTE(SUBSTITUTE(TRIM($AR188),"-",""),".",""),"/","")," ",""),8),7,2)),"")))</f>
        <v/>
      </c>
      <c r="AT188" s="23">
        <f>IF($AS188="","",IF($F$6="",0,IF(ISNUMBER(INDEX($A:$AP,ROW(),$F$6)),INDEX($A:$AP,ROW(),$F$6),IFERROR(--SUBSTITUTE(SUBSTITUTE(TRIM(INDEX($A:$AP,ROW(),$F$6)),",",""),"원",""),0))))</f>
        <v/>
      </c>
      <c r="AU188" s="23">
        <f>IF($AS188="","",IF($G$6="",0,IF(ISNUMBER(INDEX($A:$AP,ROW(),$G$6)),INDEX($A:$AP,ROW(),$G$6),IFERROR(--SUBSTITUTE(SUBSTITUTE(TRIM(INDEX($A:$AP,ROW(),$G$6)),",",""),"원",""),0))))</f>
        <v/>
      </c>
      <c r="AV188" s="23">
        <f>IF($AS188="","",IF($H$6="",$AT188+$AU188,IF($H$6="",0,IF(ISNUMBER(INDEX($A:$AP,ROW(),$H$6)),INDEX($A:$AP,ROW(),$H$6),IFERROR(--SUBSTITUTE(SUBSTITUTE(TRIM(INDEX($A:$AP,ROW(),$H$6)),",",""),"원",""),0)))))</f>
        <v/>
      </c>
      <c r="AW188" s="2">
        <f>IF(OR($AS188="",$C$6=""),"",TRIM(INDEX($A:$AP,ROW(),$C$6)&amp;""))</f>
        <v/>
      </c>
      <c r="AX188" s="2">
        <f>IF($AS188="","",IF($AZ188&lt;&gt;"",SUBSTITUTE(SUBSTITUTE($AZ188,"-","")," ",""),$AY188))</f>
        <v/>
      </c>
      <c r="AY188" s="2">
        <f>IF(OR($AS188="",$E$6=""),"",TRIM(INDEX($A:$AP,ROW(),$E$6)&amp;""))</f>
        <v/>
      </c>
      <c r="AZ188" s="2">
        <f>IF(OR($AS188="",$D$6=""),"",TRIM(INDEX($A:$AP,ROW(),$D$6)&amp;""))</f>
        <v/>
      </c>
      <c r="BA188" s="2">
        <f>IF($AS188="","",IF(AND($AS188&gt;=설정!$B$10,$AS188&lt;=설정!$B$11),"포함","기간 밖"))</f>
        <v/>
      </c>
      <c r="BB188" s="2">
        <f>IF($AS188="","",IF(OR($AT188&lt;0,AND($I$6&lt;&gt;"",ISNUMBER(FIND("수정",INDEX($A:$AP,ROW(),IF($I$6="",1,$I$6))&amp;"")))),"수정","일반"))</f>
        <v/>
      </c>
      <c r="BC188" s="2">
        <f>IF($AS188="","",MID(IF($BA188="기간 밖"," / 기간 밖(신고기간 아님)","")&amp;IF(AND($AW188&lt;&gt;"",COUNTIF($AW$8:$AW$1007,$AW188)&gt;1)," / 승인번호 중복(두 번 붙여넣기?)","")&amp;IF(ABS($AU188-ROUND($AT188*0.1,0))&gt;설정!$B$8,IF($AU188=0," / 세액 0원(영세율·면세 여부 확인)"," / 세액이 공급가액 10%와 다름"),"")&amp;IF($BB188="수정"," / 수정세금계산서(합계에서 자동 가감)",""),4,200))</f>
        <v/>
      </c>
      <c r="BD188" s="2">
        <f>IF($BA188&lt;&gt;"포함","",IF(COUNTIFS($AX$8:$AX188,$AX188,$BA$8:$BA188,"포함")=1,MAX($BD$7:BD187)+1,""))</f>
        <v/>
      </c>
      <c r="BE188" s="2">
        <f>IF($BC188="","",MAX($BE$7:BE187)+1)</f>
        <v/>
      </c>
    </row>
    <row r="189">
      <c r="AR189" s="2">
        <f>IF(OR($A$5="",$B$6="",ROW()&lt;$A$5),"",IF(INDEX($A:$AP,ROW(),$B$6)="","",INDEX($A:$AP,ROW(),$B$6)))</f>
        <v/>
      </c>
      <c r="AS189" s="22">
        <f>IF($AR189="","",IF(ISNUMBER($AR189),IF($AR189&gt;=10000000,IFERROR(DATE(INT($AR189/10000),MOD(INT($AR189/100),100),MOD($AR189,100)),""),INT($AR189)),IFERROR(DATE(--LEFT(LEFT(SUBSTITUTE(SUBSTITUTE(SUBSTITUTE(SUBSTITUTE(TRIM($AR189),"-",""),".",""),"/","")," ",""),8),4),--MID(LEFT(SUBSTITUTE(SUBSTITUTE(SUBSTITUTE(SUBSTITUTE(TRIM($AR189),"-",""),".",""),"/","")," ",""),8),5,2),--MID(LEFT(SUBSTITUTE(SUBSTITUTE(SUBSTITUTE(SUBSTITUTE(TRIM($AR189),"-",""),".",""),"/","")," ",""),8),7,2)),"")))</f>
        <v/>
      </c>
      <c r="AT189" s="23">
        <f>IF($AS189="","",IF($F$6="",0,IF(ISNUMBER(INDEX($A:$AP,ROW(),$F$6)),INDEX($A:$AP,ROW(),$F$6),IFERROR(--SUBSTITUTE(SUBSTITUTE(TRIM(INDEX($A:$AP,ROW(),$F$6)),",",""),"원",""),0))))</f>
        <v/>
      </c>
      <c r="AU189" s="23">
        <f>IF($AS189="","",IF($G$6="",0,IF(ISNUMBER(INDEX($A:$AP,ROW(),$G$6)),INDEX($A:$AP,ROW(),$G$6),IFERROR(--SUBSTITUTE(SUBSTITUTE(TRIM(INDEX($A:$AP,ROW(),$G$6)),",",""),"원",""),0))))</f>
        <v/>
      </c>
      <c r="AV189" s="23">
        <f>IF($AS189="","",IF($H$6="",$AT189+$AU189,IF($H$6="",0,IF(ISNUMBER(INDEX($A:$AP,ROW(),$H$6)),INDEX($A:$AP,ROW(),$H$6),IFERROR(--SUBSTITUTE(SUBSTITUTE(TRIM(INDEX($A:$AP,ROW(),$H$6)),",",""),"원",""),0)))))</f>
        <v/>
      </c>
      <c r="AW189" s="2">
        <f>IF(OR($AS189="",$C$6=""),"",TRIM(INDEX($A:$AP,ROW(),$C$6)&amp;""))</f>
        <v/>
      </c>
      <c r="AX189" s="2">
        <f>IF($AS189="","",IF($AZ189&lt;&gt;"",SUBSTITUTE(SUBSTITUTE($AZ189,"-","")," ",""),$AY189))</f>
        <v/>
      </c>
      <c r="AY189" s="2">
        <f>IF(OR($AS189="",$E$6=""),"",TRIM(INDEX($A:$AP,ROW(),$E$6)&amp;""))</f>
        <v/>
      </c>
      <c r="AZ189" s="2">
        <f>IF(OR($AS189="",$D$6=""),"",TRIM(INDEX($A:$AP,ROW(),$D$6)&amp;""))</f>
        <v/>
      </c>
      <c r="BA189" s="2">
        <f>IF($AS189="","",IF(AND($AS189&gt;=설정!$B$10,$AS189&lt;=설정!$B$11),"포함","기간 밖"))</f>
        <v/>
      </c>
      <c r="BB189" s="2">
        <f>IF($AS189="","",IF(OR($AT189&lt;0,AND($I$6&lt;&gt;"",ISNUMBER(FIND("수정",INDEX($A:$AP,ROW(),IF($I$6="",1,$I$6))&amp;"")))),"수정","일반"))</f>
        <v/>
      </c>
      <c r="BC189" s="2">
        <f>IF($AS189="","",MID(IF($BA189="기간 밖"," / 기간 밖(신고기간 아님)","")&amp;IF(AND($AW189&lt;&gt;"",COUNTIF($AW$8:$AW$1007,$AW189)&gt;1)," / 승인번호 중복(두 번 붙여넣기?)","")&amp;IF(ABS($AU189-ROUND($AT189*0.1,0))&gt;설정!$B$8,IF($AU189=0," / 세액 0원(영세율·면세 여부 확인)"," / 세액이 공급가액 10%와 다름"),"")&amp;IF($BB189="수정"," / 수정세금계산서(합계에서 자동 가감)",""),4,200))</f>
        <v/>
      </c>
      <c r="BD189" s="2">
        <f>IF($BA189&lt;&gt;"포함","",IF(COUNTIFS($AX$8:$AX189,$AX189,$BA$8:$BA189,"포함")=1,MAX($BD$7:BD188)+1,""))</f>
        <v/>
      </c>
      <c r="BE189" s="2">
        <f>IF($BC189="","",MAX($BE$7:BE188)+1)</f>
        <v/>
      </c>
    </row>
    <row r="190">
      <c r="AR190" s="2">
        <f>IF(OR($A$5="",$B$6="",ROW()&lt;$A$5),"",IF(INDEX($A:$AP,ROW(),$B$6)="","",INDEX($A:$AP,ROW(),$B$6)))</f>
        <v/>
      </c>
      <c r="AS190" s="22">
        <f>IF($AR190="","",IF(ISNUMBER($AR190),IF($AR190&gt;=10000000,IFERROR(DATE(INT($AR190/10000),MOD(INT($AR190/100),100),MOD($AR190,100)),""),INT($AR190)),IFERROR(DATE(--LEFT(LEFT(SUBSTITUTE(SUBSTITUTE(SUBSTITUTE(SUBSTITUTE(TRIM($AR190),"-",""),".",""),"/","")," ",""),8),4),--MID(LEFT(SUBSTITUTE(SUBSTITUTE(SUBSTITUTE(SUBSTITUTE(TRIM($AR190),"-",""),".",""),"/","")," ",""),8),5,2),--MID(LEFT(SUBSTITUTE(SUBSTITUTE(SUBSTITUTE(SUBSTITUTE(TRIM($AR190),"-",""),".",""),"/","")," ",""),8),7,2)),"")))</f>
        <v/>
      </c>
      <c r="AT190" s="23">
        <f>IF($AS190="","",IF($F$6="",0,IF(ISNUMBER(INDEX($A:$AP,ROW(),$F$6)),INDEX($A:$AP,ROW(),$F$6),IFERROR(--SUBSTITUTE(SUBSTITUTE(TRIM(INDEX($A:$AP,ROW(),$F$6)),",",""),"원",""),0))))</f>
        <v/>
      </c>
      <c r="AU190" s="23">
        <f>IF($AS190="","",IF($G$6="",0,IF(ISNUMBER(INDEX($A:$AP,ROW(),$G$6)),INDEX($A:$AP,ROW(),$G$6),IFERROR(--SUBSTITUTE(SUBSTITUTE(TRIM(INDEX($A:$AP,ROW(),$G$6)),",",""),"원",""),0))))</f>
        <v/>
      </c>
      <c r="AV190" s="23">
        <f>IF($AS190="","",IF($H$6="",$AT190+$AU190,IF($H$6="",0,IF(ISNUMBER(INDEX($A:$AP,ROW(),$H$6)),INDEX($A:$AP,ROW(),$H$6),IFERROR(--SUBSTITUTE(SUBSTITUTE(TRIM(INDEX($A:$AP,ROW(),$H$6)),",",""),"원",""),0)))))</f>
        <v/>
      </c>
      <c r="AW190" s="2">
        <f>IF(OR($AS190="",$C$6=""),"",TRIM(INDEX($A:$AP,ROW(),$C$6)&amp;""))</f>
        <v/>
      </c>
      <c r="AX190" s="2">
        <f>IF($AS190="","",IF($AZ190&lt;&gt;"",SUBSTITUTE(SUBSTITUTE($AZ190,"-","")," ",""),$AY190))</f>
        <v/>
      </c>
      <c r="AY190" s="2">
        <f>IF(OR($AS190="",$E$6=""),"",TRIM(INDEX($A:$AP,ROW(),$E$6)&amp;""))</f>
        <v/>
      </c>
      <c r="AZ190" s="2">
        <f>IF(OR($AS190="",$D$6=""),"",TRIM(INDEX($A:$AP,ROW(),$D$6)&amp;""))</f>
        <v/>
      </c>
      <c r="BA190" s="2">
        <f>IF($AS190="","",IF(AND($AS190&gt;=설정!$B$10,$AS190&lt;=설정!$B$11),"포함","기간 밖"))</f>
        <v/>
      </c>
      <c r="BB190" s="2">
        <f>IF($AS190="","",IF(OR($AT190&lt;0,AND($I$6&lt;&gt;"",ISNUMBER(FIND("수정",INDEX($A:$AP,ROW(),IF($I$6="",1,$I$6))&amp;"")))),"수정","일반"))</f>
        <v/>
      </c>
      <c r="BC190" s="2">
        <f>IF($AS190="","",MID(IF($BA190="기간 밖"," / 기간 밖(신고기간 아님)","")&amp;IF(AND($AW190&lt;&gt;"",COUNTIF($AW$8:$AW$1007,$AW190)&gt;1)," / 승인번호 중복(두 번 붙여넣기?)","")&amp;IF(ABS($AU190-ROUND($AT190*0.1,0))&gt;설정!$B$8,IF($AU190=0," / 세액 0원(영세율·면세 여부 확인)"," / 세액이 공급가액 10%와 다름"),"")&amp;IF($BB190="수정"," / 수정세금계산서(합계에서 자동 가감)",""),4,200))</f>
        <v/>
      </c>
      <c r="BD190" s="2">
        <f>IF($BA190&lt;&gt;"포함","",IF(COUNTIFS($AX$8:$AX190,$AX190,$BA$8:$BA190,"포함")=1,MAX($BD$7:BD189)+1,""))</f>
        <v/>
      </c>
      <c r="BE190" s="2">
        <f>IF($BC190="","",MAX($BE$7:BE189)+1)</f>
        <v/>
      </c>
    </row>
    <row r="191">
      <c r="AR191" s="2">
        <f>IF(OR($A$5="",$B$6="",ROW()&lt;$A$5),"",IF(INDEX($A:$AP,ROW(),$B$6)="","",INDEX($A:$AP,ROW(),$B$6)))</f>
        <v/>
      </c>
      <c r="AS191" s="22">
        <f>IF($AR191="","",IF(ISNUMBER($AR191),IF($AR191&gt;=10000000,IFERROR(DATE(INT($AR191/10000),MOD(INT($AR191/100),100),MOD($AR191,100)),""),INT($AR191)),IFERROR(DATE(--LEFT(LEFT(SUBSTITUTE(SUBSTITUTE(SUBSTITUTE(SUBSTITUTE(TRIM($AR191),"-",""),".",""),"/","")," ",""),8),4),--MID(LEFT(SUBSTITUTE(SUBSTITUTE(SUBSTITUTE(SUBSTITUTE(TRIM($AR191),"-",""),".",""),"/","")," ",""),8),5,2),--MID(LEFT(SUBSTITUTE(SUBSTITUTE(SUBSTITUTE(SUBSTITUTE(TRIM($AR191),"-",""),".",""),"/","")," ",""),8),7,2)),"")))</f>
        <v/>
      </c>
      <c r="AT191" s="23">
        <f>IF($AS191="","",IF($F$6="",0,IF(ISNUMBER(INDEX($A:$AP,ROW(),$F$6)),INDEX($A:$AP,ROW(),$F$6),IFERROR(--SUBSTITUTE(SUBSTITUTE(TRIM(INDEX($A:$AP,ROW(),$F$6)),",",""),"원",""),0))))</f>
        <v/>
      </c>
      <c r="AU191" s="23">
        <f>IF($AS191="","",IF($G$6="",0,IF(ISNUMBER(INDEX($A:$AP,ROW(),$G$6)),INDEX($A:$AP,ROW(),$G$6),IFERROR(--SUBSTITUTE(SUBSTITUTE(TRIM(INDEX($A:$AP,ROW(),$G$6)),",",""),"원",""),0))))</f>
        <v/>
      </c>
      <c r="AV191" s="23">
        <f>IF($AS191="","",IF($H$6="",$AT191+$AU191,IF($H$6="",0,IF(ISNUMBER(INDEX($A:$AP,ROW(),$H$6)),INDEX($A:$AP,ROW(),$H$6),IFERROR(--SUBSTITUTE(SUBSTITUTE(TRIM(INDEX($A:$AP,ROW(),$H$6)),",",""),"원",""),0)))))</f>
        <v/>
      </c>
      <c r="AW191" s="2">
        <f>IF(OR($AS191="",$C$6=""),"",TRIM(INDEX($A:$AP,ROW(),$C$6)&amp;""))</f>
        <v/>
      </c>
      <c r="AX191" s="2">
        <f>IF($AS191="","",IF($AZ191&lt;&gt;"",SUBSTITUTE(SUBSTITUTE($AZ191,"-","")," ",""),$AY191))</f>
        <v/>
      </c>
      <c r="AY191" s="2">
        <f>IF(OR($AS191="",$E$6=""),"",TRIM(INDEX($A:$AP,ROW(),$E$6)&amp;""))</f>
        <v/>
      </c>
      <c r="AZ191" s="2">
        <f>IF(OR($AS191="",$D$6=""),"",TRIM(INDEX($A:$AP,ROW(),$D$6)&amp;""))</f>
        <v/>
      </c>
      <c r="BA191" s="2">
        <f>IF($AS191="","",IF(AND($AS191&gt;=설정!$B$10,$AS191&lt;=설정!$B$11),"포함","기간 밖"))</f>
        <v/>
      </c>
      <c r="BB191" s="2">
        <f>IF($AS191="","",IF(OR($AT191&lt;0,AND($I$6&lt;&gt;"",ISNUMBER(FIND("수정",INDEX($A:$AP,ROW(),IF($I$6="",1,$I$6))&amp;"")))),"수정","일반"))</f>
        <v/>
      </c>
      <c r="BC191" s="2">
        <f>IF($AS191="","",MID(IF($BA191="기간 밖"," / 기간 밖(신고기간 아님)","")&amp;IF(AND($AW191&lt;&gt;"",COUNTIF($AW$8:$AW$1007,$AW191)&gt;1)," / 승인번호 중복(두 번 붙여넣기?)","")&amp;IF(ABS($AU191-ROUND($AT191*0.1,0))&gt;설정!$B$8,IF($AU191=0," / 세액 0원(영세율·면세 여부 확인)"," / 세액이 공급가액 10%와 다름"),"")&amp;IF($BB191="수정"," / 수정세금계산서(합계에서 자동 가감)",""),4,200))</f>
        <v/>
      </c>
      <c r="BD191" s="2">
        <f>IF($BA191&lt;&gt;"포함","",IF(COUNTIFS($AX$8:$AX191,$AX191,$BA$8:$BA191,"포함")=1,MAX($BD$7:BD190)+1,""))</f>
        <v/>
      </c>
      <c r="BE191" s="2">
        <f>IF($BC191="","",MAX($BE$7:BE190)+1)</f>
        <v/>
      </c>
    </row>
    <row r="192">
      <c r="AR192" s="2">
        <f>IF(OR($A$5="",$B$6="",ROW()&lt;$A$5),"",IF(INDEX($A:$AP,ROW(),$B$6)="","",INDEX($A:$AP,ROW(),$B$6)))</f>
        <v/>
      </c>
      <c r="AS192" s="22">
        <f>IF($AR192="","",IF(ISNUMBER($AR192),IF($AR192&gt;=10000000,IFERROR(DATE(INT($AR192/10000),MOD(INT($AR192/100),100),MOD($AR192,100)),""),INT($AR192)),IFERROR(DATE(--LEFT(LEFT(SUBSTITUTE(SUBSTITUTE(SUBSTITUTE(SUBSTITUTE(TRIM($AR192),"-",""),".",""),"/","")," ",""),8),4),--MID(LEFT(SUBSTITUTE(SUBSTITUTE(SUBSTITUTE(SUBSTITUTE(TRIM($AR192),"-",""),".",""),"/","")," ",""),8),5,2),--MID(LEFT(SUBSTITUTE(SUBSTITUTE(SUBSTITUTE(SUBSTITUTE(TRIM($AR192),"-",""),".",""),"/","")," ",""),8),7,2)),"")))</f>
        <v/>
      </c>
      <c r="AT192" s="23">
        <f>IF($AS192="","",IF($F$6="",0,IF(ISNUMBER(INDEX($A:$AP,ROW(),$F$6)),INDEX($A:$AP,ROW(),$F$6),IFERROR(--SUBSTITUTE(SUBSTITUTE(TRIM(INDEX($A:$AP,ROW(),$F$6)),",",""),"원",""),0))))</f>
        <v/>
      </c>
      <c r="AU192" s="23">
        <f>IF($AS192="","",IF($G$6="",0,IF(ISNUMBER(INDEX($A:$AP,ROW(),$G$6)),INDEX($A:$AP,ROW(),$G$6),IFERROR(--SUBSTITUTE(SUBSTITUTE(TRIM(INDEX($A:$AP,ROW(),$G$6)),",",""),"원",""),0))))</f>
        <v/>
      </c>
      <c r="AV192" s="23">
        <f>IF($AS192="","",IF($H$6="",$AT192+$AU192,IF($H$6="",0,IF(ISNUMBER(INDEX($A:$AP,ROW(),$H$6)),INDEX($A:$AP,ROW(),$H$6),IFERROR(--SUBSTITUTE(SUBSTITUTE(TRIM(INDEX($A:$AP,ROW(),$H$6)),",",""),"원",""),0)))))</f>
        <v/>
      </c>
      <c r="AW192" s="2">
        <f>IF(OR($AS192="",$C$6=""),"",TRIM(INDEX($A:$AP,ROW(),$C$6)&amp;""))</f>
        <v/>
      </c>
      <c r="AX192" s="2">
        <f>IF($AS192="","",IF($AZ192&lt;&gt;"",SUBSTITUTE(SUBSTITUTE($AZ192,"-","")," ",""),$AY192))</f>
        <v/>
      </c>
      <c r="AY192" s="2">
        <f>IF(OR($AS192="",$E$6=""),"",TRIM(INDEX($A:$AP,ROW(),$E$6)&amp;""))</f>
        <v/>
      </c>
      <c r="AZ192" s="2">
        <f>IF(OR($AS192="",$D$6=""),"",TRIM(INDEX($A:$AP,ROW(),$D$6)&amp;""))</f>
        <v/>
      </c>
      <c r="BA192" s="2">
        <f>IF($AS192="","",IF(AND($AS192&gt;=설정!$B$10,$AS192&lt;=설정!$B$11),"포함","기간 밖"))</f>
        <v/>
      </c>
      <c r="BB192" s="2">
        <f>IF($AS192="","",IF(OR($AT192&lt;0,AND($I$6&lt;&gt;"",ISNUMBER(FIND("수정",INDEX($A:$AP,ROW(),IF($I$6="",1,$I$6))&amp;"")))),"수정","일반"))</f>
        <v/>
      </c>
      <c r="BC192" s="2">
        <f>IF($AS192="","",MID(IF($BA192="기간 밖"," / 기간 밖(신고기간 아님)","")&amp;IF(AND($AW192&lt;&gt;"",COUNTIF($AW$8:$AW$1007,$AW192)&gt;1)," / 승인번호 중복(두 번 붙여넣기?)","")&amp;IF(ABS($AU192-ROUND($AT192*0.1,0))&gt;설정!$B$8,IF($AU192=0," / 세액 0원(영세율·면세 여부 확인)"," / 세액이 공급가액 10%와 다름"),"")&amp;IF($BB192="수정"," / 수정세금계산서(합계에서 자동 가감)",""),4,200))</f>
        <v/>
      </c>
      <c r="BD192" s="2">
        <f>IF($BA192&lt;&gt;"포함","",IF(COUNTIFS($AX$8:$AX192,$AX192,$BA$8:$BA192,"포함")=1,MAX($BD$7:BD191)+1,""))</f>
        <v/>
      </c>
      <c r="BE192" s="2">
        <f>IF($BC192="","",MAX($BE$7:BE191)+1)</f>
        <v/>
      </c>
    </row>
    <row r="193">
      <c r="AR193" s="2">
        <f>IF(OR($A$5="",$B$6="",ROW()&lt;$A$5),"",IF(INDEX($A:$AP,ROW(),$B$6)="","",INDEX($A:$AP,ROW(),$B$6)))</f>
        <v/>
      </c>
      <c r="AS193" s="22">
        <f>IF($AR193="","",IF(ISNUMBER($AR193),IF($AR193&gt;=10000000,IFERROR(DATE(INT($AR193/10000),MOD(INT($AR193/100),100),MOD($AR193,100)),""),INT($AR193)),IFERROR(DATE(--LEFT(LEFT(SUBSTITUTE(SUBSTITUTE(SUBSTITUTE(SUBSTITUTE(TRIM($AR193),"-",""),".",""),"/","")," ",""),8),4),--MID(LEFT(SUBSTITUTE(SUBSTITUTE(SUBSTITUTE(SUBSTITUTE(TRIM($AR193),"-",""),".",""),"/","")," ",""),8),5,2),--MID(LEFT(SUBSTITUTE(SUBSTITUTE(SUBSTITUTE(SUBSTITUTE(TRIM($AR193),"-",""),".",""),"/","")," ",""),8),7,2)),"")))</f>
        <v/>
      </c>
      <c r="AT193" s="23">
        <f>IF($AS193="","",IF($F$6="",0,IF(ISNUMBER(INDEX($A:$AP,ROW(),$F$6)),INDEX($A:$AP,ROW(),$F$6),IFERROR(--SUBSTITUTE(SUBSTITUTE(TRIM(INDEX($A:$AP,ROW(),$F$6)),",",""),"원",""),0))))</f>
        <v/>
      </c>
      <c r="AU193" s="23">
        <f>IF($AS193="","",IF($G$6="",0,IF(ISNUMBER(INDEX($A:$AP,ROW(),$G$6)),INDEX($A:$AP,ROW(),$G$6),IFERROR(--SUBSTITUTE(SUBSTITUTE(TRIM(INDEX($A:$AP,ROW(),$G$6)),",",""),"원",""),0))))</f>
        <v/>
      </c>
      <c r="AV193" s="23">
        <f>IF($AS193="","",IF($H$6="",$AT193+$AU193,IF($H$6="",0,IF(ISNUMBER(INDEX($A:$AP,ROW(),$H$6)),INDEX($A:$AP,ROW(),$H$6),IFERROR(--SUBSTITUTE(SUBSTITUTE(TRIM(INDEX($A:$AP,ROW(),$H$6)),",",""),"원",""),0)))))</f>
        <v/>
      </c>
      <c r="AW193" s="2">
        <f>IF(OR($AS193="",$C$6=""),"",TRIM(INDEX($A:$AP,ROW(),$C$6)&amp;""))</f>
        <v/>
      </c>
      <c r="AX193" s="2">
        <f>IF($AS193="","",IF($AZ193&lt;&gt;"",SUBSTITUTE(SUBSTITUTE($AZ193,"-","")," ",""),$AY193))</f>
        <v/>
      </c>
      <c r="AY193" s="2">
        <f>IF(OR($AS193="",$E$6=""),"",TRIM(INDEX($A:$AP,ROW(),$E$6)&amp;""))</f>
        <v/>
      </c>
      <c r="AZ193" s="2">
        <f>IF(OR($AS193="",$D$6=""),"",TRIM(INDEX($A:$AP,ROW(),$D$6)&amp;""))</f>
        <v/>
      </c>
      <c r="BA193" s="2">
        <f>IF($AS193="","",IF(AND($AS193&gt;=설정!$B$10,$AS193&lt;=설정!$B$11),"포함","기간 밖"))</f>
        <v/>
      </c>
      <c r="BB193" s="2">
        <f>IF($AS193="","",IF(OR($AT193&lt;0,AND($I$6&lt;&gt;"",ISNUMBER(FIND("수정",INDEX($A:$AP,ROW(),IF($I$6="",1,$I$6))&amp;"")))),"수정","일반"))</f>
        <v/>
      </c>
      <c r="BC193" s="2">
        <f>IF($AS193="","",MID(IF($BA193="기간 밖"," / 기간 밖(신고기간 아님)","")&amp;IF(AND($AW193&lt;&gt;"",COUNTIF($AW$8:$AW$1007,$AW193)&gt;1)," / 승인번호 중복(두 번 붙여넣기?)","")&amp;IF(ABS($AU193-ROUND($AT193*0.1,0))&gt;설정!$B$8,IF($AU193=0," / 세액 0원(영세율·면세 여부 확인)"," / 세액이 공급가액 10%와 다름"),"")&amp;IF($BB193="수정"," / 수정세금계산서(합계에서 자동 가감)",""),4,200))</f>
        <v/>
      </c>
      <c r="BD193" s="2">
        <f>IF($BA193&lt;&gt;"포함","",IF(COUNTIFS($AX$8:$AX193,$AX193,$BA$8:$BA193,"포함")=1,MAX($BD$7:BD192)+1,""))</f>
        <v/>
      </c>
      <c r="BE193" s="2">
        <f>IF($BC193="","",MAX($BE$7:BE192)+1)</f>
        <v/>
      </c>
    </row>
    <row r="194">
      <c r="AR194" s="2">
        <f>IF(OR($A$5="",$B$6="",ROW()&lt;$A$5),"",IF(INDEX($A:$AP,ROW(),$B$6)="","",INDEX($A:$AP,ROW(),$B$6)))</f>
        <v/>
      </c>
      <c r="AS194" s="22">
        <f>IF($AR194="","",IF(ISNUMBER($AR194),IF($AR194&gt;=10000000,IFERROR(DATE(INT($AR194/10000),MOD(INT($AR194/100),100),MOD($AR194,100)),""),INT($AR194)),IFERROR(DATE(--LEFT(LEFT(SUBSTITUTE(SUBSTITUTE(SUBSTITUTE(SUBSTITUTE(TRIM($AR194),"-",""),".",""),"/","")," ",""),8),4),--MID(LEFT(SUBSTITUTE(SUBSTITUTE(SUBSTITUTE(SUBSTITUTE(TRIM($AR194),"-",""),".",""),"/","")," ",""),8),5,2),--MID(LEFT(SUBSTITUTE(SUBSTITUTE(SUBSTITUTE(SUBSTITUTE(TRIM($AR194),"-",""),".",""),"/","")," ",""),8),7,2)),"")))</f>
        <v/>
      </c>
      <c r="AT194" s="23">
        <f>IF($AS194="","",IF($F$6="",0,IF(ISNUMBER(INDEX($A:$AP,ROW(),$F$6)),INDEX($A:$AP,ROW(),$F$6),IFERROR(--SUBSTITUTE(SUBSTITUTE(TRIM(INDEX($A:$AP,ROW(),$F$6)),",",""),"원",""),0))))</f>
        <v/>
      </c>
      <c r="AU194" s="23">
        <f>IF($AS194="","",IF($G$6="",0,IF(ISNUMBER(INDEX($A:$AP,ROW(),$G$6)),INDEX($A:$AP,ROW(),$G$6),IFERROR(--SUBSTITUTE(SUBSTITUTE(TRIM(INDEX($A:$AP,ROW(),$G$6)),",",""),"원",""),0))))</f>
        <v/>
      </c>
      <c r="AV194" s="23">
        <f>IF($AS194="","",IF($H$6="",$AT194+$AU194,IF($H$6="",0,IF(ISNUMBER(INDEX($A:$AP,ROW(),$H$6)),INDEX($A:$AP,ROW(),$H$6),IFERROR(--SUBSTITUTE(SUBSTITUTE(TRIM(INDEX($A:$AP,ROW(),$H$6)),",",""),"원",""),0)))))</f>
        <v/>
      </c>
      <c r="AW194" s="2">
        <f>IF(OR($AS194="",$C$6=""),"",TRIM(INDEX($A:$AP,ROW(),$C$6)&amp;""))</f>
        <v/>
      </c>
      <c r="AX194" s="2">
        <f>IF($AS194="","",IF($AZ194&lt;&gt;"",SUBSTITUTE(SUBSTITUTE($AZ194,"-","")," ",""),$AY194))</f>
        <v/>
      </c>
      <c r="AY194" s="2">
        <f>IF(OR($AS194="",$E$6=""),"",TRIM(INDEX($A:$AP,ROW(),$E$6)&amp;""))</f>
        <v/>
      </c>
      <c r="AZ194" s="2">
        <f>IF(OR($AS194="",$D$6=""),"",TRIM(INDEX($A:$AP,ROW(),$D$6)&amp;""))</f>
        <v/>
      </c>
      <c r="BA194" s="2">
        <f>IF($AS194="","",IF(AND($AS194&gt;=설정!$B$10,$AS194&lt;=설정!$B$11),"포함","기간 밖"))</f>
        <v/>
      </c>
      <c r="BB194" s="2">
        <f>IF($AS194="","",IF(OR($AT194&lt;0,AND($I$6&lt;&gt;"",ISNUMBER(FIND("수정",INDEX($A:$AP,ROW(),IF($I$6="",1,$I$6))&amp;"")))),"수정","일반"))</f>
        <v/>
      </c>
      <c r="BC194" s="2">
        <f>IF($AS194="","",MID(IF($BA194="기간 밖"," / 기간 밖(신고기간 아님)","")&amp;IF(AND($AW194&lt;&gt;"",COUNTIF($AW$8:$AW$1007,$AW194)&gt;1)," / 승인번호 중복(두 번 붙여넣기?)","")&amp;IF(ABS($AU194-ROUND($AT194*0.1,0))&gt;설정!$B$8,IF($AU194=0," / 세액 0원(영세율·면세 여부 확인)"," / 세액이 공급가액 10%와 다름"),"")&amp;IF($BB194="수정"," / 수정세금계산서(합계에서 자동 가감)",""),4,200))</f>
        <v/>
      </c>
      <c r="BD194" s="2">
        <f>IF($BA194&lt;&gt;"포함","",IF(COUNTIFS($AX$8:$AX194,$AX194,$BA$8:$BA194,"포함")=1,MAX($BD$7:BD193)+1,""))</f>
        <v/>
      </c>
      <c r="BE194" s="2">
        <f>IF($BC194="","",MAX($BE$7:BE193)+1)</f>
        <v/>
      </c>
    </row>
    <row r="195">
      <c r="AR195" s="2">
        <f>IF(OR($A$5="",$B$6="",ROW()&lt;$A$5),"",IF(INDEX($A:$AP,ROW(),$B$6)="","",INDEX($A:$AP,ROW(),$B$6)))</f>
        <v/>
      </c>
      <c r="AS195" s="22">
        <f>IF($AR195="","",IF(ISNUMBER($AR195),IF($AR195&gt;=10000000,IFERROR(DATE(INT($AR195/10000),MOD(INT($AR195/100),100),MOD($AR195,100)),""),INT($AR195)),IFERROR(DATE(--LEFT(LEFT(SUBSTITUTE(SUBSTITUTE(SUBSTITUTE(SUBSTITUTE(TRIM($AR195),"-",""),".",""),"/","")," ",""),8),4),--MID(LEFT(SUBSTITUTE(SUBSTITUTE(SUBSTITUTE(SUBSTITUTE(TRIM($AR195),"-",""),".",""),"/","")," ",""),8),5,2),--MID(LEFT(SUBSTITUTE(SUBSTITUTE(SUBSTITUTE(SUBSTITUTE(TRIM($AR195),"-",""),".",""),"/","")," ",""),8),7,2)),"")))</f>
        <v/>
      </c>
      <c r="AT195" s="23">
        <f>IF($AS195="","",IF($F$6="",0,IF(ISNUMBER(INDEX($A:$AP,ROW(),$F$6)),INDEX($A:$AP,ROW(),$F$6),IFERROR(--SUBSTITUTE(SUBSTITUTE(TRIM(INDEX($A:$AP,ROW(),$F$6)),",",""),"원",""),0))))</f>
        <v/>
      </c>
      <c r="AU195" s="23">
        <f>IF($AS195="","",IF($G$6="",0,IF(ISNUMBER(INDEX($A:$AP,ROW(),$G$6)),INDEX($A:$AP,ROW(),$G$6),IFERROR(--SUBSTITUTE(SUBSTITUTE(TRIM(INDEX($A:$AP,ROW(),$G$6)),",",""),"원",""),0))))</f>
        <v/>
      </c>
      <c r="AV195" s="23">
        <f>IF($AS195="","",IF($H$6="",$AT195+$AU195,IF($H$6="",0,IF(ISNUMBER(INDEX($A:$AP,ROW(),$H$6)),INDEX($A:$AP,ROW(),$H$6),IFERROR(--SUBSTITUTE(SUBSTITUTE(TRIM(INDEX($A:$AP,ROW(),$H$6)),",",""),"원",""),0)))))</f>
        <v/>
      </c>
      <c r="AW195" s="2">
        <f>IF(OR($AS195="",$C$6=""),"",TRIM(INDEX($A:$AP,ROW(),$C$6)&amp;""))</f>
        <v/>
      </c>
      <c r="AX195" s="2">
        <f>IF($AS195="","",IF($AZ195&lt;&gt;"",SUBSTITUTE(SUBSTITUTE($AZ195,"-","")," ",""),$AY195))</f>
        <v/>
      </c>
      <c r="AY195" s="2">
        <f>IF(OR($AS195="",$E$6=""),"",TRIM(INDEX($A:$AP,ROW(),$E$6)&amp;""))</f>
        <v/>
      </c>
      <c r="AZ195" s="2">
        <f>IF(OR($AS195="",$D$6=""),"",TRIM(INDEX($A:$AP,ROW(),$D$6)&amp;""))</f>
        <v/>
      </c>
      <c r="BA195" s="2">
        <f>IF($AS195="","",IF(AND($AS195&gt;=설정!$B$10,$AS195&lt;=설정!$B$11),"포함","기간 밖"))</f>
        <v/>
      </c>
      <c r="BB195" s="2">
        <f>IF($AS195="","",IF(OR($AT195&lt;0,AND($I$6&lt;&gt;"",ISNUMBER(FIND("수정",INDEX($A:$AP,ROW(),IF($I$6="",1,$I$6))&amp;"")))),"수정","일반"))</f>
        <v/>
      </c>
      <c r="BC195" s="2">
        <f>IF($AS195="","",MID(IF($BA195="기간 밖"," / 기간 밖(신고기간 아님)","")&amp;IF(AND($AW195&lt;&gt;"",COUNTIF($AW$8:$AW$1007,$AW195)&gt;1)," / 승인번호 중복(두 번 붙여넣기?)","")&amp;IF(ABS($AU195-ROUND($AT195*0.1,0))&gt;설정!$B$8,IF($AU195=0," / 세액 0원(영세율·면세 여부 확인)"," / 세액이 공급가액 10%와 다름"),"")&amp;IF($BB195="수정"," / 수정세금계산서(합계에서 자동 가감)",""),4,200))</f>
        <v/>
      </c>
      <c r="BD195" s="2">
        <f>IF($BA195&lt;&gt;"포함","",IF(COUNTIFS($AX$8:$AX195,$AX195,$BA$8:$BA195,"포함")=1,MAX($BD$7:BD194)+1,""))</f>
        <v/>
      </c>
      <c r="BE195" s="2">
        <f>IF($BC195="","",MAX($BE$7:BE194)+1)</f>
        <v/>
      </c>
    </row>
    <row r="196">
      <c r="AR196" s="2">
        <f>IF(OR($A$5="",$B$6="",ROW()&lt;$A$5),"",IF(INDEX($A:$AP,ROW(),$B$6)="","",INDEX($A:$AP,ROW(),$B$6)))</f>
        <v/>
      </c>
      <c r="AS196" s="22">
        <f>IF($AR196="","",IF(ISNUMBER($AR196),IF($AR196&gt;=10000000,IFERROR(DATE(INT($AR196/10000),MOD(INT($AR196/100),100),MOD($AR196,100)),""),INT($AR196)),IFERROR(DATE(--LEFT(LEFT(SUBSTITUTE(SUBSTITUTE(SUBSTITUTE(SUBSTITUTE(TRIM($AR196),"-",""),".",""),"/","")," ",""),8),4),--MID(LEFT(SUBSTITUTE(SUBSTITUTE(SUBSTITUTE(SUBSTITUTE(TRIM($AR196),"-",""),".",""),"/","")," ",""),8),5,2),--MID(LEFT(SUBSTITUTE(SUBSTITUTE(SUBSTITUTE(SUBSTITUTE(TRIM($AR196),"-",""),".",""),"/","")," ",""),8),7,2)),"")))</f>
        <v/>
      </c>
      <c r="AT196" s="23">
        <f>IF($AS196="","",IF($F$6="",0,IF(ISNUMBER(INDEX($A:$AP,ROW(),$F$6)),INDEX($A:$AP,ROW(),$F$6),IFERROR(--SUBSTITUTE(SUBSTITUTE(TRIM(INDEX($A:$AP,ROW(),$F$6)),",",""),"원",""),0))))</f>
        <v/>
      </c>
      <c r="AU196" s="23">
        <f>IF($AS196="","",IF($G$6="",0,IF(ISNUMBER(INDEX($A:$AP,ROW(),$G$6)),INDEX($A:$AP,ROW(),$G$6),IFERROR(--SUBSTITUTE(SUBSTITUTE(TRIM(INDEX($A:$AP,ROW(),$G$6)),",",""),"원",""),0))))</f>
        <v/>
      </c>
      <c r="AV196" s="23">
        <f>IF($AS196="","",IF($H$6="",$AT196+$AU196,IF($H$6="",0,IF(ISNUMBER(INDEX($A:$AP,ROW(),$H$6)),INDEX($A:$AP,ROW(),$H$6),IFERROR(--SUBSTITUTE(SUBSTITUTE(TRIM(INDEX($A:$AP,ROW(),$H$6)),",",""),"원",""),0)))))</f>
        <v/>
      </c>
      <c r="AW196" s="2">
        <f>IF(OR($AS196="",$C$6=""),"",TRIM(INDEX($A:$AP,ROW(),$C$6)&amp;""))</f>
        <v/>
      </c>
      <c r="AX196" s="2">
        <f>IF($AS196="","",IF($AZ196&lt;&gt;"",SUBSTITUTE(SUBSTITUTE($AZ196,"-","")," ",""),$AY196))</f>
        <v/>
      </c>
      <c r="AY196" s="2">
        <f>IF(OR($AS196="",$E$6=""),"",TRIM(INDEX($A:$AP,ROW(),$E$6)&amp;""))</f>
        <v/>
      </c>
      <c r="AZ196" s="2">
        <f>IF(OR($AS196="",$D$6=""),"",TRIM(INDEX($A:$AP,ROW(),$D$6)&amp;""))</f>
        <v/>
      </c>
      <c r="BA196" s="2">
        <f>IF($AS196="","",IF(AND($AS196&gt;=설정!$B$10,$AS196&lt;=설정!$B$11),"포함","기간 밖"))</f>
        <v/>
      </c>
      <c r="BB196" s="2">
        <f>IF($AS196="","",IF(OR($AT196&lt;0,AND($I$6&lt;&gt;"",ISNUMBER(FIND("수정",INDEX($A:$AP,ROW(),IF($I$6="",1,$I$6))&amp;"")))),"수정","일반"))</f>
        <v/>
      </c>
      <c r="BC196" s="2">
        <f>IF($AS196="","",MID(IF($BA196="기간 밖"," / 기간 밖(신고기간 아님)","")&amp;IF(AND($AW196&lt;&gt;"",COUNTIF($AW$8:$AW$1007,$AW196)&gt;1)," / 승인번호 중복(두 번 붙여넣기?)","")&amp;IF(ABS($AU196-ROUND($AT196*0.1,0))&gt;설정!$B$8,IF($AU196=0," / 세액 0원(영세율·면세 여부 확인)"," / 세액이 공급가액 10%와 다름"),"")&amp;IF($BB196="수정"," / 수정세금계산서(합계에서 자동 가감)",""),4,200))</f>
        <v/>
      </c>
      <c r="BD196" s="2">
        <f>IF($BA196&lt;&gt;"포함","",IF(COUNTIFS($AX$8:$AX196,$AX196,$BA$8:$BA196,"포함")=1,MAX($BD$7:BD195)+1,""))</f>
        <v/>
      </c>
      <c r="BE196" s="2">
        <f>IF($BC196="","",MAX($BE$7:BE195)+1)</f>
        <v/>
      </c>
    </row>
    <row r="197">
      <c r="AR197" s="2">
        <f>IF(OR($A$5="",$B$6="",ROW()&lt;$A$5),"",IF(INDEX($A:$AP,ROW(),$B$6)="","",INDEX($A:$AP,ROW(),$B$6)))</f>
        <v/>
      </c>
      <c r="AS197" s="22">
        <f>IF($AR197="","",IF(ISNUMBER($AR197),IF($AR197&gt;=10000000,IFERROR(DATE(INT($AR197/10000),MOD(INT($AR197/100),100),MOD($AR197,100)),""),INT($AR197)),IFERROR(DATE(--LEFT(LEFT(SUBSTITUTE(SUBSTITUTE(SUBSTITUTE(SUBSTITUTE(TRIM($AR197),"-",""),".",""),"/","")," ",""),8),4),--MID(LEFT(SUBSTITUTE(SUBSTITUTE(SUBSTITUTE(SUBSTITUTE(TRIM($AR197),"-",""),".",""),"/","")," ",""),8),5,2),--MID(LEFT(SUBSTITUTE(SUBSTITUTE(SUBSTITUTE(SUBSTITUTE(TRIM($AR197),"-",""),".",""),"/","")," ",""),8),7,2)),"")))</f>
        <v/>
      </c>
      <c r="AT197" s="23">
        <f>IF($AS197="","",IF($F$6="",0,IF(ISNUMBER(INDEX($A:$AP,ROW(),$F$6)),INDEX($A:$AP,ROW(),$F$6),IFERROR(--SUBSTITUTE(SUBSTITUTE(TRIM(INDEX($A:$AP,ROW(),$F$6)),",",""),"원",""),0))))</f>
        <v/>
      </c>
      <c r="AU197" s="23">
        <f>IF($AS197="","",IF($G$6="",0,IF(ISNUMBER(INDEX($A:$AP,ROW(),$G$6)),INDEX($A:$AP,ROW(),$G$6),IFERROR(--SUBSTITUTE(SUBSTITUTE(TRIM(INDEX($A:$AP,ROW(),$G$6)),",",""),"원",""),0))))</f>
        <v/>
      </c>
      <c r="AV197" s="23">
        <f>IF($AS197="","",IF($H$6="",$AT197+$AU197,IF($H$6="",0,IF(ISNUMBER(INDEX($A:$AP,ROW(),$H$6)),INDEX($A:$AP,ROW(),$H$6),IFERROR(--SUBSTITUTE(SUBSTITUTE(TRIM(INDEX($A:$AP,ROW(),$H$6)),",",""),"원",""),0)))))</f>
        <v/>
      </c>
      <c r="AW197" s="2">
        <f>IF(OR($AS197="",$C$6=""),"",TRIM(INDEX($A:$AP,ROW(),$C$6)&amp;""))</f>
        <v/>
      </c>
      <c r="AX197" s="2">
        <f>IF($AS197="","",IF($AZ197&lt;&gt;"",SUBSTITUTE(SUBSTITUTE($AZ197,"-","")," ",""),$AY197))</f>
        <v/>
      </c>
      <c r="AY197" s="2">
        <f>IF(OR($AS197="",$E$6=""),"",TRIM(INDEX($A:$AP,ROW(),$E$6)&amp;""))</f>
        <v/>
      </c>
      <c r="AZ197" s="2">
        <f>IF(OR($AS197="",$D$6=""),"",TRIM(INDEX($A:$AP,ROW(),$D$6)&amp;""))</f>
        <v/>
      </c>
      <c r="BA197" s="2">
        <f>IF($AS197="","",IF(AND($AS197&gt;=설정!$B$10,$AS197&lt;=설정!$B$11),"포함","기간 밖"))</f>
        <v/>
      </c>
      <c r="BB197" s="2">
        <f>IF($AS197="","",IF(OR($AT197&lt;0,AND($I$6&lt;&gt;"",ISNUMBER(FIND("수정",INDEX($A:$AP,ROW(),IF($I$6="",1,$I$6))&amp;"")))),"수정","일반"))</f>
        <v/>
      </c>
      <c r="BC197" s="2">
        <f>IF($AS197="","",MID(IF($BA197="기간 밖"," / 기간 밖(신고기간 아님)","")&amp;IF(AND($AW197&lt;&gt;"",COUNTIF($AW$8:$AW$1007,$AW197)&gt;1)," / 승인번호 중복(두 번 붙여넣기?)","")&amp;IF(ABS($AU197-ROUND($AT197*0.1,0))&gt;설정!$B$8,IF($AU197=0," / 세액 0원(영세율·면세 여부 확인)"," / 세액이 공급가액 10%와 다름"),"")&amp;IF($BB197="수정"," / 수정세금계산서(합계에서 자동 가감)",""),4,200))</f>
        <v/>
      </c>
      <c r="BD197" s="2">
        <f>IF($BA197&lt;&gt;"포함","",IF(COUNTIFS($AX$8:$AX197,$AX197,$BA$8:$BA197,"포함")=1,MAX($BD$7:BD196)+1,""))</f>
        <v/>
      </c>
      <c r="BE197" s="2">
        <f>IF($BC197="","",MAX($BE$7:BE196)+1)</f>
        <v/>
      </c>
    </row>
    <row r="198">
      <c r="AR198" s="2">
        <f>IF(OR($A$5="",$B$6="",ROW()&lt;$A$5),"",IF(INDEX($A:$AP,ROW(),$B$6)="","",INDEX($A:$AP,ROW(),$B$6)))</f>
        <v/>
      </c>
      <c r="AS198" s="22">
        <f>IF($AR198="","",IF(ISNUMBER($AR198),IF($AR198&gt;=10000000,IFERROR(DATE(INT($AR198/10000),MOD(INT($AR198/100),100),MOD($AR198,100)),""),INT($AR198)),IFERROR(DATE(--LEFT(LEFT(SUBSTITUTE(SUBSTITUTE(SUBSTITUTE(SUBSTITUTE(TRIM($AR198),"-",""),".",""),"/","")," ",""),8),4),--MID(LEFT(SUBSTITUTE(SUBSTITUTE(SUBSTITUTE(SUBSTITUTE(TRIM($AR198),"-",""),".",""),"/","")," ",""),8),5,2),--MID(LEFT(SUBSTITUTE(SUBSTITUTE(SUBSTITUTE(SUBSTITUTE(TRIM($AR198),"-",""),".",""),"/","")," ",""),8),7,2)),"")))</f>
        <v/>
      </c>
      <c r="AT198" s="23">
        <f>IF($AS198="","",IF($F$6="",0,IF(ISNUMBER(INDEX($A:$AP,ROW(),$F$6)),INDEX($A:$AP,ROW(),$F$6),IFERROR(--SUBSTITUTE(SUBSTITUTE(TRIM(INDEX($A:$AP,ROW(),$F$6)),",",""),"원",""),0))))</f>
        <v/>
      </c>
      <c r="AU198" s="23">
        <f>IF($AS198="","",IF($G$6="",0,IF(ISNUMBER(INDEX($A:$AP,ROW(),$G$6)),INDEX($A:$AP,ROW(),$G$6),IFERROR(--SUBSTITUTE(SUBSTITUTE(TRIM(INDEX($A:$AP,ROW(),$G$6)),",",""),"원",""),0))))</f>
        <v/>
      </c>
      <c r="AV198" s="23">
        <f>IF($AS198="","",IF($H$6="",$AT198+$AU198,IF($H$6="",0,IF(ISNUMBER(INDEX($A:$AP,ROW(),$H$6)),INDEX($A:$AP,ROW(),$H$6),IFERROR(--SUBSTITUTE(SUBSTITUTE(TRIM(INDEX($A:$AP,ROW(),$H$6)),",",""),"원",""),0)))))</f>
        <v/>
      </c>
      <c r="AW198" s="2">
        <f>IF(OR($AS198="",$C$6=""),"",TRIM(INDEX($A:$AP,ROW(),$C$6)&amp;""))</f>
        <v/>
      </c>
      <c r="AX198" s="2">
        <f>IF($AS198="","",IF($AZ198&lt;&gt;"",SUBSTITUTE(SUBSTITUTE($AZ198,"-","")," ",""),$AY198))</f>
        <v/>
      </c>
      <c r="AY198" s="2">
        <f>IF(OR($AS198="",$E$6=""),"",TRIM(INDEX($A:$AP,ROW(),$E$6)&amp;""))</f>
        <v/>
      </c>
      <c r="AZ198" s="2">
        <f>IF(OR($AS198="",$D$6=""),"",TRIM(INDEX($A:$AP,ROW(),$D$6)&amp;""))</f>
        <v/>
      </c>
      <c r="BA198" s="2">
        <f>IF($AS198="","",IF(AND($AS198&gt;=설정!$B$10,$AS198&lt;=설정!$B$11),"포함","기간 밖"))</f>
        <v/>
      </c>
      <c r="BB198" s="2">
        <f>IF($AS198="","",IF(OR($AT198&lt;0,AND($I$6&lt;&gt;"",ISNUMBER(FIND("수정",INDEX($A:$AP,ROW(),IF($I$6="",1,$I$6))&amp;"")))),"수정","일반"))</f>
        <v/>
      </c>
      <c r="BC198" s="2">
        <f>IF($AS198="","",MID(IF($BA198="기간 밖"," / 기간 밖(신고기간 아님)","")&amp;IF(AND($AW198&lt;&gt;"",COUNTIF($AW$8:$AW$1007,$AW198)&gt;1)," / 승인번호 중복(두 번 붙여넣기?)","")&amp;IF(ABS($AU198-ROUND($AT198*0.1,0))&gt;설정!$B$8,IF($AU198=0," / 세액 0원(영세율·면세 여부 확인)"," / 세액이 공급가액 10%와 다름"),"")&amp;IF($BB198="수정"," / 수정세금계산서(합계에서 자동 가감)",""),4,200))</f>
        <v/>
      </c>
      <c r="BD198" s="2">
        <f>IF($BA198&lt;&gt;"포함","",IF(COUNTIFS($AX$8:$AX198,$AX198,$BA$8:$BA198,"포함")=1,MAX($BD$7:BD197)+1,""))</f>
        <v/>
      </c>
      <c r="BE198" s="2">
        <f>IF($BC198="","",MAX($BE$7:BE197)+1)</f>
        <v/>
      </c>
    </row>
    <row r="199">
      <c r="AR199" s="2">
        <f>IF(OR($A$5="",$B$6="",ROW()&lt;$A$5),"",IF(INDEX($A:$AP,ROW(),$B$6)="","",INDEX($A:$AP,ROW(),$B$6)))</f>
        <v/>
      </c>
      <c r="AS199" s="22">
        <f>IF($AR199="","",IF(ISNUMBER($AR199),IF($AR199&gt;=10000000,IFERROR(DATE(INT($AR199/10000),MOD(INT($AR199/100),100),MOD($AR199,100)),""),INT($AR199)),IFERROR(DATE(--LEFT(LEFT(SUBSTITUTE(SUBSTITUTE(SUBSTITUTE(SUBSTITUTE(TRIM($AR199),"-",""),".",""),"/","")," ",""),8),4),--MID(LEFT(SUBSTITUTE(SUBSTITUTE(SUBSTITUTE(SUBSTITUTE(TRIM($AR199),"-",""),".",""),"/","")," ",""),8),5,2),--MID(LEFT(SUBSTITUTE(SUBSTITUTE(SUBSTITUTE(SUBSTITUTE(TRIM($AR199),"-",""),".",""),"/","")," ",""),8),7,2)),"")))</f>
        <v/>
      </c>
      <c r="AT199" s="23">
        <f>IF($AS199="","",IF($F$6="",0,IF(ISNUMBER(INDEX($A:$AP,ROW(),$F$6)),INDEX($A:$AP,ROW(),$F$6),IFERROR(--SUBSTITUTE(SUBSTITUTE(TRIM(INDEX($A:$AP,ROW(),$F$6)),",",""),"원",""),0))))</f>
        <v/>
      </c>
      <c r="AU199" s="23">
        <f>IF($AS199="","",IF($G$6="",0,IF(ISNUMBER(INDEX($A:$AP,ROW(),$G$6)),INDEX($A:$AP,ROW(),$G$6),IFERROR(--SUBSTITUTE(SUBSTITUTE(TRIM(INDEX($A:$AP,ROW(),$G$6)),",",""),"원",""),0))))</f>
        <v/>
      </c>
      <c r="AV199" s="23">
        <f>IF($AS199="","",IF($H$6="",$AT199+$AU199,IF($H$6="",0,IF(ISNUMBER(INDEX($A:$AP,ROW(),$H$6)),INDEX($A:$AP,ROW(),$H$6),IFERROR(--SUBSTITUTE(SUBSTITUTE(TRIM(INDEX($A:$AP,ROW(),$H$6)),",",""),"원",""),0)))))</f>
        <v/>
      </c>
      <c r="AW199" s="2">
        <f>IF(OR($AS199="",$C$6=""),"",TRIM(INDEX($A:$AP,ROW(),$C$6)&amp;""))</f>
        <v/>
      </c>
      <c r="AX199" s="2">
        <f>IF($AS199="","",IF($AZ199&lt;&gt;"",SUBSTITUTE(SUBSTITUTE($AZ199,"-","")," ",""),$AY199))</f>
        <v/>
      </c>
      <c r="AY199" s="2">
        <f>IF(OR($AS199="",$E$6=""),"",TRIM(INDEX($A:$AP,ROW(),$E$6)&amp;""))</f>
        <v/>
      </c>
      <c r="AZ199" s="2">
        <f>IF(OR($AS199="",$D$6=""),"",TRIM(INDEX($A:$AP,ROW(),$D$6)&amp;""))</f>
        <v/>
      </c>
      <c r="BA199" s="2">
        <f>IF($AS199="","",IF(AND($AS199&gt;=설정!$B$10,$AS199&lt;=설정!$B$11),"포함","기간 밖"))</f>
        <v/>
      </c>
      <c r="BB199" s="2">
        <f>IF($AS199="","",IF(OR($AT199&lt;0,AND($I$6&lt;&gt;"",ISNUMBER(FIND("수정",INDEX($A:$AP,ROW(),IF($I$6="",1,$I$6))&amp;"")))),"수정","일반"))</f>
        <v/>
      </c>
      <c r="BC199" s="2">
        <f>IF($AS199="","",MID(IF($BA199="기간 밖"," / 기간 밖(신고기간 아님)","")&amp;IF(AND($AW199&lt;&gt;"",COUNTIF($AW$8:$AW$1007,$AW199)&gt;1)," / 승인번호 중복(두 번 붙여넣기?)","")&amp;IF(ABS($AU199-ROUND($AT199*0.1,0))&gt;설정!$B$8,IF($AU199=0," / 세액 0원(영세율·면세 여부 확인)"," / 세액이 공급가액 10%와 다름"),"")&amp;IF($BB199="수정"," / 수정세금계산서(합계에서 자동 가감)",""),4,200))</f>
        <v/>
      </c>
      <c r="BD199" s="2">
        <f>IF($BA199&lt;&gt;"포함","",IF(COUNTIFS($AX$8:$AX199,$AX199,$BA$8:$BA199,"포함")=1,MAX($BD$7:BD198)+1,""))</f>
        <v/>
      </c>
      <c r="BE199" s="2">
        <f>IF($BC199="","",MAX($BE$7:BE198)+1)</f>
        <v/>
      </c>
    </row>
    <row r="200">
      <c r="AR200" s="2">
        <f>IF(OR($A$5="",$B$6="",ROW()&lt;$A$5),"",IF(INDEX($A:$AP,ROW(),$B$6)="","",INDEX($A:$AP,ROW(),$B$6)))</f>
        <v/>
      </c>
      <c r="AS200" s="22">
        <f>IF($AR200="","",IF(ISNUMBER($AR200),IF($AR200&gt;=10000000,IFERROR(DATE(INT($AR200/10000),MOD(INT($AR200/100),100),MOD($AR200,100)),""),INT($AR200)),IFERROR(DATE(--LEFT(LEFT(SUBSTITUTE(SUBSTITUTE(SUBSTITUTE(SUBSTITUTE(TRIM($AR200),"-",""),".",""),"/","")," ",""),8),4),--MID(LEFT(SUBSTITUTE(SUBSTITUTE(SUBSTITUTE(SUBSTITUTE(TRIM($AR200),"-",""),".",""),"/","")," ",""),8),5,2),--MID(LEFT(SUBSTITUTE(SUBSTITUTE(SUBSTITUTE(SUBSTITUTE(TRIM($AR200),"-",""),".",""),"/","")," ",""),8),7,2)),"")))</f>
        <v/>
      </c>
      <c r="AT200" s="23">
        <f>IF($AS200="","",IF($F$6="",0,IF(ISNUMBER(INDEX($A:$AP,ROW(),$F$6)),INDEX($A:$AP,ROW(),$F$6),IFERROR(--SUBSTITUTE(SUBSTITUTE(TRIM(INDEX($A:$AP,ROW(),$F$6)),",",""),"원",""),0))))</f>
        <v/>
      </c>
      <c r="AU200" s="23">
        <f>IF($AS200="","",IF($G$6="",0,IF(ISNUMBER(INDEX($A:$AP,ROW(),$G$6)),INDEX($A:$AP,ROW(),$G$6),IFERROR(--SUBSTITUTE(SUBSTITUTE(TRIM(INDEX($A:$AP,ROW(),$G$6)),",",""),"원",""),0))))</f>
        <v/>
      </c>
      <c r="AV200" s="23">
        <f>IF($AS200="","",IF($H$6="",$AT200+$AU200,IF($H$6="",0,IF(ISNUMBER(INDEX($A:$AP,ROW(),$H$6)),INDEX($A:$AP,ROW(),$H$6),IFERROR(--SUBSTITUTE(SUBSTITUTE(TRIM(INDEX($A:$AP,ROW(),$H$6)),",",""),"원",""),0)))))</f>
        <v/>
      </c>
      <c r="AW200" s="2">
        <f>IF(OR($AS200="",$C$6=""),"",TRIM(INDEX($A:$AP,ROW(),$C$6)&amp;""))</f>
        <v/>
      </c>
      <c r="AX200" s="2">
        <f>IF($AS200="","",IF($AZ200&lt;&gt;"",SUBSTITUTE(SUBSTITUTE($AZ200,"-","")," ",""),$AY200))</f>
        <v/>
      </c>
      <c r="AY200" s="2">
        <f>IF(OR($AS200="",$E$6=""),"",TRIM(INDEX($A:$AP,ROW(),$E$6)&amp;""))</f>
        <v/>
      </c>
      <c r="AZ200" s="2">
        <f>IF(OR($AS200="",$D$6=""),"",TRIM(INDEX($A:$AP,ROW(),$D$6)&amp;""))</f>
        <v/>
      </c>
      <c r="BA200" s="2">
        <f>IF($AS200="","",IF(AND($AS200&gt;=설정!$B$10,$AS200&lt;=설정!$B$11),"포함","기간 밖"))</f>
        <v/>
      </c>
      <c r="BB200" s="2">
        <f>IF($AS200="","",IF(OR($AT200&lt;0,AND($I$6&lt;&gt;"",ISNUMBER(FIND("수정",INDEX($A:$AP,ROW(),IF($I$6="",1,$I$6))&amp;"")))),"수정","일반"))</f>
        <v/>
      </c>
      <c r="BC200" s="2">
        <f>IF($AS200="","",MID(IF($BA200="기간 밖"," / 기간 밖(신고기간 아님)","")&amp;IF(AND($AW200&lt;&gt;"",COUNTIF($AW$8:$AW$1007,$AW200)&gt;1)," / 승인번호 중복(두 번 붙여넣기?)","")&amp;IF(ABS($AU200-ROUND($AT200*0.1,0))&gt;설정!$B$8,IF($AU200=0," / 세액 0원(영세율·면세 여부 확인)"," / 세액이 공급가액 10%와 다름"),"")&amp;IF($BB200="수정"," / 수정세금계산서(합계에서 자동 가감)",""),4,200))</f>
        <v/>
      </c>
      <c r="BD200" s="2">
        <f>IF($BA200&lt;&gt;"포함","",IF(COUNTIFS($AX$8:$AX200,$AX200,$BA$8:$BA200,"포함")=1,MAX($BD$7:BD199)+1,""))</f>
        <v/>
      </c>
      <c r="BE200" s="2">
        <f>IF($BC200="","",MAX($BE$7:BE199)+1)</f>
        <v/>
      </c>
    </row>
    <row r="201">
      <c r="AR201" s="2">
        <f>IF(OR($A$5="",$B$6="",ROW()&lt;$A$5),"",IF(INDEX($A:$AP,ROW(),$B$6)="","",INDEX($A:$AP,ROW(),$B$6)))</f>
        <v/>
      </c>
      <c r="AS201" s="22">
        <f>IF($AR201="","",IF(ISNUMBER($AR201),IF($AR201&gt;=10000000,IFERROR(DATE(INT($AR201/10000),MOD(INT($AR201/100),100),MOD($AR201,100)),""),INT($AR201)),IFERROR(DATE(--LEFT(LEFT(SUBSTITUTE(SUBSTITUTE(SUBSTITUTE(SUBSTITUTE(TRIM($AR201),"-",""),".",""),"/","")," ",""),8),4),--MID(LEFT(SUBSTITUTE(SUBSTITUTE(SUBSTITUTE(SUBSTITUTE(TRIM($AR201),"-",""),".",""),"/","")," ",""),8),5,2),--MID(LEFT(SUBSTITUTE(SUBSTITUTE(SUBSTITUTE(SUBSTITUTE(TRIM($AR201),"-",""),".",""),"/","")," ",""),8),7,2)),"")))</f>
        <v/>
      </c>
      <c r="AT201" s="23">
        <f>IF($AS201="","",IF($F$6="",0,IF(ISNUMBER(INDEX($A:$AP,ROW(),$F$6)),INDEX($A:$AP,ROW(),$F$6),IFERROR(--SUBSTITUTE(SUBSTITUTE(TRIM(INDEX($A:$AP,ROW(),$F$6)),",",""),"원",""),0))))</f>
        <v/>
      </c>
      <c r="AU201" s="23">
        <f>IF($AS201="","",IF($G$6="",0,IF(ISNUMBER(INDEX($A:$AP,ROW(),$G$6)),INDEX($A:$AP,ROW(),$G$6),IFERROR(--SUBSTITUTE(SUBSTITUTE(TRIM(INDEX($A:$AP,ROW(),$G$6)),",",""),"원",""),0))))</f>
        <v/>
      </c>
      <c r="AV201" s="23">
        <f>IF($AS201="","",IF($H$6="",$AT201+$AU201,IF($H$6="",0,IF(ISNUMBER(INDEX($A:$AP,ROW(),$H$6)),INDEX($A:$AP,ROW(),$H$6),IFERROR(--SUBSTITUTE(SUBSTITUTE(TRIM(INDEX($A:$AP,ROW(),$H$6)),",",""),"원",""),0)))))</f>
        <v/>
      </c>
      <c r="AW201" s="2">
        <f>IF(OR($AS201="",$C$6=""),"",TRIM(INDEX($A:$AP,ROW(),$C$6)&amp;""))</f>
        <v/>
      </c>
      <c r="AX201" s="2">
        <f>IF($AS201="","",IF($AZ201&lt;&gt;"",SUBSTITUTE(SUBSTITUTE($AZ201,"-","")," ",""),$AY201))</f>
        <v/>
      </c>
      <c r="AY201" s="2">
        <f>IF(OR($AS201="",$E$6=""),"",TRIM(INDEX($A:$AP,ROW(),$E$6)&amp;""))</f>
        <v/>
      </c>
      <c r="AZ201" s="2">
        <f>IF(OR($AS201="",$D$6=""),"",TRIM(INDEX($A:$AP,ROW(),$D$6)&amp;""))</f>
        <v/>
      </c>
      <c r="BA201" s="2">
        <f>IF($AS201="","",IF(AND($AS201&gt;=설정!$B$10,$AS201&lt;=설정!$B$11),"포함","기간 밖"))</f>
        <v/>
      </c>
      <c r="BB201" s="2">
        <f>IF($AS201="","",IF(OR($AT201&lt;0,AND($I$6&lt;&gt;"",ISNUMBER(FIND("수정",INDEX($A:$AP,ROW(),IF($I$6="",1,$I$6))&amp;"")))),"수정","일반"))</f>
        <v/>
      </c>
      <c r="BC201" s="2">
        <f>IF($AS201="","",MID(IF($BA201="기간 밖"," / 기간 밖(신고기간 아님)","")&amp;IF(AND($AW201&lt;&gt;"",COUNTIF($AW$8:$AW$1007,$AW201)&gt;1)," / 승인번호 중복(두 번 붙여넣기?)","")&amp;IF(ABS($AU201-ROUND($AT201*0.1,0))&gt;설정!$B$8,IF($AU201=0," / 세액 0원(영세율·면세 여부 확인)"," / 세액이 공급가액 10%와 다름"),"")&amp;IF($BB201="수정"," / 수정세금계산서(합계에서 자동 가감)",""),4,200))</f>
        <v/>
      </c>
      <c r="BD201" s="2">
        <f>IF($BA201&lt;&gt;"포함","",IF(COUNTIFS($AX$8:$AX201,$AX201,$BA$8:$BA201,"포함")=1,MAX($BD$7:BD200)+1,""))</f>
        <v/>
      </c>
      <c r="BE201" s="2">
        <f>IF($BC201="","",MAX($BE$7:BE200)+1)</f>
        <v/>
      </c>
    </row>
    <row r="202">
      <c r="AR202" s="2">
        <f>IF(OR($A$5="",$B$6="",ROW()&lt;$A$5),"",IF(INDEX($A:$AP,ROW(),$B$6)="","",INDEX($A:$AP,ROW(),$B$6)))</f>
        <v/>
      </c>
      <c r="AS202" s="22">
        <f>IF($AR202="","",IF(ISNUMBER($AR202),IF($AR202&gt;=10000000,IFERROR(DATE(INT($AR202/10000),MOD(INT($AR202/100),100),MOD($AR202,100)),""),INT($AR202)),IFERROR(DATE(--LEFT(LEFT(SUBSTITUTE(SUBSTITUTE(SUBSTITUTE(SUBSTITUTE(TRIM($AR202),"-",""),".",""),"/","")," ",""),8),4),--MID(LEFT(SUBSTITUTE(SUBSTITUTE(SUBSTITUTE(SUBSTITUTE(TRIM($AR202),"-",""),".",""),"/","")," ",""),8),5,2),--MID(LEFT(SUBSTITUTE(SUBSTITUTE(SUBSTITUTE(SUBSTITUTE(TRIM($AR202),"-",""),".",""),"/","")," ",""),8),7,2)),"")))</f>
        <v/>
      </c>
      <c r="AT202" s="23">
        <f>IF($AS202="","",IF($F$6="",0,IF(ISNUMBER(INDEX($A:$AP,ROW(),$F$6)),INDEX($A:$AP,ROW(),$F$6),IFERROR(--SUBSTITUTE(SUBSTITUTE(TRIM(INDEX($A:$AP,ROW(),$F$6)),",",""),"원",""),0))))</f>
        <v/>
      </c>
      <c r="AU202" s="23">
        <f>IF($AS202="","",IF($G$6="",0,IF(ISNUMBER(INDEX($A:$AP,ROW(),$G$6)),INDEX($A:$AP,ROW(),$G$6),IFERROR(--SUBSTITUTE(SUBSTITUTE(TRIM(INDEX($A:$AP,ROW(),$G$6)),",",""),"원",""),0))))</f>
        <v/>
      </c>
      <c r="AV202" s="23">
        <f>IF($AS202="","",IF($H$6="",$AT202+$AU202,IF($H$6="",0,IF(ISNUMBER(INDEX($A:$AP,ROW(),$H$6)),INDEX($A:$AP,ROW(),$H$6),IFERROR(--SUBSTITUTE(SUBSTITUTE(TRIM(INDEX($A:$AP,ROW(),$H$6)),",",""),"원",""),0)))))</f>
        <v/>
      </c>
      <c r="AW202" s="2">
        <f>IF(OR($AS202="",$C$6=""),"",TRIM(INDEX($A:$AP,ROW(),$C$6)&amp;""))</f>
        <v/>
      </c>
      <c r="AX202" s="2">
        <f>IF($AS202="","",IF($AZ202&lt;&gt;"",SUBSTITUTE(SUBSTITUTE($AZ202,"-","")," ",""),$AY202))</f>
        <v/>
      </c>
      <c r="AY202" s="2">
        <f>IF(OR($AS202="",$E$6=""),"",TRIM(INDEX($A:$AP,ROW(),$E$6)&amp;""))</f>
        <v/>
      </c>
      <c r="AZ202" s="2">
        <f>IF(OR($AS202="",$D$6=""),"",TRIM(INDEX($A:$AP,ROW(),$D$6)&amp;""))</f>
        <v/>
      </c>
      <c r="BA202" s="2">
        <f>IF($AS202="","",IF(AND($AS202&gt;=설정!$B$10,$AS202&lt;=설정!$B$11),"포함","기간 밖"))</f>
        <v/>
      </c>
      <c r="BB202" s="2">
        <f>IF($AS202="","",IF(OR($AT202&lt;0,AND($I$6&lt;&gt;"",ISNUMBER(FIND("수정",INDEX($A:$AP,ROW(),IF($I$6="",1,$I$6))&amp;"")))),"수정","일반"))</f>
        <v/>
      </c>
      <c r="BC202" s="2">
        <f>IF($AS202="","",MID(IF($BA202="기간 밖"," / 기간 밖(신고기간 아님)","")&amp;IF(AND($AW202&lt;&gt;"",COUNTIF($AW$8:$AW$1007,$AW202)&gt;1)," / 승인번호 중복(두 번 붙여넣기?)","")&amp;IF(ABS($AU202-ROUND($AT202*0.1,0))&gt;설정!$B$8,IF($AU202=0," / 세액 0원(영세율·면세 여부 확인)"," / 세액이 공급가액 10%와 다름"),"")&amp;IF($BB202="수정"," / 수정세금계산서(합계에서 자동 가감)",""),4,200))</f>
        <v/>
      </c>
      <c r="BD202" s="2">
        <f>IF($BA202&lt;&gt;"포함","",IF(COUNTIFS($AX$8:$AX202,$AX202,$BA$8:$BA202,"포함")=1,MAX($BD$7:BD201)+1,""))</f>
        <v/>
      </c>
      <c r="BE202" s="2">
        <f>IF($BC202="","",MAX($BE$7:BE201)+1)</f>
        <v/>
      </c>
    </row>
    <row r="203">
      <c r="AR203" s="2">
        <f>IF(OR($A$5="",$B$6="",ROW()&lt;$A$5),"",IF(INDEX($A:$AP,ROW(),$B$6)="","",INDEX($A:$AP,ROW(),$B$6)))</f>
        <v/>
      </c>
      <c r="AS203" s="22">
        <f>IF($AR203="","",IF(ISNUMBER($AR203),IF($AR203&gt;=10000000,IFERROR(DATE(INT($AR203/10000),MOD(INT($AR203/100),100),MOD($AR203,100)),""),INT($AR203)),IFERROR(DATE(--LEFT(LEFT(SUBSTITUTE(SUBSTITUTE(SUBSTITUTE(SUBSTITUTE(TRIM($AR203),"-",""),".",""),"/","")," ",""),8),4),--MID(LEFT(SUBSTITUTE(SUBSTITUTE(SUBSTITUTE(SUBSTITUTE(TRIM($AR203),"-",""),".",""),"/","")," ",""),8),5,2),--MID(LEFT(SUBSTITUTE(SUBSTITUTE(SUBSTITUTE(SUBSTITUTE(TRIM($AR203),"-",""),".",""),"/","")," ",""),8),7,2)),"")))</f>
        <v/>
      </c>
      <c r="AT203" s="23">
        <f>IF($AS203="","",IF($F$6="",0,IF(ISNUMBER(INDEX($A:$AP,ROW(),$F$6)),INDEX($A:$AP,ROW(),$F$6),IFERROR(--SUBSTITUTE(SUBSTITUTE(TRIM(INDEX($A:$AP,ROW(),$F$6)),",",""),"원",""),0))))</f>
        <v/>
      </c>
      <c r="AU203" s="23">
        <f>IF($AS203="","",IF($G$6="",0,IF(ISNUMBER(INDEX($A:$AP,ROW(),$G$6)),INDEX($A:$AP,ROW(),$G$6),IFERROR(--SUBSTITUTE(SUBSTITUTE(TRIM(INDEX($A:$AP,ROW(),$G$6)),",",""),"원",""),0))))</f>
        <v/>
      </c>
      <c r="AV203" s="23">
        <f>IF($AS203="","",IF($H$6="",$AT203+$AU203,IF($H$6="",0,IF(ISNUMBER(INDEX($A:$AP,ROW(),$H$6)),INDEX($A:$AP,ROW(),$H$6),IFERROR(--SUBSTITUTE(SUBSTITUTE(TRIM(INDEX($A:$AP,ROW(),$H$6)),",",""),"원",""),0)))))</f>
        <v/>
      </c>
      <c r="AW203" s="2">
        <f>IF(OR($AS203="",$C$6=""),"",TRIM(INDEX($A:$AP,ROW(),$C$6)&amp;""))</f>
        <v/>
      </c>
      <c r="AX203" s="2">
        <f>IF($AS203="","",IF($AZ203&lt;&gt;"",SUBSTITUTE(SUBSTITUTE($AZ203,"-","")," ",""),$AY203))</f>
        <v/>
      </c>
      <c r="AY203" s="2">
        <f>IF(OR($AS203="",$E$6=""),"",TRIM(INDEX($A:$AP,ROW(),$E$6)&amp;""))</f>
        <v/>
      </c>
      <c r="AZ203" s="2">
        <f>IF(OR($AS203="",$D$6=""),"",TRIM(INDEX($A:$AP,ROW(),$D$6)&amp;""))</f>
        <v/>
      </c>
      <c r="BA203" s="2">
        <f>IF($AS203="","",IF(AND($AS203&gt;=설정!$B$10,$AS203&lt;=설정!$B$11),"포함","기간 밖"))</f>
        <v/>
      </c>
      <c r="BB203" s="2">
        <f>IF($AS203="","",IF(OR($AT203&lt;0,AND($I$6&lt;&gt;"",ISNUMBER(FIND("수정",INDEX($A:$AP,ROW(),IF($I$6="",1,$I$6))&amp;"")))),"수정","일반"))</f>
        <v/>
      </c>
      <c r="BC203" s="2">
        <f>IF($AS203="","",MID(IF($BA203="기간 밖"," / 기간 밖(신고기간 아님)","")&amp;IF(AND($AW203&lt;&gt;"",COUNTIF($AW$8:$AW$1007,$AW203)&gt;1)," / 승인번호 중복(두 번 붙여넣기?)","")&amp;IF(ABS($AU203-ROUND($AT203*0.1,0))&gt;설정!$B$8,IF($AU203=0," / 세액 0원(영세율·면세 여부 확인)"," / 세액이 공급가액 10%와 다름"),"")&amp;IF($BB203="수정"," / 수정세금계산서(합계에서 자동 가감)",""),4,200))</f>
        <v/>
      </c>
      <c r="BD203" s="2">
        <f>IF($BA203&lt;&gt;"포함","",IF(COUNTIFS($AX$8:$AX203,$AX203,$BA$8:$BA203,"포함")=1,MAX($BD$7:BD202)+1,""))</f>
        <v/>
      </c>
      <c r="BE203" s="2">
        <f>IF($BC203="","",MAX($BE$7:BE202)+1)</f>
        <v/>
      </c>
    </row>
    <row r="204">
      <c r="AR204" s="2">
        <f>IF(OR($A$5="",$B$6="",ROW()&lt;$A$5),"",IF(INDEX($A:$AP,ROW(),$B$6)="","",INDEX($A:$AP,ROW(),$B$6)))</f>
        <v/>
      </c>
      <c r="AS204" s="22">
        <f>IF($AR204="","",IF(ISNUMBER($AR204),IF($AR204&gt;=10000000,IFERROR(DATE(INT($AR204/10000),MOD(INT($AR204/100),100),MOD($AR204,100)),""),INT($AR204)),IFERROR(DATE(--LEFT(LEFT(SUBSTITUTE(SUBSTITUTE(SUBSTITUTE(SUBSTITUTE(TRIM($AR204),"-",""),".",""),"/","")," ",""),8),4),--MID(LEFT(SUBSTITUTE(SUBSTITUTE(SUBSTITUTE(SUBSTITUTE(TRIM($AR204),"-",""),".",""),"/","")," ",""),8),5,2),--MID(LEFT(SUBSTITUTE(SUBSTITUTE(SUBSTITUTE(SUBSTITUTE(TRIM($AR204),"-",""),".",""),"/","")," ",""),8),7,2)),"")))</f>
        <v/>
      </c>
      <c r="AT204" s="23">
        <f>IF($AS204="","",IF($F$6="",0,IF(ISNUMBER(INDEX($A:$AP,ROW(),$F$6)),INDEX($A:$AP,ROW(),$F$6),IFERROR(--SUBSTITUTE(SUBSTITUTE(TRIM(INDEX($A:$AP,ROW(),$F$6)),",",""),"원",""),0))))</f>
        <v/>
      </c>
      <c r="AU204" s="23">
        <f>IF($AS204="","",IF($G$6="",0,IF(ISNUMBER(INDEX($A:$AP,ROW(),$G$6)),INDEX($A:$AP,ROW(),$G$6),IFERROR(--SUBSTITUTE(SUBSTITUTE(TRIM(INDEX($A:$AP,ROW(),$G$6)),",",""),"원",""),0))))</f>
        <v/>
      </c>
      <c r="AV204" s="23">
        <f>IF($AS204="","",IF($H$6="",$AT204+$AU204,IF($H$6="",0,IF(ISNUMBER(INDEX($A:$AP,ROW(),$H$6)),INDEX($A:$AP,ROW(),$H$6),IFERROR(--SUBSTITUTE(SUBSTITUTE(TRIM(INDEX($A:$AP,ROW(),$H$6)),",",""),"원",""),0)))))</f>
        <v/>
      </c>
      <c r="AW204" s="2">
        <f>IF(OR($AS204="",$C$6=""),"",TRIM(INDEX($A:$AP,ROW(),$C$6)&amp;""))</f>
        <v/>
      </c>
      <c r="AX204" s="2">
        <f>IF($AS204="","",IF($AZ204&lt;&gt;"",SUBSTITUTE(SUBSTITUTE($AZ204,"-","")," ",""),$AY204))</f>
        <v/>
      </c>
      <c r="AY204" s="2">
        <f>IF(OR($AS204="",$E$6=""),"",TRIM(INDEX($A:$AP,ROW(),$E$6)&amp;""))</f>
        <v/>
      </c>
      <c r="AZ204" s="2">
        <f>IF(OR($AS204="",$D$6=""),"",TRIM(INDEX($A:$AP,ROW(),$D$6)&amp;""))</f>
        <v/>
      </c>
      <c r="BA204" s="2">
        <f>IF($AS204="","",IF(AND($AS204&gt;=설정!$B$10,$AS204&lt;=설정!$B$11),"포함","기간 밖"))</f>
        <v/>
      </c>
      <c r="BB204" s="2">
        <f>IF($AS204="","",IF(OR($AT204&lt;0,AND($I$6&lt;&gt;"",ISNUMBER(FIND("수정",INDEX($A:$AP,ROW(),IF($I$6="",1,$I$6))&amp;"")))),"수정","일반"))</f>
        <v/>
      </c>
      <c r="BC204" s="2">
        <f>IF($AS204="","",MID(IF($BA204="기간 밖"," / 기간 밖(신고기간 아님)","")&amp;IF(AND($AW204&lt;&gt;"",COUNTIF($AW$8:$AW$1007,$AW204)&gt;1)," / 승인번호 중복(두 번 붙여넣기?)","")&amp;IF(ABS($AU204-ROUND($AT204*0.1,0))&gt;설정!$B$8,IF($AU204=0," / 세액 0원(영세율·면세 여부 확인)"," / 세액이 공급가액 10%와 다름"),"")&amp;IF($BB204="수정"," / 수정세금계산서(합계에서 자동 가감)",""),4,200))</f>
        <v/>
      </c>
      <c r="BD204" s="2">
        <f>IF($BA204&lt;&gt;"포함","",IF(COUNTIFS($AX$8:$AX204,$AX204,$BA$8:$BA204,"포함")=1,MAX($BD$7:BD203)+1,""))</f>
        <v/>
      </c>
      <c r="BE204" s="2">
        <f>IF($BC204="","",MAX($BE$7:BE203)+1)</f>
        <v/>
      </c>
    </row>
    <row r="205">
      <c r="AR205" s="2">
        <f>IF(OR($A$5="",$B$6="",ROW()&lt;$A$5),"",IF(INDEX($A:$AP,ROW(),$B$6)="","",INDEX($A:$AP,ROW(),$B$6)))</f>
        <v/>
      </c>
      <c r="AS205" s="22">
        <f>IF($AR205="","",IF(ISNUMBER($AR205),IF($AR205&gt;=10000000,IFERROR(DATE(INT($AR205/10000),MOD(INT($AR205/100),100),MOD($AR205,100)),""),INT($AR205)),IFERROR(DATE(--LEFT(LEFT(SUBSTITUTE(SUBSTITUTE(SUBSTITUTE(SUBSTITUTE(TRIM($AR205),"-",""),".",""),"/","")," ",""),8),4),--MID(LEFT(SUBSTITUTE(SUBSTITUTE(SUBSTITUTE(SUBSTITUTE(TRIM($AR205),"-",""),".",""),"/","")," ",""),8),5,2),--MID(LEFT(SUBSTITUTE(SUBSTITUTE(SUBSTITUTE(SUBSTITUTE(TRIM($AR205),"-",""),".",""),"/","")," ",""),8),7,2)),"")))</f>
        <v/>
      </c>
      <c r="AT205" s="23">
        <f>IF($AS205="","",IF($F$6="",0,IF(ISNUMBER(INDEX($A:$AP,ROW(),$F$6)),INDEX($A:$AP,ROW(),$F$6),IFERROR(--SUBSTITUTE(SUBSTITUTE(TRIM(INDEX($A:$AP,ROW(),$F$6)),",",""),"원",""),0))))</f>
        <v/>
      </c>
      <c r="AU205" s="23">
        <f>IF($AS205="","",IF($G$6="",0,IF(ISNUMBER(INDEX($A:$AP,ROW(),$G$6)),INDEX($A:$AP,ROW(),$G$6),IFERROR(--SUBSTITUTE(SUBSTITUTE(TRIM(INDEX($A:$AP,ROW(),$G$6)),",",""),"원",""),0))))</f>
        <v/>
      </c>
      <c r="AV205" s="23">
        <f>IF($AS205="","",IF($H$6="",$AT205+$AU205,IF($H$6="",0,IF(ISNUMBER(INDEX($A:$AP,ROW(),$H$6)),INDEX($A:$AP,ROW(),$H$6),IFERROR(--SUBSTITUTE(SUBSTITUTE(TRIM(INDEX($A:$AP,ROW(),$H$6)),",",""),"원",""),0)))))</f>
        <v/>
      </c>
      <c r="AW205" s="2">
        <f>IF(OR($AS205="",$C$6=""),"",TRIM(INDEX($A:$AP,ROW(),$C$6)&amp;""))</f>
        <v/>
      </c>
      <c r="AX205" s="2">
        <f>IF($AS205="","",IF($AZ205&lt;&gt;"",SUBSTITUTE(SUBSTITUTE($AZ205,"-","")," ",""),$AY205))</f>
        <v/>
      </c>
      <c r="AY205" s="2">
        <f>IF(OR($AS205="",$E$6=""),"",TRIM(INDEX($A:$AP,ROW(),$E$6)&amp;""))</f>
        <v/>
      </c>
      <c r="AZ205" s="2">
        <f>IF(OR($AS205="",$D$6=""),"",TRIM(INDEX($A:$AP,ROW(),$D$6)&amp;""))</f>
        <v/>
      </c>
      <c r="BA205" s="2">
        <f>IF($AS205="","",IF(AND($AS205&gt;=설정!$B$10,$AS205&lt;=설정!$B$11),"포함","기간 밖"))</f>
        <v/>
      </c>
      <c r="BB205" s="2">
        <f>IF($AS205="","",IF(OR($AT205&lt;0,AND($I$6&lt;&gt;"",ISNUMBER(FIND("수정",INDEX($A:$AP,ROW(),IF($I$6="",1,$I$6))&amp;"")))),"수정","일반"))</f>
        <v/>
      </c>
      <c r="BC205" s="2">
        <f>IF($AS205="","",MID(IF($BA205="기간 밖"," / 기간 밖(신고기간 아님)","")&amp;IF(AND($AW205&lt;&gt;"",COUNTIF($AW$8:$AW$1007,$AW205)&gt;1)," / 승인번호 중복(두 번 붙여넣기?)","")&amp;IF(ABS($AU205-ROUND($AT205*0.1,0))&gt;설정!$B$8,IF($AU205=0," / 세액 0원(영세율·면세 여부 확인)"," / 세액이 공급가액 10%와 다름"),"")&amp;IF($BB205="수정"," / 수정세금계산서(합계에서 자동 가감)",""),4,200))</f>
        <v/>
      </c>
      <c r="BD205" s="2">
        <f>IF($BA205&lt;&gt;"포함","",IF(COUNTIFS($AX$8:$AX205,$AX205,$BA$8:$BA205,"포함")=1,MAX($BD$7:BD204)+1,""))</f>
        <v/>
      </c>
      <c r="BE205" s="2">
        <f>IF($BC205="","",MAX($BE$7:BE204)+1)</f>
        <v/>
      </c>
    </row>
    <row r="206">
      <c r="AR206" s="2">
        <f>IF(OR($A$5="",$B$6="",ROW()&lt;$A$5),"",IF(INDEX($A:$AP,ROW(),$B$6)="","",INDEX($A:$AP,ROW(),$B$6)))</f>
        <v/>
      </c>
      <c r="AS206" s="22">
        <f>IF($AR206="","",IF(ISNUMBER($AR206),IF($AR206&gt;=10000000,IFERROR(DATE(INT($AR206/10000),MOD(INT($AR206/100),100),MOD($AR206,100)),""),INT($AR206)),IFERROR(DATE(--LEFT(LEFT(SUBSTITUTE(SUBSTITUTE(SUBSTITUTE(SUBSTITUTE(TRIM($AR206),"-",""),".",""),"/","")," ",""),8),4),--MID(LEFT(SUBSTITUTE(SUBSTITUTE(SUBSTITUTE(SUBSTITUTE(TRIM($AR206),"-",""),".",""),"/","")," ",""),8),5,2),--MID(LEFT(SUBSTITUTE(SUBSTITUTE(SUBSTITUTE(SUBSTITUTE(TRIM($AR206),"-",""),".",""),"/","")," ",""),8),7,2)),"")))</f>
        <v/>
      </c>
      <c r="AT206" s="23">
        <f>IF($AS206="","",IF($F$6="",0,IF(ISNUMBER(INDEX($A:$AP,ROW(),$F$6)),INDEX($A:$AP,ROW(),$F$6),IFERROR(--SUBSTITUTE(SUBSTITUTE(TRIM(INDEX($A:$AP,ROW(),$F$6)),",",""),"원",""),0))))</f>
        <v/>
      </c>
      <c r="AU206" s="23">
        <f>IF($AS206="","",IF($G$6="",0,IF(ISNUMBER(INDEX($A:$AP,ROW(),$G$6)),INDEX($A:$AP,ROW(),$G$6),IFERROR(--SUBSTITUTE(SUBSTITUTE(TRIM(INDEX($A:$AP,ROW(),$G$6)),",",""),"원",""),0))))</f>
        <v/>
      </c>
      <c r="AV206" s="23">
        <f>IF($AS206="","",IF($H$6="",$AT206+$AU206,IF($H$6="",0,IF(ISNUMBER(INDEX($A:$AP,ROW(),$H$6)),INDEX($A:$AP,ROW(),$H$6),IFERROR(--SUBSTITUTE(SUBSTITUTE(TRIM(INDEX($A:$AP,ROW(),$H$6)),",",""),"원",""),0)))))</f>
        <v/>
      </c>
      <c r="AW206" s="2">
        <f>IF(OR($AS206="",$C$6=""),"",TRIM(INDEX($A:$AP,ROW(),$C$6)&amp;""))</f>
        <v/>
      </c>
      <c r="AX206" s="2">
        <f>IF($AS206="","",IF($AZ206&lt;&gt;"",SUBSTITUTE(SUBSTITUTE($AZ206,"-","")," ",""),$AY206))</f>
        <v/>
      </c>
      <c r="AY206" s="2">
        <f>IF(OR($AS206="",$E$6=""),"",TRIM(INDEX($A:$AP,ROW(),$E$6)&amp;""))</f>
        <v/>
      </c>
      <c r="AZ206" s="2">
        <f>IF(OR($AS206="",$D$6=""),"",TRIM(INDEX($A:$AP,ROW(),$D$6)&amp;""))</f>
        <v/>
      </c>
      <c r="BA206" s="2">
        <f>IF($AS206="","",IF(AND($AS206&gt;=설정!$B$10,$AS206&lt;=설정!$B$11),"포함","기간 밖"))</f>
        <v/>
      </c>
      <c r="BB206" s="2">
        <f>IF($AS206="","",IF(OR($AT206&lt;0,AND($I$6&lt;&gt;"",ISNUMBER(FIND("수정",INDEX($A:$AP,ROW(),IF($I$6="",1,$I$6))&amp;"")))),"수정","일반"))</f>
        <v/>
      </c>
      <c r="BC206" s="2">
        <f>IF($AS206="","",MID(IF($BA206="기간 밖"," / 기간 밖(신고기간 아님)","")&amp;IF(AND($AW206&lt;&gt;"",COUNTIF($AW$8:$AW$1007,$AW206)&gt;1)," / 승인번호 중복(두 번 붙여넣기?)","")&amp;IF(ABS($AU206-ROUND($AT206*0.1,0))&gt;설정!$B$8,IF($AU206=0," / 세액 0원(영세율·면세 여부 확인)"," / 세액이 공급가액 10%와 다름"),"")&amp;IF($BB206="수정"," / 수정세금계산서(합계에서 자동 가감)",""),4,200))</f>
        <v/>
      </c>
      <c r="BD206" s="2">
        <f>IF($BA206&lt;&gt;"포함","",IF(COUNTIFS($AX$8:$AX206,$AX206,$BA$8:$BA206,"포함")=1,MAX($BD$7:BD205)+1,""))</f>
        <v/>
      </c>
      <c r="BE206" s="2">
        <f>IF($BC206="","",MAX($BE$7:BE205)+1)</f>
        <v/>
      </c>
    </row>
    <row r="207">
      <c r="AR207" s="2">
        <f>IF(OR($A$5="",$B$6="",ROW()&lt;$A$5),"",IF(INDEX($A:$AP,ROW(),$B$6)="","",INDEX($A:$AP,ROW(),$B$6)))</f>
        <v/>
      </c>
      <c r="AS207" s="22">
        <f>IF($AR207="","",IF(ISNUMBER($AR207),IF($AR207&gt;=10000000,IFERROR(DATE(INT($AR207/10000),MOD(INT($AR207/100),100),MOD($AR207,100)),""),INT($AR207)),IFERROR(DATE(--LEFT(LEFT(SUBSTITUTE(SUBSTITUTE(SUBSTITUTE(SUBSTITUTE(TRIM($AR207),"-",""),".",""),"/","")," ",""),8),4),--MID(LEFT(SUBSTITUTE(SUBSTITUTE(SUBSTITUTE(SUBSTITUTE(TRIM($AR207),"-",""),".",""),"/","")," ",""),8),5,2),--MID(LEFT(SUBSTITUTE(SUBSTITUTE(SUBSTITUTE(SUBSTITUTE(TRIM($AR207),"-",""),".",""),"/","")," ",""),8),7,2)),"")))</f>
        <v/>
      </c>
      <c r="AT207" s="23">
        <f>IF($AS207="","",IF($F$6="",0,IF(ISNUMBER(INDEX($A:$AP,ROW(),$F$6)),INDEX($A:$AP,ROW(),$F$6),IFERROR(--SUBSTITUTE(SUBSTITUTE(TRIM(INDEX($A:$AP,ROW(),$F$6)),",",""),"원",""),0))))</f>
        <v/>
      </c>
      <c r="AU207" s="23">
        <f>IF($AS207="","",IF($G$6="",0,IF(ISNUMBER(INDEX($A:$AP,ROW(),$G$6)),INDEX($A:$AP,ROW(),$G$6),IFERROR(--SUBSTITUTE(SUBSTITUTE(TRIM(INDEX($A:$AP,ROW(),$G$6)),",",""),"원",""),0))))</f>
        <v/>
      </c>
      <c r="AV207" s="23">
        <f>IF($AS207="","",IF($H$6="",$AT207+$AU207,IF($H$6="",0,IF(ISNUMBER(INDEX($A:$AP,ROW(),$H$6)),INDEX($A:$AP,ROW(),$H$6),IFERROR(--SUBSTITUTE(SUBSTITUTE(TRIM(INDEX($A:$AP,ROW(),$H$6)),",",""),"원",""),0)))))</f>
        <v/>
      </c>
      <c r="AW207" s="2">
        <f>IF(OR($AS207="",$C$6=""),"",TRIM(INDEX($A:$AP,ROW(),$C$6)&amp;""))</f>
        <v/>
      </c>
      <c r="AX207" s="2">
        <f>IF($AS207="","",IF($AZ207&lt;&gt;"",SUBSTITUTE(SUBSTITUTE($AZ207,"-","")," ",""),$AY207))</f>
        <v/>
      </c>
      <c r="AY207" s="2">
        <f>IF(OR($AS207="",$E$6=""),"",TRIM(INDEX($A:$AP,ROW(),$E$6)&amp;""))</f>
        <v/>
      </c>
      <c r="AZ207" s="2">
        <f>IF(OR($AS207="",$D$6=""),"",TRIM(INDEX($A:$AP,ROW(),$D$6)&amp;""))</f>
        <v/>
      </c>
      <c r="BA207" s="2">
        <f>IF($AS207="","",IF(AND($AS207&gt;=설정!$B$10,$AS207&lt;=설정!$B$11),"포함","기간 밖"))</f>
        <v/>
      </c>
      <c r="BB207" s="2">
        <f>IF($AS207="","",IF(OR($AT207&lt;0,AND($I$6&lt;&gt;"",ISNUMBER(FIND("수정",INDEX($A:$AP,ROW(),IF($I$6="",1,$I$6))&amp;"")))),"수정","일반"))</f>
        <v/>
      </c>
      <c r="BC207" s="2">
        <f>IF($AS207="","",MID(IF($BA207="기간 밖"," / 기간 밖(신고기간 아님)","")&amp;IF(AND($AW207&lt;&gt;"",COUNTIF($AW$8:$AW$1007,$AW207)&gt;1)," / 승인번호 중복(두 번 붙여넣기?)","")&amp;IF(ABS($AU207-ROUND($AT207*0.1,0))&gt;설정!$B$8,IF($AU207=0," / 세액 0원(영세율·면세 여부 확인)"," / 세액이 공급가액 10%와 다름"),"")&amp;IF($BB207="수정"," / 수정세금계산서(합계에서 자동 가감)",""),4,200))</f>
        <v/>
      </c>
      <c r="BD207" s="2">
        <f>IF($BA207&lt;&gt;"포함","",IF(COUNTIFS($AX$8:$AX207,$AX207,$BA$8:$BA207,"포함")=1,MAX($BD$7:BD206)+1,""))</f>
        <v/>
      </c>
      <c r="BE207" s="2">
        <f>IF($BC207="","",MAX($BE$7:BE206)+1)</f>
        <v/>
      </c>
    </row>
    <row r="208">
      <c r="AR208" s="2">
        <f>IF(OR($A$5="",$B$6="",ROW()&lt;$A$5),"",IF(INDEX($A:$AP,ROW(),$B$6)="","",INDEX($A:$AP,ROW(),$B$6)))</f>
        <v/>
      </c>
      <c r="AS208" s="22">
        <f>IF($AR208="","",IF(ISNUMBER($AR208),IF($AR208&gt;=10000000,IFERROR(DATE(INT($AR208/10000),MOD(INT($AR208/100),100),MOD($AR208,100)),""),INT($AR208)),IFERROR(DATE(--LEFT(LEFT(SUBSTITUTE(SUBSTITUTE(SUBSTITUTE(SUBSTITUTE(TRIM($AR208),"-",""),".",""),"/","")," ",""),8),4),--MID(LEFT(SUBSTITUTE(SUBSTITUTE(SUBSTITUTE(SUBSTITUTE(TRIM($AR208),"-",""),".",""),"/","")," ",""),8),5,2),--MID(LEFT(SUBSTITUTE(SUBSTITUTE(SUBSTITUTE(SUBSTITUTE(TRIM($AR208),"-",""),".",""),"/","")," ",""),8),7,2)),"")))</f>
        <v/>
      </c>
      <c r="AT208" s="23">
        <f>IF($AS208="","",IF($F$6="",0,IF(ISNUMBER(INDEX($A:$AP,ROW(),$F$6)),INDEX($A:$AP,ROW(),$F$6),IFERROR(--SUBSTITUTE(SUBSTITUTE(TRIM(INDEX($A:$AP,ROW(),$F$6)),",",""),"원",""),0))))</f>
        <v/>
      </c>
      <c r="AU208" s="23">
        <f>IF($AS208="","",IF($G$6="",0,IF(ISNUMBER(INDEX($A:$AP,ROW(),$G$6)),INDEX($A:$AP,ROW(),$G$6),IFERROR(--SUBSTITUTE(SUBSTITUTE(TRIM(INDEX($A:$AP,ROW(),$G$6)),",",""),"원",""),0))))</f>
        <v/>
      </c>
      <c r="AV208" s="23">
        <f>IF($AS208="","",IF($H$6="",$AT208+$AU208,IF($H$6="",0,IF(ISNUMBER(INDEX($A:$AP,ROW(),$H$6)),INDEX($A:$AP,ROW(),$H$6),IFERROR(--SUBSTITUTE(SUBSTITUTE(TRIM(INDEX($A:$AP,ROW(),$H$6)),",",""),"원",""),0)))))</f>
        <v/>
      </c>
      <c r="AW208" s="2">
        <f>IF(OR($AS208="",$C$6=""),"",TRIM(INDEX($A:$AP,ROW(),$C$6)&amp;""))</f>
        <v/>
      </c>
      <c r="AX208" s="2">
        <f>IF($AS208="","",IF($AZ208&lt;&gt;"",SUBSTITUTE(SUBSTITUTE($AZ208,"-","")," ",""),$AY208))</f>
        <v/>
      </c>
      <c r="AY208" s="2">
        <f>IF(OR($AS208="",$E$6=""),"",TRIM(INDEX($A:$AP,ROW(),$E$6)&amp;""))</f>
        <v/>
      </c>
      <c r="AZ208" s="2">
        <f>IF(OR($AS208="",$D$6=""),"",TRIM(INDEX($A:$AP,ROW(),$D$6)&amp;""))</f>
        <v/>
      </c>
      <c r="BA208" s="2">
        <f>IF($AS208="","",IF(AND($AS208&gt;=설정!$B$10,$AS208&lt;=설정!$B$11),"포함","기간 밖"))</f>
        <v/>
      </c>
      <c r="BB208" s="2">
        <f>IF($AS208="","",IF(OR($AT208&lt;0,AND($I$6&lt;&gt;"",ISNUMBER(FIND("수정",INDEX($A:$AP,ROW(),IF($I$6="",1,$I$6))&amp;"")))),"수정","일반"))</f>
        <v/>
      </c>
      <c r="BC208" s="2">
        <f>IF($AS208="","",MID(IF($BA208="기간 밖"," / 기간 밖(신고기간 아님)","")&amp;IF(AND($AW208&lt;&gt;"",COUNTIF($AW$8:$AW$1007,$AW208)&gt;1)," / 승인번호 중복(두 번 붙여넣기?)","")&amp;IF(ABS($AU208-ROUND($AT208*0.1,0))&gt;설정!$B$8,IF($AU208=0," / 세액 0원(영세율·면세 여부 확인)"," / 세액이 공급가액 10%와 다름"),"")&amp;IF($BB208="수정"," / 수정세금계산서(합계에서 자동 가감)",""),4,200))</f>
        <v/>
      </c>
      <c r="BD208" s="2">
        <f>IF($BA208&lt;&gt;"포함","",IF(COUNTIFS($AX$8:$AX208,$AX208,$BA$8:$BA208,"포함")=1,MAX($BD$7:BD207)+1,""))</f>
        <v/>
      </c>
      <c r="BE208" s="2">
        <f>IF($BC208="","",MAX($BE$7:BE207)+1)</f>
        <v/>
      </c>
    </row>
    <row r="209">
      <c r="AR209" s="2">
        <f>IF(OR($A$5="",$B$6="",ROW()&lt;$A$5),"",IF(INDEX($A:$AP,ROW(),$B$6)="","",INDEX($A:$AP,ROW(),$B$6)))</f>
        <v/>
      </c>
      <c r="AS209" s="22">
        <f>IF($AR209="","",IF(ISNUMBER($AR209),IF($AR209&gt;=10000000,IFERROR(DATE(INT($AR209/10000),MOD(INT($AR209/100),100),MOD($AR209,100)),""),INT($AR209)),IFERROR(DATE(--LEFT(LEFT(SUBSTITUTE(SUBSTITUTE(SUBSTITUTE(SUBSTITUTE(TRIM($AR209),"-",""),".",""),"/","")," ",""),8),4),--MID(LEFT(SUBSTITUTE(SUBSTITUTE(SUBSTITUTE(SUBSTITUTE(TRIM($AR209),"-",""),".",""),"/","")," ",""),8),5,2),--MID(LEFT(SUBSTITUTE(SUBSTITUTE(SUBSTITUTE(SUBSTITUTE(TRIM($AR209),"-",""),".",""),"/","")," ",""),8),7,2)),"")))</f>
        <v/>
      </c>
      <c r="AT209" s="23">
        <f>IF($AS209="","",IF($F$6="",0,IF(ISNUMBER(INDEX($A:$AP,ROW(),$F$6)),INDEX($A:$AP,ROW(),$F$6),IFERROR(--SUBSTITUTE(SUBSTITUTE(TRIM(INDEX($A:$AP,ROW(),$F$6)),",",""),"원",""),0))))</f>
        <v/>
      </c>
      <c r="AU209" s="23">
        <f>IF($AS209="","",IF($G$6="",0,IF(ISNUMBER(INDEX($A:$AP,ROW(),$G$6)),INDEX($A:$AP,ROW(),$G$6),IFERROR(--SUBSTITUTE(SUBSTITUTE(TRIM(INDEX($A:$AP,ROW(),$G$6)),",",""),"원",""),0))))</f>
        <v/>
      </c>
      <c r="AV209" s="23">
        <f>IF($AS209="","",IF($H$6="",$AT209+$AU209,IF($H$6="",0,IF(ISNUMBER(INDEX($A:$AP,ROW(),$H$6)),INDEX($A:$AP,ROW(),$H$6),IFERROR(--SUBSTITUTE(SUBSTITUTE(TRIM(INDEX($A:$AP,ROW(),$H$6)),",",""),"원",""),0)))))</f>
        <v/>
      </c>
      <c r="AW209" s="2">
        <f>IF(OR($AS209="",$C$6=""),"",TRIM(INDEX($A:$AP,ROW(),$C$6)&amp;""))</f>
        <v/>
      </c>
      <c r="AX209" s="2">
        <f>IF($AS209="","",IF($AZ209&lt;&gt;"",SUBSTITUTE(SUBSTITUTE($AZ209,"-","")," ",""),$AY209))</f>
        <v/>
      </c>
      <c r="AY209" s="2">
        <f>IF(OR($AS209="",$E$6=""),"",TRIM(INDEX($A:$AP,ROW(),$E$6)&amp;""))</f>
        <v/>
      </c>
      <c r="AZ209" s="2">
        <f>IF(OR($AS209="",$D$6=""),"",TRIM(INDEX($A:$AP,ROW(),$D$6)&amp;""))</f>
        <v/>
      </c>
      <c r="BA209" s="2">
        <f>IF($AS209="","",IF(AND($AS209&gt;=설정!$B$10,$AS209&lt;=설정!$B$11),"포함","기간 밖"))</f>
        <v/>
      </c>
      <c r="BB209" s="2">
        <f>IF($AS209="","",IF(OR($AT209&lt;0,AND($I$6&lt;&gt;"",ISNUMBER(FIND("수정",INDEX($A:$AP,ROW(),IF($I$6="",1,$I$6))&amp;"")))),"수정","일반"))</f>
        <v/>
      </c>
      <c r="BC209" s="2">
        <f>IF($AS209="","",MID(IF($BA209="기간 밖"," / 기간 밖(신고기간 아님)","")&amp;IF(AND($AW209&lt;&gt;"",COUNTIF($AW$8:$AW$1007,$AW209)&gt;1)," / 승인번호 중복(두 번 붙여넣기?)","")&amp;IF(ABS($AU209-ROUND($AT209*0.1,0))&gt;설정!$B$8,IF($AU209=0," / 세액 0원(영세율·면세 여부 확인)"," / 세액이 공급가액 10%와 다름"),"")&amp;IF($BB209="수정"," / 수정세금계산서(합계에서 자동 가감)",""),4,200))</f>
        <v/>
      </c>
      <c r="BD209" s="2">
        <f>IF($BA209&lt;&gt;"포함","",IF(COUNTIFS($AX$8:$AX209,$AX209,$BA$8:$BA209,"포함")=1,MAX($BD$7:BD208)+1,""))</f>
        <v/>
      </c>
      <c r="BE209" s="2">
        <f>IF($BC209="","",MAX($BE$7:BE208)+1)</f>
        <v/>
      </c>
    </row>
    <row r="210">
      <c r="AR210" s="2">
        <f>IF(OR($A$5="",$B$6="",ROW()&lt;$A$5),"",IF(INDEX($A:$AP,ROW(),$B$6)="","",INDEX($A:$AP,ROW(),$B$6)))</f>
        <v/>
      </c>
      <c r="AS210" s="22">
        <f>IF($AR210="","",IF(ISNUMBER($AR210),IF($AR210&gt;=10000000,IFERROR(DATE(INT($AR210/10000),MOD(INT($AR210/100),100),MOD($AR210,100)),""),INT($AR210)),IFERROR(DATE(--LEFT(LEFT(SUBSTITUTE(SUBSTITUTE(SUBSTITUTE(SUBSTITUTE(TRIM($AR210),"-",""),".",""),"/","")," ",""),8),4),--MID(LEFT(SUBSTITUTE(SUBSTITUTE(SUBSTITUTE(SUBSTITUTE(TRIM($AR210),"-",""),".",""),"/","")," ",""),8),5,2),--MID(LEFT(SUBSTITUTE(SUBSTITUTE(SUBSTITUTE(SUBSTITUTE(TRIM($AR210),"-",""),".",""),"/","")," ",""),8),7,2)),"")))</f>
        <v/>
      </c>
      <c r="AT210" s="23">
        <f>IF($AS210="","",IF($F$6="",0,IF(ISNUMBER(INDEX($A:$AP,ROW(),$F$6)),INDEX($A:$AP,ROW(),$F$6),IFERROR(--SUBSTITUTE(SUBSTITUTE(TRIM(INDEX($A:$AP,ROW(),$F$6)),",",""),"원",""),0))))</f>
        <v/>
      </c>
      <c r="AU210" s="23">
        <f>IF($AS210="","",IF($G$6="",0,IF(ISNUMBER(INDEX($A:$AP,ROW(),$G$6)),INDEX($A:$AP,ROW(),$G$6),IFERROR(--SUBSTITUTE(SUBSTITUTE(TRIM(INDEX($A:$AP,ROW(),$G$6)),",",""),"원",""),0))))</f>
        <v/>
      </c>
      <c r="AV210" s="23">
        <f>IF($AS210="","",IF($H$6="",$AT210+$AU210,IF($H$6="",0,IF(ISNUMBER(INDEX($A:$AP,ROW(),$H$6)),INDEX($A:$AP,ROW(),$H$6),IFERROR(--SUBSTITUTE(SUBSTITUTE(TRIM(INDEX($A:$AP,ROW(),$H$6)),",",""),"원",""),0)))))</f>
        <v/>
      </c>
      <c r="AW210" s="2">
        <f>IF(OR($AS210="",$C$6=""),"",TRIM(INDEX($A:$AP,ROW(),$C$6)&amp;""))</f>
        <v/>
      </c>
      <c r="AX210" s="2">
        <f>IF($AS210="","",IF($AZ210&lt;&gt;"",SUBSTITUTE(SUBSTITUTE($AZ210,"-","")," ",""),$AY210))</f>
        <v/>
      </c>
      <c r="AY210" s="2">
        <f>IF(OR($AS210="",$E$6=""),"",TRIM(INDEX($A:$AP,ROW(),$E$6)&amp;""))</f>
        <v/>
      </c>
      <c r="AZ210" s="2">
        <f>IF(OR($AS210="",$D$6=""),"",TRIM(INDEX($A:$AP,ROW(),$D$6)&amp;""))</f>
        <v/>
      </c>
      <c r="BA210" s="2">
        <f>IF($AS210="","",IF(AND($AS210&gt;=설정!$B$10,$AS210&lt;=설정!$B$11),"포함","기간 밖"))</f>
        <v/>
      </c>
      <c r="BB210" s="2">
        <f>IF($AS210="","",IF(OR($AT210&lt;0,AND($I$6&lt;&gt;"",ISNUMBER(FIND("수정",INDEX($A:$AP,ROW(),IF($I$6="",1,$I$6))&amp;"")))),"수정","일반"))</f>
        <v/>
      </c>
      <c r="BC210" s="2">
        <f>IF($AS210="","",MID(IF($BA210="기간 밖"," / 기간 밖(신고기간 아님)","")&amp;IF(AND($AW210&lt;&gt;"",COUNTIF($AW$8:$AW$1007,$AW210)&gt;1)," / 승인번호 중복(두 번 붙여넣기?)","")&amp;IF(ABS($AU210-ROUND($AT210*0.1,0))&gt;설정!$B$8,IF($AU210=0," / 세액 0원(영세율·면세 여부 확인)"," / 세액이 공급가액 10%와 다름"),"")&amp;IF($BB210="수정"," / 수정세금계산서(합계에서 자동 가감)",""),4,200))</f>
        <v/>
      </c>
      <c r="BD210" s="2">
        <f>IF($BA210&lt;&gt;"포함","",IF(COUNTIFS($AX$8:$AX210,$AX210,$BA$8:$BA210,"포함")=1,MAX($BD$7:BD209)+1,""))</f>
        <v/>
      </c>
      <c r="BE210" s="2">
        <f>IF($BC210="","",MAX($BE$7:BE209)+1)</f>
        <v/>
      </c>
    </row>
    <row r="211">
      <c r="AR211" s="2">
        <f>IF(OR($A$5="",$B$6="",ROW()&lt;$A$5),"",IF(INDEX($A:$AP,ROW(),$B$6)="","",INDEX($A:$AP,ROW(),$B$6)))</f>
        <v/>
      </c>
      <c r="AS211" s="22">
        <f>IF($AR211="","",IF(ISNUMBER($AR211),IF($AR211&gt;=10000000,IFERROR(DATE(INT($AR211/10000),MOD(INT($AR211/100),100),MOD($AR211,100)),""),INT($AR211)),IFERROR(DATE(--LEFT(LEFT(SUBSTITUTE(SUBSTITUTE(SUBSTITUTE(SUBSTITUTE(TRIM($AR211),"-",""),".",""),"/","")," ",""),8),4),--MID(LEFT(SUBSTITUTE(SUBSTITUTE(SUBSTITUTE(SUBSTITUTE(TRIM($AR211),"-",""),".",""),"/","")," ",""),8),5,2),--MID(LEFT(SUBSTITUTE(SUBSTITUTE(SUBSTITUTE(SUBSTITUTE(TRIM($AR211),"-",""),".",""),"/","")," ",""),8),7,2)),"")))</f>
        <v/>
      </c>
      <c r="AT211" s="23">
        <f>IF($AS211="","",IF($F$6="",0,IF(ISNUMBER(INDEX($A:$AP,ROW(),$F$6)),INDEX($A:$AP,ROW(),$F$6),IFERROR(--SUBSTITUTE(SUBSTITUTE(TRIM(INDEX($A:$AP,ROW(),$F$6)),",",""),"원",""),0))))</f>
        <v/>
      </c>
      <c r="AU211" s="23">
        <f>IF($AS211="","",IF($G$6="",0,IF(ISNUMBER(INDEX($A:$AP,ROW(),$G$6)),INDEX($A:$AP,ROW(),$G$6),IFERROR(--SUBSTITUTE(SUBSTITUTE(TRIM(INDEX($A:$AP,ROW(),$G$6)),",",""),"원",""),0))))</f>
        <v/>
      </c>
      <c r="AV211" s="23">
        <f>IF($AS211="","",IF($H$6="",$AT211+$AU211,IF($H$6="",0,IF(ISNUMBER(INDEX($A:$AP,ROW(),$H$6)),INDEX($A:$AP,ROW(),$H$6),IFERROR(--SUBSTITUTE(SUBSTITUTE(TRIM(INDEX($A:$AP,ROW(),$H$6)),",",""),"원",""),0)))))</f>
        <v/>
      </c>
      <c r="AW211" s="2">
        <f>IF(OR($AS211="",$C$6=""),"",TRIM(INDEX($A:$AP,ROW(),$C$6)&amp;""))</f>
        <v/>
      </c>
      <c r="AX211" s="2">
        <f>IF($AS211="","",IF($AZ211&lt;&gt;"",SUBSTITUTE(SUBSTITUTE($AZ211,"-","")," ",""),$AY211))</f>
        <v/>
      </c>
      <c r="AY211" s="2">
        <f>IF(OR($AS211="",$E$6=""),"",TRIM(INDEX($A:$AP,ROW(),$E$6)&amp;""))</f>
        <v/>
      </c>
      <c r="AZ211" s="2">
        <f>IF(OR($AS211="",$D$6=""),"",TRIM(INDEX($A:$AP,ROW(),$D$6)&amp;""))</f>
        <v/>
      </c>
      <c r="BA211" s="2">
        <f>IF($AS211="","",IF(AND($AS211&gt;=설정!$B$10,$AS211&lt;=설정!$B$11),"포함","기간 밖"))</f>
        <v/>
      </c>
      <c r="BB211" s="2">
        <f>IF($AS211="","",IF(OR($AT211&lt;0,AND($I$6&lt;&gt;"",ISNUMBER(FIND("수정",INDEX($A:$AP,ROW(),IF($I$6="",1,$I$6))&amp;"")))),"수정","일반"))</f>
        <v/>
      </c>
      <c r="BC211" s="2">
        <f>IF($AS211="","",MID(IF($BA211="기간 밖"," / 기간 밖(신고기간 아님)","")&amp;IF(AND($AW211&lt;&gt;"",COUNTIF($AW$8:$AW$1007,$AW211)&gt;1)," / 승인번호 중복(두 번 붙여넣기?)","")&amp;IF(ABS($AU211-ROUND($AT211*0.1,0))&gt;설정!$B$8,IF($AU211=0," / 세액 0원(영세율·면세 여부 확인)"," / 세액이 공급가액 10%와 다름"),"")&amp;IF($BB211="수정"," / 수정세금계산서(합계에서 자동 가감)",""),4,200))</f>
        <v/>
      </c>
      <c r="BD211" s="2">
        <f>IF($BA211&lt;&gt;"포함","",IF(COUNTIFS($AX$8:$AX211,$AX211,$BA$8:$BA211,"포함")=1,MAX($BD$7:BD210)+1,""))</f>
        <v/>
      </c>
      <c r="BE211" s="2">
        <f>IF($BC211="","",MAX($BE$7:BE210)+1)</f>
        <v/>
      </c>
    </row>
    <row r="212">
      <c r="AR212" s="2">
        <f>IF(OR($A$5="",$B$6="",ROW()&lt;$A$5),"",IF(INDEX($A:$AP,ROW(),$B$6)="","",INDEX($A:$AP,ROW(),$B$6)))</f>
        <v/>
      </c>
      <c r="AS212" s="22">
        <f>IF($AR212="","",IF(ISNUMBER($AR212),IF($AR212&gt;=10000000,IFERROR(DATE(INT($AR212/10000),MOD(INT($AR212/100),100),MOD($AR212,100)),""),INT($AR212)),IFERROR(DATE(--LEFT(LEFT(SUBSTITUTE(SUBSTITUTE(SUBSTITUTE(SUBSTITUTE(TRIM($AR212),"-",""),".",""),"/","")," ",""),8),4),--MID(LEFT(SUBSTITUTE(SUBSTITUTE(SUBSTITUTE(SUBSTITUTE(TRIM($AR212),"-",""),".",""),"/","")," ",""),8),5,2),--MID(LEFT(SUBSTITUTE(SUBSTITUTE(SUBSTITUTE(SUBSTITUTE(TRIM($AR212),"-",""),".",""),"/","")," ",""),8),7,2)),"")))</f>
        <v/>
      </c>
      <c r="AT212" s="23">
        <f>IF($AS212="","",IF($F$6="",0,IF(ISNUMBER(INDEX($A:$AP,ROW(),$F$6)),INDEX($A:$AP,ROW(),$F$6),IFERROR(--SUBSTITUTE(SUBSTITUTE(TRIM(INDEX($A:$AP,ROW(),$F$6)),",",""),"원",""),0))))</f>
        <v/>
      </c>
      <c r="AU212" s="23">
        <f>IF($AS212="","",IF($G$6="",0,IF(ISNUMBER(INDEX($A:$AP,ROW(),$G$6)),INDEX($A:$AP,ROW(),$G$6),IFERROR(--SUBSTITUTE(SUBSTITUTE(TRIM(INDEX($A:$AP,ROW(),$G$6)),",",""),"원",""),0))))</f>
        <v/>
      </c>
      <c r="AV212" s="23">
        <f>IF($AS212="","",IF($H$6="",$AT212+$AU212,IF($H$6="",0,IF(ISNUMBER(INDEX($A:$AP,ROW(),$H$6)),INDEX($A:$AP,ROW(),$H$6),IFERROR(--SUBSTITUTE(SUBSTITUTE(TRIM(INDEX($A:$AP,ROW(),$H$6)),",",""),"원",""),0)))))</f>
        <v/>
      </c>
      <c r="AW212" s="2">
        <f>IF(OR($AS212="",$C$6=""),"",TRIM(INDEX($A:$AP,ROW(),$C$6)&amp;""))</f>
        <v/>
      </c>
      <c r="AX212" s="2">
        <f>IF($AS212="","",IF($AZ212&lt;&gt;"",SUBSTITUTE(SUBSTITUTE($AZ212,"-","")," ",""),$AY212))</f>
        <v/>
      </c>
      <c r="AY212" s="2">
        <f>IF(OR($AS212="",$E$6=""),"",TRIM(INDEX($A:$AP,ROW(),$E$6)&amp;""))</f>
        <v/>
      </c>
      <c r="AZ212" s="2">
        <f>IF(OR($AS212="",$D$6=""),"",TRIM(INDEX($A:$AP,ROW(),$D$6)&amp;""))</f>
        <v/>
      </c>
      <c r="BA212" s="2">
        <f>IF($AS212="","",IF(AND($AS212&gt;=설정!$B$10,$AS212&lt;=설정!$B$11),"포함","기간 밖"))</f>
        <v/>
      </c>
      <c r="BB212" s="2">
        <f>IF($AS212="","",IF(OR($AT212&lt;0,AND($I$6&lt;&gt;"",ISNUMBER(FIND("수정",INDEX($A:$AP,ROW(),IF($I$6="",1,$I$6))&amp;"")))),"수정","일반"))</f>
        <v/>
      </c>
      <c r="BC212" s="2">
        <f>IF($AS212="","",MID(IF($BA212="기간 밖"," / 기간 밖(신고기간 아님)","")&amp;IF(AND($AW212&lt;&gt;"",COUNTIF($AW$8:$AW$1007,$AW212)&gt;1)," / 승인번호 중복(두 번 붙여넣기?)","")&amp;IF(ABS($AU212-ROUND($AT212*0.1,0))&gt;설정!$B$8,IF($AU212=0," / 세액 0원(영세율·면세 여부 확인)"," / 세액이 공급가액 10%와 다름"),"")&amp;IF($BB212="수정"," / 수정세금계산서(합계에서 자동 가감)",""),4,200))</f>
        <v/>
      </c>
      <c r="BD212" s="2">
        <f>IF($BA212&lt;&gt;"포함","",IF(COUNTIFS($AX$8:$AX212,$AX212,$BA$8:$BA212,"포함")=1,MAX($BD$7:BD211)+1,""))</f>
        <v/>
      </c>
      <c r="BE212" s="2">
        <f>IF($BC212="","",MAX($BE$7:BE211)+1)</f>
        <v/>
      </c>
    </row>
    <row r="213">
      <c r="AR213" s="2">
        <f>IF(OR($A$5="",$B$6="",ROW()&lt;$A$5),"",IF(INDEX($A:$AP,ROW(),$B$6)="","",INDEX($A:$AP,ROW(),$B$6)))</f>
        <v/>
      </c>
      <c r="AS213" s="22">
        <f>IF($AR213="","",IF(ISNUMBER($AR213),IF($AR213&gt;=10000000,IFERROR(DATE(INT($AR213/10000),MOD(INT($AR213/100),100),MOD($AR213,100)),""),INT($AR213)),IFERROR(DATE(--LEFT(LEFT(SUBSTITUTE(SUBSTITUTE(SUBSTITUTE(SUBSTITUTE(TRIM($AR213),"-",""),".",""),"/","")," ",""),8),4),--MID(LEFT(SUBSTITUTE(SUBSTITUTE(SUBSTITUTE(SUBSTITUTE(TRIM($AR213),"-",""),".",""),"/","")," ",""),8),5,2),--MID(LEFT(SUBSTITUTE(SUBSTITUTE(SUBSTITUTE(SUBSTITUTE(TRIM($AR213),"-",""),".",""),"/","")," ",""),8),7,2)),"")))</f>
        <v/>
      </c>
      <c r="AT213" s="23">
        <f>IF($AS213="","",IF($F$6="",0,IF(ISNUMBER(INDEX($A:$AP,ROW(),$F$6)),INDEX($A:$AP,ROW(),$F$6),IFERROR(--SUBSTITUTE(SUBSTITUTE(TRIM(INDEX($A:$AP,ROW(),$F$6)),",",""),"원",""),0))))</f>
        <v/>
      </c>
      <c r="AU213" s="23">
        <f>IF($AS213="","",IF($G$6="",0,IF(ISNUMBER(INDEX($A:$AP,ROW(),$G$6)),INDEX($A:$AP,ROW(),$G$6),IFERROR(--SUBSTITUTE(SUBSTITUTE(TRIM(INDEX($A:$AP,ROW(),$G$6)),",",""),"원",""),0))))</f>
        <v/>
      </c>
      <c r="AV213" s="23">
        <f>IF($AS213="","",IF($H$6="",$AT213+$AU213,IF($H$6="",0,IF(ISNUMBER(INDEX($A:$AP,ROW(),$H$6)),INDEX($A:$AP,ROW(),$H$6),IFERROR(--SUBSTITUTE(SUBSTITUTE(TRIM(INDEX($A:$AP,ROW(),$H$6)),",",""),"원",""),0)))))</f>
        <v/>
      </c>
      <c r="AW213" s="2">
        <f>IF(OR($AS213="",$C$6=""),"",TRIM(INDEX($A:$AP,ROW(),$C$6)&amp;""))</f>
        <v/>
      </c>
      <c r="AX213" s="2">
        <f>IF($AS213="","",IF($AZ213&lt;&gt;"",SUBSTITUTE(SUBSTITUTE($AZ213,"-","")," ",""),$AY213))</f>
        <v/>
      </c>
      <c r="AY213" s="2">
        <f>IF(OR($AS213="",$E$6=""),"",TRIM(INDEX($A:$AP,ROW(),$E$6)&amp;""))</f>
        <v/>
      </c>
      <c r="AZ213" s="2">
        <f>IF(OR($AS213="",$D$6=""),"",TRIM(INDEX($A:$AP,ROW(),$D$6)&amp;""))</f>
        <v/>
      </c>
      <c r="BA213" s="2">
        <f>IF($AS213="","",IF(AND($AS213&gt;=설정!$B$10,$AS213&lt;=설정!$B$11),"포함","기간 밖"))</f>
        <v/>
      </c>
      <c r="BB213" s="2">
        <f>IF($AS213="","",IF(OR($AT213&lt;0,AND($I$6&lt;&gt;"",ISNUMBER(FIND("수정",INDEX($A:$AP,ROW(),IF($I$6="",1,$I$6))&amp;"")))),"수정","일반"))</f>
        <v/>
      </c>
      <c r="BC213" s="2">
        <f>IF($AS213="","",MID(IF($BA213="기간 밖"," / 기간 밖(신고기간 아님)","")&amp;IF(AND($AW213&lt;&gt;"",COUNTIF($AW$8:$AW$1007,$AW213)&gt;1)," / 승인번호 중복(두 번 붙여넣기?)","")&amp;IF(ABS($AU213-ROUND($AT213*0.1,0))&gt;설정!$B$8,IF($AU213=0," / 세액 0원(영세율·면세 여부 확인)"," / 세액이 공급가액 10%와 다름"),"")&amp;IF($BB213="수정"," / 수정세금계산서(합계에서 자동 가감)",""),4,200))</f>
        <v/>
      </c>
      <c r="BD213" s="2">
        <f>IF($BA213&lt;&gt;"포함","",IF(COUNTIFS($AX$8:$AX213,$AX213,$BA$8:$BA213,"포함")=1,MAX($BD$7:BD212)+1,""))</f>
        <v/>
      </c>
      <c r="BE213" s="2">
        <f>IF($BC213="","",MAX($BE$7:BE212)+1)</f>
        <v/>
      </c>
    </row>
    <row r="214">
      <c r="AR214" s="2">
        <f>IF(OR($A$5="",$B$6="",ROW()&lt;$A$5),"",IF(INDEX($A:$AP,ROW(),$B$6)="","",INDEX($A:$AP,ROW(),$B$6)))</f>
        <v/>
      </c>
      <c r="AS214" s="22">
        <f>IF($AR214="","",IF(ISNUMBER($AR214),IF($AR214&gt;=10000000,IFERROR(DATE(INT($AR214/10000),MOD(INT($AR214/100),100),MOD($AR214,100)),""),INT($AR214)),IFERROR(DATE(--LEFT(LEFT(SUBSTITUTE(SUBSTITUTE(SUBSTITUTE(SUBSTITUTE(TRIM($AR214),"-",""),".",""),"/","")," ",""),8),4),--MID(LEFT(SUBSTITUTE(SUBSTITUTE(SUBSTITUTE(SUBSTITUTE(TRIM($AR214),"-",""),".",""),"/","")," ",""),8),5,2),--MID(LEFT(SUBSTITUTE(SUBSTITUTE(SUBSTITUTE(SUBSTITUTE(TRIM($AR214),"-",""),".",""),"/","")," ",""),8),7,2)),"")))</f>
        <v/>
      </c>
      <c r="AT214" s="23">
        <f>IF($AS214="","",IF($F$6="",0,IF(ISNUMBER(INDEX($A:$AP,ROW(),$F$6)),INDEX($A:$AP,ROW(),$F$6),IFERROR(--SUBSTITUTE(SUBSTITUTE(TRIM(INDEX($A:$AP,ROW(),$F$6)),",",""),"원",""),0))))</f>
        <v/>
      </c>
      <c r="AU214" s="23">
        <f>IF($AS214="","",IF($G$6="",0,IF(ISNUMBER(INDEX($A:$AP,ROW(),$G$6)),INDEX($A:$AP,ROW(),$G$6),IFERROR(--SUBSTITUTE(SUBSTITUTE(TRIM(INDEX($A:$AP,ROW(),$G$6)),",",""),"원",""),0))))</f>
        <v/>
      </c>
      <c r="AV214" s="23">
        <f>IF($AS214="","",IF($H$6="",$AT214+$AU214,IF($H$6="",0,IF(ISNUMBER(INDEX($A:$AP,ROW(),$H$6)),INDEX($A:$AP,ROW(),$H$6),IFERROR(--SUBSTITUTE(SUBSTITUTE(TRIM(INDEX($A:$AP,ROW(),$H$6)),",",""),"원",""),0)))))</f>
        <v/>
      </c>
      <c r="AW214" s="2">
        <f>IF(OR($AS214="",$C$6=""),"",TRIM(INDEX($A:$AP,ROW(),$C$6)&amp;""))</f>
        <v/>
      </c>
      <c r="AX214" s="2">
        <f>IF($AS214="","",IF($AZ214&lt;&gt;"",SUBSTITUTE(SUBSTITUTE($AZ214,"-","")," ",""),$AY214))</f>
        <v/>
      </c>
      <c r="AY214" s="2">
        <f>IF(OR($AS214="",$E$6=""),"",TRIM(INDEX($A:$AP,ROW(),$E$6)&amp;""))</f>
        <v/>
      </c>
      <c r="AZ214" s="2">
        <f>IF(OR($AS214="",$D$6=""),"",TRIM(INDEX($A:$AP,ROW(),$D$6)&amp;""))</f>
        <v/>
      </c>
      <c r="BA214" s="2">
        <f>IF($AS214="","",IF(AND($AS214&gt;=설정!$B$10,$AS214&lt;=설정!$B$11),"포함","기간 밖"))</f>
        <v/>
      </c>
      <c r="BB214" s="2">
        <f>IF($AS214="","",IF(OR($AT214&lt;0,AND($I$6&lt;&gt;"",ISNUMBER(FIND("수정",INDEX($A:$AP,ROW(),IF($I$6="",1,$I$6))&amp;"")))),"수정","일반"))</f>
        <v/>
      </c>
      <c r="BC214" s="2">
        <f>IF($AS214="","",MID(IF($BA214="기간 밖"," / 기간 밖(신고기간 아님)","")&amp;IF(AND($AW214&lt;&gt;"",COUNTIF($AW$8:$AW$1007,$AW214)&gt;1)," / 승인번호 중복(두 번 붙여넣기?)","")&amp;IF(ABS($AU214-ROUND($AT214*0.1,0))&gt;설정!$B$8,IF($AU214=0," / 세액 0원(영세율·면세 여부 확인)"," / 세액이 공급가액 10%와 다름"),"")&amp;IF($BB214="수정"," / 수정세금계산서(합계에서 자동 가감)",""),4,200))</f>
        <v/>
      </c>
      <c r="BD214" s="2">
        <f>IF($BA214&lt;&gt;"포함","",IF(COUNTIFS($AX$8:$AX214,$AX214,$BA$8:$BA214,"포함")=1,MAX($BD$7:BD213)+1,""))</f>
        <v/>
      </c>
      <c r="BE214" s="2">
        <f>IF($BC214="","",MAX($BE$7:BE213)+1)</f>
        <v/>
      </c>
    </row>
    <row r="215">
      <c r="AR215" s="2">
        <f>IF(OR($A$5="",$B$6="",ROW()&lt;$A$5),"",IF(INDEX($A:$AP,ROW(),$B$6)="","",INDEX($A:$AP,ROW(),$B$6)))</f>
        <v/>
      </c>
      <c r="AS215" s="22">
        <f>IF($AR215="","",IF(ISNUMBER($AR215),IF($AR215&gt;=10000000,IFERROR(DATE(INT($AR215/10000),MOD(INT($AR215/100),100),MOD($AR215,100)),""),INT($AR215)),IFERROR(DATE(--LEFT(LEFT(SUBSTITUTE(SUBSTITUTE(SUBSTITUTE(SUBSTITUTE(TRIM($AR215),"-",""),".",""),"/","")," ",""),8),4),--MID(LEFT(SUBSTITUTE(SUBSTITUTE(SUBSTITUTE(SUBSTITUTE(TRIM($AR215),"-",""),".",""),"/","")," ",""),8),5,2),--MID(LEFT(SUBSTITUTE(SUBSTITUTE(SUBSTITUTE(SUBSTITUTE(TRIM($AR215),"-",""),".",""),"/","")," ",""),8),7,2)),"")))</f>
        <v/>
      </c>
      <c r="AT215" s="23">
        <f>IF($AS215="","",IF($F$6="",0,IF(ISNUMBER(INDEX($A:$AP,ROW(),$F$6)),INDEX($A:$AP,ROW(),$F$6),IFERROR(--SUBSTITUTE(SUBSTITUTE(TRIM(INDEX($A:$AP,ROW(),$F$6)),",",""),"원",""),0))))</f>
        <v/>
      </c>
      <c r="AU215" s="23">
        <f>IF($AS215="","",IF($G$6="",0,IF(ISNUMBER(INDEX($A:$AP,ROW(),$G$6)),INDEX($A:$AP,ROW(),$G$6),IFERROR(--SUBSTITUTE(SUBSTITUTE(TRIM(INDEX($A:$AP,ROW(),$G$6)),",",""),"원",""),0))))</f>
        <v/>
      </c>
      <c r="AV215" s="23">
        <f>IF($AS215="","",IF($H$6="",$AT215+$AU215,IF($H$6="",0,IF(ISNUMBER(INDEX($A:$AP,ROW(),$H$6)),INDEX($A:$AP,ROW(),$H$6),IFERROR(--SUBSTITUTE(SUBSTITUTE(TRIM(INDEX($A:$AP,ROW(),$H$6)),",",""),"원",""),0)))))</f>
        <v/>
      </c>
      <c r="AW215" s="2">
        <f>IF(OR($AS215="",$C$6=""),"",TRIM(INDEX($A:$AP,ROW(),$C$6)&amp;""))</f>
        <v/>
      </c>
      <c r="AX215" s="2">
        <f>IF($AS215="","",IF($AZ215&lt;&gt;"",SUBSTITUTE(SUBSTITUTE($AZ215,"-","")," ",""),$AY215))</f>
        <v/>
      </c>
      <c r="AY215" s="2">
        <f>IF(OR($AS215="",$E$6=""),"",TRIM(INDEX($A:$AP,ROW(),$E$6)&amp;""))</f>
        <v/>
      </c>
      <c r="AZ215" s="2">
        <f>IF(OR($AS215="",$D$6=""),"",TRIM(INDEX($A:$AP,ROW(),$D$6)&amp;""))</f>
        <v/>
      </c>
      <c r="BA215" s="2">
        <f>IF($AS215="","",IF(AND($AS215&gt;=설정!$B$10,$AS215&lt;=설정!$B$11),"포함","기간 밖"))</f>
        <v/>
      </c>
      <c r="BB215" s="2">
        <f>IF($AS215="","",IF(OR($AT215&lt;0,AND($I$6&lt;&gt;"",ISNUMBER(FIND("수정",INDEX($A:$AP,ROW(),IF($I$6="",1,$I$6))&amp;"")))),"수정","일반"))</f>
        <v/>
      </c>
      <c r="BC215" s="2">
        <f>IF($AS215="","",MID(IF($BA215="기간 밖"," / 기간 밖(신고기간 아님)","")&amp;IF(AND($AW215&lt;&gt;"",COUNTIF($AW$8:$AW$1007,$AW215)&gt;1)," / 승인번호 중복(두 번 붙여넣기?)","")&amp;IF(ABS($AU215-ROUND($AT215*0.1,0))&gt;설정!$B$8,IF($AU215=0," / 세액 0원(영세율·면세 여부 확인)"," / 세액이 공급가액 10%와 다름"),"")&amp;IF($BB215="수정"," / 수정세금계산서(합계에서 자동 가감)",""),4,200))</f>
        <v/>
      </c>
      <c r="BD215" s="2">
        <f>IF($BA215&lt;&gt;"포함","",IF(COUNTIFS($AX$8:$AX215,$AX215,$BA$8:$BA215,"포함")=1,MAX($BD$7:BD214)+1,""))</f>
        <v/>
      </c>
      <c r="BE215" s="2">
        <f>IF($BC215="","",MAX($BE$7:BE214)+1)</f>
        <v/>
      </c>
    </row>
    <row r="216">
      <c r="AR216" s="2">
        <f>IF(OR($A$5="",$B$6="",ROW()&lt;$A$5),"",IF(INDEX($A:$AP,ROW(),$B$6)="","",INDEX($A:$AP,ROW(),$B$6)))</f>
        <v/>
      </c>
      <c r="AS216" s="22">
        <f>IF($AR216="","",IF(ISNUMBER($AR216),IF($AR216&gt;=10000000,IFERROR(DATE(INT($AR216/10000),MOD(INT($AR216/100),100),MOD($AR216,100)),""),INT($AR216)),IFERROR(DATE(--LEFT(LEFT(SUBSTITUTE(SUBSTITUTE(SUBSTITUTE(SUBSTITUTE(TRIM($AR216),"-",""),".",""),"/","")," ",""),8),4),--MID(LEFT(SUBSTITUTE(SUBSTITUTE(SUBSTITUTE(SUBSTITUTE(TRIM($AR216),"-",""),".",""),"/","")," ",""),8),5,2),--MID(LEFT(SUBSTITUTE(SUBSTITUTE(SUBSTITUTE(SUBSTITUTE(TRIM($AR216),"-",""),".",""),"/","")," ",""),8),7,2)),"")))</f>
        <v/>
      </c>
      <c r="AT216" s="23">
        <f>IF($AS216="","",IF($F$6="",0,IF(ISNUMBER(INDEX($A:$AP,ROW(),$F$6)),INDEX($A:$AP,ROW(),$F$6),IFERROR(--SUBSTITUTE(SUBSTITUTE(TRIM(INDEX($A:$AP,ROW(),$F$6)),",",""),"원",""),0))))</f>
        <v/>
      </c>
      <c r="AU216" s="23">
        <f>IF($AS216="","",IF($G$6="",0,IF(ISNUMBER(INDEX($A:$AP,ROW(),$G$6)),INDEX($A:$AP,ROW(),$G$6),IFERROR(--SUBSTITUTE(SUBSTITUTE(TRIM(INDEX($A:$AP,ROW(),$G$6)),",",""),"원",""),0))))</f>
        <v/>
      </c>
      <c r="AV216" s="23">
        <f>IF($AS216="","",IF($H$6="",$AT216+$AU216,IF($H$6="",0,IF(ISNUMBER(INDEX($A:$AP,ROW(),$H$6)),INDEX($A:$AP,ROW(),$H$6),IFERROR(--SUBSTITUTE(SUBSTITUTE(TRIM(INDEX($A:$AP,ROW(),$H$6)),",",""),"원",""),0)))))</f>
        <v/>
      </c>
      <c r="AW216" s="2">
        <f>IF(OR($AS216="",$C$6=""),"",TRIM(INDEX($A:$AP,ROW(),$C$6)&amp;""))</f>
        <v/>
      </c>
      <c r="AX216" s="2">
        <f>IF($AS216="","",IF($AZ216&lt;&gt;"",SUBSTITUTE(SUBSTITUTE($AZ216,"-","")," ",""),$AY216))</f>
        <v/>
      </c>
      <c r="AY216" s="2">
        <f>IF(OR($AS216="",$E$6=""),"",TRIM(INDEX($A:$AP,ROW(),$E$6)&amp;""))</f>
        <v/>
      </c>
      <c r="AZ216" s="2">
        <f>IF(OR($AS216="",$D$6=""),"",TRIM(INDEX($A:$AP,ROW(),$D$6)&amp;""))</f>
        <v/>
      </c>
      <c r="BA216" s="2">
        <f>IF($AS216="","",IF(AND($AS216&gt;=설정!$B$10,$AS216&lt;=설정!$B$11),"포함","기간 밖"))</f>
        <v/>
      </c>
      <c r="BB216" s="2">
        <f>IF($AS216="","",IF(OR($AT216&lt;0,AND($I$6&lt;&gt;"",ISNUMBER(FIND("수정",INDEX($A:$AP,ROW(),IF($I$6="",1,$I$6))&amp;"")))),"수정","일반"))</f>
        <v/>
      </c>
      <c r="BC216" s="2">
        <f>IF($AS216="","",MID(IF($BA216="기간 밖"," / 기간 밖(신고기간 아님)","")&amp;IF(AND($AW216&lt;&gt;"",COUNTIF($AW$8:$AW$1007,$AW216)&gt;1)," / 승인번호 중복(두 번 붙여넣기?)","")&amp;IF(ABS($AU216-ROUND($AT216*0.1,0))&gt;설정!$B$8,IF($AU216=0," / 세액 0원(영세율·면세 여부 확인)"," / 세액이 공급가액 10%와 다름"),"")&amp;IF($BB216="수정"," / 수정세금계산서(합계에서 자동 가감)",""),4,200))</f>
        <v/>
      </c>
      <c r="BD216" s="2">
        <f>IF($BA216&lt;&gt;"포함","",IF(COUNTIFS($AX$8:$AX216,$AX216,$BA$8:$BA216,"포함")=1,MAX($BD$7:BD215)+1,""))</f>
        <v/>
      </c>
      <c r="BE216" s="2">
        <f>IF($BC216="","",MAX($BE$7:BE215)+1)</f>
        <v/>
      </c>
    </row>
    <row r="217">
      <c r="AR217" s="2">
        <f>IF(OR($A$5="",$B$6="",ROW()&lt;$A$5),"",IF(INDEX($A:$AP,ROW(),$B$6)="","",INDEX($A:$AP,ROW(),$B$6)))</f>
        <v/>
      </c>
      <c r="AS217" s="22">
        <f>IF($AR217="","",IF(ISNUMBER($AR217),IF($AR217&gt;=10000000,IFERROR(DATE(INT($AR217/10000),MOD(INT($AR217/100),100),MOD($AR217,100)),""),INT($AR217)),IFERROR(DATE(--LEFT(LEFT(SUBSTITUTE(SUBSTITUTE(SUBSTITUTE(SUBSTITUTE(TRIM($AR217),"-",""),".",""),"/","")," ",""),8),4),--MID(LEFT(SUBSTITUTE(SUBSTITUTE(SUBSTITUTE(SUBSTITUTE(TRIM($AR217),"-",""),".",""),"/","")," ",""),8),5,2),--MID(LEFT(SUBSTITUTE(SUBSTITUTE(SUBSTITUTE(SUBSTITUTE(TRIM($AR217),"-",""),".",""),"/","")," ",""),8),7,2)),"")))</f>
        <v/>
      </c>
      <c r="AT217" s="23">
        <f>IF($AS217="","",IF($F$6="",0,IF(ISNUMBER(INDEX($A:$AP,ROW(),$F$6)),INDEX($A:$AP,ROW(),$F$6),IFERROR(--SUBSTITUTE(SUBSTITUTE(TRIM(INDEX($A:$AP,ROW(),$F$6)),",",""),"원",""),0))))</f>
        <v/>
      </c>
      <c r="AU217" s="23">
        <f>IF($AS217="","",IF($G$6="",0,IF(ISNUMBER(INDEX($A:$AP,ROW(),$G$6)),INDEX($A:$AP,ROW(),$G$6),IFERROR(--SUBSTITUTE(SUBSTITUTE(TRIM(INDEX($A:$AP,ROW(),$G$6)),",",""),"원",""),0))))</f>
        <v/>
      </c>
      <c r="AV217" s="23">
        <f>IF($AS217="","",IF($H$6="",$AT217+$AU217,IF($H$6="",0,IF(ISNUMBER(INDEX($A:$AP,ROW(),$H$6)),INDEX($A:$AP,ROW(),$H$6),IFERROR(--SUBSTITUTE(SUBSTITUTE(TRIM(INDEX($A:$AP,ROW(),$H$6)),",",""),"원",""),0)))))</f>
        <v/>
      </c>
      <c r="AW217" s="2">
        <f>IF(OR($AS217="",$C$6=""),"",TRIM(INDEX($A:$AP,ROW(),$C$6)&amp;""))</f>
        <v/>
      </c>
      <c r="AX217" s="2">
        <f>IF($AS217="","",IF($AZ217&lt;&gt;"",SUBSTITUTE(SUBSTITUTE($AZ217,"-","")," ",""),$AY217))</f>
        <v/>
      </c>
      <c r="AY217" s="2">
        <f>IF(OR($AS217="",$E$6=""),"",TRIM(INDEX($A:$AP,ROW(),$E$6)&amp;""))</f>
        <v/>
      </c>
      <c r="AZ217" s="2">
        <f>IF(OR($AS217="",$D$6=""),"",TRIM(INDEX($A:$AP,ROW(),$D$6)&amp;""))</f>
        <v/>
      </c>
      <c r="BA217" s="2">
        <f>IF($AS217="","",IF(AND($AS217&gt;=설정!$B$10,$AS217&lt;=설정!$B$11),"포함","기간 밖"))</f>
        <v/>
      </c>
      <c r="BB217" s="2">
        <f>IF($AS217="","",IF(OR($AT217&lt;0,AND($I$6&lt;&gt;"",ISNUMBER(FIND("수정",INDEX($A:$AP,ROW(),IF($I$6="",1,$I$6))&amp;"")))),"수정","일반"))</f>
        <v/>
      </c>
      <c r="BC217" s="2">
        <f>IF($AS217="","",MID(IF($BA217="기간 밖"," / 기간 밖(신고기간 아님)","")&amp;IF(AND($AW217&lt;&gt;"",COUNTIF($AW$8:$AW$1007,$AW217)&gt;1)," / 승인번호 중복(두 번 붙여넣기?)","")&amp;IF(ABS($AU217-ROUND($AT217*0.1,0))&gt;설정!$B$8,IF($AU217=0," / 세액 0원(영세율·면세 여부 확인)"," / 세액이 공급가액 10%와 다름"),"")&amp;IF($BB217="수정"," / 수정세금계산서(합계에서 자동 가감)",""),4,200))</f>
        <v/>
      </c>
      <c r="BD217" s="2">
        <f>IF($BA217&lt;&gt;"포함","",IF(COUNTIFS($AX$8:$AX217,$AX217,$BA$8:$BA217,"포함")=1,MAX($BD$7:BD216)+1,""))</f>
        <v/>
      </c>
      <c r="BE217" s="2">
        <f>IF($BC217="","",MAX($BE$7:BE216)+1)</f>
        <v/>
      </c>
    </row>
    <row r="218">
      <c r="AR218" s="2">
        <f>IF(OR($A$5="",$B$6="",ROW()&lt;$A$5),"",IF(INDEX($A:$AP,ROW(),$B$6)="","",INDEX($A:$AP,ROW(),$B$6)))</f>
        <v/>
      </c>
      <c r="AS218" s="22">
        <f>IF($AR218="","",IF(ISNUMBER($AR218),IF($AR218&gt;=10000000,IFERROR(DATE(INT($AR218/10000),MOD(INT($AR218/100),100),MOD($AR218,100)),""),INT($AR218)),IFERROR(DATE(--LEFT(LEFT(SUBSTITUTE(SUBSTITUTE(SUBSTITUTE(SUBSTITUTE(TRIM($AR218),"-",""),".",""),"/","")," ",""),8),4),--MID(LEFT(SUBSTITUTE(SUBSTITUTE(SUBSTITUTE(SUBSTITUTE(TRIM($AR218),"-",""),".",""),"/","")," ",""),8),5,2),--MID(LEFT(SUBSTITUTE(SUBSTITUTE(SUBSTITUTE(SUBSTITUTE(TRIM($AR218),"-",""),".",""),"/","")," ",""),8),7,2)),"")))</f>
        <v/>
      </c>
      <c r="AT218" s="23">
        <f>IF($AS218="","",IF($F$6="",0,IF(ISNUMBER(INDEX($A:$AP,ROW(),$F$6)),INDEX($A:$AP,ROW(),$F$6),IFERROR(--SUBSTITUTE(SUBSTITUTE(TRIM(INDEX($A:$AP,ROW(),$F$6)),",",""),"원",""),0))))</f>
        <v/>
      </c>
      <c r="AU218" s="23">
        <f>IF($AS218="","",IF($G$6="",0,IF(ISNUMBER(INDEX($A:$AP,ROW(),$G$6)),INDEX($A:$AP,ROW(),$G$6),IFERROR(--SUBSTITUTE(SUBSTITUTE(TRIM(INDEX($A:$AP,ROW(),$G$6)),",",""),"원",""),0))))</f>
        <v/>
      </c>
      <c r="AV218" s="23">
        <f>IF($AS218="","",IF($H$6="",$AT218+$AU218,IF($H$6="",0,IF(ISNUMBER(INDEX($A:$AP,ROW(),$H$6)),INDEX($A:$AP,ROW(),$H$6),IFERROR(--SUBSTITUTE(SUBSTITUTE(TRIM(INDEX($A:$AP,ROW(),$H$6)),",",""),"원",""),0)))))</f>
        <v/>
      </c>
      <c r="AW218" s="2">
        <f>IF(OR($AS218="",$C$6=""),"",TRIM(INDEX($A:$AP,ROW(),$C$6)&amp;""))</f>
        <v/>
      </c>
      <c r="AX218" s="2">
        <f>IF($AS218="","",IF($AZ218&lt;&gt;"",SUBSTITUTE(SUBSTITUTE($AZ218,"-","")," ",""),$AY218))</f>
        <v/>
      </c>
      <c r="AY218" s="2">
        <f>IF(OR($AS218="",$E$6=""),"",TRIM(INDEX($A:$AP,ROW(),$E$6)&amp;""))</f>
        <v/>
      </c>
      <c r="AZ218" s="2">
        <f>IF(OR($AS218="",$D$6=""),"",TRIM(INDEX($A:$AP,ROW(),$D$6)&amp;""))</f>
        <v/>
      </c>
      <c r="BA218" s="2">
        <f>IF($AS218="","",IF(AND($AS218&gt;=설정!$B$10,$AS218&lt;=설정!$B$11),"포함","기간 밖"))</f>
        <v/>
      </c>
      <c r="BB218" s="2">
        <f>IF($AS218="","",IF(OR($AT218&lt;0,AND($I$6&lt;&gt;"",ISNUMBER(FIND("수정",INDEX($A:$AP,ROW(),IF($I$6="",1,$I$6))&amp;"")))),"수정","일반"))</f>
        <v/>
      </c>
      <c r="BC218" s="2">
        <f>IF($AS218="","",MID(IF($BA218="기간 밖"," / 기간 밖(신고기간 아님)","")&amp;IF(AND($AW218&lt;&gt;"",COUNTIF($AW$8:$AW$1007,$AW218)&gt;1)," / 승인번호 중복(두 번 붙여넣기?)","")&amp;IF(ABS($AU218-ROUND($AT218*0.1,0))&gt;설정!$B$8,IF($AU218=0," / 세액 0원(영세율·면세 여부 확인)"," / 세액이 공급가액 10%와 다름"),"")&amp;IF($BB218="수정"," / 수정세금계산서(합계에서 자동 가감)",""),4,200))</f>
        <v/>
      </c>
      <c r="BD218" s="2">
        <f>IF($BA218&lt;&gt;"포함","",IF(COUNTIFS($AX$8:$AX218,$AX218,$BA$8:$BA218,"포함")=1,MAX($BD$7:BD217)+1,""))</f>
        <v/>
      </c>
      <c r="BE218" s="2">
        <f>IF($BC218="","",MAX($BE$7:BE217)+1)</f>
        <v/>
      </c>
    </row>
    <row r="219">
      <c r="AR219" s="2">
        <f>IF(OR($A$5="",$B$6="",ROW()&lt;$A$5),"",IF(INDEX($A:$AP,ROW(),$B$6)="","",INDEX($A:$AP,ROW(),$B$6)))</f>
        <v/>
      </c>
      <c r="AS219" s="22">
        <f>IF($AR219="","",IF(ISNUMBER($AR219),IF($AR219&gt;=10000000,IFERROR(DATE(INT($AR219/10000),MOD(INT($AR219/100),100),MOD($AR219,100)),""),INT($AR219)),IFERROR(DATE(--LEFT(LEFT(SUBSTITUTE(SUBSTITUTE(SUBSTITUTE(SUBSTITUTE(TRIM($AR219),"-",""),".",""),"/","")," ",""),8),4),--MID(LEFT(SUBSTITUTE(SUBSTITUTE(SUBSTITUTE(SUBSTITUTE(TRIM($AR219),"-",""),".",""),"/","")," ",""),8),5,2),--MID(LEFT(SUBSTITUTE(SUBSTITUTE(SUBSTITUTE(SUBSTITUTE(TRIM($AR219),"-",""),".",""),"/","")," ",""),8),7,2)),"")))</f>
        <v/>
      </c>
      <c r="AT219" s="23">
        <f>IF($AS219="","",IF($F$6="",0,IF(ISNUMBER(INDEX($A:$AP,ROW(),$F$6)),INDEX($A:$AP,ROW(),$F$6),IFERROR(--SUBSTITUTE(SUBSTITUTE(TRIM(INDEX($A:$AP,ROW(),$F$6)),",",""),"원",""),0))))</f>
        <v/>
      </c>
      <c r="AU219" s="23">
        <f>IF($AS219="","",IF($G$6="",0,IF(ISNUMBER(INDEX($A:$AP,ROW(),$G$6)),INDEX($A:$AP,ROW(),$G$6),IFERROR(--SUBSTITUTE(SUBSTITUTE(TRIM(INDEX($A:$AP,ROW(),$G$6)),",",""),"원",""),0))))</f>
        <v/>
      </c>
      <c r="AV219" s="23">
        <f>IF($AS219="","",IF($H$6="",$AT219+$AU219,IF($H$6="",0,IF(ISNUMBER(INDEX($A:$AP,ROW(),$H$6)),INDEX($A:$AP,ROW(),$H$6),IFERROR(--SUBSTITUTE(SUBSTITUTE(TRIM(INDEX($A:$AP,ROW(),$H$6)),",",""),"원",""),0)))))</f>
        <v/>
      </c>
      <c r="AW219" s="2">
        <f>IF(OR($AS219="",$C$6=""),"",TRIM(INDEX($A:$AP,ROW(),$C$6)&amp;""))</f>
        <v/>
      </c>
      <c r="AX219" s="2">
        <f>IF($AS219="","",IF($AZ219&lt;&gt;"",SUBSTITUTE(SUBSTITUTE($AZ219,"-","")," ",""),$AY219))</f>
        <v/>
      </c>
      <c r="AY219" s="2">
        <f>IF(OR($AS219="",$E$6=""),"",TRIM(INDEX($A:$AP,ROW(),$E$6)&amp;""))</f>
        <v/>
      </c>
      <c r="AZ219" s="2">
        <f>IF(OR($AS219="",$D$6=""),"",TRIM(INDEX($A:$AP,ROW(),$D$6)&amp;""))</f>
        <v/>
      </c>
      <c r="BA219" s="2">
        <f>IF($AS219="","",IF(AND($AS219&gt;=설정!$B$10,$AS219&lt;=설정!$B$11),"포함","기간 밖"))</f>
        <v/>
      </c>
      <c r="BB219" s="2">
        <f>IF($AS219="","",IF(OR($AT219&lt;0,AND($I$6&lt;&gt;"",ISNUMBER(FIND("수정",INDEX($A:$AP,ROW(),IF($I$6="",1,$I$6))&amp;"")))),"수정","일반"))</f>
        <v/>
      </c>
      <c r="BC219" s="2">
        <f>IF($AS219="","",MID(IF($BA219="기간 밖"," / 기간 밖(신고기간 아님)","")&amp;IF(AND($AW219&lt;&gt;"",COUNTIF($AW$8:$AW$1007,$AW219)&gt;1)," / 승인번호 중복(두 번 붙여넣기?)","")&amp;IF(ABS($AU219-ROUND($AT219*0.1,0))&gt;설정!$B$8,IF($AU219=0," / 세액 0원(영세율·면세 여부 확인)"," / 세액이 공급가액 10%와 다름"),"")&amp;IF($BB219="수정"," / 수정세금계산서(합계에서 자동 가감)",""),4,200))</f>
        <v/>
      </c>
      <c r="BD219" s="2">
        <f>IF($BA219&lt;&gt;"포함","",IF(COUNTIFS($AX$8:$AX219,$AX219,$BA$8:$BA219,"포함")=1,MAX($BD$7:BD218)+1,""))</f>
        <v/>
      </c>
      <c r="BE219" s="2">
        <f>IF($BC219="","",MAX($BE$7:BE218)+1)</f>
        <v/>
      </c>
    </row>
    <row r="220">
      <c r="AR220" s="2">
        <f>IF(OR($A$5="",$B$6="",ROW()&lt;$A$5),"",IF(INDEX($A:$AP,ROW(),$B$6)="","",INDEX($A:$AP,ROW(),$B$6)))</f>
        <v/>
      </c>
      <c r="AS220" s="22">
        <f>IF($AR220="","",IF(ISNUMBER($AR220),IF($AR220&gt;=10000000,IFERROR(DATE(INT($AR220/10000),MOD(INT($AR220/100),100),MOD($AR220,100)),""),INT($AR220)),IFERROR(DATE(--LEFT(LEFT(SUBSTITUTE(SUBSTITUTE(SUBSTITUTE(SUBSTITUTE(TRIM($AR220),"-",""),".",""),"/","")," ",""),8),4),--MID(LEFT(SUBSTITUTE(SUBSTITUTE(SUBSTITUTE(SUBSTITUTE(TRIM($AR220),"-",""),".",""),"/","")," ",""),8),5,2),--MID(LEFT(SUBSTITUTE(SUBSTITUTE(SUBSTITUTE(SUBSTITUTE(TRIM($AR220),"-",""),".",""),"/","")," ",""),8),7,2)),"")))</f>
        <v/>
      </c>
      <c r="AT220" s="23">
        <f>IF($AS220="","",IF($F$6="",0,IF(ISNUMBER(INDEX($A:$AP,ROW(),$F$6)),INDEX($A:$AP,ROW(),$F$6),IFERROR(--SUBSTITUTE(SUBSTITUTE(TRIM(INDEX($A:$AP,ROW(),$F$6)),",",""),"원",""),0))))</f>
        <v/>
      </c>
      <c r="AU220" s="23">
        <f>IF($AS220="","",IF($G$6="",0,IF(ISNUMBER(INDEX($A:$AP,ROW(),$G$6)),INDEX($A:$AP,ROW(),$G$6),IFERROR(--SUBSTITUTE(SUBSTITUTE(TRIM(INDEX($A:$AP,ROW(),$G$6)),",",""),"원",""),0))))</f>
        <v/>
      </c>
      <c r="AV220" s="23">
        <f>IF($AS220="","",IF($H$6="",$AT220+$AU220,IF($H$6="",0,IF(ISNUMBER(INDEX($A:$AP,ROW(),$H$6)),INDEX($A:$AP,ROW(),$H$6),IFERROR(--SUBSTITUTE(SUBSTITUTE(TRIM(INDEX($A:$AP,ROW(),$H$6)),",",""),"원",""),0)))))</f>
        <v/>
      </c>
      <c r="AW220" s="2">
        <f>IF(OR($AS220="",$C$6=""),"",TRIM(INDEX($A:$AP,ROW(),$C$6)&amp;""))</f>
        <v/>
      </c>
      <c r="AX220" s="2">
        <f>IF($AS220="","",IF($AZ220&lt;&gt;"",SUBSTITUTE(SUBSTITUTE($AZ220,"-","")," ",""),$AY220))</f>
        <v/>
      </c>
      <c r="AY220" s="2">
        <f>IF(OR($AS220="",$E$6=""),"",TRIM(INDEX($A:$AP,ROW(),$E$6)&amp;""))</f>
        <v/>
      </c>
      <c r="AZ220" s="2">
        <f>IF(OR($AS220="",$D$6=""),"",TRIM(INDEX($A:$AP,ROW(),$D$6)&amp;""))</f>
        <v/>
      </c>
      <c r="BA220" s="2">
        <f>IF($AS220="","",IF(AND($AS220&gt;=설정!$B$10,$AS220&lt;=설정!$B$11),"포함","기간 밖"))</f>
        <v/>
      </c>
      <c r="BB220" s="2">
        <f>IF($AS220="","",IF(OR($AT220&lt;0,AND($I$6&lt;&gt;"",ISNUMBER(FIND("수정",INDEX($A:$AP,ROW(),IF($I$6="",1,$I$6))&amp;"")))),"수정","일반"))</f>
        <v/>
      </c>
      <c r="BC220" s="2">
        <f>IF($AS220="","",MID(IF($BA220="기간 밖"," / 기간 밖(신고기간 아님)","")&amp;IF(AND($AW220&lt;&gt;"",COUNTIF($AW$8:$AW$1007,$AW220)&gt;1)," / 승인번호 중복(두 번 붙여넣기?)","")&amp;IF(ABS($AU220-ROUND($AT220*0.1,0))&gt;설정!$B$8,IF($AU220=0," / 세액 0원(영세율·면세 여부 확인)"," / 세액이 공급가액 10%와 다름"),"")&amp;IF($BB220="수정"," / 수정세금계산서(합계에서 자동 가감)",""),4,200))</f>
        <v/>
      </c>
      <c r="BD220" s="2">
        <f>IF($BA220&lt;&gt;"포함","",IF(COUNTIFS($AX$8:$AX220,$AX220,$BA$8:$BA220,"포함")=1,MAX($BD$7:BD219)+1,""))</f>
        <v/>
      </c>
      <c r="BE220" s="2">
        <f>IF($BC220="","",MAX($BE$7:BE219)+1)</f>
        <v/>
      </c>
    </row>
    <row r="221">
      <c r="AR221" s="2">
        <f>IF(OR($A$5="",$B$6="",ROW()&lt;$A$5),"",IF(INDEX($A:$AP,ROW(),$B$6)="","",INDEX($A:$AP,ROW(),$B$6)))</f>
        <v/>
      </c>
      <c r="AS221" s="22">
        <f>IF($AR221="","",IF(ISNUMBER($AR221),IF($AR221&gt;=10000000,IFERROR(DATE(INT($AR221/10000),MOD(INT($AR221/100),100),MOD($AR221,100)),""),INT($AR221)),IFERROR(DATE(--LEFT(LEFT(SUBSTITUTE(SUBSTITUTE(SUBSTITUTE(SUBSTITUTE(TRIM($AR221),"-",""),".",""),"/","")," ",""),8),4),--MID(LEFT(SUBSTITUTE(SUBSTITUTE(SUBSTITUTE(SUBSTITUTE(TRIM($AR221),"-",""),".",""),"/","")," ",""),8),5,2),--MID(LEFT(SUBSTITUTE(SUBSTITUTE(SUBSTITUTE(SUBSTITUTE(TRIM($AR221),"-",""),".",""),"/","")," ",""),8),7,2)),"")))</f>
        <v/>
      </c>
      <c r="AT221" s="23">
        <f>IF($AS221="","",IF($F$6="",0,IF(ISNUMBER(INDEX($A:$AP,ROW(),$F$6)),INDEX($A:$AP,ROW(),$F$6),IFERROR(--SUBSTITUTE(SUBSTITUTE(TRIM(INDEX($A:$AP,ROW(),$F$6)),",",""),"원",""),0))))</f>
        <v/>
      </c>
      <c r="AU221" s="23">
        <f>IF($AS221="","",IF($G$6="",0,IF(ISNUMBER(INDEX($A:$AP,ROW(),$G$6)),INDEX($A:$AP,ROW(),$G$6),IFERROR(--SUBSTITUTE(SUBSTITUTE(TRIM(INDEX($A:$AP,ROW(),$G$6)),",",""),"원",""),0))))</f>
        <v/>
      </c>
      <c r="AV221" s="23">
        <f>IF($AS221="","",IF($H$6="",$AT221+$AU221,IF($H$6="",0,IF(ISNUMBER(INDEX($A:$AP,ROW(),$H$6)),INDEX($A:$AP,ROW(),$H$6),IFERROR(--SUBSTITUTE(SUBSTITUTE(TRIM(INDEX($A:$AP,ROW(),$H$6)),",",""),"원",""),0)))))</f>
        <v/>
      </c>
      <c r="AW221" s="2">
        <f>IF(OR($AS221="",$C$6=""),"",TRIM(INDEX($A:$AP,ROW(),$C$6)&amp;""))</f>
        <v/>
      </c>
      <c r="AX221" s="2">
        <f>IF($AS221="","",IF($AZ221&lt;&gt;"",SUBSTITUTE(SUBSTITUTE($AZ221,"-","")," ",""),$AY221))</f>
        <v/>
      </c>
      <c r="AY221" s="2">
        <f>IF(OR($AS221="",$E$6=""),"",TRIM(INDEX($A:$AP,ROW(),$E$6)&amp;""))</f>
        <v/>
      </c>
      <c r="AZ221" s="2">
        <f>IF(OR($AS221="",$D$6=""),"",TRIM(INDEX($A:$AP,ROW(),$D$6)&amp;""))</f>
        <v/>
      </c>
      <c r="BA221" s="2">
        <f>IF($AS221="","",IF(AND($AS221&gt;=설정!$B$10,$AS221&lt;=설정!$B$11),"포함","기간 밖"))</f>
        <v/>
      </c>
      <c r="BB221" s="2">
        <f>IF($AS221="","",IF(OR($AT221&lt;0,AND($I$6&lt;&gt;"",ISNUMBER(FIND("수정",INDEX($A:$AP,ROW(),IF($I$6="",1,$I$6))&amp;"")))),"수정","일반"))</f>
        <v/>
      </c>
      <c r="BC221" s="2">
        <f>IF($AS221="","",MID(IF($BA221="기간 밖"," / 기간 밖(신고기간 아님)","")&amp;IF(AND($AW221&lt;&gt;"",COUNTIF($AW$8:$AW$1007,$AW221)&gt;1)," / 승인번호 중복(두 번 붙여넣기?)","")&amp;IF(ABS($AU221-ROUND($AT221*0.1,0))&gt;설정!$B$8,IF($AU221=0," / 세액 0원(영세율·면세 여부 확인)"," / 세액이 공급가액 10%와 다름"),"")&amp;IF($BB221="수정"," / 수정세금계산서(합계에서 자동 가감)",""),4,200))</f>
        <v/>
      </c>
      <c r="BD221" s="2">
        <f>IF($BA221&lt;&gt;"포함","",IF(COUNTIFS($AX$8:$AX221,$AX221,$BA$8:$BA221,"포함")=1,MAX($BD$7:BD220)+1,""))</f>
        <v/>
      </c>
      <c r="BE221" s="2">
        <f>IF($BC221="","",MAX($BE$7:BE220)+1)</f>
        <v/>
      </c>
    </row>
    <row r="222">
      <c r="AR222" s="2">
        <f>IF(OR($A$5="",$B$6="",ROW()&lt;$A$5),"",IF(INDEX($A:$AP,ROW(),$B$6)="","",INDEX($A:$AP,ROW(),$B$6)))</f>
        <v/>
      </c>
      <c r="AS222" s="22">
        <f>IF($AR222="","",IF(ISNUMBER($AR222),IF($AR222&gt;=10000000,IFERROR(DATE(INT($AR222/10000),MOD(INT($AR222/100),100),MOD($AR222,100)),""),INT($AR222)),IFERROR(DATE(--LEFT(LEFT(SUBSTITUTE(SUBSTITUTE(SUBSTITUTE(SUBSTITUTE(TRIM($AR222),"-",""),".",""),"/","")," ",""),8),4),--MID(LEFT(SUBSTITUTE(SUBSTITUTE(SUBSTITUTE(SUBSTITUTE(TRIM($AR222),"-",""),".",""),"/","")," ",""),8),5,2),--MID(LEFT(SUBSTITUTE(SUBSTITUTE(SUBSTITUTE(SUBSTITUTE(TRIM($AR222),"-",""),".",""),"/","")," ",""),8),7,2)),"")))</f>
        <v/>
      </c>
      <c r="AT222" s="23">
        <f>IF($AS222="","",IF($F$6="",0,IF(ISNUMBER(INDEX($A:$AP,ROW(),$F$6)),INDEX($A:$AP,ROW(),$F$6),IFERROR(--SUBSTITUTE(SUBSTITUTE(TRIM(INDEX($A:$AP,ROW(),$F$6)),",",""),"원",""),0))))</f>
        <v/>
      </c>
      <c r="AU222" s="23">
        <f>IF($AS222="","",IF($G$6="",0,IF(ISNUMBER(INDEX($A:$AP,ROW(),$G$6)),INDEX($A:$AP,ROW(),$G$6),IFERROR(--SUBSTITUTE(SUBSTITUTE(TRIM(INDEX($A:$AP,ROW(),$G$6)),",",""),"원",""),0))))</f>
        <v/>
      </c>
      <c r="AV222" s="23">
        <f>IF($AS222="","",IF($H$6="",$AT222+$AU222,IF($H$6="",0,IF(ISNUMBER(INDEX($A:$AP,ROW(),$H$6)),INDEX($A:$AP,ROW(),$H$6),IFERROR(--SUBSTITUTE(SUBSTITUTE(TRIM(INDEX($A:$AP,ROW(),$H$6)),",",""),"원",""),0)))))</f>
        <v/>
      </c>
      <c r="AW222" s="2">
        <f>IF(OR($AS222="",$C$6=""),"",TRIM(INDEX($A:$AP,ROW(),$C$6)&amp;""))</f>
        <v/>
      </c>
      <c r="AX222" s="2">
        <f>IF($AS222="","",IF($AZ222&lt;&gt;"",SUBSTITUTE(SUBSTITUTE($AZ222,"-","")," ",""),$AY222))</f>
        <v/>
      </c>
      <c r="AY222" s="2">
        <f>IF(OR($AS222="",$E$6=""),"",TRIM(INDEX($A:$AP,ROW(),$E$6)&amp;""))</f>
        <v/>
      </c>
      <c r="AZ222" s="2">
        <f>IF(OR($AS222="",$D$6=""),"",TRIM(INDEX($A:$AP,ROW(),$D$6)&amp;""))</f>
        <v/>
      </c>
      <c r="BA222" s="2">
        <f>IF($AS222="","",IF(AND($AS222&gt;=설정!$B$10,$AS222&lt;=설정!$B$11),"포함","기간 밖"))</f>
        <v/>
      </c>
      <c r="BB222" s="2">
        <f>IF($AS222="","",IF(OR($AT222&lt;0,AND($I$6&lt;&gt;"",ISNUMBER(FIND("수정",INDEX($A:$AP,ROW(),IF($I$6="",1,$I$6))&amp;"")))),"수정","일반"))</f>
        <v/>
      </c>
      <c r="BC222" s="2">
        <f>IF($AS222="","",MID(IF($BA222="기간 밖"," / 기간 밖(신고기간 아님)","")&amp;IF(AND($AW222&lt;&gt;"",COUNTIF($AW$8:$AW$1007,$AW222)&gt;1)," / 승인번호 중복(두 번 붙여넣기?)","")&amp;IF(ABS($AU222-ROUND($AT222*0.1,0))&gt;설정!$B$8,IF($AU222=0," / 세액 0원(영세율·면세 여부 확인)"," / 세액이 공급가액 10%와 다름"),"")&amp;IF($BB222="수정"," / 수정세금계산서(합계에서 자동 가감)",""),4,200))</f>
        <v/>
      </c>
      <c r="BD222" s="2">
        <f>IF($BA222&lt;&gt;"포함","",IF(COUNTIFS($AX$8:$AX222,$AX222,$BA$8:$BA222,"포함")=1,MAX($BD$7:BD221)+1,""))</f>
        <v/>
      </c>
      <c r="BE222" s="2">
        <f>IF($BC222="","",MAX($BE$7:BE221)+1)</f>
        <v/>
      </c>
    </row>
    <row r="223">
      <c r="AR223" s="2">
        <f>IF(OR($A$5="",$B$6="",ROW()&lt;$A$5),"",IF(INDEX($A:$AP,ROW(),$B$6)="","",INDEX($A:$AP,ROW(),$B$6)))</f>
        <v/>
      </c>
      <c r="AS223" s="22">
        <f>IF($AR223="","",IF(ISNUMBER($AR223),IF($AR223&gt;=10000000,IFERROR(DATE(INT($AR223/10000),MOD(INT($AR223/100),100),MOD($AR223,100)),""),INT($AR223)),IFERROR(DATE(--LEFT(LEFT(SUBSTITUTE(SUBSTITUTE(SUBSTITUTE(SUBSTITUTE(TRIM($AR223),"-",""),".",""),"/","")," ",""),8),4),--MID(LEFT(SUBSTITUTE(SUBSTITUTE(SUBSTITUTE(SUBSTITUTE(TRIM($AR223),"-",""),".",""),"/","")," ",""),8),5,2),--MID(LEFT(SUBSTITUTE(SUBSTITUTE(SUBSTITUTE(SUBSTITUTE(TRIM($AR223),"-",""),".",""),"/","")," ",""),8),7,2)),"")))</f>
        <v/>
      </c>
      <c r="AT223" s="23">
        <f>IF($AS223="","",IF($F$6="",0,IF(ISNUMBER(INDEX($A:$AP,ROW(),$F$6)),INDEX($A:$AP,ROW(),$F$6),IFERROR(--SUBSTITUTE(SUBSTITUTE(TRIM(INDEX($A:$AP,ROW(),$F$6)),",",""),"원",""),0))))</f>
        <v/>
      </c>
      <c r="AU223" s="23">
        <f>IF($AS223="","",IF($G$6="",0,IF(ISNUMBER(INDEX($A:$AP,ROW(),$G$6)),INDEX($A:$AP,ROW(),$G$6),IFERROR(--SUBSTITUTE(SUBSTITUTE(TRIM(INDEX($A:$AP,ROW(),$G$6)),",",""),"원",""),0))))</f>
        <v/>
      </c>
      <c r="AV223" s="23">
        <f>IF($AS223="","",IF($H$6="",$AT223+$AU223,IF($H$6="",0,IF(ISNUMBER(INDEX($A:$AP,ROW(),$H$6)),INDEX($A:$AP,ROW(),$H$6),IFERROR(--SUBSTITUTE(SUBSTITUTE(TRIM(INDEX($A:$AP,ROW(),$H$6)),",",""),"원",""),0)))))</f>
        <v/>
      </c>
      <c r="AW223" s="2">
        <f>IF(OR($AS223="",$C$6=""),"",TRIM(INDEX($A:$AP,ROW(),$C$6)&amp;""))</f>
        <v/>
      </c>
      <c r="AX223" s="2">
        <f>IF($AS223="","",IF($AZ223&lt;&gt;"",SUBSTITUTE(SUBSTITUTE($AZ223,"-","")," ",""),$AY223))</f>
        <v/>
      </c>
      <c r="AY223" s="2">
        <f>IF(OR($AS223="",$E$6=""),"",TRIM(INDEX($A:$AP,ROW(),$E$6)&amp;""))</f>
        <v/>
      </c>
      <c r="AZ223" s="2">
        <f>IF(OR($AS223="",$D$6=""),"",TRIM(INDEX($A:$AP,ROW(),$D$6)&amp;""))</f>
        <v/>
      </c>
      <c r="BA223" s="2">
        <f>IF($AS223="","",IF(AND($AS223&gt;=설정!$B$10,$AS223&lt;=설정!$B$11),"포함","기간 밖"))</f>
        <v/>
      </c>
      <c r="BB223" s="2">
        <f>IF($AS223="","",IF(OR($AT223&lt;0,AND($I$6&lt;&gt;"",ISNUMBER(FIND("수정",INDEX($A:$AP,ROW(),IF($I$6="",1,$I$6))&amp;"")))),"수정","일반"))</f>
        <v/>
      </c>
      <c r="BC223" s="2">
        <f>IF($AS223="","",MID(IF($BA223="기간 밖"," / 기간 밖(신고기간 아님)","")&amp;IF(AND($AW223&lt;&gt;"",COUNTIF($AW$8:$AW$1007,$AW223)&gt;1)," / 승인번호 중복(두 번 붙여넣기?)","")&amp;IF(ABS($AU223-ROUND($AT223*0.1,0))&gt;설정!$B$8,IF($AU223=0," / 세액 0원(영세율·면세 여부 확인)"," / 세액이 공급가액 10%와 다름"),"")&amp;IF($BB223="수정"," / 수정세금계산서(합계에서 자동 가감)",""),4,200))</f>
        <v/>
      </c>
      <c r="BD223" s="2">
        <f>IF($BA223&lt;&gt;"포함","",IF(COUNTIFS($AX$8:$AX223,$AX223,$BA$8:$BA223,"포함")=1,MAX($BD$7:BD222)+1,""))</f>
        <v/>
      </c>
      <c r="BE223" s="2">
        <f>IF($BC223="","",MAX($BE$7:BE222)+1)</f>
        <v/>
      </c>
    </row>
    <row r="224">
      <c r="AR224" s="2">
        <f>IF(OR($A$5="",$B$6="",ROW()&lt;$A$5),"",IF(INDEX($A:$AP,ROW(),$B$6)="","",INDEX($A:$AP,ROW(),$B$6)))</f>
        <v/>
      </c>
      <c r="AS224" s="22">
        <f>IF($AR224="","",IF(ISNUMBER($AR224),IF($AR224&gt;=10000000,IFERROR(DATE(INT($AR224/10000),MOD(INT($AR224/100),100),MOD($AR224,100)),""),INT($AR224)),IFERROR(DATE(--LEFT(LEFT(SUBSTITUTE(SUBSTITUTE(SUBSTITUTE(SUBSTITUTE(TRIM($AR224),"-",""),".",""),"/","")," ",""),8),4),--MID(LEFT(SUBSTITUTE(SUBSTITUTE(SUBSTITUTE(SUBSTITUTE(TRIM($AR224),"-",""),".",""),"/","")," ",""),8),5,2),--MID(LEFT(SUBSTITUTE(SUBSTITUTE(SUBSTITUTE(SUBSTITUTE(TRIM($AR224),"-",""),".",""),"/","")," ",""),8),7,2)),"")))</f>
        <v/>
      </c>
      <c r="AT224" s="23">
        <f>IF($AS224="","",IF($F$6="",0,IF(ISNUMBER(INDEX($A:$AP,ROW(),$F$6)),INDEX($A:$AP,ROW(),$F$6),IFERROR(--SUBSTITUTE(SUBSTITUTE(TRIM(INDEX($A:$AP,ROW(),$F$6)),",",""),"원",""),0))))</f>
        <v/>
      </c>
      <c r="AU224" s="23">
        <f>IF($AS224="","",IF($G$6="",0,IF(ISNUMBER(INDEX($A:$AP,ROW(),$G$6)),INDEX($A:$AP,ROW(),$G$6),IFERROR(--SUBSTITUTE(SUBSTITUTE(TRIM(INDEX($A:$AP,ROW(),$G$6)),",",""),"원",""),0))))</f>
        <v/>
      </c>
      <c r="AV224" s="23">
        <f>IF($AS224="","",IF($H$6="",$AT224+$AU224,IF($H$6="",0,IF(ISNUMBER(INDEX($A:$AP,ROW(),$H$6)),INDEX($A:$AP,ROW(),$H$6),IFERROR(--SUBSTITUTE(SUBSTITUTE(TRIM(INDEX($A:$AP,ROW(),$H$6)),",",""),"원",""),0)))))</f>
        <v/>
      </c>
      <c r="AW224" s="2">
        <f>IF(OR($AS224="",$C$6=""),"",TRIM(INDEX($A:$AP,ROW(),$C$6)&amp;""))</f>
        <v/>
      </c>
      <c r="AX224" s="2">
        <f>IF($AS224="","",IF($AZ224&lt;&gt;"",SUBSTITUTE(SUBSTITUTE($AZ224,"-","")," ",""),$AY224))</f>
        <v/>
      </c>
      <c r="AY224" s="2">
        <f>IF(OR($AS224="",$E$6=""),"",TRIM(INDEX($A:$AP,ROW(),$E$6)&amp;""))</f>
        <v/>
      </c>
      <c r="AZ224" s="2">
        <f>IF(OR($AS224="",$D$6=""),"",TRIM(INDEX($A:$AP,ROW(),$D$6)&amp;""))</f>
        <v/>
      </c>
      <c r="BA224" s="2">
        <f>IF($AS224="","",IF(AND($AS224&gt;=설정!$B$10,$AS224&lt;=설정!$B$11),"포함","기간 밖"))</f>
        <v/>
      </c>
      <c r="BB224" s="2">
        <f>IF($AS224="","",IF(OR($AT224&lt;0,AND($I$6&lt;&gt;"",ISNUMBER(FIND("수정",INDEX($A:$AP,ROW(),IF($I$6="",1,$I$6))&amp;"")))),"수정","일반"))</f>
        <v/>
      </c>
      <c r="BC224" s="2">
        <f>IF($AS224="","",MID(IF($BA224="기간 밖"," / 기간 밖(신고기간 아님)","")&amp;IF(AND($AW224&lt;&gt;"",COUNTIF($AW$8:$AW$1007,$AW224)&gt;1)," / 승인번호 중복(두 번 붙여넣기?)","")&amp;IF(ABS($AU224-ROUND($AT224*0.1,0))&gt;설정!$B$8,IF($AU224=0," / 세액 0원(영세율·면세 여부 확인)"," / 세액이 공급가액 10%와 다름"),"")&amp;IF($BB224="수정"," / 수정세금계산서(합계에서 자동 가감)",""),4,200))</f>
        <v/>
      </c>
      <c r="BD224" s="2">
        <f>IF($BA224&lt;&gt;"포함","",IF(COUNTIFS($AX$8:$AX224,$AX224,$BA$8:$BA224,"포함")=1,MAX($BD$7:BD223)+1,""))</f>
        <v/>
      </c>
      <c r="BE224" s="2">
        <f>IF($BC224="","",MAX($BE$7:BE223)+1)</f>
        <v/>
      </c>
    </row>
    <row r="225">
      <c r="AR225" s="2">
        <f>IF(OR($A$5="",$B$6="",ROW()&lt;$A$5),"",IF(INDEX($A:$AP,ROW(),$B$6)="","",INDEX($A:$AP,ROW(),$B$6)))</f>
        <v/>
      </c>
      <c r="AS225" s="22">
        <f>IF($AR225="","",IF(ISNUMBER($AR225),IF($AR225&gt;=10000000,IFERROR(DATE(INT($AR225/10000),MOD(INT($AR225/100),100),MOD($AR225,100)),""),INT($AR225)),IFERROR(DATE(--LEFT(LEFT(SUBSTITUTE(SUBSTITUTE(SUBSTITUTE(SUBSTITUTE(TRIM($AR225),"-",""),".",""),"/","")," ",""),8),4),--MID(LEFT(SUBSTITUTE(SUBSTITUTE(SUBSTITUTE(SUBSTITUTE(TRIM($AR225),"-",""),".",""),"/","")," ",""),8),5,2),--MID(LEFT(SUBSTITUTE(SUBSTITUTE(SUBSTITUTE(SUBSTITUTE(TRIM($AR225),"-",""),".",""),"/","")," ",""),8),7,2)),"")))</f>
        <v/>
      </c>
      <c r="AT225" s="23">
        <f>IF($AS225="","",IF($F$6="",0,IF(ISNUMBER(INDEX($A:$AP,ROW(),$F$6)),INDEX($A:$AP,ROW(),$F$6),IFERROR(--SUBSTITUTE(SUBSTITUTE(TRIM(INDEX($A:$AP,ROW(),$F$6)),",",""),"원",""),0))))</f>
        <v/>
      </c>
      <c r="AU225" s="23">
        <f>IF($AS225="","",IF($G$6="",0,IF(ISNUMBER(INDEX($A:$AP,ROW(),$G$6)),INDEX($A:$AP,ROW(),$G$6),IFERROR(--SUBSTITUTE(SUBSTITUTE(TRIM(INDEX($A:$AP,ROW(),$G$6)),",",""),"원",""),0))))</f>
        <v/>
      </c>
      <c r="AV225" s="23">
        <f>IF($AS225="","",IF($H$6="",$AT225+$AU225,IF($H$6="",0,IF(ISNUMBER(INDEX($A:$AP,ROW(),$H$6)),INDEX($A:$AP,ROW(),$H$6),IFERROR(--SUBSTITUTE(SUBSTITUTE(TRIM(INDEX($A:$AP,ROW(),$H$6)),",",""),"원",""),0)))))</f>
        <v/>
      </c>
      <c r="AW225" s="2">
        <f>IF(OR($AS225="",$C$6=""),"",TRIM(INDEX($A:$AP,ROW(),$C$6)&amp;""))</f>
        <v/>
      </c>
      <c r="AX225" s="2">
        <f>IF($AS225="","",IF($AZ225&lt;&gt;"",SUBSTITUTE(SUBSTITUTE($AZ225,"-","")," ",""),$AY225))</f>
        <v/>
      </c>
      <c r="AY225" s="2">
        <f>IF(OR($AS225="",$E$6=""),"",TRIM(INDEX($A:$AP,ROW(),$E$6)&amp;""))</f>
        <v/>
      </c>
      <c r="AZ225" s="2">
        <f>IF(OR($AS225="",$D$6=""),"",TRIM(INDEX($A:$AP,ROW(),$D$6)&amp;""))</f>
        <v/>
      </c>
      <c r="BA225" s="2">
        <f>IF($AS225="","",IF(AND($AS225&gt;=설정!$B$10,$AS225&lt;=설정!$B$11),"포함","기간 밖"))</f>
        <v/>
      </c>
      <c r="BB225" s="2">
        <f>IF($AS225="","",IF(OR($AT225&lt;0,AND($I$6&lt;&gt;"",ISNUMBER(FIND("수정",INDEX($A:$AP,ROW(),IF($I$6="",1,$I$6))&amp;"")))),"수정","일반"))</f>
        <v/>
      </c>
      <c r="BC225" s="2">
        <f>IF($AS225="","",MID(IF($BA225="기간 밖"," / 기간 밖(신고기간 아님)","")&amp;IF(AND($AW225&lt;&gt;"",COUNTIF($AW$8:$AW$1007,$AW225)&gt;1)," / 승인번호 중복(두 번 붙여넣기?)","")&amp;IF(ABS($AU225-ROUND($AT225*0.1,0))&gt;설정!$B$8,IF($AU225=0," / 세액 0원(영세율·면세 여부 확인)"," / 세액이 공급가액 10%와 다름"),"")&amp;IF($BB225="수정"," / 수정세금계산서(합계에서 자동 가감)",""),4,200))</f>
        <v/>
      </c>
      <c r="BD225" s="2">
        <f>IF($BA225&lt;&gt;"포함","",IF(COUNTIFS($AX$8:$AX225,$AX225,$BA$8:$BA225,"포함")=1,MAX($BD$7:BD224)+1,""))</f>
        <v/>
      </c>
      <c r="BE225" s="2">
        <f>IF($BC225="","",MAX($BE$7:BE224)+1)</f>
        <v/>
      </c>
    </row>
    <row r="226">
      <c r="AR226" s="2">
        <f>IF(OR($A$5="",$B$6="",ROW()&lt;$A$5),"",IF(INDEX($A:$AP,ROW(),$B$6)="","",INDEX($A:$AP,ROW(),$B$6)))</f>
        <v/>
      </c>
      <c r="AS226" s="22">
        <f>IF($AR226="","",IF(ISNUMBER($AR226),IF($AR226&gt;=10000000,IFERROR(DATE(INT($AR226/10000),MOD(INT($AR226/100),100),MOD($AR226,100)),""),INT($AR226)),IFERROR(DATE(--LEFT(LEFT(SUBSTITUTE(SUBSTITUTE(SUBSTITUTE(SUBSTITUTE(TRIM($AR226),"-",""),".",""),"/","")," ",""),8),4),--MID(LEFT(SUBSTITUTE(SUBSTITUTE(SUBSTITUTE(SUBSTITUTE(TRIM($AR226),"-",""),".",""),"/","")," ",""),8),5,2),--MID(LEFT(SUBSTITUTE(SUBSTITUTE(SUBSTITUTE(SUBSTITUTE(TRIM($AR226),"-",""),".",""),"/","")," ",""),8),7,2)),"")))</f>
        <v/>
      </c>
      <c r="AT226" s="23">
        <f>IF($AS226="","",IF($F$6="",0,IF(ISNUMBER(INDEX($A:$AP,ROW(),$F$6)),INDEX($A:$AP,ROW(),$F$6),IFERROR(--SUBSTITUTE(SUBSTITUTE(TRIM(INDEX($A:$AP,ROW(),$F$6)),",",""),"원",""),0))))</f>
        <v/>
      </c>
      <c r="AU226" s="23">
        <f>IF($AS226="","",IF($G$6="",0,IF(ISNUMBER(INDEX($A:$AP,ROW(),$G$6)),INDEX($A:$AP,ROW(),$G$6),IFERROR(--SUBSTITUTE(SUBSTITUTE(TRIM(INDEX($A:$AP,ROW(),$G$6)),",",""),"원",""),0))))</f>
        <v/>
      </c>
      <c r="AV226" s="23">
        <f>IF($AS226="","",IF($H$6="",$AT226+$AU226,IF($H$6="",0,IF(ISNUMBER(INDEX($A:$AP,ROW(),$H$6)),INDEX($A:$AP,ROW(),$H$6),IFERROR(--SUBSTITUTE(SUBSTITUTE(TRIM(INDEX($A:$AP,ROW(),$H$6)),",",""),"원",""),0)))))</f>
        <v/>
      </c>
      <c r="AW226" s="2">
        <f>IF(OR($AS226="",$C$6=""),"",TRIM(INDEX($A:$AP,ROW(),$C$6)&amp;""))</f>
        <v/>
      </c>
      <c r="AX226" s="2">
        <f>IF($AS226="","",IF($AZ226&lt;&gt;"",SUBSTITUTE(SUBSTITUTE($AZ226,"-","")," ",""),$AY226))</f>
        <v/>
      </c>
      <c r="AY226" s="2">
        <f>IF(OR($AS226="",$E$6=""),"",TRIM(INDEX($A:$AP,ROW(),$E$6)&amp;""))</f>
        <v/>
      </c>
      <c r="AZ226" s="2">
        <f>IF(OR($AS226="",$D$6=""),"",TRIM(INDEX($A:$AP,ROW(),$D$6)&amp;""))</f>
        <v/>
      </c>
      <c r="BA226" s="2">
        <f>IF($AS226="","",IF(AND($AS226&gt;=설정!$B$10,$AS226&lt;=설정!$B$11),"포함","기간 밖"))</f>
        <v/>
      </c>
      <c r="BB226" s="2">
        <f>IF($AS226="","",IF(OR($AT226&lt;0,AND($I$6&lt;&gt;"",ISNUMBER(FIND("수정",INDEX($A:$AP,ROW(),IF($I$6="",1,$I$6))&amp;"")))),"수정","일반"))</f>
        <v/>
      </c>
      <c r="BC226" s="2">
        <f>IF($AS226="","",MID(IF($BA226="기간 밖"," / 기간 밖(신고기간 아님)","")&amp;IF(AND($AW226&lt;&gt;"",COUNTIF($AW$8:$AW$1007,$AW226)&gt;1)," / 승인번호 중복(두 번 붙여넣기?)","")&amp;IF(ABS($AU226-ROUND($AT226*0.1,0))&gt;설정!$B$8,IF($AU226=0," / 세액 0원(영세율·면세 여부 확인)"," / 세액이 공급가액 10%와 다름"),"")&amp;IF($BB226="수정"," / 수정세금계산서(합계에서 자동 가감)",""),4,200))</f>
        <v/>
      </c>
      <c r="BD226" s="2">
        <f>IF($BA226&lt;&gt;"포함","",IF(COUNTIFS($AX$8:$AX226,$AX226,$BA$8:$BA226,"포함")=1,MAX($BD$7:BD225)+1,""))</f>
        <v/>
      </c>
      <c r="BE226" s="2">
        <f>IF($BC226="","",MAX($BE$7:BE225)+1)</f>
        <v/>
      </c>
    </row>
    <row r="227">
      <c r="AR227" s="2">
        <f>IF(OR($A$5="",$B$6="",ROW()&lt;$A$5),"",IF(INDEX($A:$AP,ROW(),$B$6)="","",INDEX($A:$AP,ROW(),$B$6)))</f>
        <v/>
      </c>
      <c r="AS227" s="22">
        <f>IF($AR227="","",IF(ISNUMBER($AR227),IF($AR227&gt;=10000000,IFERROR(DATE(INT($AR227/10000),MOD(INT($AR227/100),100),MOD($AR227,100)),""),INT($AR227)),IFERROR(DATE(--LEFT(LEFT(SUBSTITUTE(SUBSTITUTE(SUBSTITUTE(SUBSTITUTE(TRIM($AR227),"-",""),".",""),"/","")," ",""),8),4),--MID(LEFT(SUBSTITUTE(SUBSTITUTE(SUBSTITUTE(SUBSTITUTE(TRIM($AR227),"-",""),".",""),"/","")," ",""),8),5,2),--MID(LEFT(SUBSTITUTE(SUBSTITUTE(SUBSTITUTE(SUBSTITUTE(TRIM($AR227),"-",""),".",""),"/","")," ",""),8),7,2)),"")))</f>
        <v/>
      </c>
      <c r="AT227" s="23">
        <f>IF($AS227="","",IF($F$6="",0,IF(ISNUMBER(INDEX($A:$AP,ROW(),$F$6)),INDEX($A:$AP,ROW(),$F$6),IFERROR(--SUBSTITUTE(SUBSTITUTE(TRIM(INDEX($A:$AP,ROW(),$F$6)),",",""),"원",""),0))))</f>
        <v/>
      </c>
      <c r="AU227" s="23">
        <f>IF($AS227="","",IF($G$6="",0,IF(ISNUMBER(INDEX($A:$AP,ROW(),$G$6)),INDEX($A:$AP,ROW(),$G$6),IFERROR(--SUBSTITUTE(SUBSTITUTE(TRIM(INDEX($A:$AP,ROW(),$G$6)),",",""),"원",""),0))))</f>
        <v/>
      </c>
      <c r="AV227" s="23">
        <f>IF($AS227="","",IF($H$6="",$AT227+$AU227,IF($H$6="",0,IF(ISNUMBER(INDEX($A:$AP,ROW(),$H$6)),INDEX($A:$AP,ROW(),$H$6),IFERROR(--SUBSTITUTE(SUBSTITUTE(TRIM(INDEX($A:$AP,ROW(),$H$6)),",",""),"원",""),0)))))</f>
        <v/>
      </c>
      <c r="AW227" s="2">
        <f>IF(OR($AS227="",$C$6=""),"",TRIM(INDEX($A:$AP,ROW(),$C$6)&amp;""))</f>
        <v/>
      </c>
      <c r="AX227" s="2">
        <f>IF($AS227="","",IF($AZ227&lt;&gt;"",SUBSTITUTE(SUBSTITUTE($AZ227,"-","")," ",""),$AY227))</f>
        <v/>
      </c>
      <c r="AY227" s="2">
        <f>IF(OR($AS227="",$E$6=""),"",TRIM(INDEX($A:$AP,ROW(),$E$6)&amp;""))</f>
        <v/>
      </c>
      <c r="AZ227" s="2">
        <f>IF(OR($AS227="",$D$6=""),"",TRIM(INDEX($A:$AP,ROW(),$D$6)&amp;""))</f>
        <v/>
      </c>
      <c r="BA227" s="2">
        <f>IF($AS227="","",IF(AND($AS227&gt;=설정!$B$10,$AS227&lt;=설정!$B$11),"포함","기간 밖"))</f>
        <v/>
      </c>
      <c r="BB227" s="2">
        <f>IF($AS227="","",IF(OR($AT227&lt;0,AND($I$6&lt;&gt;"",ISNUMBER(FIND("수정",INDEX($A:$AP,ROW(),IF($I$6="",1,$I$6))&amp;"")))),"수정","일반"))</f>
        <v/>
      </c>
      <c r="BC227" s="2">
        <f>IF($AS227="","",MID(IF($BA227="기간 밖"," / 기간 밖(신고기간 아님)","")&amp;IF(AND($AW227&lt;&gt;"",COUNTIF($AW$8:$AW$1007,$AW227)&gt;1)," / 승인번호 중복(두 번 붙여넣기?)","")&amp;IF(ABS($AU227-ROUND($AT227*0.1,0))&gt;설정!$B$8,IF($AU227=0," / 세액 0원(영세율·면세 여부 확인)"," / 세액이 공급가액 10%와 다름"),"")&amp;IF($BB227="수정"," / 수정세금계산서(합계에서 자동 가감)",""),4,200))</f>
        <v/>
      </c>
      <c r="BD227" s="2">
        <f>IF($BA227&lt;&gt;"포함","",IF(COUNTIFS($AX$8:$AX227,$AX227,$BA$8:$BA227,"포함")=1,MAX($BD$7:BD226)+1,""))</f>
        <v/>
      </c>
      <c r="BE227" s="2">
        <f>IF($BC227="","",MAX($BE$7:BE226)+1)</f>
        <v/>
      </c>
    </row>
    <row r="228">
      <c r="AR228" s="2">
        <f>IF(OR($A$5="",$B$6="",ROW()&lt;$A$5),"",IF(INDEX($A:$AP,ROW(),$B$6)="","",INDEX($A:$AP,ROW(),$B$6)))</f>
        <v/>
      </c>
      <c r="AS228" s="22">
        <f>IF($AR228="","",IF(ISNUMBER($AR228),IF($AR228&gt;=10000000,IFERROR(DATE(INT($AR228/10000),MOD(INT($AR228/100),100),MOD($AR228,100)),""),INT($AR228)),IFERROR(DATE(--LEFT(LEFT(SUBSTITUTE(SUBSTITUTE(SUBSTITUTE(SUBSTITUTE(TRIM($AR228),"-",""),".",""),"/","")," ",""),8),4),--MID(LEFT(SUBSTITUTE(SUBSTITUTE(SUBSTITUTE(SUBSTITUTE(TRIM($AR228),"-",""),".",""),"/","")," ",""),8),5,2),--MID(LEFT(SUBSTITUTE(SUBSTITUTE(SUBSTITUTE(SUBSTITUTE(TRIM($AR228),"-",""),".",""),"/","")," ",""),8),7,2)),"")))</f>
        <v/>
      </c>
      <c r="AT228" s="23">
        <f>IF($AS228="","",IF($F$6="",0,IF(ISNUMBER(INDEX($A:$AP,ROW(),$F$6)),INDEX($A:$AP,ROW(),$F$6),IFERROR(--SUBSTITUTE(SUBSTITUTE(TRIM(INDEX($A:$AP,ROW(),$F$6)),",",""),"원",""),0))))</f>
        <v/>
      </c>
      <c r="AU228" s="23">
        <f>IF($AS228="","",IF($G$6="",0,IF(ISNUMBER(INDEX($A:$AP,ROW(),$G$6)),INDEX($A:$AP,ROW(),$G$6),IFERROR(--SUBSTITUTE(SUBSTITUTE(TRIM(INDEX($A:$AP,ROW(),$G$6)),",",""),"원",""),0))))</f>
        <v/>
      </c>
      <c r="AV228" s="23">
        <f>IF($AS228="","",IF($H$6="",$AT228+$AU228,IF($H$6="",0,IF(ISNUMBER(INDEX($A:$AP,ROW(),$H$6)),INDEX($A:$AP,ROW(),$H$6),IFERROR(--SUBSTITUTE(SUBSTITUTE(TRIM(INDEX($A:$AP,ROW(),$H$6)),",",""),"원",""),0)))))</f>
        <v/>
      </c>
      <c r="AW228" s="2">
        <f>IF(OR($AS228="",$C$6=""),"",TRIM(INDEX($A:$AP,ROW(),$C$6)&amp;""))</f>
        <v/>
      </c>
      <c r="AX228" s="2">
        <f>IF($AS228="","",IF($AZ228&lt;&gt;"",SUBSTITUTE(SUBSTITUTE($AZ228,"-","")," ",""),$AY228))</f>
        <v/>
      </c>
      <c r="AY228" s="2">
        <f>IF(OR($AS228="",$E$6=""),"",TRIM(INDEX($A:$AP,ROW(),$E$6)&amp;""))</f>
        <v/>
      </c>
      <c r="AZ228" s="2">
        <f>IF(OR($AS228="",$D$6=""),"",TRIM(INDEX($A:$AP,ROW(),$D$6)&amp;""))</f>
        <v/>
      </c>
      <c r="BA228" s="2">
        <f>IF($AS228="","",IF(AND($AS228&gt;=설정!$B$10,$AS228&lt;=설정!$B$11),"포함","기간 밖"))</f>
        <v/>
      </c>
      <c r="BB228" s="2">
        <f>IF($AS228="","",IF(OR($AT228&lt;0,AND($I$6&lt;&gt;"",ISNUMBER(FIND("수정",INDEX($A:$AP,ROW(),IF($I$6="",1,$I$6))&amp;"")))),"수정","일반"))</f>
        <v/>
      </c>
      <c r="BC228" s="2">
        <f>IF($AS228="","",MID(IF($BA228="기간 밖"," / 기간 밖(신고기간 아님)","")&amp;IF(AND($AW228&lt;&gt;"",COUNTIF($AW$8:$AW$1007,$AW228)&gt;1)," / 승인번호 중복(두 번 붙여넣기?)","")&amp;IF(ABS($AU228-ROUND($AT228*0.1,0))&gt;설정!$B$8,IF($AU228=0," / 세액 0원(영세율·면세 여부 확인)"," / 세액이 공급가액 10%와 다름"),"")&amp;IF($BB228="수정"," / 수정세금계산서(합계에서 자동 가감)",""),4,200))</f>
        <v/>
      </c>
      <c r="BD228" s="2">
        <f>IF($BA228&lt;&gt;"포함","",IF(COUNTIFS($AX$8:$AX228,$AX228,$BA$8:$BA228,"포함")=1,MAX($BD$7:BD227)+1,""))</f>
        <v/>
      </c>
      <c r="BE228" s="2">
        <f>IF($BC228="","",MAX($BE$7:BE227)+1)</f>
        <v/>
      </c>
    </row>
    <row r="229">
      <c r="AR229" s="2">
        <f>IF(OR($A$5="",$B$6="",ROW()&lt;$A$5),"",IF(INDEX($A:$AP,ROW(),$B$6)="","",INDEX($A:$AP,ROW(),$B$6)))</f>
        <v/>
      </c>
      <c r="AS229" s="22">
        <f>IF($AR229="","",IF(ISNUMBER($AR229),IF($AR229&gt;=10000000,IFERROR(DATE(INT($AR229/10000),MOD(INT($AR229/100),100),MOD($AR229,100)),""),INT($AR229)),IFERROR(DATE(--LEFT(LEFT(SUBSTITUTE(SUBSTITUTE(SUBSTITUTE(SUBSTITUTE(TRIM($AR229),"-",""),".",""),"/","")," ",""),8),4),--MID(LEFT(SUBSTITUTE(SUBSTITUTE(SUBSTITUTE(SUBSTITUTE(TRIM($AR229),"-",""),".",""),"/","")," ",""),8),5,2),--MID(LEFT(SUBSTITUTE(SUBSTITUTE(SUBSTITUTE(SUBSTITUTE(TRIM($AR229),"-",""),".",""),"/","")," ",""),8),7,2)),"")))</f>
        <v/>
      </c>
      <c r="AT229" s="23">
        <f>IF($AS229="","",IF($F$6="",0,IF(ISNUMBER(INDEX($A:$AP,ROW(),$F$6)),INDEX($A:$AP,ROW(),$F$6),IFERROR(--SUBSTITUTE(SUBSTITUTE(TRIM(INDEX($A:$AP,ROW(),$F$6)),",",""),"원",""),0))))</f>
        <v/>
      </c>
      <c r="AU229" s="23">
        <f>IF($AS229="","",IF($G$6="",0,IF(ISNUMBER(INDEX($A:$AP,ROW(),$G$6)),INDEX($A:$AP,ROW(),$G$6),IFERROR(--SUBSTITUTE(SUBSTITUTE(TRIM(INDEX($A:$AP,ROW(),$G$6)),",",""),"원",""),0))))</f>
        <v/>
      </c>
      <c r="AV229" s="23">
        <f>IF($AS229="","",IF($H$6="",$AT229+$AU229,IF($H$6="",0,IF(ISNUMBER(INDEX($A:$AP,ROW(),$H$6)),INDEX($A:$AP,ROW(),$H$6),IFERROR(--SUBSTITUTE(SUBSTITUTE(TRIM(INDEX($A:$AP,ROW(),$H$6)),",",""),"원",""),0)))))</f>
        <v/>
      </c>
      <c r="AW229" s="2">
        <f>IF(OR($AS229="",$C$6=""),"",TRIM(INDEX($A:$AP,ROW(),$C$6)&amp;""))</f>
        <v/>
      </c>
      <c r="AX229" s="2">
        <f>IF($AS229="","",IF($AZ229&lt;&gt;"",SUBSTITUTE(SUBSTITUTE($AZ229,"-","")," ",""),$AY229))</f>
        <v/>
      </c>
      <c r="AY229" s="2">
        <f>IF(OR($AS229="",$E$6=""),"",TRIM(INDEX($A:$AP,ROW(),$E$6)&amp;""))</f>
        <v/>
      </c>
      <c r="AZ229" s="2">
        <f>IF(OR($AS229="",$D$6=""),"",TRIM(INDEX($A:$AP,ROW(),$D$6)&amp;""))</f>
        <v/>
      </c>
      <c r="BA229" s="2">
        <f>IF($AS229="","",IF(AND($AS229&gt;=설정!$B$10,$AS229&lt;=설정!$B$11),"포함","기간 밖"))</f>
        <v/>
      </c>
      <c r="BB229" s="2">
        <f>IF($AS229="","",IF(OR($AT229&lt;0,AND($I$6&lt;&gt;"",ISNUMBER(FIND("수정",INDEX($A:$AP,ROW(),IF($I$6="",1,$I$6))&amp;"")))),"수정","일반"))</f>
        <v/>
      </c>
      <c r="BC229" s="2">
        <f>IF($AS229="","",MID(IF($BA229="기간 밖"," / 기간 밖(신고기간 아님)","")&amp;IF(AND($AW229&lt;&gt;"",COUNTIF($AW$8:$AW$1007,$AW229)&gt;1)," / 승인번호 중복(두 번 붙여넣기?)","")&amp;IF(ABS($AU229-ROUND($AT229*0.1,0))&gt;설정!$B$8,IF($AU229=0," / 세액 0원(영세율·면세 여부 확인)"," / 세액이 공급가액 10%와 다름"),"")&amp;IF($BB229="수정"," / 수정세금계산서(합계에서 자동 가감)",""),4,200))</f>
        <v/>
      </c>
      <c r="BD229" s="2">
        <f>IF($BA229&lt;&gt;"포함","",IF(COUNTIFS($AX$8:$AX229,$AX229,$BA$8:$BA229,"포함")=1,MAX($BD$7:BD228)+1,""))</f>
        <v/>
      </c>
      <c r="BE229" s="2">
        <f>IF($BC229="","",MAX($BE$7:BE228)+1)</f>
        <v/>
      </c>
    </row>
    <row r="230">
      <c r="AR230" s="2">
        <f>IF(OR($A$5="",$B$6="",ROW()&lt;$A$5),"",IF(INDEX($A:$AP,ROW(),$B$6)="","",INDEX($A:$AP,ROW(),$B$6)))</f>
        <v/>
      </c>
      <c r="AS230" s="22">
        <f>IF($AR230="","",IF(ISNUMBER($AR230),IF($AR230&gt;=10000000,IFERROR(DATE(INT($AR230/10000),MOD(INT($AR230/100),100),MOD($AR230,100)),""),INT($AR230)),IFERROR(DATE(--LEFT(LEFT(SUBSTITUTE(SUBSTITUTE(SUBSTITUTE(SUBSTITUTE(TRIM($AR230),"-",""),".",""),"/","")," ",""),8),4),--MID(LEFT(SUBSTITUTE(SUBSTITUTE(SUBSTITUTE(SUBSTITUTE(TRIM($AR230),"-",""),".",""),"/","")," ",""),8),5,2),--MID(LEFT(SUBSTITUTE(SUBSTITUTE(SUBSTITUTE(SUBSTITUTE(TRIM($AR230),"-",""),".",""),"/","")," ",""),8),7,2)),"")))</f>
        <v/>
      </c>
      <c r="AT230" s="23">
        <f>IF($AS230="","",IF($F$6="",0,IF(ISNUMBER(INDEX($A:$AP,ROW(),$F$6)),INDEX($A:$AP,ROW(),$F$6),IFERROR(--SUBSTITUTE(SUBSTITUTE(TRIM(INDEX($A:$AP,ROW(),$F$6)),",",""),"원",""),0))))</f>
        <v/>
      </c>
      <c r="AU230" s="23">
        <f>IF($AS230="","",IF($G$6="",0,IF(ISNUMBER(INDEX($A:$AP,ROW(),$G$6)),INDEX($A:$AP,ROW(),$G$6),IFERROR(--SUBSTITUTE(SUBSTITUTE(TRIM(INDEX($A:$AP,ROW(),$G$6)),",",""),"원",""),0))))</f>
        <v/>
      </c>
      <c r="AV230" s="23">
        <f>IF($AS230="","",IF($H$6="",$AT230+$AU230,IF($H$6="",0,IF(ISNUMBER(INDEX($A:$AP,ROW(),$H$6)),INDEX($A:$AP,ROW(),$H$6),IFERROR(--SUBSTITUTE(SUBSTITUTE(TRIM(INDEX($A:$AP,ROW(),$H$6)),",",""),"원",""),0)))))</f>
        <v/>
      </c>
      <c r="AW230" s="2">
        <f>IF(OR($AS230="",$C$6=""),"",TRIM(INDEX($A:$AP,ROW(),$C$6)&amp;""))</f>
        <v/>
      </c>
      <c r="AX230" s="2">
        <f>IF($AS230="","",IF($AZ230&lt;&gt;"",SUBSTITUTE(SUBSTITUTE($AZ230,"-","")," ",""),$AY230))</f>
        <v/>
      </c>
      <c r="AY230" s="2">
        <f>IF(OR($AS230="",$E$6=""),"",TRIM(INDEX($A:$AP,ROW(),$E$6)&amp;""))</f>
        <v/>
      </c>
      <c r="AZ230" s="2">
        <f>IF(OR($AS230="",$D$6=""),"",TRIM(INDEX($A:$AP,ROW(),$D$6)&amp;""))</f>
        <v/>
      </c>
      <c r="BA230" s="2">
        <f>IF($AS230="","",IF(AND($AS230&gt;=설정!$B$10,$AS230&lt;=설정!$B$11),"포함","기간 밖"))</f>
        <v/>
      </c>
      <c r="BB230" s="2">
        <f>IF($AS230="","",IF(OR($AT230&lt;0,AND($I$6&lt;&gt;"",ISNUMBER(FIND("수정",INDEX($A:$AP,ROW(),IF($I$6="",1,$I$6))&amp;"")))),"수정","일반"))</f>
        <v/>
      </c>
      <c r="BC230" s="2">
        <f>IF($AS230="","",MID(IF($BA230="기간 밖"," / 기간 밖(신고기간 아님)","")&amp;IF(AND($AW230&lt;&gt;"",COUNTIF($AW$8:$AW$1007,$AW230)&gt;1)," / 승인번호 중복(두 번 붙여넣기?)","")&amp;IF(ABS($AU230-ROUND($AT230*0.1,0))&gt;설정!$B$8,IF($AU230=0," / 세액 0원(영세율·면세 여부 확인)"," / 세액이 공급가액 10%와 다름"),"")&amp;IF($BB230="수정"," / 수정세금계산서(합계에서 자동 가감)",""),4,200))</f>
        <v/>
      </c>
      <c r="BD230" s="2">
        <f>IF($BA230&lt;&gt;"포함","",IF(COUNTIFS($AX$8:$AX230,$AX230,$BA$8:$BA230,"포함")=1,MAX($BD$7:BD229)+1,""))</f>
        <v/>
      </c>
      <c r="BE230" s="2">
        <f>IF($BC230="","",MAX($BE$7:BE229)+1)</f>
        <v/>
      </c>
    </row>
    <row r="231">
      <c r="AR231" s="2">
        <f>IF(OR($A$5="",$B$6="",ROW()&lt;$A$5),"",IF(INDEX($A:$AP,ROW(),$B$6)="","",INDEX($A:$AP,ROW(),$B$6)))</f>
        <v/>
      </c>
      <c r="AS231" s="22">
        <f>IF($AR231="","",IF(ISNUMBER($AR231),IF($AR231&gt;=10000000,IFERROR(DATE(INT($AR231/10000),MOD(INT($AR231/100),100),MOD($AR231,100)),""),INT($AR231)),IFERROR(DATE(--LEFT(LEFT(SUBSTITUTE(SUBSTITUTE(SUBSTITUTE(SUBSTITUTE(TRIM($AR231),"-",""),".",""),"/","")," ",""),8),4),--MID(LEFT(SUBSTITUTE(SUBSTITUTE(SUBSTITUTE(SUBSTITUTE(TRIM($AR231),"-",""),".",""),"/","")," ",""),8),5,2),--MID(LEFT(SUBSTITUTE(SUBSTITUTE(SUBSTITUTE(SUBSTITUTE(TRIM($AR231),"-",""),".",""),"/","")," ",""),8),7,2)),"")))</f>
        <v/>
      </c>
      <c r="AT231" s="23">
        <f>IF($AS231="","",IF($F$6="",0,IF(ISNUMBER(INDEX($A:$AP,ROW(),$F$6)),INDEX($A:$AP,ROW(),$F$6),IFERROR(--SUBSTITUTE(SUBSTITUTE(TRIM(INDEX($A:$AP,ROW(),$F$6)),",",""),"원",""),0))))</f>
        <v/>
      </c>
      <c r="AU231" s="23">
        <f>IF($AS231="","",IF($G$6="",0,IF(ISNUMBER(INDEX($A:$AP,ROW(),$G$6)),INDEX($A:$AP,ROW(),$G$6),IFERROR(--SUBSTITUTE(SUBSTITUTE(TRIM(INDEX($A:$AP,ROW(),$G$6)),",",""),"원",""),0))))</f>
        <v/>
      </c>
      <c r="AV231" s="23">
        <f>IF($AS231="","",IF($H$6="",$AT231+$AU231,IF($H$6="",0,IF(ISNUMBER(INDEX($A:$AP,ROW(),$H$6)),INDEX($A:$AP,ROW(),$H$6),IFERROR(--SUBSTITUTE(SUBSTITUTE(TRIM(INDEX($A:$AP,ROW(),$H$6)),",",""),"원",""),0)))))</f>
        <v/>
      </c>
      <c r="AW231" s="2">
        <f>IF(OR($AS231="",$C$6=""),"",TRIM(INDEX($A:$AP,ROW(),$C$6)&amp;""))</f>
        <v/>
      </c>
      <c r="AX231" s="2">
        <f>IF($AS231="","",IF($AZ231&lt;&gt;"",SUBSTITUTE(SUBSTITUTE($AZ231,"-","")," ",""),$AY231))</f>
        <v/>
      </c>
      <c r="AY231" s="2">
        <f>IF(OR($AS231="",$E$6=""),"",TRIM(INDEX($A:$AP,ROW(),$E$6)&amp;""))</f>
        <v/>
      </c>
      <c r="AZ231" s="2">
        <f>IF(OR($AS231="",$D$6=""),"",TRIM(INDEX($A:$AP,ROW(),$D$6)&amp;""))</f>
        <v/>
      </c>
      <c r="BA231" s="2">
        <f>IF($AS231="","",IF(AND($AS231&gt;=설정!$B$10,$AS231&lt;=설정!$B$11),"포함","기간 밖"))</f>
        <v/>
      </c>
      <c r="BB231" s="2">
        <f>IF($AS231="","",IF(OR($AT231&lt;0,AND($I$6&lt;&gt;"",ISNUMBER(FIND("수정",INDEX($A:$AP,ROW(),IF($I$6="",1,$I$6))&amp;"")))),"수정","일반"))</f>
        <v/>
      </c>
      <c r="BC231" s="2">
        <f>IF($AS231="","",MID(IF($BA231="기간 밖"," / 기간 밖(신고기간 아님)","")&amp;IF(AND($AW231&lt;&gt;"",COUNTIF($AW$8:$AW$1007,$AW231)&gt;1)," / 승인번호 중복(두 번 붙여넣기?)","")&amp;IF(ABS($AU231-ROUND($AT231*0.1,0))&gt;설정!$B$8,IF($AU231=0," / 세액 0원(영세율·면세 여부 확인)"," / 세액이 공급가액 10%와 다름"),"")&amp;IF($BB231="수정"," / 수정세금계산서(합계에서 자동 가감)",""),4,200))</f>
        <v/>
      </c>
      <c r="BD231" s="2">
        <f>IF($BA231&lt;&gt;"포함","",IF(COUNTIFS($AX$8:$AX231,$AX231,$BA$8:$BA231,"포함")=1,MAX($BD$7:BD230)+1,""))</f>
        <v/>
      </c>
      <c r="BE231" s="2">
        <f>IF($BC231="","",MAX($BE$7:BE230)+1)</f>
        <v/>
      </c>
    </row>
    <row r="232">
      <c r="AR232" s="2">
        <f>IF(OR($A$5="",$B$6="",ROW()&lt;$A$5),"",IF(INDEX($A:$AP,ROW(),$B$6)="","",INDEX($A:$AP,ROW(),$B$6)))</f>
        <v/>
      </c>
      <c r="AS232" s="22">
        <f>IF($AR232="","",IF(ISNUMBER($AR232),IF($AR232&gt;=10000000,IFERROR(DATE(INT($AR232/10000),MOD(INT($AR232/100),100),MOD($AR232,100)),""),INT($AR232)),IFERROR(DATE(--LEFT(LEFT(SUBSTITUTE(SUBSTITUTE(SUBSTITUTE(SUBSTITUTE(TRIM($AR232),"-",""),".",""),"/","")," ",""),8),4),--MID(LEFT(SUBSTITUTE(SUBSTITUTE(SUBSTITUTE(SUBSTITUTE(TRIM($AR232),"-",""),".",""),"/","")," ",""),8),5,2),--MID(LEFT(SUBSTITUTE(SUBSTITUTE(SUBSTITUTE(SUBSTITUTE(TRIM($AR232),"-",""),".",""),"/","")," ",""),8),7,2)),"")))</f>
        <v/>
      </c>
      <c r="AT232" s="23">
        <f>IF($AS232="","",IF($F$6="",0,IF(ISNUMBER(INDEX($A:$AP,ROW(),$F$6)),INDEX($A:$AP,ROW(),$F$6),IFERROR(--SUBSTITUTE(SUBSTITUTE(TRIM(INDEX($A:$AP,ROW(),$F$6)),",",""),"원",""),0))))</f>
        <v/>
      </c>
      <c r="AU232" s="23">
        <f>IF($AS232="","",IF($G$6="",0,IF(ISNUMBER(INDEX($A:$AP,ROW(),$G$6)),INDEX($A:$AP,ROW(),$G$6),IFERROR(--SUBSTITUTE(SUBSTITUTE(TRIM(INDEX($A:$AP,ROW(),$G$6)),",",""),"원",""),0))))</f>
        <v/>
      </c>
      <c r="AV232" s="23">
        <f>IF($AS232="","",IF($H$6="",$AT232+$AU232,IF($H$6="",0,IF(ISNUMBER(INDEX($A:$AP,ROW(),$H$6)),INDEX($A:$AP,ROW(),$H$6),IFERROR(--SUBSTITUTE(SUBSTITUTE(TRIM(INDEX($A:$AP,ROW(),$H$6)),",",""),"원",""),0)))))</f>
        <v/>
      </c>
      <c r="AW232" s="2">
        <f>IF(OR($AS232="",$C$6=""),"",TRIM(INDEX($A:$AP,ROW(),$C$6)&amp;""))</f>
        <v/>
      </c>
      <c r="AX232" s="2">
        <f>IF($AS232="","",IF($AZ232&lt;&gt;"",SUBSTITUTE(SUBSTITUTE($AZ232,"-","")," ",""),$AY232))</f>
        <v/>
      </c>
      <c r="AY232" s="2">
        <f>IF(OR($AS232="",$E$6=""),"",TRIM(INDEX($A:$AP,ROW(),$E$6)&amp;""))</f>
        <v/>
      </c>
      <c r="AZ232" s="2">
        <f>IF(OR($AS232="",$D$6=""),"",TRIM(INDEX($A:$AP,ROW(),$D$6)&amp;""))</f>
        <v/>
      </c>
      <c r="BA232" s="2">
        <f>IF($AS232="","",IF(AND($AS232&gt;=설정!$B$10,$AS232&lt;=설정!$B$11),"포함","기간 밖"))</f>
        <v/>
      </c>
      <c r="BB232" s="2">
        <f>IF($AS232="","",IF(OR($AT232&lt;0,AND($I$6&lt;&gt;"",ISNUMBER(FIND("수정",INDEX($A:$AP,ROW(),IF($I$6="",1,$I$6))&amp;"")))),"수정","일반"))</f>
        <v/>
      </c>
      <c r="BC232" s="2">
        <f>IF($AS232="","",MID(IF($BA232="기간 밖"," / 기간 밖(신고기간 아님)","")&amp;IF(AND($AW232&lt;&gt;"",COUNTIF($AW$8:$AW$1007,$AW232)&gt;1)," / 승인번호 중복(두 번 붙여넣기?)","")&amp;IF(ABS($AU232-ROUND($AT232*0.1,0))&gt;설정!$B$8,IF($AU232=0," / 세액 0원(영세율·면세 여부 확인)"," / 세액이 공급가액 10%와 다름"),"")&amp;IF($BB232="수정"," / 수정세금계산서(합계에서 자동 가감)",""),4,200))</f>
        <v/>
      </c>
      <c r="BD232" s="2">
        <f>IF($BA232&lt;&gt;"포함","",IF(COUNTIFS($AX$8:$AX232,$AX232,$BA$8:$BA232,"포함")=1,MAX($BD$7:BD231)+1,""))</f>
        <v/>
      </c>
      <c r="BE232" s="2">
        <f>IF($BC232="","",MAX($BE$7:BE231)+1)</f>
        <v/>
      </c>
    </row>
    <row r="233">
      <c r="AR233" s="2">
        <f>IF(OR($A$5="",$B$6="",ROW()&lt;$A$5),"",IF(INDEX($A:$AP,ROW(),$B$6)="","",INDEX($A:$AP,ROW(),$B$6)))</f>
        <v/>
      </c>
      <c r="AS233" s="22">
        <f>IF($AR233="","",IF(ISNUMBER($AR233),IF($AR233&gt;=10000000,IFERROR(DATE(INT($AR233/10000),MOD(INT($AR233/100),100),MOD($AR233,100)),""),INT($AR233)),IFERROR(DATE(--LEFT(LEFT(SUBSTITUTE(SUBSTITUTE(SUBSTITUTE(SUBSTITUTE(TRIM($AR233),"-",""),".",""),"/","")," ",""),8),4),--MID(LEFT(SUBSTITUTE(SUBSTITUTE(SUBSTITUTE(SUBSTITUTE(TRIM($AR233),"-",""),".",""),"/","")," ",""),8),5,2),--MID(LEFT(SUBSTITUTE(SUBSTITUTE(SUBSTITUTE(SUBSTITUTE(TRIM($AR233),"-",""),".",""),"/","")," ",""),8),7,2)),"")))</f>
        <v/>
      </c>
      <c r="AT233" s="23">
        <f>IF($AS233="","",IF($F$6="",0,IF(ISNUMBER(INDEX($A:$AP,ROW(),$F$6)),INDEX($A:$AP,ROW(),$F$6),IFERROR(--SUBSTITUTE(SUBSTITUTE(TRIM(INDEX($A:$AP,ROW(),$F$6)),",",""),"원",""),0))))</f>
        <v/>
      </c>
      <c r="AU233" s="23">
        <f>IF($AS233="","",IF($G$6="",0,IF(ISNUMBER(INDEX($A:$AP,ROW(),$G$6)),INDEX($A:$AP,ROW(),$G$6),IFERROR(--SUBSTITUTE(SUBSTITUTE(TRIM(INDEX($A:$AP,ROW(),$G$6)),",",""),"원",""),0))))</f>
        <v/>
      </c>
      <c r="AV233" s="23">
        <f>IF($AS233="","",IF($H$6="",$AT233+$AU233,IF($H$6="",0,IF(ISNUMBER(INDEX($A:$AP,ROW(),$H$6)),INDEX($A:$AP,ROW(),$H$6),IFERROR(--SUBSTITUTE(SUBSTITUTE(TRIM(INDEX($A:$AP,ROW(),$H$6)),",",""),"원",""),0)))))</f>
        <v/>
      </c>
      <c r="AW233" s="2">
        <f>IF(OR($AS233="",$C$6=""),"",TRIM(INDEX($A:$AP,ROW(),$C$6)&amp;""))</f>
        <v/>
      </c>
      <c r="AX233" s="2">
        <f>IF($AS233="","",IF($AZ233&lt;&gt;"",SUBSTITUTE(SUBSTITUTE($AZ233,"-","")," ",""),$AY233))</f>
        <v/>
      </c>
      <c r="AY233" s="2">
        <f>IF(OR($AS233="",$E$6=""),"",TRIM(INDEX($A:$AP,ROW(),$E$6)&amp;""))</f>
        <v/>
      </c>
      <c r="AZ233" s="2">
        <f>IF(OR($AS233="",$D$6=""),"",TRIM(INDEX($A:$AP,ROW(),$D$6)&amp;""))</f>
        <v/>
      </c>
      <c r="BA233" s="2">
        <f>IF($AS233="","",IF(AND($AS233&gt;=설정!$B$10,$AS233&lt;=설정!$B$11),"포함","기간 밖"))</f>
        <v/>
      </c>
      <c r="BB233" s="2">
        <f>IF($AS233="","",IF(OR($AT233&lt;0,AND($I$6&lt;&gt;"",ISNUMBER(FIND("수정",INDEX($A:$AP,ROW(),IF($I$6="",1,$I$6))&amp;"")))),"수정","일반"))</f>
        <v/>
      </c>
      <c r="BC233" s="2">
        <f>IF($AS233="","",MID(IF($BA233="기간 밖"," / 기간 밖(신고기간 아님)","")&amp;IF(AND($AW233&lt;&gt;"",COUNTIF($AW$8:$AW$1007,$AW233)&gt;1)," / 승인번호 중복(두 번 붙여넣기?)","")&amp;IF(ABS($AU233-ROUND($AT233*0.1,0))&gt;설정!$B$8,IF($AU233=0," / 세액 0원(영세율·면세 여부 확인)"," / 세액이 공급가액 10%와 다름"),"")&amp;IF($BB233="수정"," / 수정세금계산서(합계에서 자동 가감)",""),4,200))</f>
        <v/>
      </c>
      <c r="BD233" s="2">
        <f>IF($BA233&lt;&gt;"포함","",IF(COUNTIFS($AX$8:$AX233,$AX233,$BA$8:$BA233,"포함")=1,MAX($BD$7:BD232)+1,""))</f>
        <v/>
      </c>
      <c r="BE233" s="2">
        <f>IF($BC233="","",MAX($BE$7:BE232)+1)</f>
        <v/>
      </c>
    </row>
    <row r="234">
      <c r="AR234" s="2">
        <f>IF(OR($A$5="",$B$6="",ROW()&lt;$A$5),"",IF(INDEX($A:$AP,ROW(),$B$6)="","",INDEX($A:$AP,ROW(),$B$6)))</f>
        <v/>
      </c>
      <c r="AS234" s="22">
        <f>IF($AR234="","",IF(ISNUMBER($AR234),IF($AR234&gt;=10000000,IFERROR(DATE(INT($AR234/10000),MOD(INT($AR234/100),100),MOD($AR234,100)),""),INT($AR234)),IFERROR(DATE(--LEFT(LEFT(SUBSTITUTE(SUBSTITUTE(SUBSTITUTE(SUBSTITUTE(TRIM($AR234),"-",""),".",""),"/","")," ",""),8),4),--MID(LEFT(SUBSTITUTE(SUBSTITUTE(SUBSTITUTE(SUBSTITUTE(TRIM($AR234),"-",""),".",""),"/","")," ",""),8),5,2),--MID(LEFT(SUBSTITUTE(SUBSTITUTE(SUBSTITUTE(SUBSTITUTE(TRIM($AR234),"-",""),".",""),"/","")," ",""),8),7,2)),"")))</f>
        <v/>
      </c>
      <c r="AT234" s="23">
        <f>IF($AS234="","",IF($F$6="",0,IF(ISNUMBER(INDEX($A:$AP,ROW(),$F$6)),INDEX($A:$AP,ROW(),$F$6),IFERROR(--SUBSTITUTE(SUBSTITUTE(TRIM(INDEX($A:$AP,ROW(),$F$6)),",",""),"원",""),0))))</f>
        <v/>
      </c>
      <c r="AU234" s="23">
        <f>IF($AS234="","",IF($G$6="",0,IF(ISNUMBER(INDEX($A:$AP,ROW(),$G$6)),INDEX($A:$AP,ROW(),$G$6),IFERROR(--SUBSTITUTE(SUBSTITUTE(TRIM(INDEX($A:$AP,ROW(),$G$6)),",",""),"원",""),0))))</f>
        <v/>
      </c>
      <c r="AV234" s="23">
        <f>IF($AS234="","",IF($H$6="",$AT234+$AU234,IF($H$6="",0,IF(ISNUMBER(INDEX($A:$AP,ROW(),$H$6)),INDEX($A:$AP,ROW(),$H$6),IFERROR(--SUBSTITUTE(SUBSTITUTE(TRIM(INDEX($A:$AP,ROW(),$H$6)),",",""),"원",""),0)))))</f>
        <v/>
      </c>
      <c r="AW234" s="2">
        <f>IF(OR($AS234="",$C$6=""),"",TRIM(INDEX($A:$AP,ROW(),$C$6)&amp;""))</f>
        <v/>
      </c>
      <c r="AX234" s="2">
        <f>IF($AS234="","",IF($AZ234&lt;&gt;"",SUBSTITUTE(SUBSTITUTE($AZ234,"-","")," ",""),$AY234))</f>
        <v/>
      </c>
      <c r="AY234" s="2">
        <f>IF(OR($AS234="",$E$6=""),"",TRIM(INDEX($A:$AP,ROW(),$E$6)&amp;""))</f>
        <v/>
      </c>
      <c r="AZ234" s="2">
        <f>IF(OR($AS234="",$D$6=""),"",TRIM(INDEX($A:$AP,ROW(),$D$6)&amp;""))</f>
        <v/>
      </c>
      <c r="BA234" s="2">
        <f>IF($AS234="","",IF(AND($AS234&gt;=설정!$B$10,$AS234&lt;=설정!$B$11),"포함","기간 밖"))</f>
        <v/>
      </c>
      <c r="BB234" s="2">
        <f>IF($AS234="","",IF(OR($AT234&lt;0,AND($I$6&lt;&gt;"",ISNUMBER(FIND("수정",INDEX($A:$AP,ROW(),IF($I$6="",1,$I$6))&amp;"")))),"수정","일반"))</f>
        <v/>
      </c>
      <c r="BC234" s="2">
        <f>IF($AS234="","",MID(IF($BA234="기간 밖"," / 기간 밖(신고기간 아님)","")&amp;IF(AND($AW234&lt;&gt;"",COUNTIF($AW$8:$AW$1007,$AW234)&gt;1)," / 승인번호 중복(두 번 붙여넣기?)","")&amp;IF(ABS($AU234-ROUND($AT234*0.1,0))&gt;설정!$B$8,IF($AU234=0," / 세액 0원(영세율·면세 여부 확인)"," / 세액이 공급가액 10%와 다름"),"")&amp;IF($BB234="수정"," / 수정세금계산서(합계에서 자동 가감)",""),4,200))</f>
        <v/>
      </c>
      <c r="BD234" s="2">
        <f>IF($BA234&lt;&gt;"포함","",IF(COUNTIFS($AX$8:$AX234,$AX234,$BA$8:$BA234,"포함")=1,MAX($BD$7:BD233)+1,""))</f>
        <v/>
      </c>
      <c r="BE234" s="2">
        <f>IF($BC234="","",MAX($BE$7:BE233)+1)</f>
        <v/>
      </c>
    </row>
    <row r="235">
      <c r="AR235" s="2">
        <f>IF(OR($A$5="",$B$6="",ROW()&lt;$A$5),"",IF(INDEX($A:$AP,ROW(),$B$6)="","",INDEX($A:$AP,ROW(),$B$6)))</f>
        <v/>
      </c>
      <c r="AS235" s="22">
        <f>IF($AR235="","",IF(ISNUMBER($AR235),IF($AR235&gt;=10000000,IFERROR(DATE(INT($AR235/10000),MOD(INT($AR235/100),100),MOD($AR235,100)),""),INT($AR235)),IFERROR(DATE(--LEFT(LEFT(SUBSTITUTE(SUBSTITUTE(SUBSTITUTE(SUBSTITUTE(TRIM($AR235),"-",""),".",""),"/","")," ",""),8),4),--MID(LEFT(SUBSTITUTE(SUBSTITUTE(SUBSTITUTE(SUBSTITUTE(TRIM($AR235),"-",""),".",""),"/","")," ",""),8),5,2),--MID(LEFT(SUBSTITUTE(SUBSTITUTE(SUBSTITUTE(SUBSTITUTE(TRIM($AR235),"-",""),".",""),"/","")," ",""),8),7,2)),"")))</f>
        <v/>
      </c>
      <c r="AT235" s="23">
        <f>IF($AS235="","",IF($F$6="",0,IF(ISNUMBER(INDEX($A:$AP,ROW(),$F$6)),INDEX($A:$AP,ROW(),$F$6),IFERROR(--SUBSTITUTE(SUBSTITUTE(TRIM(INDEX($A:$AP,ROW(),$F$6)),",",""),"원",""),0))))</f>
        <v/>
      </c>
      <c r="AU235" s="23">
        <f>IF($AS235="","",IF($G$6="",0,IF(ISNUMBER(INDEX($A:$AP,ROW(),$G$6)),INDEX($A:$AP,ROW(),$G$6),IFERROR(--SUBSTITUTE(SUBSTITUTE(TRIM(INDEX($A:$AP,ROW(),$G$6)),",",""),"원",""),0))))</f>
        <v/>
      </c>
      <c r="AV235" s="23">
        <f>IF($AS235="","",IF($H$6="",$AT235+$AU235,IF($H$6="",0,IF(ISNUMBER(INDEX($A:$AP,ROW(),$H$6)),INDEX($A:$AP,ROW(),$H$6),IFERROR(--SUBSTITUTE(SUBSTITUTE(TRIM(INDEX($A:$AP,ROW(),$H$6)),",",""),"원",""),0)))))</f>
        <v/>
      </c>
      <c r="AW235" s="2">
        <f>IF(OR($AS235="",$C$6=""),"",TRIM(INDEX($A:$AP,ROW(),$C$6)&amp;""))</f>
        <v/>
      </c>
      <c r="AX235" s="2">
        <f>IF($AS235="","",IF($AZ235&lt;&gt;"",SUBSTITUTE(SUBSTITUTE($AZ235,"-","")," ",""),$AY235))</f>
        <v/>
      </c>
      <c r="AY235" s="2">
        <f>IF(OR($AS235="",$E$6=""),"",TRIM(INDEX($A:$AP,ROW(),$E$6)&amp;""))</f>
        <v/>
      </c>
      <c r="AZ235" s="2">
        <f>IF(OR($AS235="",$D$6=""),"",TRIM(INDEX($A:$AP,ROW(),$D$6)&amp;""))</f>
        <v/>
      </c>
      <c r="BA235" s="2">
        <f>IF($AS235="","",IF(AND($AS235&gt;=설정!$B$10,$AS235&lt;=설정!$B$11),"포함","기간 밖"))</f>
        <v/>
      </c>
      <c r="BB235" s="2">
        <f>IF($AS235="","",IF(OR($AT235&lt;0,AND($I$6&lt;&gt;"",ISNUMBER(FIND("수정",INDEX($A:$AP,ROW(),IF($I$6="",1,$I$6))&amp;"")))),"수정","일반"))</f>
        <v/>
      </c>
      <c r="BC235" s="2">
        <f>IF($AS235="","",MID(IF($BA235="기간 밖"," / 기간 밖(신고기간 아님)","")&amp;IF(AND($AW235&lt;&gt;"",COUNTIF($AW$8:$AW$1007,$AW235)&gt;1)," / 승인번호 중복(두 번 붙여넣기?)","")&amp;IF(ABS($AU235-ROUND($AT235*0.1,0))&gt;설정!$B$8,IF($AU235=0," / 세액 0원(영세율·면세 여부 확인)"," / 세액이 공급가액 10%와 다름"),"")&amp;IF($BB235="수정"," / 수정세금계산서(합계에서 자동 가감)",""),4,200))</f>
        <v/>
      </c>
      <c r="BD235" s="2">
        <f>IF($BA235&lt;&gt;"포함","",IF(COUNTIFS($AX$8:$AX235,$AX235,$BA$8:$BA235,"포함")=1,MAX($BD$7:BD234)+1,""))</f>
        <v/>
      </c>
      <c r="BE235" s="2">
        <f>IF($BC235="","",MAX($BE$7:BE234)+1)</f>
        <v/>
      </c>
    </row>
    <row r="236">
      <c r="AR236" s="2">
        <f>IF(OR($A$5="",$B$6="",ROW()&lt;$A$5),"",IF(INDEX($A:$AP,ROW(),$B$6)="","",INDEX($A:$AP,ROW(),$B$6)))</f>
        <v/>
      </c>
      <c r="AS236" s="22">
        <f>IF($AR236="","",IF(ISNUMBER($AR236),IF($AR236&gt;=10000000,IFERROR(DATE(INT($AR236/10000),MOD(INT($AR236/100),100),MOD($AR236,100)),""),INT($AR236)),IFERROR(DATE(--LEFT(LEFT(SUBSTITUTE(SUBSTITUTE(SUBSTITUTE(SUBSTITUTE(TRIM($AR236),"-",""),".",""),"/","")," ",""),8),4),--MID(LEFT(SUBSTITUTE(SUBSTITUTE(SUBSTITUTE(SUBSTITUTE(TRIM($AR236),"-",""),".",""),"/","")," ",""),8),5,2),--MID(LEFT(SUBSTITUTE(SUBSTITUTE(SUBSTITUTE(SUBSTITUTE(TRIM($AR236),"-",""),".",""),"/","")," ",""),8),7,2)),"")))</f>
        <v/>
      </c>
      <c r="AT236" s="23">
        <f>IF($AS236="","",IF($F$6="",0,IF(ISNUMBER(INDEX($A:$AP,ROW(),$F$6)),INDEX($A:$AP,ROW(),$F$6),IFERROR(--SUBSTITUTE(SUBSTITUTE(TRIM(INDEX($A:$AP,ROW(),$F$6)),",",""),"원",""),0))))</f>
        <v/>
      </c>
      <c r="AU236" s="23">
        <f>IF($AS236="","",IF($G$6="",0,IF(ISNUMBER(INDEX($A:$AP,ROW(),$G$6)),INDEX($A:$AP,ROW(),$G$6),IFERROR(--SUBSTITUTE(SUBSTITUTE(TRIM(INDEX($A:$AP,ROW(),$G$6)),",",""),"원",""),0))))</f>
        <v/>
      </c>
      <c r="AV236" s="23">
        <f>IF($AS236="","",IF($H$6="",$AT236+$AU236,IF($H$6="",0,IF(ISNUMBER(INDEX($A:$AP,ROW(),$H$6)),INDEX($A:$AP,ROW(),$H$6),IFERROR(--SUBSTITUTE(SUBSTITUTE(TRIM(INDEX($A:$AP,ROW(),$H$6)),",",""),"원",""),0)))))</f>
        <v/>
      </c>
      <c r="AW236" s="2">
        <f>IF(OR($AS236="",$C$6=""),"",TRIM(INDEX($A:$AP,ROW(),$C$6)&amp;""))</f>
        <v/>
      </c>
      <c r="AX236" s="2">
        <f>IF($AS236="","",IF($AZ236&lt;&gt;"",SUBSTITUTE(SUBSTITUTE($AZ236,"-","")," ",""),$AY236))</f>
        <v/>
      </c>
      <c r="AY236" s="2">
        <f>IF(OR($AS236="",$E$6=""),"",TRIM(INDEX($A:$AP,ROW(),$E$6)&amp;""))</f>
        <v/>
      </c>
      <c r="AZ236" s="2">
        <f>IF(OR($AS236="",$D$6=""),"",TRIM(INDEX($A:$AP,ROW(),$D$6)&amp;""))</f>
        <v/>
      </c>
      <c r="BA236" s="2">
        <f>IF($AS236="","",IF(AND($AS236&gt;=설정!$B$10,$AS236&lt;=설정!$B$11),"포함","기간 밖"))</f>
        <v/>
      </c>
      <c r="BB236" s="2">
        <f>IF($AS236="","",IF(OR($AT236&lt;0,AND($I$6&lt;&gt;"",ISNUMBER(FIND("수정",INDEX($A:$AP,ROW(),IF($I$6="",1,$I$6))&amp;"")))),"수정","일반"))</f>
        <v/>
      </c>
      <c r="BC236" s="2">
        <f>IF($AS236="","",MID(IF($BA236="기간 밖"," / 기간 밖(신고기간 아님)","")&amp;IF(AND($AW236&lt;&gt;"",COUNTIF($AW$8:$AW$1007,$AW236)&gt;1)," / 승인번호 중복(두 번 붙여넣기?)","")&amp;IF(ABS($AU236-ROUND($AT236*0.1,0))&gt;설정!$B$8,IF($AU236=0," / 세액 0원(영세율·면세 여부 확인)"," / 세액이 공급가액 10%와 다름"),"")&amp;IF($BB236="수정"," / 수정세금계산서(합계에서 자동 가감)",""),4,200))</f>
        <v/>
      </c>
      <c r="BD236" s="2">
        <f>IF($BA236&lt;&gt;"포함","",IF(COUNTIFS($AX$8:$AX236,$AX236,$BA$8:$BA236,"포함")=1,MAX($BD$7:BD235)+1,""))</f>
        <v/>
      </c>
      <c r="BE236" s="2">
        <f>IF($BC236="","",MAX($BE$7:BE235)+1)</f>
        <v/>
      </c>
    </row>
    <row r="237">
      <c r="AR237" s="2">
        <f>IF(OR($A$5="",$B$6="",ROW()&lt;$A$5),"",IF(INDEX($A:$AP,ROW(),$B$6)="","",INDEX($A:$AP,ROW(),$B$6)))</f>
        <v/>
      </c>
      <c r="AS237" s="22">
        <f>IF($AR237="","",IF(ISNUMBER($AR237),IF($AR237&gt;=10000000,IFERROR(DATE(INT($AR237/10000),MOD(INT($AR237/100),100),MOD($AR237,100)),""),INT($AR237)),IFERROR(DATE(--LEFT(LEFT(SUBSTITUTE(SUBSTITUTE(SUBSTITUTE(SUBSTITUTE(TRIM($AR237),"-",""),".",""),"/","")," ",""),8),4),--MID(LEFT(SUBSTITUTE(SUBSTITUTE(SUBSTITUTE(SUBSTITUTE(TRIM($AR237),"-",""),".",""),"/","")," ",""),8),5,2),--MID(LEFT(SUBSTITUTE(SUBSTITUTE(SUBSTITUTE(SUBSTITUTE(TRIM($AR237),"-",""),".",""),"/","")," ",""),8),7,2)),"")))</f>
        <v/>
      </c>
      <c r="AT237" s="23">
        <f>IF($AS237="","",IF($F$6="",0,IF(ISNUMBER(INDEX($A:$AP,ROW(),$F$6)),INDEX($A:$AP,ROW(),$F$6),IFERROR(--SUBSTITUTE(SUBSTITUTE(TRIM(INDEX($A:$AP,ROW(),$F$6)),",",""),"원",""),0))))</f>
        <v/>
      </c>
      <c r="AU237" s="23">
        <f>IF($AS237="","",IF($G$6="",0,IF(ISNUMBER(INDEX($A:$AP,ROW(),$G$6)),INDEX($A:$AP,ROW(),$G$6),IFERROR(--SUBSTITUTE(SUBSTITUTE(TRIM(INDEX($A:$AP,ROW(),$G$6)),",",""),"원",""),0))))</f>
        <v/>
      </c>
      <c r="AV237" s="23">
        <f>IF($AS237="","",IF($H$6="",$AT237+$AU237,IF($H$6="",0,IF(ISNUMBER(INDEX($A:$AP,ROW(),$H$6)),INDEX($A:$AP,ROW(),$H$6),IFERROR(--SUBSTITUTE(SUBSTITUTE(TRIM(INDEX($A:$AP,ROW(),$H$6)),",",""),"원",""),0)))))</f>
        <v/>
      </c>
      <c r="AW237" s="2">
        <f>IF(OR($AS237="",$C$6=""),"",TRIM(INDEX($A:$AP,ROW(),$C$6)&amp;""))</f>
        <v/>
      </c>
      <c r="AX237" s="2">
        <f>IF($AS237="","",IF($AZ237&lt;&gt;"",SUBSTITUTE(SUBSTITUTE($AZ237,"-","")," ",""),$AY237))</f>
        <v/>
      </c>
      <c r="AY237" s="2">
        <f>IF(OR($AS237="",$E$6=""),"",TRIM(INDEX($A:$AP,ROW(),$E$6)&amp;""))</f>
        <v/>
      </c>
      <c r="AZ237" s="2">
        <f>IF(OR($AS237="",$D$6=""),"",TRIM(INDEX($A:$AP,ROW(),$D$6)&amp;""))</f>
        <v/>
      </c>
      <c r="BA237" s="2">
        <f>IF($AS237="","",IF(AND($AS237&gt;=설정!$B$10,$AS237&lt;=설정!$B$11),"포함","기간 밖"))</f>
        <v/>
      </c>
      <c r="BB237" s="2">
        <f>IF($AS237="","",IF(OR($AT237&lt;0,AND($I$6&lt;&gt;"",ISNUMBER(FIND("수정",INDEX($A:$AP,ROW(),IF($I$6="",1,$I$6))&amp;"")))),"수정","일반"))</f>
        <v/>
      </c>
      <c r="BC237" s="2">
        <f>IF($AS237="","",MID(IF($BA237="기간 밖"," / 기간 밖(신고기간 아님)","")&amp;IF(AND($AW237&lt;&gt;"",COUNTIF($AW$8:$AW$1007,$AW237)&gt;1)," / 승인번호 중복(두 번 붙여넣기?)","")&amp;IF(ABS($AU237-ROUND($AT237*0.1,0))&gt;설정!$B$8,IF($AU237=0," / 세액 0원(영세율·면세 여부 확인)"," / 세액이 공급가액 10%와 다름"),"")&amp;IF($BB237="수정"," / 수정세금계산서(합계에서 자동 가감)",""),4,200))</f>
        <v/>
      </c>
      <c r="BD237" s="2">
        <f>IF($BA237&lt;&gt;"포함","",IF(COUNTIFS($AX$8:$AX237,$AX237,$BA$8:$BA237,"포함")=1,MAX($BD$7:BD236)+1,""))</f>
        <v/>
      </c>
      <c r="BE237" s="2">
        <f>IF($BC237="","",MAX($BE$7:BE236)+1)</f>
        <v/>
      </c>
    </row>
    <row r="238">
      <c r="AR238" s="2">
        <f>IF(OR($A$5="",$B$6="",ROW()&lt;$A$5),"",IF(INDEX($A:$AP,ROW(),$B$6)="","",INDEX($A:$AP,ROW(),$B$6)))</f>
        <v/>
      </c>
      <c r="AS238" s="22">
        <f>IF($AR238="","",IF(ISNUMBER($AR238),IF($AR238&gt;=10000000,IFERROR(DATE(INT($AR238/10000),MOD(INT($AR238/100),100),MOD($AR238,100)),""),INT($AR238)),IFERROR(DATE(--LEFT(LEFT(SUBSTITUTE(SUBSTITUTE(SUBSTITUTE(SUBSTITUTE(TRIM($AR238),"-",""),".",""),"/","")," ",""),8),4),--MID(LEFT(SUBSTITUTE(SUBSTITUTE(SUBSTITUTE(SUBSTITUTE(TRIM($AR238),"-",""),".",""),"/","")," ",""),8),5,2),--MID(LEFT(SUBSTITUTE(SUBSTITUTE(SUBSTITUTE(SUBSTITUTE(TRIM($AR238),"-",""),".",""),"/","")," ",""),8),7,2)),"")))</f>
        <v/>
      </c>
      <c r="AT238" s="23">
        <f>IF($AS238="","",IF($F$6="",0,IF(ISNUMBER(INDEX($A:$AP,ROW(),$F$6)),INDEX($A:$AP,ROW(),$F$6),IFERROR(--SUBSTITUTE(SUBSTITUTE(TRIM(INDEX($A:$AP,ROW(),$F$6)),",",""),"원",""),0))))</f>
        <v/>
      </c>
      <c r="AU238" s="23">
        <f>IF($AS238="","",IF($G$6="",0,IF(ISNUMBER(INDEX($A:$AP,ROW(),$G$6)),INDEX($A:$AP,ROW(),$G$6),IFERROR(--SUBSTITUTE(SUBSTITUTE(TRIM(INDEX($A:$AP,ROW(),$G$6)),",",""),"원",""),0))))</f>
        <v/>
      </c>
      <c r="AV238" s="23">
        <f>IF($AS238="","",IF($H$6="",$AT238+$AU238,IF($H$6="",0,IF(ISNUMBER(INDEX($A:$AP,ROW(),$H$6)),INDEX($A:$AP,ROW(),$H$6),IFERROR(--SUBSTITUTE(SUBSTITUTE(TRIM(INDEX($A:$AP,ROW(),$H$6)),",",""),"원",""),0)))))</f>
        <v/>
      </c>
      <c r="AW238" s="2">
        <f>IF(OR($AS238="",$C$6=""),"",TRIM(INDEX($A:$AP,ROW(),$C$6)&amp;""))</f>
        <v/>
      </c>
      <c r="AX238" s="2">
        <f>IF($AS238="","",IF($AZ238&lt;&gt;"",SUBSTITUTE(SUBSTITUTE($AZ238,"-","")," ",""),$AY238))</f>
        <v/>
      </c>
      <c r="AY238" s="2">
        <f>IF(OR($AS238="",$E$6=""),"",TRIM(INDEX($A:$AP,ROW(),$E$6)&amp;""))</f>
        <v/>
      </c>
      <c r="AZ238" s="2">
        <f>IF(OR($AS238="",$D$6=""),"",TRIM(INDEX($A:$AP,ROW(),$D$6)&amp;""))</f>
        <v/>
      </c>
      <c r="BA238" s="2">
        <f>IF($AS238="","",IF(AND($AS238&gt;=설정!$B$10,$AS238&lt;=설정!$B$11),"포함","기간 밖"))</f>
        <v/>
      </c>
      <c r="BB238" s="2">
        <f>IF($AS238="","",IF(OR($AT238&lt;0,AND($I$6&lt;&gt;"",ISNUMBER(FIND("수정",INDEX($A:$AP,ROW(),IF($I$6="",1,$I$6))&amp;"")))),"수정","일반"))</f>
        <v/>
      </c>
      <c r="BC238" s="2">
        <f>IF($AS238="","",MID(IF($BA238="기간 밖"," / 기간 밖(신고기간 아님)","")&amp;IF(AND($AW238&lt;&gt;"",COUNTIF($AW$8:$AW$1007,$AW238)&gt;1)," / 승인번호 중복(두 번 붙여넣기?)","")&amp;IF(ABS($AU238-ROUND($AT238*0.1,0))&gt;설정!$B$8,IF($AU238=0," / 세액 0원(영세율·면세 여부 확인)"," / 세액이 공급가액 10%와 다름"),"")&amp;IF($BB238="수정"," / 수정세금계산서(합계에서 자동 가감)",""),4,200))</f>
        <v/>
      </c>
      <c r="BD238" s="2">
        <f>IF($BA238&lt;&gt;"포함","",IF(COUNTIFS($AX$8:$AX238,$AX238,$BA$8:$BA238,"포함")=1,MAX($BD$7:BD237)+1,""))</f>
        <v/>
      </c>
      <c r="BE238" s="2">
        <f>IF($BC238="","",MAX($BE$7:BE237)+1)</f>
        <v/>
      </c>
    </row>
    <row r="239">
      <c r="AR239" s="2">
        <f>IF(OR($A$5="",$B$6="",ROW()&lt;$A$5),"",IF(INDEX($A:$AP,ROW(),$B$6)="","",INDEX($A:$AP,ROW(),$B$6)))</f>
        <v/>
      </c>
      <c r="AS239" s="22">
        <f>IF($AR239="","",IF(ISNUMBER($AR239),IF($AR239&gt;=10000000,IFERROR(DATE(INT($AR239/10000),MOD(INT($AR239/100),100),MOD($AR239,100)),""),INT($AR239)),IFERROR(DATE(--LEFT(LEFT(SUBSTITUTE(SUBSTITUTE(SUBSTITUTE(SUBSTITUTE(TRIM($AR239),"-",""),".",""),"/","")," ",""),8),4),--MID(LEFT(SUBSTITUTE(SUBSTITUTE(SUBSTITUTE(SUBSTITUTE(TRIM($AR239),"-",""),".",""),"/","")," ",""),8),5,2),--MID(LEFT(SUBSTITUTE(SUBSTITUTE(SUBSTITUTE(SUBSTITUTE(TRIM($AR239),"-",""),".",""),"/","")," ",""),8),7,2)),"")))</f>
        <v/>
      </c>
      <c r="AT239" s="23">
        <f>IF($AS239="","",IF($F$6="",0,IF(ISNUMBER(INDEX($A:$AP,ROW(),$F$6)),INDEX($A:$AP,ROW(),$F$6),IFERROR(--SUBSTITUTE(SUBSTITUTE(TRIM(INDEX($A:$AP,ROW(),$F$6)),",",""),"원",""),0))))</f>
        <v/>
      </c>
      <c r="AU239" s="23">
        <f>IF($AS239="","",IF($G$6="",0,IF(ISNUMBER(INDEX($A:$AP,ROW(),$G$6)),INDEX($A:$AP,ROW(),$G$6),IFERROR(--SUBSTITUTE(SUBSTITUTE(TRIM(INDEX($A:$AP,ROW(),$G$6)),",",""),"원",""),0))))</f>
        <v/>
      </c>
      <c r="AV239" s="23">
        <f>IF($AS239="","",IF($H$6="",$AT239+$AU239,IF($H$6="",0,IF(ISNUMBER(INDEX($A:$AP,ROW(),$H$6)),INDEX($A:$AP,ROW(),$H$6),IFERROR(--SUBSTITUTE(SUBSTITUTE(TRIM(INDEX($A:$AP,ROW(),$H$6)),",",""),"원",""),0)))))</f>
        <v/>
      </c>
      <c r="AW239" s="2">
        <f>IF(OR($AS239="",$C$6=""),"",TRIM(INDEX($A:$AP,ROW(),$C$6)&amp;""))</f>
        <v/>
      </c>
      <c r="AX239" s="2">
        <f>IF($AS239="","",IF($AZ239&lt;&gt;"",SUBSTITUTE(SUBSTITUTE($AZ239,"-","")," ",""),$AY239))</f>
        <v/>
      </c>
      <c r="AY239" s="2">
        <f>IF(OR($AS239="",$E$6=""),"",TRIM(INDEX($A:$AP,ROW(),$E$6)&amp;""))</f>
        <v/>
      </c>
      <c r="AZ239" s="2">
        <f>IF(OR($AS239="",$D$6=""),"",TRIM(INDEX($A:$AP,ROW(),$D$6)&amp;""))</f>
        <v/>
      </c>
      <c r="BA239" s="2">
        <f>IF($AS239="","",IF(AND($AS239&gt;=설정!$B$10,$AS239&lt;=설정!$B$11),"포함","기간 밖"))</f>
        <v/>
      </c>
      <c r="BB239" s="2">
        <f>IF($AS239="","",IF(OR($AT239&lt;0,AND($I$6&lt;&gt;"",ISNUMBER(FIND("수정",INDEX($A:$AP,ROW(),IF($I$6="",1,$I$6))&amp;"")))),"수정","일반"))</f>
        <v/>
      </c>
      <c r="BC239" s="2">
        <f>IF($AS239="","",MID(IF($BA239="기간 밖"," / 기간 밖(신고기간 아님)","")&amp;IF(AND($AW239&lt;&gt;"",COUNTIF($AW$8:$AW$1007,$AW239)&gt;1)," / 승인번호 중복(두 번 붙여넣기?)","")&amp;IF(ABS($AU239-ROUND($AT239*0.1,0))&gt;설정!$B$8,IF($AU239=0," / 세액 0원(영세율·면세 여부 확인)"," / 세액이 공급가액 10%와 다름"),"")&amp;IF($BB239="수정"," / 수정세금계산서(합계에서 자동 가감)",""),4,200))</f>
        <v/>
      </c>
      <c r="BD239" s="2">
        <f>IF($BA239&lt;&gt;"포함","",IF(COUNTIFS($AX$8:$AX239,$AX239,$BA$8:$BA239,"포함")=1,MAX($BD$7:BD238)+1,""))</f>
        <v/>
      </c>
      <c r="BE239" s="2">
        <f>IF($BC239="","",MAX($BE$7:BE238)+1)</f>
        <v/>
      </c>
    </row>
    <row r="240">
      <c r="AR240" s="2">
        <f>IF(OR($A$5="",$B$6="",ROW()&lt;$A$5),"",IF(INDEX($A:$AP,ROW(),$B$6)="","",INDEX($A:$AP,ROW(),$B$6)))</f>
        <v/>
      </c>
      <c r="AS240" s="22">
        <f>IF($AR240="","",IF(ISNUMBER($AR240),IF($AR240&gt;=10000000,IFERROR(DATE(INT($AR240/10000),MOD(INT($AR240/100),100),MOD($AR240,100)),""),INT($AR240)),IFERROR(DATE(--LEFT(LEFT(SUBSTITUTE(SUBSTITUTE(SUBSTITUTE(SUBSTITUTE(TRIM($AR240),"-",""),".",""),"/","")," ",""),8),4),--MID(LEFT(SUBSTITUTE(SUBSTITUTE(SUBSTITUTE(SUBSTITUTE(TRIM($AR240),"-",""),".",""),"/","")," ",""),8),5,2),--MID(LEFT(SUBSTITUTE(SUBSTITUTE(SUBSTITUTE(SUBSTITUTE(TRIM($AR240),"-",""),".",""),"/","")," ",""),8),7,2)),"")))</f>
        <v/>
      </c>
      <c r="AT240" s="23">
        <f>IF($AS240="","",IF($F$6="",0,IF(ISNUMBER(INDEX($A:$AP,ROW(),$F$6)),INDEX($A:$AP,ROW(),$F$6),IFERROR(--SUBSTITUTE(SUBSTITUTE(TRIM(INDEX($A:$AP,ROW(),$F$6)),",",""),"원",""),0))))</f>
        <v/>
      </c>
      <c r="AU240" s="23">
        <f>IF($AS240="","",IF($G$6="",0,IF(ISNUMBER(INDEX($A:$AP,ROW(),$G$6)),INDEX($A:$AP,ROW(),$G$6),IFERROR(--SUBSTITUTE(SUBSTITUTE(TRIM(INDEX($A:$AP,ROW(),$G$6)),",",""),"원",""),0))))</f>
        <v/>
      </c>
      <c r="AV240" s="23">
        <f>IF($AS240="","",IF($H$6="",$AT240+$AU240,IF($H$6="",0,IF(ISNUMBER(INDEX($A:$AP,ROW(),$H$6)),INDEX($A:$AP,ROW(),$H$6),IFERROR(--SUBSTITUTE(SUBSTITUTE(TRIM(INDEX($A:$AP,ROW(),$H$6)),",",""),"원",""),0)))))</f>
        <v/>
      </c>
      <c r="AW240" s="2">
        <f>IF(OR($AS240="",$C$6=""),"",TRIM(INDEX($A:$AP,ROW(),$C$6)&amp;""))</f>
        <v/>
      </c>
      <c r="AX240" s="2">
        <f>IF($AS240="","",IF($AZ240&lt;&gt;"",SUBSTITUTE(SUBSTITUTE($AZ240,"-","")," ",""),$AY240))</f>
        <v/>
      </c>
      <c r="AY240" s="2">
        <f>IF(OR($AS240="",$E$6=""),"",TRIM(INDEX($A:$AP,ROW(),$E$6)&amp;""))</f>
        <v/>
      </c>
      <c r="AZ240" s="2">
        <f>IF(OR($AS240="",$D$6=""),"",TRIM(INDEX($A:$AP,ROW(),$D$6)&amp;""))</f>
        <v/>
      </c>
      <c r="BA240" s="2">
        <f>IF($AS240="","",IF(AND($AS240&gt;=설정!$B$10,$AS240&lt;=설정!$B$11),"포함","기간 밖"))</f>
        <v/>
      </c>
      <c r="BB240" s="2">
        <f>IF($AS240="","",IF(OR($AT240&lt;0,AND($I$6&lt;&gt;"",ISNUMBER(FIND("수정",INDEX($A:$AP,ROW(),IF($I$6="",1,$I$6))&amp;"")))),"수정","일반"))</f>
        <v/>
      </c>
      <c r="BC240" s="2">
        <f>IF($AS240="","",MID(IF($BA240="기간 밖"," / 기간 밖(신고기간 아님)","")&amp;IF(AND($AW240&lt;&gt;"",COUNTIF($AW$8:$AW$1007,$AW240)&gt;1)," / 승인번호 중복(두 번 붙여넣기?)","")&amp;IF(ABS($AU240-ROUND($AT240*0.1,0))&gt;설정!$B$8,IF($AU240=0," / 세액 0원(영세율·면세 여부 확인)"," / 세액이 공급가액 10%와 다름"),"")&amp;IF($BB240="수정"," / 수정세금계산서(합계에서 자동 가감)",""),4,200))</f>
        <v/>
      </c>
      <c r="BD240" s="2">
        <f>IF($BA240&lt;&gt;"포함","",IF(COUNTIFS($AX$8:$AX240,$AX240,$BA$8:$BA240,"포함")=1,MAX($BD$7:BD239)+1,""))</f>
        <v/>
      </c>
      <c r="BE240" s="2">
        <f>IF($BC240="","",MAX($BE$7:BE239)+1)</f>
        <v/>
      </c>
    </row>
    <row r="241">
      <c r="AR241" s="2">
        <f>IF(OR($A$5="",$B$6="",ROW()&lt;$A$5),"",IF(INDEX($A:$AP,ROW(),$B$6)="","",INDEX($A:$AP,ROW(),$B$6)))</f>
        <v/>
      </c>
      <c r="AS241" s="22">
        <f>IF($AR241="","",IF(ISNUMBER($AR241),IF($AR241&gt;=10000000,IFERROR(DATE(INT($AR241/10000),MOD(INT($AR241/100),100),MOD($AR241,100)),""),INT($AR241)),IFERROR(DATE(--LEFT(LEFT(SUBSTITUTE(SUBSTITUTE(SUBSTITUTE(SUBSTITUTE(TRIM($AR241),"-",""),".",""),"/","")," ",""),8),4),--MID(LEFT(SUBSTITUTE(SUBSTITUTE(SUBSTITUTE(SUBSTITUTE(TRIM($AR241),"-",""),".",""),"/","")," ",""),8),5,2),--MID(LEFT(SUBSTITUTE(SUBSTITUTE(SUBSTITUTE(SUBSTITUTE(TRIM($AR241),"-",""),".",""),"/","")," ",""),8),7,2)),"")))</f>
        <v/>
      </c>
      <c r="AT241" s="23">
        <f>IF($AS241="","",IF($F$6="",0,IF(ISNUMBER(INDEX($A:$AP,ROW(),$F$6)),INDEX($A:$AP,ROW(),$F$6),IFERROR(--SUBSTITUTE(SUBSTITUTE(TRIM(INDEX($A:$AP,ROW(),$F$6)),",",""),"원",""),0))))</f>
        <v/>
      </c>
      <c r="AU241" s="23">
        <f>IF($AS241="","",IF($G$6="",0,IF(ISNUMBER(INDEX($A:$AP,ROW(),$G$6)),INDEX($A:$AP,ROW(),$G$6),IFERROR(--SUBSTITUTE(SUBSTITUTE(TRIM(INDEX($A:$AP,ROW(),$G$6)),",",""),"원",""),0))))</f>
        <v/>
      </c>
      <c r="AV241" s="23">
        <f>IF($AS241="","",IF($H$6="",$AT241+$AU241,IF($H$6="",0,IF(ISNUMBER(INDEX($A:$AP,ROW(),$H$6)),INDEX($A:$AP,ROW(),$H$6),IFERROR(--SUBSTITUTE(SUBSTITUTE(TRIM(INDEX($A:$AP,ROW(),$H$6)),",",""),"원",""),0)))))</f>
        <v/>
      </c>
      <c r="AW241" s="2">
        <f>IF(OR($AS241="",$C$6=""),"",TRIM(INDEX($A:$AP,ROW(),$C$6)&amp;""))</f>
        <v/>
      </c>
      <c r="AX241" s="2">
        <f>IF($AS241="","",IF($AZ241&lt;&gt;"",SUBSTITUTE(SUBSTITUTE($AZ241,"-","")," ",""),$AY241))</f>
        <v/>
      </c>
      <c r="AY241" s="2">
        <f>IF(OR($AS241="",$E$6=""),"",TRIM(INDEX($A:$AP,ROW(),$E$6)&amp;""))</f>
        <v/>
      </c>
      <c r="AZ241" s="2">
        <f>IF(OR($AS241="",$D$6=""),"",TRIM(INDEX($A:$AP,ROW(),$D$6)&amp;""))</f>
        <v/>
      </c>
      <c r="BA241" s="2">
        <f>IF($AS241="","",IF(AND($AS241&gt;=설정!$B$10,$AS241&lt;=설정!$B$11),"포함","기간 밖"))</f>
        <v/>
      </c>
      <c r="BB241" s="2">
        <f>IF($AS241="","",IF(OR($AT241&lt;0,AND($I$6&lt;&gt;"",ISNUMBER(FIND("수정",INDEX($A:$AP,ROW(),IF($I$6="",1,$I$6))&amp;"")))),"수정","일반"))</f>
        <v/>
      </c>
      <c r="BC241" s="2">
        <f>IF($AS241="","",MID(IF($BA241="기간 밖"," / 기간 밖(신고기간 아님)","")&amp;IF(AND($AW241&lt;&gt;"",COUNTIF($AW$8:$AW$1007,$AW241)&gt;1)," / 승인번호 중복(두 번 붙여넣기?)","")&amp;IF(ABS($AU241-ROUND($AT241*0.1,0))&gt;설정!$B$8,IF($AU241=0," / 세액 0원(영세율·면세 여부 확인)"," / 세액이 공급가액 10%와 다름"),"")&amp;IF($BB241="수정"," / 수정세금계산서(합계에서 자동 가감)",""),4,200))</f>
        <v/>
      </c>
      <c r="BD241" s="2">
        <f>IF($BA241&lt;&gt;"포함","",IF(COUNTIFS($AX$8:$AX241,$AX241,$BA$8:$BA241,"포함")=1,MAX($BD$7:BD240)+1,""))</f>
        <v/>
      </c>
      <c r="BE241" s="2">
        <f>IF($BC241="","",MAX($BE$7:BE240)+1)</f>
        <v/>
      </c>
    </row>
    <row r="242">
      <c r="AR242" s="2">
        <f>IF(OR($A$5="",$B$6="",ROW()&lt;$A$5),"",IF(INDEX($A:$AP,ROW(),$B$6)="","",INDEX($A:$AP,ROW(),$B$6)))</f>
        <v/>
      </c>
      <c r="AS242" s="22">
        <f>IF($AR242="","",IF(ISNUMBER($AR242),IF($AR242&gt;=10000000,IFERROR(DATE(INT($AR242/10000),MOD(INT($AR242/100),100),MOD($AR242,100)),""),INT($AR242)),IFERROR(DATE(--LEFT(LEFT(SUBSTITUTE(SUBSTITUTE(SUBSTITUTE(SUBSTITUTE(TRIM($AR242),"-",""),".",""),"/","")," ",""),8),4),--MID(LEFT(SUBSTITUTE(SUBSTITUTE(SUBSTITUTE(SUBSTITUTE(TRIM($AR242),"-",""),".",""),"/","")," ",""),8),5,2),--MID(LEFT(SUBSTITUTE(SUBSTITUTE(SUBSTITUTE(SUBSTITUTE(TRIM($AR242),"-",""),".",""),"/","")," ",""),8),7,2)),"")))</f>
        <v/>
      </c>
      <c r="AT242" s="23">
        <f>IF($AS242="","",IF($F$6="",0,IF(ISNUMBER(INDEX($A:$AP,ROW(),$F$6)),INDEX($A:$AP,ROW(),$F$6),IFERROR(--SUBSTITUTE(SUBSTITUTE(TRIM(INDEX($A:$AP,ROW(),$F$6)),",",""),"원",""),0))))</f>
        <v/>
      </c>
      <c r="AU242" s="23">
        <f>IF($AS242="","",IF($G$6="",0,IF(ISNUMBER(INDEX($A:$AP,ROW(),$G$6)),INDEX($A:$AP,ROW(),$G$6),IFERROR(--SUBSTITUTE(SUBSTITUTE(TRIM(INDEX($A:$AP,ROW(),$G$6)),",",""),"원",""),0))))</f>
        <v/>
      </c>
      <c r="AV242" s="23">
        <f>IF($AS242="","",IF($H$6="",$AT242+$AU242,IF($H$6="",0,IF(ISNUMBER(INDEX($A:$AP,ROW(),$H$6)),INDEX($A:$AP,ROW(),$H$6),IFERROR(--SUBSTITUTE(SUBSTITUTE(TRIM(INDEX($A:$AP,ROW(),$H$6)),",",""),"원",""),0)))))</f>
        <v/>
      </c>
      <c r="AW242" s="2">
        <f>IF(OR($AS242="",$C$6=""),"",TRIM(INDEX($A:$AP,ROW(),$C$6)&amp;""))</f>
        <v/>
      </c>
      <c r="AX242" s="2">
        <f>IF($AS242="","",IF($AZ242&lt;&gt;"",SUBSTITUTE(SUBSTITUTE($AZ242,"-","")," ",""),$AY242))</f>
        <v/>
      </c>
      <c r="AY242" s="2">
        <f>IF(OR($AS242="",$E$6=""),"",TRIM(INDEX($A:$AP,ROW(),$E$6)&amp;""))</f>
        <v/>
      </c>
      <c r="AZ242" s="2">
        <f>IF(OR($AS242="",$D$6=""),"",TRIM(INDEX($A:$AP,ROW(),$D$6)&amp;""))</f>
        <v/>
      </c>
      <c r="BA242" s="2">
        <f>IF($AS242="","",IF(AND($AS242&gt;=설정!$B$10,$AS242&lt;=설정!$B$11),"포함","기간 밖"))</f>
        <v/>
      </c>
      <c r="BB242" s="2">
        <f>IF($AS242="","",IF(OR($AT242&lt;0,AND($I$6&lt;&gt;"",ISNUMBER(FIND("수정",INDEX($A:$AP,ROW(),IF($I$6="",1,$I$6))&amp;"")))),"수정","일반"))</f>
        <v/>
      </c>
      <c r="BC242" s="2">
        <f>IF($AS242="","",MID(IF($BA242="기간 밖"," / 기간 밖(신고기간 아님)","")&amp;IF(AND($AW242&lt;&gt;"",COUNTIF($AW$8:$AW$1007,$AW242)&gt;1)," / 승인번호 중복(두 번 붙여넣기?)","")&amp;IF(ABS($AU242-ROUND($AT242*0.1,0))&gt;설정!$B$8,IF($AU242=0," / 세액 0원(영세율·면세 여부 확인)"," / 세액이 공급가액 10%와 다름"),"")&amp;IF($BB242="수정"," / 수정세금계산서(합계에서 자동 가감)",""),4,200))</f>
        <v/>
      </c>
      <c r="BD242" s="2">
        <f>IF($BA242&lt;&gt;"포함","",IF(COUNTIFS($AX$8:$AX242,$AX242,$BA$8:$BA242,"포함")=1,MAX($BD$7:BD241)+1,""))</f>
        <v/>
      </c>
      <c r="BE242" s="2">
        <f>IF($BC242="","",MAX($BE$7:BE241)+1)</f>
        <v/>
      </c>
    </row>
    <row r="243">
      <c r="AR243" s="2">
        <f>IF(OR($A$5="",$B$6="",ROW()&lt;$A$5),"",IF(INDEX($A:$AP,ROW(),$B$6)="","",INDEX($A:$AP,ROW(),$B$6)))</f>
        <v/>
      </c>
      <c r="AS243" s="22">
        <f>IF($AR243="","",IF(ISNUMBER($AR243),IF($AR243&gt;=10000000,IFERROR(DATE(INT($AR243/10000),MOD(INT($AR243/100),100),MOD($AR243,100)),""),INT($AR243)),IFERROR(DATE(--LEFT(LEFT(SUBSTITUTE(SUBSTITUTE(SUBSTITUTE(SUBSTITUTE(TRIM($AR243),"-",""),".",""),"/","")," ",""),8),4),--MID(LEFT(SUBSTITUTE(SUBSTITUTE(SUBSTITUTE(SUBSTITUTE(TRIM($AR243),"-",""),".",""),"/","")," ",""),8),5,2),--MID(LEFT(SUBSTITUTE(SUBSTITUTE(SUBSTITUTE(SUBSTITUTE(TRIM($AR243),"-",""),".",""),"/","")," ",""),8),7,2)),"")))</f>
        <v/>
      </c>
      <c r="AT243" s="23">
        <f>IF($AS243="","",IF($F$6="",0,IF(ISNUMBER(INDEX($A:$AP,ROW(),$F$6)),INDEX($A:$AP,ROW(),$F$6),IFERROR(--SUBSTITUTE(SUBSTITUTE(TRIM(INDEX($A:$AP,ROW(),$F$6)),",",""),"원",""),0))))</f>
        <v/>
      </c>
      <c r="AU243" s="23">
        <f>IF($AS243="","",IF($G$6="",0,IF(ISNUMBER(INDEX($A:$AP,ROW(),$G$6)),INDEX($A:$AP,ROW(),$G$6),IFERROR(--SUBSTITUTE(SUBSTITUTE(TRIM(INDEX($A:$AP,ROW(),$G$6)),",",""),"원",""),0))))</f>
        <v/>
      </c>
      <c r="AV243" s="23">
        <f>IF($AS243="","",IF($H$6="",$AT243+$AU243,IF($H$6="",0,IF(ISNUMBER(INDEX($A:$AP,ROW(),$H$6)),INDEX($A:$AP,ROW(),$H$6),IFERROR(--SUBSTITUTE(SUBSTITUTE(TRIM(INDEX($A:$AP,ROW(),$H$6)),",",""),"원",""),0)))))</f>
        <v/>
      </c>
      <c r="AW243" s="2">
        <f>IF(OR($AS243="",$C$6=""),"",TRIM(INDEX($A:$AP,ROW(),$C$6)&amp;""))</f>
        <v/>
      </c>
      <c r="AX243" s="2">
        <f>IF($AS243="","",IF($AZ243&lt;&gt;"",SUBSTITUTE(SUBSTITUTE($AZ243,"-","")," ",""),$AY243))</f>
        <v/>
      </c>
      <c r="AY243" s="2">
        <f>IF(OR($AS243="",$E$6=""),"",TRIM(INDEX($A:$AP,ROW(),$E$6)&amp;""))</f>
        <v/>
      </c>
      <c r="AZ243" s="2">
        <f>IF(OR($AS243="",$D$6=""),"",TRIM(INDEX($A:$AP,ROW(),$D$6)&amp;""))</f>
        <v/>
      </c>
      <c r="BA243" s="2">
        <f>IF($AS243="","",IF(AND($AS243&gt;=설정!$B$10,$AS243&lt;=설정!$B$11),"포함","기간 밖"))</f>
        <v/>
      </c>
      <c r="BB243" s="2">
        <f>IF($AS243="","",IF(OR($AT243&lt;0,AND($I$6&lt;&gt;"",ISNUMBER(FIND("수정",INDEX($A:$AP,ROW(),IF($I$6="",1,$I$6))&amp;"")))),"수정","일반"))</f>
        <v/>
      </c>
      <c r="BC243" s="2">
        <f>IF($AS243="","",MID(IF($BA243="기간 밖"," / 기간 밖(신고기간 아님)","")&amp;IF(AND($AW243&lt;&gt;"",COUNTIF($AW$8:$AW$1007,$AW243)&gt;1)," / 승인번호 중복(두 번 붙여넣기?)","")&amp;IF(ABS($AU243-ROUND($AT243*0.1,0))&gt;설정!$B$8,IF($AU243=0," / 세액 0원(영세율·면세 여부 확인)"," / 세액이 공급가액 10%와 다름"),"")&amp;IF($BB243="수정"," / 수정세금계산서(합계에서 자동 가감)",""),4,200))</f>
        <v/>
      </c>
      <c r="BD243" s="2">
        <f>IF($BA243&lt;&gt;"포함","",IF(COUNTIFS($AX$8:$AX243,$AX243,$BA$8:$BA243,"포함")=1,MAX($BD$7:BD242)+1,""))</f>
        <v/>
      </c>
      <c r="BE243" s="2">
        <f>IF($BC243="","",MAX($BE$7:BE242)+1)</f>
        <v/>
      </c>
    </row>
    <row r="244">
      <c r="AR244" s="2">
        <f>IF(OR($A$5="",$B$6="",ROW()&lt;$A$5),"",IF(INDEX($A:$AP,ROW(),$B$6)="","",INDEX($A:$AP,ROW(),$B$6)))</f>
        <v/>
      </c>
      <c r="AS244" s="22">
        <f>IF($AR244="","",IF(ISNUMBER($AR244),IF($AR244&gt;=10000000,IFERROR(DATE(INT($AR244/10000),MOD(INT($AR244/100),100),MOD($AR244,100)),""),INT($AR244)),IFERROR(DATE(--LEFT(LEFT(SUBSTITUTE(SUBSTITUTE(SUBSTITUTE(SUBSTITUTE(TRIM($AR244),"-",""),".",""),"/","")," ",""),8),4),--MID(LEFT(SUBSTITUTE(SUBSTITUTE(SUBSTITUTE(SUBSTITUTE(TRIM($AR244),"-",""),".",""),"/","")," ",""),8),5,2),--MID(LEFT(SUBSTITUTE(SUBSTITUTE(SUBSTITUTE(SUBSTITUTE(TRIM($AR244),"-",""),".",""),"/","")," ",""),8),7,2)),"")))</f>
        <v/>
      </c>
      <c r="AT244" s="23">
        <f>IF($AS244="","",IF($F$6="",0,IF(ISNUMBER(INDEX($A:$AP,ROW(),$F$6)),INDEX($A:$AP,ROW(),$F$6),IFERROR(--SUBSTITUTE(SUBSTITUTE(TRIM(INDEX($A:$AP,ROW(),$F$6)),",",""),"원",""),0))))</f>
        <v/>
      </c>
      <c r="AU244" s="23">
        <f>IF($AS244="","",IF($G$6="",0,IF(ISNUMBER(INDEX($A:$AP,ROW(),$G$6)),INDEX($A:$AP,ROW(),$G$6),IFERROR(--SUBSTITUTE(SUBSTITUTE(TRIM(INDEX($A:$AP,ROW(),$G$6)),",",""),"원",""),0))))</f>
        <v/>
      </c>
      <c r="AV244" s="23">
        <f>IF($AS244="","",IF($H$6="",$AT244+$AU244,IF($H$6="",0,IF(ISNUMBER(INDEX($A:$AP,ROW(),$H$6)),INDEX($A:$AP,ROW(),$H$6),IFERROR(--SUBSTITUTE(SUBSTITUTE(TRIM(INDEX($A:$AP,ROW(),$H$6)),",",""),"원",""),0)))))</f>
        <v/>
      </c>
      <c r="AW244" s="2">
        <f>IF(OR($AS244="",$C$6=""),"",TRIM(INDEX($A:$AP,ROW(),$C$6)&amp;""))</f>
        <v/>
      </c>
      <c r="AX244" s="2">
        <f>IF($AS244="","",IF($AZ244&lt;&gt;"",SUBSTITUTE(SUBSTITUTE($AZ244,"-","")," ",""),$AY244))</f>
        <v/>
      </c>
      <c r="AY244" s="2">
        <f>IF(OR($AS244="",$E$6=""),"",TRIM(INDEX($A:$AP,ROW(),$E$6)&amp;""))</f>
        <v/>
      </c>
      <c r="AZ244" s="2">
        <f>IF(OR($AS244="",$D$6=""),"",TRIM(INDEX($A:$AP,ROW(),$D$6)&amp;""))</f>
        <v/>
      </c>
      <c r="BA244" s="2">
        <f>IF($AS244="","",IF(AND($AS244&gt;=설정!$B$10,$AS244&lt;=설정!$B$11),"포함","기간 밖"))</f>
        <v/>
      </c>
      <c r="BB244" s="2">
        <f>IF($AS244="","",IF(OR($AT244&lt;0,AND($I$6&lt;&gt;"",ISNUMBER(FIND("수정",INDEX($A:$AP,ROW(),IF($I$6="",1,$I$6))&amp;"")))),"수정","일반"))</f>
        <v/>
      </c>
      <c r="BC244" s="2">
        <f>IF($AS244="","",MID(IF($BA244="기간 밖"," / 기간 밖(신고기간 아님)","")&amp;IF(AND($AW244&lt;&gt;"",COUNTIF($AW$8:$AW$1007,$AW244)&gt;1)," / 승인번호 중복(두 번 붙여넣기?)","")&amp;IF(ABS($AU244-ROUND($AT244*0.1,0))&gt;설정!$B$8,IF($AU244=0," / 세액 0원(영세율·면세 여부 확인)"," / 세액이 공급가액 10%와 다름"),"")&amp;IF($BB244="수정"," / 수정세금계산서(합계에서 자동 가감)",""),4,200))</f>
        <v/>
      </c>
      <c r="BD244" s="2">
        <f>IF($BA244&lt;&gt;"포함","",IF(COUNTIFS($AX$8:$AX244,$AX244,$BA$8:$BA244,"포함")=1,MAX($BD$7:BD243)+1,""))</f>
        <v/>
      </c>
      <c r="BE244" s="2">
        <f>IF($BC244="","",MAX($BE$7:BE243)+1)</f>
        <v/>
      </c>
    </row>
    <row r="245">
      <c r="AR245" s="2">
        <f>IF(OR($A$5="",$B$6="",ROW()&lt;$A$5),"",IF(INDEX($A:$AP,ROW(),$B$6)="","",INDEX($A:$AP,ROW(),$B$6)))</f>
        <v/>
      </c>
      <c r="AS245" s="22">
        <f>IF($AR245="","",IF(ISNUMBER($AR245),IF($AR245&gt;=10000000,IFERROR(DATE(INT($AR245/10000),MOD(INT($AR245/100),100),MOD($AR245,100)),""),INT($AR245)),IFERROR(DATE(--LEFT(LEFT(SUBSTITUTE(SUBSTITUTE(SUBSTITUTE(SUBSTITUTE(TRIM($AR245),"-",""),".",""),"/","")," ",""),8),4),--MID(LEFT(SUBSTITUTE(SUBSTITUTE(SUBSTITUTE(SUBSTITUTE(TRIM($AR245),"-",""),".",""),"/","")," ",""),8),5,2),--MID(LEFT(SUBSTITUTE(SUBSTITUTE(SUBSTITUTE(SUBSTITUTE(TRIM($AR245),"-",""),".",""),"/","")," ",""),8),7,2)),"")))</f>
        <v/>
      </c>
      <c r="AT245" s="23">
        <f>IF($AS245="","",IF($F$6="",0,IF(ISNUMBER(INDEX($A:$AP,ROW(),$F$6)),INDEX($A:$AP,ROW(),$F$6),IFERROR(--SUBSTITUTE(SUBSTITUTE(TRIM(INDEX($A:$AP,ROW(),$F$6)),",",""),"원",""),0))))</f>
        <v/>
      </c>
      <c r="AU245" s="23">
        <f>IF($AS245="","",IF($G$6="",0,IF(ISNUMBER(INDEX($A:$AP,ROW(),$G$6)),INDEX($A:$AP,ROW(),$G$6),IFERROR(--SUBSTITUTE(SUBSTITUTE(TRIM(INDEX($A:$AP,ROW(),$G$6)),",",""),"원",""),0))))</f>
        <v/>
      </c>
      <c r="AV245" s="23">
        <f>IF($AS245="","",IF($H$6="",$AT245+$AU245,IF($H$6="",0,IF(ISNUMBER(INDEX($A:$AP,ROW(),$H$6)),INDEX($A:$AP,ROW(),$H$6),IFERROR(--SUBSTITUTE(SUBSTITUTE(TRIM(INDEX($A:$AP,ROW(),$H$6)),",",""),"원",""),0)))))</f>
        <v/>
      </c>
      <c r="AW245" s="2">
        <f>IF(OR($AS245="",$C$6=""),"",TRIM(INDEX($A:$AP,ROW(),$C$6)&amp;""))</f>
        <v/>
      </c>
      <c r="AX245" s="2">
        <f>IF($AS245="","",IF($AZ245&lt;&gt;"",SUBSTITUTE(SUBSTITUTE($AZ245,"-","")," ",""),$AY245))</f>
        <v/>
      </c>
      <c r="AY245" s="2">
        <f>IF(OR($AS245="",$E$6=""),"",TRIM(INDEX($A:$AP,ROW(),$E$6)&amp;""))</f>
        <v/>
      </c>
      <c r="AZ245" s="2">
        <f>IF(OR($AS245="",$D$6=""),"",TRIM(INDEX($A:$AP,ROW(),$D$6)&amp;""))</f>
        <v/>
      </c>
      <c r="BA245" s="2">
        <f>IF($AS245="","",IF(AND($AS245&gt;=설정!$B$10,$AS245&lt;=설정!$B$11),"포함","기간 밖"))</f>
        <v/>
      </c>
      <c r="BB245" s="2">
        <f>IF($AS245="","",IF(OR($AT245&lt;0,AND($I$6&lt;&gt;"",ISNUMBER(FIND("수정",INDEX($A:$AP,ROW(),IF($I$6="",1,$I$6))&amp;"")))),"수정","일반"))</f>
        <v/>
      </c>
      <c r="BC245" s="2">
        <f>IF($AS245="","",MID(IF($BA245="기간 밖"," / 기간 밖(신고기간 아님)","")&amp;IF(AND($AW245&lt;&gt;"",COUNTIF($AW$8:$AW$1007,$AW245)&gt;1)," / 승인번호 중복(두 번 붙여넣기?)","")&amp;IF(ABS($AU245-ROUND($AT245*0.1,0))&gt;설정!$B$8,IF($AU245=0," / 세액 0원(영세율·면세 여부 확인)"," / 세액이 공급가액 10%와 다름"),"")&amp;IF($BB245="수정"," / 수정세금계산서(합계에서 자동 가감)",""),4,200))</f>
        <v/>
      </c>
      <c r="BD245" s="2">
        <f>IF($BA245&lt;&gt;"포함","",IF(COUNTIFS($AX$8:$AX245,$AX245,$BA$8:$BA245,"포함")=1,MAX($BD$7:BD244)+1,""))</f>
        <v/>
      </c>
      <c r="BE245" s="2">
        <f>IF($BC245="","",MAX($BE$7:BE244)+1)</f>
        <v/>
      </c>
    </row>
    <row r="246">
      <c r="AR246" s="2">
        <f>IF(OR($A$5="",$B$6="",ROW()&lt;$A$5),"",IF(INDEX($A:$AP,ROW(),$B$6)="","",INDEX($A:$AP,ROW(),$B$6)))</f>
        <v/>
      </c>
      <c r="AS246" s="22">
        <f>IF($AR246="","",IF(ISNUMBER($AR246),IF($AR246&gt;=10000000,IFERROR(DATE(INT($AR246/10000),MOD(INT($AR246/100),100),MOD($AR246,100)),""),INT($AR246)),IFERROR(DATE(--LEFT(LEFT(SUBSTITUTE(SUBSTITUTE(SUBSTITUTE(SUBSTITUTE(TRIM($AR246),"-",""),".",""),"/","")," ",""),8),4),--MID(LEFT(SUBSTITUTE(SUBSTITUTE(SUBSTITUTE(SUBSTITUTE(TRIM($AR246),"-",""),".",""),"/","")," ",""),8),5,2),--MID(LEFT(SUBSTITUTE(SUBSTITUTE(SUBSTITUTE(SUBSTITUTE(TRIM($AR246),"-",""),".",""),"/","")," ",""),8),7,2)),"")))</f>
        <v/>
      </c>
      <c r="AT246" s="23">
        <f>IF($AS246="","",IF($F$6="",0,IF(ISNUMBER(INDEX($A:$AP,ROW(),$F$6)),INDEX($A:$AP,ROW(),$F$6),IFERROR(--SUBSTITUTE(SUBSTITUTE(TRIM(INDEX($A:$AP,ROW(),$F$6)),",",""),"원",""),0))))</f>
        <v/>
      </c>
      <c r="AU246" s="23">
        <f>IF($AS246="","",IF($G$6="",0,IF(ISNUMBER(INDEX($A:$AP,ROW(),$G$6)),INDEX($A:$AP,ROW(),$G$6),IFERROR(--SUBSTITUTE(SUBSTITUTE(TRIM(INDEX($A:$AP,ROW(),$G$6)),",",""),"원",""),0))))</f>
        <v/>
      </c>
      <c r="AV246" s="23">
        <f>IF($AS246="","",IF($H$6="",$AT246+$AU246,IF($H$6="",0,IF(ISNUMBER(INDEX($A:$AP,ROW(),$H$6)),INDEX($A:$AP,ROW(),$H$6),IFERROR(--SUBSTITUTE(SUBSTITUTE(TRIM(INDEX($A:$AP,ROW(),$H$6)),",",""),"원",""),0)))))</f>
        <v/>
      </c>
      <c r="AW246" s="2">
        <f>IF(OR($AS246="",$C$6=""),"",TRIM(INDEX($A:$AP,ROW(),$C$6)&amp;""))</f>
        <v/>
      </c>
      <c r="AX246" s="2">
        <f>IF($AS246="","",IF($AZ246&lt;&gt;"",SUBSTITUTE(SUBSTITUTE($AZ246,"-","")," ",""),$AY246))</f>
        <v/>
      </c>
      <c r="AY246" s="2">
        <f>IF(OR($AS246="",$E$6=""),"",TRIM(INDEX($A:$AP,ROW(),$E$6)&amp;""))</f>
        <v/>
      </c>
      <c r="AZ246" s="2">
        <f>IF(OR($AS246="",$D$6=""),"",TRIM(INDEX($A:$AP,ROW(),$D$6)&amp;""))</f>
        <v/>
      </c>
      <c r="BA246" s="2">
        <f>IF($AS246="","",IF(AND($AS246&gt;=설정!$B$10,$AS246&lt;=설정!$B$11),"포함","기간 밖"))</f>
        <v/>
      </c>
      <c r="BB246" s="2">
        <f>IF($AS246="","",IF(OR($AT246&lt;0,AND($I$6&lt;&gt;"",ISNUMBER(FIND("수정",INDEX($A:$AP,ROW(),IF($I$6="",1,$I$6))&amp;"")))),"수정","일반"))</f>
        <v/>
      </c>
      <c r="BC246" s="2">
        <f>IF($AS246="","",MID(IF($BA246="기간 밖"," / 기간 밖(신고기간 아님)","")&amp;IF(AND($AW246&lt;&gt;"",COUNTIF($AW$8:$AW$1007,$AW246)&gt;1)," / 승인번호 중복(두 번 붙여넣기?)","")&amp;IF(ABS($AU246-ROUND($AT246*0.1,0))&gt;설정!$B$8,IF($AU246=0," / 세액 0원(영세율·면세 여부 확인)"," / 세액이 공급가액 10%와 다름"),"")&amp;IF($BB246="수정"," / 수정세금계산서(합계에서 자동 가감)",""),4,200))</f>
        <v/>
      </c>
      <c r="BD246" s="2">
        <f>IF($BA246&lt;&gt;"포함","",IF(COUNTIFS($AX$8:$AX246,$AX246,$BA$8:$BA246,"포함")=1,MAX($BD$7:BD245)+1,""))</f>
        <v/>
      </c>
      <c r="BE246" s="2">
        <f>IF($BC246="","",MAX($BE$7:BE245)+1)</f>
        <v/>
      </c>
    </row>
    <row r="247">
      <c r="AR247" s="2">
        <f>IF(OR($A$5="",$B$6="",ROW()&lt;$A$5),"",IF(INDEX($A:$AP,ROW(),$B$6)="","",INDEX($A:$AP,ROW(),$B$6)))</f>
        <v/>
      </c>
      <c r="AS247" s="22">
        <f>IF($AR247="","",IF(ISNUMBER($AR247),IF($AR247&gt;=10000000,IFERROR(DATE(INT($AR247/10000),MOD(INT($AR247/100),100),MOD($AR247,100)),""),INT($AR247)),IFERROR(DATE(--LEFT(LEFT(SUBSTITUTE(SUBSTITUTE(SUBSTITUTE(SUBSTITUTE(TRIM($AR247),"-",""),".",""),"/","")," ",""),8),4),--MID(LEFT(SUBSTITUTE(SUBSTITUTE(SUBSTITUTE(SUBSTITUTE(TRIM($AR247),"-",""),".",""),"/","")," ",""),8),5,2),--MID(LEFT(SUBSTITUTE(SUBSTITUTE(SUBSTITUTE(SUBSTITUTE(TRIM($AR247),"-",""),".",""),"/","")," ",""),8),7,2)),"")))</f>
        <v/>
      </c>
      <c r="AT247" s="23">
        <f>IF($AS247="","",IF($F$6="",0,IF(ISNUMBER(INDEX($A:$AP,ROW(),$F$6)),INDEX($A:$AP,ROW(),$F$6),IFERROR(--SUBSTITUTE(SUBSTITUTE(TRIM(INDEX($A:$AP,ROW(),$F$6)),",",""),"원",""),0))))</f>
        <v/>
      </c>
      <c r="AU247" s="23">
        <f>IF($AS247="","",IF($G$6="",0,IF(ISNUMBER(INDEX($A:$AP,ROW(),$G$6)),INDEX($A:$AP,ROW(),$G$6),IFERROR(--SUBSTITUTE(SUBSTITUTE(TRIM(INDEX($A:$AP,ROW(),$G$6)),",",""),"원",""),0))))</f>
        <v/>
      </c>
      <c r="AV247" s="23">
        <f>IF($AS247="","",IF($H$6="",$AT247+$AU247,IF($H$6="",0,IF(ISNUMBER(INDEX($A:$AP,ROW(),$H$6)),INDEX($A:$AP,ROW(),$H$6),IFERROR(--SUBSTITUTE(SUBSTITUTE(TRIM(INDEX($A:$AP,ROW(),$H$6)),",",""),"원",""),0)))))</f>
        <v/>
      </c>
      <c r="AW247" s="2">
        <f>IF(OR($AS247="",$C$6=""),"",TRIM(INDEX($A:$AP,ROW(),$C$6)&amp;""))</f>
        <v/>
      </c>
      <c r="AX247" s="2">
        <f>IF($AS247="","",IF($AZ247&lt;&gt;"",SUBSTITUTE(SUBSTITUTE($AZ247,"-","")," ",""),$AY247))</f>
        <v/>
      </c>
      <c r="AY247" s="2">
        <f>IF(OR($AS247="",$E$6=""),"",TRIM(INDEX($A:$AP,ROW(),$E$6)&amp;""))</f>
        <v/>
      </c>
      <c r="AZ247" s="2">
        <f>IF(OR($AS247="",$D$6=""),"",TRIM(INDEX($A:$AP,ROW(),$D$6)&amp;""))</f>
        <v/>
      </c>
      <c r="BA247" s="2">
        <f>IF($AS247="","",IF(AND($AS247&gt;=설정!$B$10,$AS247&lt;=설정!$B$11),"포함","기간 밖"))</f>
        <v/>
      </c>
      <c r="BB247" s="2">
        <f>IF($AS247="","",IF(OR($AT247&lt;0,AND($I$6&lt;&gt;"",ISNUMBER(FIND("수정",INDEX($A:$AP,ROW(),IF($I$6="",1,$I$6))&amp;"")))),"수정","일반"))</f>
        <v/>
      </c>
      <c r="BC247" s="2">
        <f>IF($AS247="","",MID(IF($BA247="기간 밖"," / 기간 밖(신고기간 아님)","")&amp;IF(AND($AW247&lt;&gt;"",COUNTIF($AW$8:$AW$1007,$AW247)&gt;1)," / 승인번호 중복(두 번 붙여넣기?)","")&amp;IF(ABS($AU247-ROUND($AT247*0.1,0))&gt;설정!$B$8,IF($AU247=0," / 세액 0원(영세율·면세 여부 확인)"," / 세액이 공급가액 10%와 다름"),"")&amp;IF($BB247="수정"," / 수정세금계산서(합계에서 자동 가감)",""),4,200))</f>
        <v/>
      </c>
      <c r="BD247" s="2">
        <f>IF($BA247&lt;&gt;"포함","",IF(COUNTIFS($AX$8:$AX247,$AX247,$BA$8:$BA247,"포함")=1,MAX($BD$7:BD246)+1,""))</f>
        <v/>
      </c>
      <c r="BE247" s="2">
        <f>IF($BC247="","",MAX($BE$7:BE246)+1)</f>
        <v/>
      </c>
    </row>
    <row r="248">
      <c r="AR248" s="2">
        <f>IF(OR($A$5="",$B$6="",ROW()&lt;$A$5),"",IF(INDEX($A:$AP,ROW(),$B$6)="","",INDEX($A:$AP,ROW(),$B$6)))</f>
        <v/>
      </c>
      <c r="AS248" s="22">
        <f>IF($AR248="","",IF(ISNUMBER($AR248),IF($AR248&gt;=10000000,IFERROR(DATE(INT($AR248/10000),MOD(INT($AR248/100),100),MOD($AR248,100)),""),INT($AR248)),IFERROR(DATE(--LEFT(LEFT(SUBSTITUTE(SUBSTITUTE(SUBSTITUTE(SUBSTITUTE(TRIM($AR248),"-",""),".",""),"/","")," ",""),8),4),--MID(LEFT(SUBSTITUTE(SUBSTITUTE(SUBSTITUTE(SUBSTITUTE(TRIM($AR248),"-",""),".",""),"/","")," ",""),8),5,2),--MID(LEFT(SUBSTITUTE(SUBSTITUTE(SUBSTITUTE(SUBSTITUTE(TRIM($AR248),"-",""),".",""),"/","")," ",""),8),7,2)),"")))</f>
        <v/>
      </c>
      <c r="AT248" s="23">
        <f>IF($AS248="","",IF($F$6="",0,IF(ISNUMBER(INDEX($A:$AP,ROW(),$F$6)),INDEX($A:$AP,ROW(),$F$6),IFERROR(--SUBSTITUTE(SUBSTITUTE(TRIM(INDEX($A:$AP,ROW(),$F$6)),",",""),"원",""),0))))</f>
        <v/>
      </c>
      <c r="AU248" s="23">
        <f>IF($AS248="","",IF($G$6="",0,IF(ISNUMBER(INDEX($A:$AP,ROW(),$G$6)),INDEX($A:$AP,ROW(),$G$6),IFERROR(--SUBSTITUTE(SUBSTITUTE(TRIM(INDEX($A:$AP,ROW(),$G$6)),",",""),"원",""),0))))</f>
        <v/>
      </c>
      <c r="AV248" s="23">
        <f>IF($AS248="","",IF($H$6="",$AT248+$AU248,IF($H$6="",0,IF(ISNUMBER(INDEX($A:$AP,ROW(),$H$6)),INDEX($A:$AP,ROW(),$H$6),IFERROR(--SUBSTITUTE(SUBSTITUTE(TRIM(INDEX($A:$AP,ROW(),$H$6)),",",""),"원",""),0)))))</f>
        <v/>
      </c>
      <c r="AW248" s="2">
        <f>IF(OR($AS248="",$C$6=""),"",TRIM(INDEX($A:$AP,ROW(),$C$6)&amp;""))</f>
        <v/>
      </c>
      <c r="AX248" s="2">
        <f>IF($AS248="","",IF($AZ248&lt;&gt;"",SUBSTITUTE(SUBSTITUTE($AZ248,"-","")," ",""),$AY248))</f>
        <v/>
      </c>
      <c r="AY248" s="2">
        <f>IF(OR($AS248="",$E$6=""),"",TRIM(INDEX($A:$AP,ROW(),$E$6)&amp;""))</f>
        <v/>
      </c>
      <c r="AZ248" s="2">
        <f>IF(OR($AS248="",$D$6=""),"",TRIM(INDEX($A:$AP,ROW(),$D$6)&amp;""))</f>
        <v/>
      </c>
      <c r="BA248" s="2">
        <f>IF($AS248="","",IF(AND($AS248&gt;=설정!$B$10,$AS248&lt;=설정!$B$11),"포함","기간 밖"))</f>
        <v/>
      </c>
      <c r="BB248" s="2">
        <f>IF($AS248="","",IF(OR($AT248&lt;0,AND($I$6&lt;&gt;"",ISNUMBER(FIND("수정",INDEX($A:$AP,ROW(),IF($I$6="",1,$I$6))&amp;"")))),"수정","일반"))</f>
        <v/>
      </c>
      <c r="BC248" s="2">
        <f>IF($AS248="","",MID(IF($BA248="기간 밖"," / 기간 밖(신고기간 아님)","")&amp;IF(AND($AW248&lt;&gt;"",COUNTIF($AW$8:$AW$1007,$AW248)&gt;1)," / 승인번호 중복(두 번 붙여넣기?)","")&amp;IF(ABS($AU248-ROUND($AT248*0.1,0))&gt;설정!$B$8,IF($AU248=0," / 세액 0원(영세율·면세 여부 확인)"," / 세액이 공급가액 10%와 다름"),"")&amp;IF($BB248="수정"," / 수정세금계산서(합계에서 자동 가감)",""),4,200))</f>
        <v/>
      </c>
      <c r="BD248" s="2">
        <f>IF($BA248&lt;&gt;"포함","",IF(COUNTIFS($AX$8:$AX248,$AX248,$BA$8:$BA248,"포함")=1,MAX($BD$7:BD247)+1,""))</f>
        <v/>
      </c>
      <c r="BE248" s="2">
        <f>IF($BC248="","",MAX($BE$7:BE247)+1)</f>
        <v/>
      </c>
    </row>
    <row r="249">
      <c r="AR249" s="2">
        <f>IF(OR($A$5="",$B$6="",ROW()&lt;$A$5),"",IF(INDEX($A:$AP,ROW(),$B$6)="","",INDEX($A:$AP,ROW(),$B$6)))</f>
        <v/>
      </c>
      <c r="AS249" s="22">
        <f>IF($AR249="","",IF(ISNUMBER($AR249),IF($AR249&gt;=10000000,IFERROR(DATE(INT($AR249/10000),MOD(INT($AR249/100),100),MOD($AR249,100)),""),INT($AR249)),IFERROR(DATE(--LEFT(LEFT(SUBSTITUTE(SUBSTITUTE(SUBSTITUTE(SUBSTITUTE(TRIM($AR249),"-",""),".",""),"/","")," ",""),8),4),--MID(LEFT(SUBSTITUTE(SUBSTITUTE(SUBSTITUTE(SUBSTITUTE(TRIM($AR249),"-",""),".",""),"/","")," ",""),8),5,2),--MID(LEFT(SUBSTITUTE(SUBSTITUTE(SUBSTITUTE(SUBSTITUTE(TRIM($AR249),"-",""),".",""),"/","")," ",""),8),7,2)),"")))</f>
        <v/>
      </c>
      <c r="AT249" s="23">
        <f>IF($AS249="","",IF($F$6="",0,IF(ISNUMBER(INDEX($A:$AP,ROW(),$F$6)),INDEX($A:$AP,ROW(),$F$6),IFERROR(--SUBSTITUTE(SUBSTITUTE(TRIM(INDEX($A:$AP,ROW(),$F$6)),",",""),"원",""),0))))</f>
        <v/>
      </c>
      <c r="AU249" s="23">
        <f>IF($AS249="","",IF($G$6="",0,IF(ISNUMBER(INDEX($A:$AP,ROW(),$G$6)),INDEX($A:$AP,ROW(),$G$6),IFERROR(--SUBSTITUTE(SUBSTITUTE(TRIM(INDEX($A:$AP,ROW(),$G$6)),",",""),"원",""),0))))</f>
        <v/>
      </c>
      <c r="AV249" s="23">
        <f>IF($AS249="","",IF($H$6="",$AT249+$AU249,IF($H$6="",0,IF(ISNUMBER(INDEX($A:$AP,ROW(),$H$6)),INDEX($A:$AP,ROW(),$H$6),IFERROR(--SUBSTITUTE(SUBSTITUTE(TRIM(INDEX($A:$AP,ROW(),$H$6)),",",""),"원",""),0)))))</f>
        <v/>
      </c>
      <c r="AW249" s="2">
        <f>IF(OR($AS249="",$C$6=""),"",TRIM(INDEX($A:$AP,ROW(),$C$6)&amp;""))</f>
        <v/>
      </c>
      <c r="AX249" s="2">
        <f>IF($AS249="","",IF($AZ249&lt;&gt;"",SUBSTITUTE(SUBSTITUTE($AZ249,"-","")," ",""),$AY249))</f>
        <v/>
      </c>
      <c r="AY249" s="2">
        <f>IF(OR($AS249="",$E$6=""),"",TRIM(INDEX($A:$AP,ROW(),$E$6)&amp;""))</f>
        <v/>
      </c>
      <c r="AZ249" s="2">
        <f>IF(OR($AS249="",$D$6=""),"",TRIM(INDEX($A:$AP,ROW(),$D$6)&amp;""))</f>
        <v/>
      </c>
      <c r="BA249" s="2">
        <f>IF($AS249="","",IF(AND($AS249&gt;=설정!$B$10,$AS249&lt;=설정!$B$11),"포함","기간 밖"))</f>
        <v/>
      </c>
      <c r="BB249" s="2">
        <f>IF($AS249="","",IF(OR($AT249&lt;0,AND($I$6&lt;&gt;"",ISNUMBER(FIND("수정",INDEX($A:$AP,ROW(),IF($I$6="",1,$I$6))&amp;"")))),"수정","일반"))</f>
        <v/>
      </c>
      <c r="BC249" s="2">
        <f>IF($AS249="","",MID(IF($BA249="기간 밖"," / 기간 밖(신고기간 아님)","")&amp;IF(AND($AW249&lt;&gt;"",COUNTIF($AW$8:$AW$1007,$AW249)&gt;1)," / 승인번호 중복(두 번 붙여넣기?)","")&amp;IF(ABS($AU249-ROUND($AT249*0.1,0))&gt;설정!$B$8,IF($AU249=0," / 세액 0원(영세율·면세 여부 확인)"," / 세액이 공급가액 10%와 다름"),"")&amp;IF($BB249="수정"," / 수정세금계산서(합계에서 자동 가감)",""),4,200))</f>
        <v/>
      </c>
      <c r="BD249" s="2">
        <f>IF($BA249&lt;&gt;"포함","",IF(COUNTIFS($AX$8:$AX249,$AX249,$BA$8:$BA249,"포함")=1,MAX($BD$7:BD248)+1,""))</f>
        <v/>
      </c>
      <c r="BE249" s="2">
        <f>IF($BC249="","",MAX($BE$7:BE248)+1)</f>
        <v/>
      </c>
    </row>
    <row r="250">
      <c r="AR250" s="2">
        <f>IF(OR($A$5="",$B$6="",ROW()&lt;$A$5),"",IF(INDEX($A:$AP,ROW(),$B$6)="","",INDEX($A:$AP,ROW(),$B$6)))</f>
        <v/>
      </c>
      <c r="AS250" s="22">
        <f>IF($AR250="","",IF(ISNUMBER($AR250),IF($AR250&gt;=10000000,IFERROR(DATE(INT($AR250/10000),MOD(INT($AR250/100),100),MOD($AR250,100)),""),INT($AR250)),IFERROR(DATE(--LEFT(LEFT(SUBSTITUTE(SUBSTITUTE(SUBSTITUTE(SUBSTITUTE(TRIM($AR250),"-",""),".",""),"/","")," ",""),8),4),--MID(LEFT(SUBSTITUTE(SUBSTITUTE(SUBSTITUTE(SUBSTITUTE(TRIM($AR250),"-",""),".",""),"/","")," ",""),8),5,2),--MID(LEFT(SUBSTITUTE(SUBSTITUTE(SUBSTITUTE(SUBSTITUTE(TRIM($AR250),"-",""),".",""),"/","")," ",""),8),7,2)),"")))</f>
        <v/>
      </c>
      <c r="AT250" s="23">
        <f>IF($AS250="","",IF($F$6="",0,IF(ISNUMBER(INDEX($A:$AP,ROW(),$F$6)),INDEX($A:$AP,ROW(),$F$6),IFERROR(--SUBSTITUTE(SUBSTITUTE(TRIM(INDEX($A:$AP,ROW(),$F$6)),",",""),"원",""),0))))</f>
        <v/>
      </c>
      <c r="AU250" s="23">
        <f>IF($AS250="","",IF($G$6="",0,IF(ISNUMBER(INDEX($A:$AP,ROW(),$G$6)),INDEX($A:$AP,ROW(),$G$6),IFERROR(--SUBSTITUTE(SUBSTITUTE(TRIM(INDEX($A:$AP,ROW(),$G$6)),",",""),"원",""),0))))</f>
        <v/>
      </c>
      <c r="AV250" s="23">
        <f>IF($AS250="","",IF($H$6="",$AT250+$AU250,IF($H$6="",0,IF(ISNUMBER(INDEX($A:$AP,ROW(),$H$6)),INDEX($A:$AP,ROW(),$H$6),IFERROR(--SUBSTITUTE(SUBSTITUTE(TRIM(INDEX($A:$AP,ROW(),$H$6)),",",""),"원",""),0)))))</f>
        <v/>
      </c>
      <c r="AW250" s="2">
        <f>IF(OR($AS250="",$C$6=""),"",TRIM(INDEX($A:$AP,ROW(),$C$6)&amp;""))</f>
        <v/>
      </c>
      <c r="AX250" s="2">
        <f>IF($AS250="","",IF($AZ250&lt;&gt;"",SUBSTITUTE(SUBSTITUTE($AZ250,"-","")," ",""),$AY250))</f>
        <v/>
      </c>
      <c r="AY250" s="2">
        <f>IF(OR($AS250="",$E$6=""),"",TRIM(INDEX($A:$AP,ROW(),$E$6)&amp;""))</f>
        <v/>
      </c>
      <c r="AZ250" s="2">
        <f>IF(OR($AS250="",$D$6=""),"",TRIM(INDEX($A:$AP,ROW(),$D$6)&amp;""))</f>
        <v/>
      </c>
      <c r="BA250" s="2">
        <f>IF($AS250="","",IF(AND($AS250&gt;=설정!$B$10,$AS250&lt;=설정!$B$11),"포함","기간 밖"))</f>
        <v/>
      </c>
      <c r="BB250" s="2">
        <f>IF($AS250="","",IF(OR($AT250&lt;0,AND($I$6&lt;&gt;"",ISNUMBER(FIND("수정",INDEX($A:$AP,ROW(),IF($I$6="",1,$I$6))&amp;"")))),"수정","일반"))</f>
        <v/>
      </c>
      <c r="BC250" s="2">
        <f>IF($AS250="","",MID(IF($BA250="기간 밖"," / 기간 밖(신고기간 아님)","")&amp;IF(AND($AW250&lt;&gt;"",COUNTIF($AW$8:$AW$1007,$AW250)&gt;1)," / 승인번호 중복(두 번 붙여넣기?)","")&amp;IF(ABS($AU250-ROUND($AT250*0.1,0))&gt;설정!$B$8,IF($AU250=0," / 세액 0원(영세율·면세 여부 확인)"," / 세액이 공급가액 10%와 다름"),"")&amp;IF($BB250="수정"," / 수정세금계산서(합계에서 자동 가감)",""),4,200))</f>
        <v/>
      </c>
      <c r="BD250" s="2">
        <f>IF($BA250&lt;&gt;"포함","",IF(COUNTIFS($AX$8:$AX250,$AX250,$BA$8:$BA250,"포함")=1,MAX($BD$7:BD249)+1,""))</f>
        <v/>
      </c>
      <c r="BE250" s="2">
        <f>IF($BC250="","",MAX($BE$7:BE249)+1)</f>
        <v/>
      </c>
    </row>
    <row r="251">
      <c r="AR251" s="2">
        <f>IF(OR($A$5="",$B$6="",ROW()&lt;$A$5),"",IF(INDEX($A:$AP,ROW(),$B$6)="","",INDEX($A:$AP,ROW(),$B$6)))</f>
        <v/>
      </c>
      <c r="AS251" s="22">
        <f>IF($AR251="","",IF(ISNUMBER($AR251),IF($AR251&gt;=10000000,IFERROR(DATE(INT($AR251/10000),MOD(INT($AR251/100),100),MOD($AR251,100)),""),INT($AR251)),IFERROR(DATE(--LEFT(LEFT(SUBSTITUTE(SUBSTITUTE(SUBSTITUTE(SUBSTITUTE(TRIM($AR251),"-",""),".",""),"/","")," ",""),8),4),--MID(LEFT(SUBSTITUTE(SUBSTITUTE(SUBSTITUTE(SUBSTITUTE(TRIM($AR251),"-",""),".",""),"/","")," ",""),8),5,2),--MID(LEFT(SUBSTITUTE(SUBSTITUTE(SUBSTITUTE(SUBSTITUTE(TRIM($AR251),"-",""),".",""),"/","")," ",""),8),7,2)),"")))</f>
        <v/>
      </c>
      <c r="AT251" s="23">
        <f>IF($AS251="","",IF($F$6="",0,IF(ISNUMBER(INDEX($A:$AP,ROW(),$F$6)),INDEX($A:$AP,ROW(),$F$6),IFERROR(--SUBSTITUTE(SUBSTITUTE(TRIM(INDEX($A:$AP,ROW(),$F$6)),",",""),"원",""),0))))</f>
        <v/>
      </c>
      <c r="AU251" s="23">
        <f>IF($AS251="","",IF($G$6="",0,IF(ISNUMBER(INDEX($A:$AP,ROW(),$G$6)),INDEX($A:$AP,ROW(),$G$6),IFERROR(--SUBSTITUTE(SUBSTITUTE(TRIM(INDEX($A:$AP,ROW(),$G$6)),",",""),"원",""),0))))</f>
        <v/>
      </c>
      <c r="AV251" s="23">
        <f>IF($AS251="","",IF($H$6="",$AT251+$AU251,IF($H$6="",0,IF(ISNUMBER(INDEX($A:$AP,ROW(),$H$6)),INDEX($A:$AP,ROW(),$H$6),IFERROR(--SUBSTITUTE(SUBSTITUTE(TRIM(INDEX($A:$AP,ROW(),$H$6)),",",""),"원",""),0)))))</f>
        <v/>
      </c>
      <c r="AW251" s="2">
        <f>IF(OR($AS251="",$C$6=""),"",TRIM(INDEX($A:$AP,ROW(),$C$6)&amp;""))</f>
        <v/>
      </c>
      <c r="AX251" s="2">
        <f>IF($AS251="","",IF($AZ251&lt;&gt;"",SUBSTITUTE(SUBSTITUTE($AZ251,"-","")," ",""),$AY251))</f>
        <v/>
      </c>
      <c r="AY251" s="2">
        <f>IF(OR($AS251="",$E$6=""),"",TRIM(INDEX($A:$AP,ROW(),$E$6)&amp;""))</f>
        <v/>
      </c>
      <c r="AZ251" s="2">
        <f>IF(OR($AS251="",$D$6=""),"",TRIM(INDEX($A:$AP,ROW(),$D$6)&amp;""))</f>
        <v/>
      </c>
      <c r="BA251" s="2">
        <f>IF($AS251="","",IF(AND($AS251&gt;=설정!$B$10,$AS251&lt;=설정!$B$11),"포함","기간 밖"))</f>
        <v/>
      </c>
      <c r="BB251" s="2">
        <f>IF($AS251="","",IF(OR($AT251&lt;0,AND($I$6&lt;&gt;"",ISNUMBER(FIND("수정",INDEX($A:$AP,ROW(),IF($I$6="",1,$I$6))&amp;"")))),"수정","일반"))</f>
        <v/>
      </c>
      <c r="BC251" s="2">
        <f>IF($AS251="","",MID(IF($BA251="기간 밖"," / 기간 밖(신고기간 아님)","")&amp;IF(AND($AW251&lt;&gt;"",COUNTIF($AW$8:$AW$1007,$AW251)&gt;1)," / 승인번호 중복(두 번 붙여넣기?)","")&amp;IF(ABS($AU251-ROUND($AT251*0.1,0))&gt;설정!$B$8,IF($AU251=0," / 세액 0원(영세율·면세 여부 확인)"," / 세액이 공급가액 10%와 다름"),"")&amp;IF($BB251="수정"," / 수정세금계산서(합계에서 자동 가감)",""),4,200))</f>
        <v/>
      </c>
      <c r="BD251" s="2">
        <f>IF($BA251&lt;&gt;"포함","",IF(COUNTIFS($AX$8:$AX251,$AX251,$BA$8:$BA251,"포함")=1,MAX($BD$7:BD250)+1,""))</f>
        <v/>
      </c>
      <c r="BE251" s="2">
        <f>IF($BC251="","",MAX($BE$7:BE250)+1)</f>
        <v/>
      </c>
    </row>
    <row r="252">
      <c r="AR252" s="2">
        <f>IF(OR($A$5="",$B$6="",ROW()&lt;$A$5),"",IF(INDEX($A:$AP,ROW(),$B$6)="","",INDEX($A:$AP,ROW(),$B$6)))</f>
        <v/>
      </c>
      <c r="AS252" s="22">
        <f>IF($AR252="","",IF(ISNUMBER($AR252),IF($AR252&gt;=10000000,IFERROR(DATE(INT($AR252/10000),MOD(INT($AR252/100),100),MOD($AR252,100)),""),INT($AR252)),IFERROR(DATE(--LEFT(LEFT(SUBSTITUTE(SUBSTITUTE(SUBSTITUTE(SUBSTITUTE(TRIM($AR252),"-",""),".",""),"/","")," ",""),8),4),--MID(LEFT(SUBSTITUTE(SUBSTITUTE(SUBSTITUTE(SUBSTITUTE(TRIM($AR252),"-",""),".",""),"/","")," ",""),8),5,2),--MID(LEFT(SUBSTITUTE(SUBSTITUTE(SUBSTITUTE(SUBSTITUTE(TRIM($AR252),"-",""),".",""),"/","")," ",""),8),7,2)),"")))</f>
        <v/>
      </c>
      <c r="AT252" s="23">
        <f>IF($AS252="","",IF($F$6="",0,IF(ISNUMBER(INDEX($A:$AP,ROW(),$F$6)),INDEX($A:$AP,ROW(),$F$6),IFERROR(--SUBSTITUTE(SUBSTITUTE(TRIM(INDEX($A:$AP,ROW(),$F$6)),",",""),"원",""),0))))</f>
        <v/>
      </c>
      <c r="AU252" s="23">
        <f>IF($AS252="","",IF($G$6="",0,IF(ISNUMBER(INDEX($A:$AP,ROW(),$G$6)),INDEX($A:$AP,ROW(),$G$6),IFERROR(--SUBSTITUTE(SUBSTITUTE(TRIM(INDEX($A:$AP,ROW(),$G$6)),",",""),"원",""),0))))</f>
        <v/>
      </c>
      <c r="AV252" s="23">
        <f>IF($AS252="","",IF($H$6="",$AT252+$AU252,IF($H$6="",0,IF(ISNUMBER(INDEX($A:$AP,ROW(),$H$6)),INDEX($A:$AP,ROW(),$H$6),IFERROR(--SUBSTITUTE(SUBSTITUTE(TRIM(INDEX($A:$AP,ROW(),$H$6)),",",""),"원",""),0)))))</f>
        <v/>
      </c>
      <c r="AW252" s="2">
        <f>IF(OR($AS252="",$C$6=""),"",TRIM(INDEX($A:$AP,ROW(),$C$6)&amp;""))</f>
        <v/>
      </c>
      <c r="AX252" s="2">
        <f>IF($AS252="","",IF($AZ252&lt;&gt;"",SUBSTITUTE(SUBSTITUTE($AZ252,"-","")," ",""),$AY252))</f>
        <v/>
      </c>
      <c r="AY252" s="2">
        <f>IF(OR($AS252="",$E$6=""),"",TRIM(INDEX($A:$AP,ROW(),$E$6)&amp;""))</f>
        <v/>
      </c>
      <c r="AZ252" s="2">
        <f>IF(OR($AS252="",$D$6=""),"",TRIM(INDEX($A:$AP,ROW(),$D$6)&amp;""))</f>
        <v/>
      </c>
      <c r="BA252" s="2">
        <f>IF($AS252="","",IF(AND($AS252&gt;=설정!$B$10,$AS252&lt;=설정!$B$11),"포함","기간 밖"))</f>
        <v/>
      </c>
      <c r="BB252" s="2">
        <f>IF($AS252="","",IF(OR($AT252&lt;0,AND($I$6&lt;&gt;"",ISNUMBER(FIND("수정",INDEX($A:$AP,ROW(),IF($I$6="",1,$I$6))&amp;"")))),"수정","일반"))</f>
        <v/>
      </c>
      <c r="BC252" s="2">
        <f>IF($AS252="","",MID(IF($BA252="기간 밖"," / 기간 밖(신고기간 아님)","")&amp;IF(AND($AW252&lt;&gt;"",COUNTIF($AW$8:$AW$1007,$AW252)&gt;1)," / 승인번호 중복(두 번 붙여넣기?)","")&amp;IF(ABS($AU252-ROUND($AT252*0.1,0))&gt;설정!$B$8,IF($AU252=0," / 세액 0원(영세율·면세 여부 확인)"," / 세액이 공급가액 10%와 다름"),"")&amp;IF($BB252="수정"," / 수정세금계산서(합계에서 자동 가감)",""),4,200))</f>
        <v/>
      </c>
      <c r="BD252" s="2">
        <f>IF($BA252&lt;&gt;"포함","",IF(COUNTIFS($AX$8:$AX252,$AX252,$BA$8:$BA252,"포함")=1,MAX($BD$7:BD251)+1,""))</f>
        <v/>
      </c>
      <c r="BE252" s="2">
        <f>IF($BC252="","",MAX($BE$7:BE251)+1)</f>
        <v/>
      </c>
    </row>
    <row r="253">
      <c r="AR253" s="2">
        <f>IF(OR($A$5="",$B$6="",ROW()&lt;$A$5),"",IF(INDEX($A:$AP,ROW(),$B$6)="","",INDEX($A:$AP,ROW(),$B$6)))</f>
        <v/>
      </c>
      <c r="AS253" s="22">
        <f>IF($AR253="","",IF(ISNUMBER($AR253),IF($AR253&gt;=10000000,IFERROR(DATE(INT($AR253/10000),MOD(INT($AR253/100),100),MOD($AR253,100)),""),INT($AR253)),IFERROR(DATE(--LEFT(LEFT(SUBSTITUTE(SUBSTITUTE(SUBSTITUTE(SUBSTITUTE(TRIM($AR253),"-",""),".",""),"/","")," ",""),8),4),--MID(LEFT(SUBSTITUTE(SUBSTITUTE(SUBSTITUTE(SUBSTITUTE(TRIM($AR253),"-",""),".",""),"/","")," ",""),8),5,2),--MID(LEFT(SUBSTITUTE(SUBSTITUTE(SUBSTITUTE(SUBSTITUTE(TRIM($AR253),"-",""),".",""),"/","")," ",""),8),7,2)),"")))</f>
        <v/>
      </c>
      <c r="AT253" s="23">
        <f>IF($AS253="","",IF($F$6="",0,IF(ISNUMBER(INDEX($A:$AP,ROW(),$F$6)),INDEX($A:$AP,ROW(),$F$6),IFERROR(--SUBSTITUTE(SUBSTITUTE(TRIM(INDEX($A:$AP,ROW(),$F$6)),",",""),"원",""),0))))</f>
        <v/>
      </c>
      <c r="AU253" s="23">
        <f>IF($AS253="","",IF($G$6="",0,IF(ISNUMBER(INDEX($A:$AP,ROW(),$G$6)),INDEX($A:$AP,ROW(),$G$6),IFERROR(--SUBSTITUTE(SUBSTITUTE(TRIM(INDEX($A:$AP,ROW(),$G$6)),",",""),"원",""),0))))</f>
        <v/>
      </c>
      <c r="AV253" s="23">
        <f>IF($AS253="","",IF($H$6="",$AT253+$AU253,IF($H$6="",0,IF(ISNUMBER(INDEX($A:$AP,ROW(),$H$6)),INDEX($A:$AP,ROW(),$H$6),IFERROR(--SUBSTITUTE(SUBSTITUTE(TRIM(INDEX($A:$AP,ROW(),$H$6)),",",""),"원",""),0)))))</f>
        <v/>
      </c>
      <c r="AW253" s="2">
        <f>IF(OR($AS253="",$C$6=""),"",TRIM(INDEX($A:$AP,ROW(),$C$6)&amp;""))</f>
        <v/>
      </c>
      <c r="AX253" s="2">
        <f>IF($AS253="","",IF($AZ253&lt;&gt;"",SUBSTITUTE(SUBSTITUTE($AZ253,"-","")," ",""),$AY253))</f>
        <v/>
      </c>
      <c r="AY253" s="2">
        <f>IF(OR($AS253="",$E$6=""),"",TRIM(INDEX($A:$AP,ROW(),$E$6)&amp;""))</f>
        <v/>
      </c>
      <c r="AZ253" s="2">
        <f>IF(OR($AS253="",$D$6=""),"",TRIM(INDEX($A:$AP,ROW(),$D$6)&amp;""))</f>
        <v/>
      </c>
      <c r="BA253" s="2">
        <f>IF($AS253="","",IF(AND($AS253&gt;=설정!$B$10,$AS253&lt;=설정!$B$11),"포함","기간 밖"))</f>
        <v/>
      </c>
      <c r="BB253" s="2">
        <f>IF($AS253="","",IF(OR($AT253&lt;0,AND($I$6&lt;&gt;"",ISNUMBER(FIND("수정",INDEX($A:$AP,ROW(),IF($I$6="",1,$I$6))&amp;"")))),"수정","일반"))</f>
        <v/>
      </c>
      <c r="BC253" s="2">
        <f>IF($AS253="","",MID(IF($BA253="기간 밖"," / 기간 밖(신고기간 아님)","")&amp;IF(AND($AW253&lt;&gt;"",COUNTIF($AW$8:$AW$1007,$AW253)&gt;1)," / 승인번호 중복(두 번 붙여넣기?)","")&amp;IF(ABS($AU253-ROUND($AT253*0.1,0))&gt;설정!$B$8,IF($AU253=0," / 세액 0원(영세율·면세 여부 확인)"," / 세액이 공급가액 10%와 다름"),"")&amp;IF($BB253="수정"," / 수정세금계산서(합계에서 자동 가감)",""),4,200))</f>
        <v/>
      </c>
      <c r="BD253" s="2">
        <f>IF($BA253&lt;&gt;"포함","",IF(COUNTIFS($AX$8:$AX253,$AX253,$BA$8:$BA253,"포함")=1,MAX($BD$7:BD252)+1,""))</f>
        <v/>
      </c>
      <c r="BE253" s="2">
        <f>IF($BC253="","",MAX($BE$7:BE252)+1)</f>
        <v/>
      </c>
    </row>
    <row r="254">
      <c r="AR254" s="2">
        <f>IF(OR($A$5="",$B$6="",ROW()&lt;$A$5),"",IF(INDEX($A:$AP,ROW(),$B$6)="","",INDEX($A:$AP,ROW(),$B$6)))</f>
        <v/>
      </c>
      <c r="AS254" s="22">
        <f>IF($AR254="","",IF(ISNUMBER($AR254),IF($AR254&gt;=10000000,IFERROR(DATE(INT($AR254/10000),MOD(INT($AR254/100),100),MOD($AR254,100)),""),INT($AR254)),IFERROR(DATE(--LEFT(LEFT(SUBSTITUTE(SUBSTITUTE(SUBSTITUTE(SUBSTITUTE(TRIM($AR254),"-",""),".",""),"/","")," ",""),8),4),--MID(LEFT(SUBSTITUTE(SUBSTITUTE(SUBSTITUTE(SUBSTITUTE(TRIM($AR254),"-",""),".",""),"/","")," ",""),8),5,2),--MID(LEFT(SUBSTITUTE(SUBSTITUTE(SUBSTITUTE(SUBSTITUTE(TRIM($AR254),"-",""),".",""),"/","")," ",""),8),7,2)),"")))</f>
        <v/>
      </c>
      <c r="AT254" s="23">
        <f>IF($AS254="","",IF($F$6="",0,IF(ISNUMBER(INDEX($A:$AP,ROW(),$F$6)),INDEX($A:$AP,ROW(),$F$6),IFERROR(--SUBSTITUTE(SUBSTITUTE(TRIM(INDEX($A:$AP,ROW(),$F$6)),",",""),"원",""),0))))</f>
        <v/>
      </c>
      <c r="AU254" s="23">
        <f>IF($AS254="","",IF($G$6="",0,IF(ISNUMBER(INDEX($A:$AP,ROW(),$G$6)),INDEX($A:$AP,ROW(),$G$6),IFERROR(--SUBSTITUTE(SUBSTITUTE(TRIM(INDEX($A:$AP,ROW(),$G$6)),",",""),"원",""),0))))</f>
        <v/>
      </c>
      <c r="AV254" s="23">
        <f>IF($AS254="","",IF($H$6="",$AT254+$AU254,IF($H$6="",0,IF(ISNUMBER(INDEX($A:$AP,ROW(),$H$6)),INDEX($A:$AP,ROW(),$H$6),IFERROR(--SUBSTITUTE(SUBSTITUTE(TRIM(INDEX($A:$AP,ROW(),$H$6)),",",""),"원",""),0)))))</f>
        <v/>
      </c>
      <c r="AW254" s="2">
        <f>IF(OR($AS254="",$C$6=""),"",TRIM(INDEX($A:$AP,ROW(),$C$6)&amp;""))</f>
        <v/>
      </c>
      <c r="AX254" s="2">
        <f>IF($AS254="","",IF($AZ254&lt;&gt;"",SUBSTITUTE(SUBSTITUTE($AZ254,"-","")," ",""),$AY254))</f>
        <v/>
      </c>
      <c r="AY254" s="2">
        <f>IF(OR($AS254="",$E$6=""),"",TRIM(INDEX($A:$AP,ROW(),$E$6)&amp;""))</f>
        <v/>
      </c>
      <c r="AZ254" s="2">
        <f>IF(OR($AS254="",$D$6=""),"",TRIM(INDEX($A:$AP,ROW(),$D$6)&amp;""))</f>
        <v/>
      </c>
      <c r="BA254" s="2">
        <f>IF($AS254="","",IF(AND($AS254&gt;=설정!$B$10,$AS254&lt;=설정!$B$11),"포함","기간 밖"))</f>
        <v/>
      </c>
      <c r="BB254" s="2">
        <f>IF($AS254="","",IF(OR($AT254&lt;0,AND($I$6&lt;&gt;"",ISNUMBER(FIND("수정",INDEX($A:$AP,ROW(),IF($I$6="",1,$I$6))&amp;"")))),"수정","일반"))</f>
        <v/>
      </c>
      <c r="BC254" s="2">
        <f>IF($AS254="","",MID(IF($BA254="기간 밖"," / 기간 밖(신고기간 아님)","")&amp;IF(AND($AW254&lt;&gt;"",COUNTIF($AW$8:$AW$1007,$AW254)&gt;1)," / 승인번호 중복(두 번 붙여넣기?)","")&amp;IF(ABS($AU254-ROUND($AT254*0.1,0))&gt;설정!$B$8,IF($AU254=0," / 세액 0원(영세율·면세 여부 확인)"," / 세액이 공급가액 10%와 다름"),"")&amp;IF($BB254="수정"," / 수정세금계산서(합계에서 자동 가감)",""),4,200))</f>
        <v/>
      </c>
      <c r="BD254" s="2">
        <f>IF($BA254&lt;&gt;"포함","",IF(COUNTIFS($AX$8:$AX254,$AX254,$BA$8:$BA254,"포함")=1,MAX($BD$7:BD253)+1,""))</f>
        <v/>
      </c>
      <c r="BE254" s="2">
        <f>IF($BC254="","",MAX($BE$7:BE253)+1)</f>
        <v/>
      </c>
    </row>
    <row r="255">
      <c r="AR255" s="2">
        <f>IF(OR($A$5="",$B$6="",ROW()&lt;$A$5),"",IF(INDEX($A:$AP,ROW(),$B$6)="","",INDEX($A:$AP,ROW(),$B$6)))</f>
        <v/>
      </c>
      <c r="AS255" s="22">
        <f>IF($AR255="","",IF(ISNUMBER($AR255),IF($AR255&gt;=10000000,IFERROR(DATE(INT($AR255/10000),MOD(INT($AR255/100),100),MOD($AR255,100)),""),INT($AR255)),IFERROR(DATE(--LEFT(LEFT(SUBSTITUTE(SUBSTITUTE(SUBSTITUTE(SUBSTITUTE(TRIM($AR255),"-",""),".",""),"/","")," ",""),8),4),--MID(LEFT(SUBSTITUTE(SUBSTITUTE(SUBSTITUTE(SUBSTITUTE(TRIM($AR255),"-",""),".",""),"/","")," ",""),8),5,2),--MID(LEFT(SUBSTITUTE(SUBSTITUTE(SUBSTITUTE(SUBSTITUTE(TRIM($AR255),"-",""),".",""),"/","")," ",""),8),7,2)),"")))</f>
        <v/>
      </c>
      <c r="AT255" s="23">
        <f>IF($AS255="","",IF($F$6="",0,IF(ISNUMBER(INDEX($A:$AP,ROW(),$F$6)),INDEX($A:$AP,ROW(),$F$6),IFERROR(--SUBSTITUTE(SUBSTITUTE(TRIM(INDEX($A:$AP,ROW(),$F$6)),",",""),"원",""),0))))</f>
        <v/>
      </c>
      <c r="AU255" s="23">
        <f>IF($AS255="","",IF($G$6="",0,IF(ISNUMBER(INDEX($A:$AP,ROW(),$G$6)),INDEX($A:$AP,ROW(),$G$6),IFERROR(--SUBSTITUTE(SUBSTITUTE(TRIM(INDEX($A:$AP,ROW(),$G$6)),",",""),"원",""),0))))</f>
        <v/>
      </c>
      <c r="AV255" s="23">
        <f>IF($AS255="","",IF($H$6="",$AT255+$AU255,IF($H$6="",0,IF(ISNUMBER(INDEX($A:$AP,ROW(),$H$6)),INDEX($A:$AP,ROW(),$H$6),IFERROR(--SUBSTITUTE(SUBSTITUTE(TRIM(INDEX($A:$AP,ROW(),$H$6)),",",""),"원",""),0)))))</f>
        <v/>
      </c>
      <c r="AW255" s="2">
        <f>IF(OR($AS255="",$C$6=""),"",TRIM(INDEX($A:$AP,ROW(),$C$6)&amp;""))</f>
        <v/>
      </c>
      <c r="AX255" s="2">
        <f>IF($AS255="","",IF($AZ255&lt;&gt;"",SUBSTITUTE(SUBSTITUTE($AZ255,"-","")," ",""),$AY255))</f>
        <v/>
      </c>
      <c r="AY255" s="2">
        <f>IF(OR($AS255="",$E$6=""),"",TRIM(INDEX($A:$AP,ROW(),$E$6)&amp;""))</f>
        <v/>
      </c>
      <c r="AZ255" s="2">
        <f>IF(OR($AS255="",$D$6=""),"",TRIM(INDEX($A:$AP,ROW(),$D$6)&amp;""))</f>
        <v/>
      </c>
      <c r="BA255" s="2">
        <f>IF($AS255="","",IF(AND($AS255&gt;=설정!$B$10,$AS255&lt;=설정!$B$11),"포함","기간 밖"))</f>
        <v/>
      </c>
      <c r="BB255" s="2">
        <f>IF($AS255="","",IF(OR($AT255&lt;0,AND($I$6&lt;&gt;"",ISNUMBER(FIND("수정",INDEX($A:$AP,ROW(),IF($I$6="",1,$I$6))&amp;"")))),"수정","일반"))</f>
        <v/>
      </c>
      <c r="BC255" s="2">
        <f>IF($AS255="","",MID(IF($BA255="기간 밖"," / 기간 밖(신고기간 아님)","")&amp;IF(AND($AW255&lt;&gt;"",COUNTIF($AW$8:$AW$1007,$AW255)&gt;1)," / 승인번호 중복(두 번 붙여넣기?)","")&amp;IF(ABS($AU255-ROUND($AT255*0.1,0))&gt;설정!$B$8,IF($AU255=0," / 세액 0원(영세율·면세 여부 확인)"," / 세액이 공급가액 10%와 다름"),"")&amp;IF($BB255="수정"," / 수정세금계산서(합계에서 자동 가감)",""),4,200))</f>
        <v/>
      </c>
      <c r="BD255" s="2">
        <f>IF($BA255&lt;&gt;"포함","",IF(COUNTIFS($AX$8:$AX255,$AX255,$BA$8:$BA255,"포함")=1,MAX($BD$7:BD254)+1,""))</f>
        <v/>
      </c>
      <c r="BE255" s="2">
        <f>IF($BC255="","",MAX($BE$7:BE254)+1)</f>
        <v/>
      </c>
    </row>
    <row r="256">
      <c r="AR256" s="2">
        <f>IF(OR($A$5="",$B$6="",ROW()&lt;$A$5),"",IF(INDEX($A:$AP,ROW(),$B$6)="","",INDEX($A:$AP,ROW(),$B$6)))</f>
        <v/>
      </c>
      <c r="AS256" s="22">
        <f>IF($AR256="","",IF(ISNUMBER($AR256),IF($AR256&gt;=10000000,IFERROR(DATE(INT($AR256/10000),MOD(INT($AR256/100),100),MOD($AR256,100)),""),INT($AR256)),IFERROR(DATE(--LEFT(LEFT(SUBSTITUTE(SUBSTITUTE(SUBSTITUTE(SUBSTITUTE(TRIM($AR256),"-",""),".",""),"/","")," ",""),8),4),--MID(LEFT(SUBSTITUTE(SUBSTITUTE(SUBSTITUTE(SUBSTITUTE(TRIM($AR256),"-",""),".",""),"/","")," ",""),8),5,2),--MID(LEFT(SUBSTITUTE(SUBSTITUTE(SUBSTITUTE(SUBSTITUTE(TRIM($AR256),"-",""),".",""),"/","")," ",""),8),7,2)),"")))</f>
        <v/>
      </c>
      <c r="AT256" s="23">
        <f>IF($AS256="","",IF($F$6="",0,IF(ISNUMBER(INDEX($A:$AP,ROW(),$F$6)),INDEX($A:$AP,ROW(),$F$6),IFERROR(--SUBSTITUTE(SUBSTITUTE(TRIM(INDEX($A:$AP,ROW(),$F$6)),",",""),"원",""),0))))</f>
        <v/>
      </c>
      <c r="AU256" s="23">
        <f>IF($AS256="","",IF($G$6="",0,IF(ISNUMBER(INDEX($A:$AP,ROW(),$G$6)),INDEX($A:$AP,ROW(),$G$6),IFERROR(--SUBSTITUTE(SUBSTITUTE(TRIM(INDEX($A:$AP,ROW(),$G$6)),",",""),"원",""),0))))</f>
        <v/>
      </c>
      <c r="AV256" s="23">
        <f>IF($AS256="","",IF($H$6="",$AT256+$AU256,IF($H$6="",0,IF(ISNUMBER(INDEX($A:$AP,ROW(),$H$6)),INDEX($A:$AP,ROW(),$H$6),IFERROR(--SUBSTITUTE(SUBSTITUTE(TRIM(INDEX($A:$AP,ROW(),$H$6)),",",""),"원",""),0)))))</f>
        <v/>
      </c>
      <c r="AW256" s="2">
        <f>IF(OR($AS256="",$C$6=""),"",TRIM(INDEX($A:$AP,ROW(),$C$6)&amp;""))</f>
        <v/>
      </c>
      <c r="AX256" s="2">
        <f>IF($AS256="","",IF($AZ256&lt;&gt;"",SUBSTITUTE(SUBSTITUTE($AZ256,"-","")," ",""),$AY256))</f>
        <v/>
      </c>
      <c r="AY256" s="2">
        <f>IF(OR($AS256="",$E$6=""),"",TRIM(INDEX($A:$AP,ROW(),$E$6)&amp;""))</f>
        <v/>
      </c>
      <c r="AZ256" s="2">
        <f>IF(OR($AS256="",$D$6=""),"",TRIM(INDEX($A:$AP,ROW(),$D$6)&amp;""))</f>
        <v/>
      </c>
      <c r="BA256" s="2">
        <f>IF($AS256="","",IF(AND($AS256&gt;=설정!$B$10,$AS256&lt;=설정!$B$11),"포함","기간 밖"))</f>
        <v/>
      </c>
      <c r="BB256" s="2">
        <f>IF($AS256="","",IF(OR($AT256&lt;0,AND($I$6&lt;&gt;"",ISNUMBER(FIND("수정",INDEX($A:$AP,ROW(),IF($I$6="",1,$I$6))&amp;"")))),"수정","일반"))</f>
        <v/>
      </c>
      <c r="BC256" s="2">
        <f>IF($AS256="","",MID(IF($BA256="기간 밖"," / 기간 밖(신고기간 아님)","")&amp;IF(AND($AW256&lt;&gt;"",COUNTIF($AW$8:$AW$1007,$AW256)&gt;1)," / 승인번호 중복(두 번 붙여넣기?)","")&amp;IF(ABS($AU256-ROUND($AT256*0.1,0))&gt;설정!$B$8,IF($AU256=0," / 세액 0원(영세율·면세 여부 확인)"," / 세액이 공급가액 10%와 다름"),"")&amp;IF($BB256="수정"," / 수정세금계산서(합계에서 자동 가감)",""),4,200))</f>
        <v/>
      </c>
      <c r="BD256" s="2">
        <f>IF($BA256&lt;&gt;"포함","",IF(COUNTIFS($AX$8:$AX256,$AX256,$BA$8:$BA256,"포함")=1,MAX($BD$7:BD255)+1,""))</f>
        <v/>
      </c>
      <c r="BE256" s="2">
        <f>IF($BC256="","",MAX($BE$7:BE255)+1)</f>
        <v/>
      </c>
    </row>
    <row r="257">
      <c r="AR257" s="2">
        <f>IF(OR($A$5="",$B$6="",ROW()&lt;$A$5),"",IF(INDEX($A:$AP,ROW(),$B$6)="","",INDEX($A:$AP,ROW(),$B$6)))</f>
        <v/>
      </c>
      <c r="AS257" s="22">
        <f>IF($AR257="","",IF(ISNUMBER($AR257),IF($AR257&gt;=10000000,IFERROR(DATE(INT($AR257/10000),MOD(INT($AR257/100),100),MOD($AR257,100)),""),INT($AR257)),IFERROR(DATE(--LEFT(LEFT(SUBSTITUTE(SUBSTITUTE(SUBSTITUTE(SUBSTITUTE(TRIM($AR257),"-",""),".",""),"/","")," ",""),8),4),--MID(LEFT(SUBSTITUTE(SUBSTITUTE(SUBSTITUTE(SUBSTITUTE(TRIM($AR257),"-",""),".",""),"/","")," ",""),8),5,2),--MID(LEFT(SUBSTITUTE(SUBSTITUTE(SUBSTITUTE(SUBSTITUTE(TRIM($AR257),"-",""),".",""),"/","")," ",""),8),7,2)),"")))</f>
        <v/>
      </c>
      <c r="AT257" s="23">
        <f>IF($AS257="","",IF($F$6="",0,IF(ISNUMBER(INDEX($A:$AP,ROW(),$F$6)),INDEX($A:$AP,ROW(),$F$6),IFERROR(--SUBSTITUTE(SUBSTITUTE(TRIM(INDEX($A:$AP,ROW(),$F$6)),",",""),"원",""),0))))</f>
        <v/>
      </c>
      <c r="AU257" s="23">
        <f>IF($AS257="","",IF($G$6="",0,IF(ISNUMBER(INDEX($A:$AP,ROW(),$G$6)),INDEX($A:$AP,ROW(),$G$6),IFERROR(--SUBSTITUTE(SUBSTITUTE(TRIM(INDEX($A:$AP,ROW(),$G$6)),",",""),"원",""),0))))</f>
        <v/>
      </c>
      <c r="AV257" s="23">
        <f>IF($AS257="","",IF($H$6="",$AT257+$AU257,IF($H$6="",0,IF(ISNUMBER(INDEX($A:$AP,ROW(),$H$6)),INDEX($A:$AP,ROW(),$H$6),IFERROR(--SUBSTITUTE(SUBSTITUTE(TRIM(INDEX($A:$AP,ROW(),$H$6)),",",""),"원",""),0)))))</f>
        <v/>
      </c>
      <c r="AW257" s="2">
        <f>IF(OR($AS257="",$C$6=""),"",TRIM(INDEX($A:$AP,ROW(),$C$6)&amp;""))</f>
        <v/>
      </c>
      <c r="AX257" s="2">
        <f>IF($AS257="","",IF($AZ257&lt;&gt;"",SUBSTITUTE(SUBSTITUTE($AZ257,"-","")," ",""),$AY257))</f>
        <v/>
      </c>
      <c r="AY257" s="2">
        <f>IF(OR($AS257="",$E$6=""),"",TRIM(INDEX($A:$AP,ROW(),$E$6)&amp;""))</f>
        <v/>
      </c>
      <c r="AZ257" s="2">
        <f>IF(OR($AS257="",$D$6=""),"",TRIM(INDEX($A:$AP,ROW(),$D$6)&amp;""))</f>
        <v/>
      </c>
      <c r="BA257" s="2">
        <f>IF($AS257="","",IF(AND($AS257&gt;=설정!$B$10,$AS257&lt;=설정!$B$11),"포함","기간 밖"))</f>
        <v/>
      </c>
      <c r="BB257" s="2">
        <f>IF($AS257="","",IF(OR($AT257&lt;0,AND($I$6&lt;&gt;"",ISNUMBER(FIND("수정",INDEX($A:$AP,ROW(),IF($I$6="",1,$I$6))&amp;"")))),"수정","일반"))</f>
        <v/>
      </c>
      <c r="BC257" s="2">
        <f>IF($AS257="","",MID(IF($BA257="기간 밖"," / 기간 밖(신고기간 아님)","")&amp;IF(AND($AW257&lt;&gt;"",COUNTIF($AW$8:$AW$1007,$AW257)&gt;1)," / 승인번호 중복(두 번 붙여넣기?)","")&amp;IF(ABS($AU257-ROUND($AT257*0.1,0))&gt;설정!$B$8,IF($AU257=0," / 세액 0원(영세율·면세 여부 확인)"," / 세액이 공급가액 10%와 다름"),"")&amp;IF($BB257="수정"," / 수정세금계산서(합계에서 자동 가감)",""),4,200))</f>
        <v/>
      </c>
      <c r="BD257" s="2">
        <f>IF($BA257&lt;&gt;"포함","",IF(COUNTIFS($AX$8:$AX257,$AX257,$BA$8:$BA257,"포함")=1,MAX($BD$7:BD256)+1,""))</f>
        <v/>
      </c>
      <c r="BE257" s="2">
        <f>IF($BC257="","",MAX($BE$7:BE256)+1)</f>
        <v/>
      </c>
    </row>
    <row r="258">
      <c r="AR258" s="2">
        <f>IF(OR($A$5="",$B$6="",ROW()&lt;$A$5),"",IF(INDEX($A:$AP,ROW(),$B$6)="","",INDEX($A:$AP,ROW(),$B$6)))</f>
        <v/>
      </c>
      <c r="AS258" s="22">
        <f>IF($AR258="","",IF(ISNUMBER($AR258),IF($AR258&gt;=10000000,IFERROR(DATE(INT($AR258/10000),MOD(INT($AR258/100),100),MOD($AR258,100)),""),INT($AR258)),IFERROR(DATE(--LEFT(LEFT(SUBSTITUTE(SUBSTITUTE(SUBSTITUTE(SUBSTITUTE(TRIM($AR258),"-",""),".",""),"/","")," ",""),8),4),--MID(LEFT(SUBSTITUTE(SUBSTITUTE(SUBSTITUTE(SUBSTITUTE(TRIM($AR258),"-",""),".",""),"/","")," ",""),8),5,2),--MID(LEFT(SUBSTITUTE(SUBSTITUTE(SUBSTITUTE(SUBSTITUTE(TRIM($AR258),"-",""),".",""),"/","")," ",""),8),7,2)),"")))</f>
        <v/>
      </c>
      <c r="AT258" s="23">
        <f>IF($AS258="","",IF($F$6="",0,IF(ISNUMBER(INDEX($A:$AP,ROW(),$F$6)),INDEX($A:$AP,ROW(),$F$6),IFERROR(--SUBSTITUTE(SUBSTITUTE(TRIM(INDEX($A:$AP,ROW(),$F$6)),",",""),"원",""),0))))</f>
        <v/>
      </c>
      <c r="AU258" s="23">
        <f>IF($AS258="","",IF($G$6="",0,IF(ISNUMBER(INDEX($A:$AP,ROW(),$G$6)),INDEX($A:$AP,ROW(),$G$6),IFERROR(--SUBSTITUTE(SUBSTITUTE(TRIM(INDEX($A:$AP,ROW(),$G$6)),",",""),"원",""),0))))</f>
        <v/>
      </c>
      <c r="AV258" s="23">
        <f>IF($AS258="","",IF($H$6="",$AT258+$AU258,IF($H$6="",0,IF(ISNUMBER(INDEX($A:$AP,ROW(),$H$6)),INDEX($A:$AP,ROW(),$H$6),IFERROR(--SUBSTITUTE(SUBSTITUTE(TRIM(INDEX($A:$AP,ROW(),$H$6)),",",""),"원",""),0)))))</f>
        <v/>
      </c>
      <c r="AW258" s="2">
        <f>IF(OR($AS258="",$C$6=""),"",TRIM(INDEX($A:$AP,ROW(),$C$6)&amp;""))</f>
        <v/>
      </c>
      <c r="AX258" s="2">
        <f>IF($AS258="","",IF($AZ258&lt;&gt;"",SUBSTITUTE(SUBSTITUTE($AZ258,"-","")," ",""),$AY258))</f>
        <v/>
      </c>
      <c r="AY258" s="2">
        <f>IF(OR($AS258="",$E$6=""),"",TRIM(INDEX($A:$AP,ROW(),$E$6)&amp;""))</f>
        <v/>
      </c>
      <c r="AZ258" s="2">
        <f>IF(OR($AS258="",$D$6=""),"",TRIM(INDEX($A:$AP,ROW(),$D$6)&amp;""))</f>
        <v/>
      </c>
      <c r="BA258" s="2">
        <f>IF($AS258="","",IF(AND($AS258&gt;=설정!$B$10,$AS258&lt;=설정!$B$11),"포함","기간 밖"))</f>
        <v/>
      </c>
      <c r="BB258" s="2">
        <f>IF($AS258="","",IF(OR($AT258&lt;0,AND($I$6&lt;&gt;"",ISNUMBER(FIND("수정",INDEX($A:$AP,ROW(),IF($I$6="",1,$I$6))&amp;"")))),"수정","일반"))</f>
        <v/>
      </c>
      <c r="BC258" s="2">
        <f>IF($AS258="","",MID(IF($BA258="기간 밖"," / 기간 밖(신고기간 아님)","")&amp;IF(AND($AW258&lt;&gt;"",COUNTIF($AW$8:$AW$1007,$AW258)&gt;1)," / 승인번호 중복(두 번 붙여넣기?)","")&amp;IF(ABS($AU258-ROUND($AT258*0.1,0))&gt;설정!$B$8,IF($AU258=0," / 세액 0원(영세율·면세 여부 확인)"," / 세액이 공급가액 10%와 다름"),"")&amp;IF($BB258="수정"," / 수정세금계산서(합계에서 자동 가감)",""),4,200))</f>
        <v/>
      </c>
      <c r="BD258" s="2">
        <f>IF($BA258&lt;&gt;"포함","",IF(COUNTIFS($AX$8:$AX258,$AX258,$BA$8:$BA258,"포함")=1,MAX($BD$7:BD257)+1,""))</f>
        <v/>
      </c>
      <c r="BE258" s="2">
        <f>IF($BC258="","",MAX($BE$7:BE257)+1)</f>
        <v/>
      </c>
    </row>
    <row r="259">
      <c r="AR259" s="2">
        <f>IF(OR($A$5="",$B$6="",ROW()&lt;$A$5),"",IF(INDEX($A:$AP,ROW(),$B$6)="","",INDEX($A:$AP,ROW(),$B$6)))</f>
        <v/>
      </c>
      <c r="AS259" s="22">
        <f>IF($AR259="","",IF(ISNUMBER($AR259),IF($AR259&gt;=10000000,IFERROR(DATE(INT($AR259/10000),MOD(INT($AR259/100),100),MOD($AR259,100)),""),INT($AR259)),IFERROR(DATE(--LEFT(LEFT(SUBSTITUTE(SUBSTITUTE(SUBSTITUTE(SUBSTITUTE(TRIM($AR259),"-",""),".",""),"/","")," ",""),8),4),--MID(LEFT(SUBSTITUTE(SUBSTITUTE(SUBSTITUTE(SUBSTITUTE(TRIM($AR259),"-",""),".",""),"/","")," ",""),8),5,2),--MID(LEFT(SUBSTITUTE(SUBSTITUTE(SUBSTITUTE(SUBSTITUTE(TRIM($AR259),"-",""),".",""),"/","")," ",""),8),7,2)),"")))</f>
        <v/>
      </c>
      <c r="AT259" s="23">
        <f>IF($AS259="","",IF($F$6="",0,IF(ISNUMBER(INDEX($A:$AP,ROW(),$F$6)),INDEX($A:$AP,ROW(),$F$6),IFERROR(--SUBSTITUTE(SUBSTITUTE(TRIM(INDEX($A:$AP,ROW(),$F$6)),",",""),"원",""),0))))</f>
        <v/>
      </c>
      <c r="AU259" s="23">
        <f>IF($AS259="","",IF($G$6="",0,IF(ISNUMBER(INDEX($A:$AP,ROW(),$G$6)),INDEX($A:$AP,ROW(),$G$6),IFERROR(--SUBSTITUTE(SUBSTITUTE(TRIM(INDEX($A:$AP,ROW(),$G$6)),",",""),"원",""),0))))</f>
        <v/>
      </c>
      <c r="AV259" s="23">
        <f>IF($AS259="","",IF($H$6="",$AT259+$AU259,IF($H$6="",0,IF(ISNUMBER(INDEX($A:$AP,ROW(),$H$6)),INDEX($A:$AP,ROW(),$H$6),IFERROR(--SUBSTITUTE(SUBSTITUTE(TRIM(INDEX($A:$AP,ROW(),$H$6)),",",""),"원",""),0)))))</f>
        <v/>
      </c>
      <c r="AW259" s="2">
        <f>IF(OR($AS259="",$C$6=""),"",TRIM(INDEX($A:$AP,ROW(),$C$6)&amp;""))</f>
        <v/>
      </c>
      <c r="AX259" s="2">
        <f>IF($AS259="","",IF($AZ259&lt;&gt;"",SUBSTITUTE(SUBSTITUTE($AZ259,"-","")," ",""),$AY259))</f>
        <v/>
      </c>
      <c r="AY259" s="2">
        <f>IF(OR($AS259="",$E$6=""),"",TRIM(INDEX($A:$AP,ROW(),$E$6)&amp;""))</f>
        <v/>
      </c>
      <c r="AZ259" s="2">
        <f>IF(OR($AS259="",$D$6=""),"",TRIM(INDEX($A:$AP,ROW(),$D$6)&amp;""))</f>
        <v/>
      </c>
      <c r="BA259" s="2">
        <f>IF($AS259="","",IF(AND($AS259&gt;=설정!$B$10,$AS259&lt;=설정!$B$11),"포함","기간 밖"))</f>
        <v/>
      </c>
      <c r="BB259" s="2">
        <f>IF($AS259="","",IF(OR($AT259&lt;0,AND($I$6&lt;&gt;"",ISNUMBER(FIND("수정",INDEX($A:$AP,ROW(),IF($I$6="",1,$I$6))&amp;"")))),"수정","일반"))</f>
        <v/>
      </c>
      <c r="BC259" s="2">
        <f>IF($AS259="","",MID(IF($BA259="기간 밖"," / 기간 밖(신고기간 아님)","")&amp;IF(AND($AW259&lt;&gt;"",COUNTIF($AW$8:$AW$1007,$AW259)&gt;1)," / 승인번호 중복(두 번 붙여넣기?)","")&amp;IF(ABS($AU259-ROUND($AT259*0.1,0))&gt;설정!$B$8,IF($AU259=0," / 세액 0원(영세율·면세 여부 확인)"," / 세액이 공급가액 10%와 다름"),"")&amp;IF($BB259="수정"," / 수정세금계산서(합계에서 자동 가감)",""),4,200))</f>
        <v/>
      </c>
      <c r="BD259" s="2">
        <f>IF($BA259&lt;&gt;"포함","",IF(COUNTIFS($AX$8:$AX259,$AX259,$BA$8:$BA259,"포함")=1,MAX($BD$7:BD258)+1,""))</f>
        <v/>
      </c>
      <c r="BE259" s="2">
        <f>IF($BC259="","",MAX($BE$7:BE258)+1)</f>
        <v/>
      </c>
    </row>
    <row r="260">
      <c r="AR260" s="2">
        <f>IF(OR($A$5="",$B$6="",ROW()&lt;$A$5),"",IF(INDEX($A:$AP,ROW(),$B$6)="","",INDEX($A:$AP,ROW(),$B$6)))</f>
        <v/>
      </c>
      <c r="AS260" s="22">
        <f>IF($AR260="","",IF(ISNUMBER($AR260),IF($AR260&gt;=10000000,IFERROR(DATE(INT($AR260/10000),MOD(INT($AR260/100),100),MOD($AR260,100)),""),INT($AR260)),IFERROR(DATE(--LEFT(LEFT(SUBSTITUTE(SUBSTITUTE(SUBSTITUTE(SUBSTITUTE(TRIM($AR260),"-",""),".",""),"/","")," ",""),8),4),--MID(LEFT(SUBSTITUTE(SUBSTITUTE(SUBSTITUTE(SUBSTITUTE(TRIM($AR260),"-",""),".",""),"/","")," ",""),8),5,2),--MID(LEFT(SUBSTITUTE(SUBSTITUTE(SUBSTITUTE(SUBSTITUTE(TRIM($AR260),"-",""),".",""),"/","")," ",""),8),7,2)),"")))</f>
        <v/>
      </c>
      <c r="AT260" s="23">
        <f>IF($AS260="","",IF($F$6="",0,IF(ISNUMBER(INDEX($A:$AP,ROW(),$F$6)),INDEX($A:$AP,ROW(),$F$6),IFERROR(--SUBSTITUTE(SUBSTITUTE(TRIM(INDEX($A:$AP,ROW(),$F$6)),",",""),"원",""),0))))</f>
        <v/>
      </c>
      <c r="AU260" s="23">
        <f>IF($AS260="","",IF($G$6="",0,IF(ISNUMBER(INDEX($A:$AP,ROW(),$G$6)),INDEX($A:$AP,ROW(),$G$6),IFERROR(--SUBSTITUTE(SUBSTITUTE(TRIM(INDEX($A:$AP,ROW(),$G$6)),",",""),"원",""),0))))</f>
        <v/>
      </c>
      <c r="AV260" s="23">
        <f>IF($AS260="","",IF($H$6="",$AT260+$AU260,IF($H$6="",0,IF(ISNUMBER(INDEX($A:$AP,ROW(),$H$6)),INDEX($A:$AP,ROW(),$H$6),IFERROR(--SUBSTITUTE(SUBSTITUTE(TRIM(INDEX($A:$AP,ROW(),$H$6)),",",""),"원",""),0)))))</f>
        <v/>
      </c>
      <c r="AW260" s="2">
        <f>IF(OR($AS260="",$C$6=""),"",TRIM(INDEX($A:$AP,ROW(),$C$6)&amp;""))</f>
        <v/>
      </c>
      <c r="AX260" s="2">
        <f>IF($AS260="","",IF($AZ260&lt;&gt;"",SUBSTITUTE(SUBSTITUTE($AZ260,"-","")," ",""),$AY260))</f>
        <v/>
      </c>
      <c r="AY260" s="2">
        <f>IF(OR($AS260="",$E$6=""),"",TRIM(INDEX($A:$AP,ROW(),$E$6)&amp;""))</f>
        <v/>
      </c>
      <c r="AZ260" s="2">
        <f>IF(OR($AS260="",$D$6=""),"",TRIM(INDEX($A:$AP,ROW(),$D$6)&amp;""))</f>
        <v/>
      </c>
      <c r="BA260" s="2">
        <f>IF($AS260="","",IF(AND($AS260&gt;=설정!$B$10,$AS260&lt;=설정!$B$11),"포함","기간 밖"))</f>
        <v/>
      </c>
      <c r="BB260" s="2">
        <f>IF($AS260="","",IF(OR($AT260&lt;0,AND($I$6&lt;&gt;"",ISNUMBER(FIND("수정",INDEX($A:$AP,ROW(),IF($I$6="",1,$I$6))&amp;"")))),"수정","일반"))</f>
        <v/>
      </c>
      <c r="BC260" s="2">
        <f>IF($AS260="","",MID(IF($BA260="기간 밖"," / 기간 밖(신고기간 아님)","")&amp;IF(AND($AW260&lt;&gt;"",COUNTIF($AW$8:$AW$1007,$AW260)&gt;1)," / 승인번호 중복(두 번 붙여넣기?)","")&amp;IF(ABS($AU260-ROUND($AT260*0.1,0))&gt;설정!$B$8,IF($AU260=0," / 세액 0원(영세율·면세 여부 확인)"," / 세액이 공급가액 10%와 다름"),"")&amp;IF($BB260="수정"," / 수정세금계산서(합계에서 자동 가감)",""),4,200))</f>
        <v/>
      </c>
      <c r="BD260" s="2">
        <f>IF($BA260&lt;&gt;"포함","",IF(COUNTIFS($AX$8:$AX260,$AX260,$BA$8:$BA260,"포함")=1,MAX($BD$7:BD259)+1,""))</f>
        <v/>
      </c>
      <c r="BE260" s="2">
        <f>IF($BC260="","",MAX($BE$7:BE259)+1)</f>
        <v/>
      </c>
    </row>
    <row r="261">
      <c r="AR261" s="2">
        <f>IF(OR($A$5="",$B$6="",ROW()&lt;$A$5),"",IF(INDEX($A:$AP,ROW(),$B$6)="","",INDEX($A:$AP,ROW(),$B$6)))</f>
        <v/>
      </c>
      <c r="AS261" s="22">
        <f>IF($AR261="","",IF(ISNUMBER($AR261),IF($AR261&gt;=10000000,IFERROR(DATE(INT($AR261/10000),MOD(INT($AR261/100),100),MOD($AR261,100)),""),INT($AR261)),IFERROR(DATE(--LEFT(LEFT(SUBSTITUTE(SUBSTITUTE(SUBSTITUTE(SUBSTITUTE(TRIM($AR261),"-",""),".",""),"/","")," ",""),8),4),--MID(LEFT(SUBSTITUTE(SUBSTITUTE(SUBSTITUTE(SUBSTITUTE(TRIM($AR261),"-",""),".",""),"/","")," ",""),8),5,2),--MID(LEFT(SUBSTITUTE(SUBSTITUTE(SUBSTITUTE(SUBSTITUTE(TRIM($AR261),"-",""),".",""),"/","")," ",""),8),7,2)),"")))</f>
        <v/>
      </c>
      <c r="AT261" s="23">
        <f>IF($AS261="","",IF($F$6="",0,IF(ISNUMBER(INDEX($A:$AP,ROW(),$F$6)),INDEX($A:$AP,ROW(),$F$6),IFERROR(--SUBSTITUTE(SUBSTITUTE(TRIM(INDEX($A:$AP,ROW(),$F$6)),",",""),"원",""),0))))</f>
        <v/>
      </c>
      <c r="AU261" s="23">
        <f>IF($AS261="","",IF($G$6="",0,IF(ISNUMBER(INDEX($A:$AP,ROW(),$G$6)),INDEX($A:$AP,ROW(),$G$6),IFERROR(--SUBSTITUTE(SUBSTITUTE(TRIM(INDEX($A:$AP,ROW(),$G$6)),",",""),"원",""),0))))</f>
        <v/>
      </c>
      <c r="AV261" s="23">
        <f>IF($AS261="","",IF($H$6="",$AT261+$AU261,IF($H$6="",0,IF(ISNUMBER(INDEX($A:$AP,ROW(),$H$6)),INDEX($A:$AP,ROW(),$H$6),IFERROR(--SUBSTITUTE(SUBSTITUTE(TRIM(INDEX($A:$AP,ROW(),$H$6)),",",""),"원",""),0)))))</f>
        <v/>
      </c>
      <c r="AW261" s="2">
        <f>IF(OR($AS261="",$C$6=""),"",TRIM(INDEX($A:$AP,ROW(),$C$6)&amp;""))</f>
        <v/>
      </c>
      <c r="AX261" s="2">
        <f>IF($AS261="","",IF($AZ261&lt;&gt;"",SUBSTITUTE(SUBSTITUTE($AZ261,"-","")," ",""),$AY261))</f>
        <v/>
      </c>
      <c r="AY261" s="2">
        <f>IF(OR($AS261="",$E$6=""),"",TRIM(INDEX($A:$AP,ROW(),$E$6)&amp;""))</f>
        <v/>
      </c>
      <c r="AZ261" s="2">
        <f>IF(OR($AS261="",$D$6=""),"",TRIM(INDEX($A:$AP,ROW(),$D$6)&amp;""))</f>
        <v/>
      </c>
      <c r="BA261" s="2">
        <f>IF($AS261="","",IF(AND($AS261&gt;=설정!$B$10,$AS261&lt;=설정!$B$11),"포함","기간 밖"))</f>
        <v/>
      </c>
      <c r="BB261" s="2">
        <f>IF($AS261="","",IF(OR($AT261&lt;0,AND($I$6&lt;&gt;"",ISNUMBER(FIND("수정",INDEX($A:$AP,ROW(),IF($I$6="",1,$I$6))&amp;"")))),"수정","일반"))</f>
        <v/>
      </c>
      <c r="BC261" s="2">
        <f>IF($AS261="","",MID(IF($BA261="기간 밖"," / 기간 밖(신고기간 아님)","")&amp;IF(AND($AW261&lt;&gt;"",COUNTIF($AW$8:$AW$1007,$AW261)&gt;1)," / 승인번호 중복(두 번 붙여넣기?)","")&amp;IF(ABS($AU261-ROUND($AT261*0.1,0))&gt;설정!$B$8,IF($AU261=0," / 세액 0원(영세율·면세 여부 확인)"," / 세액이 공급가액 10%와 다름"),"")&amp;IF($BB261="수정"," / 수정세금계산서(합계에서 자동 가감)",""),4,200))</f>
        <v/>
      </c>
      <c r="BD261" s="2">
        <f>IF($BA261&lt;&gt;"포함","",IF(COUNTIFS($AX$8:$AX261,$AX261,$BA$8:$BA261,"포함")=1,MAX($BD$7:BD260)+1,""))</f>
        <v/>
      </c>
      <c r="BE261" s="2">
        <f>IF($BC261="","",MAX($BE$7:BE260)+1)</f>
        <v/>
      </c>
    </row>
    <row r="262">
      <c r="AR262" s="2">
        <f>IF(OR($A$5="",$B$6="",ROW()&lt;$A$5),"",IF(INDEX($A:$AP,ROW(),$B$6)="","",INDEX($A:$AP,ROW(),$B$6)))</f>
        <v/>
      </c>
      <c r="AS262" s="22">
        <f>IF($AR262="","",IF(ISNUMBER($AR262),IF($AR262&gt;=10000000,IFERROR(DATE(INT($AR262/10000),MOD(INT($AR262/100),100),MOD($AR262,100)),""),INT($AR262)),IFERROR(DATE(--LEFT(LEFT(SUBSTITUTE(SUBSTITUTE(SUBSTITUTE(SUBSTITUTE(TRIM($AR262),"-",""),".",""),"/","")," ",""),8),4),--MID(LEFT(SUBSTITUTE(SUBSTITUTE(SUBSTITUTE(SUBSTITUTE(TRIM($AR262),"-",""),".",""),"/","")," ",""),8),5,2),--MID(LEFT(SUBSTITUTE(SUBSTITUTE(SUBSTITUTE(SUBSTITUTE(TRIM($AR262),"-",""),".",""),"/","")," ",""),8),7,2)),"")))</f>
        <v/>
      </c>
      <c r="AT262" s="23">
        <f>IF($AS262="","",IF($F$6="",0,IF(ISNUMBER(INDEX($A:$AP,ROW(),$F$6)),INDEX($A:$AP,ROW(),$F$6),IFERROR(--SUBSTITUTE(SUBSTITUTE(TRIM(INDEX($A:$AP,ROW(),$F$6)),",",""),"원",""),0))))</f>
        <v/>
      </c>
      <c r="AU262" s="23">
        <f>IF($AS262="","",IF($G$6="",0,IF(ISNUMBER(INDEX($A:$AP,ROW(),$G$6)),INDEX($A:$AP,ROW(),$G$6),IFERROR(--SUBSTITUTE(SUBSTITUTE(TRIM(INDEX($A:$AP,ROW(),$G$6)),",",""),"원",""),0))))</f>
        <v/>
      </c>
      <c r="AV262" s="23">
        <f>IF($AS262="","",IF($H$6="",$AT262+$AU262,IF($H$6="",0,IF(ISNUMBER(INDEX($A:$AP,ROW(),$H$6)),INDEX($A:$AP,ROW(),$H$6),IFERROR(--SUBSTITUTE(SUBSTITUTE(TRIM(INDEX($A:$AP,ROW(),$H$6)),",",""),"원",""),0)))))</f>
        <v/>
      </c>
      <c r="AW262" s="2">
        <f>IF(OR($AS262="",$C$6=""),"",TRIM(INDEX($A:$AP,ROW(),$C$6)&amp;""))</f>
        <v/>
      </c>
      <c r="AX262" s="2">
        <f>IF($AS262="","",IF($AZ262&lt;&gt;"",SUBSTITUTE(SUBSTITUTE($AZ262,"-","")," ",""),$AY262))</f>
        <v/>
      </c>
      <c r="AY262" s="2">
        <f>IF(OR($AS262="",$E$6=""),"",TRIM(INDEX($A:$AP,ROW(),$E$6)&amp;""))</f>
        <v/>
      </c>
      <c r="AZ262" s="2">
        <f>IF(OR($AS262="",$D$6=""),"",TRIM(INDEX($A:$AP,ROW(),$D$6)&amp;""))</f>
        <v/>
      </c>
      <c r="BA262" s="2">
        <f>IF($AS262="","",IF(AND($AS262&gt;=설정!$B$10,$AS262&lt;=설정!$B$11),"포함","기간 밖"))</f>
        <v/>
      </c>
      <c r="BB262" s="2">
        <f>IF($AS262="","",IF(OR($AT262&lt;0,AND($I$6&lt;&gt;"",ISNUMBER(FIND("수정",INDEX($A:$AP,ROW(),IF($I$6="",1,$I$6))&amp;"")))),"수정","일반"))</f>
        <v/>
      </c>
      <c r="BC262" s="2">
        <f>IF($AS262="","",MID(IF($BA262="기간 밖"," / 기간 밖(신고기간 아님)","")&amp;IF(AND($AW262&lt;&gt;"",COUNTIF($AW$8:$AW$1007,$AW262)&gt;1)," / 승인번호 중복(두 번 붙여넣기?)","")&amp;IF(ABS($AU262-ROUND($AT262*0.1,0))&gt;설정!$B$8,IF($AU262=0," / 세액 0원(영세율·면세 여부 확인)"," / 세액이 공급가액 10%와 다름"),"")&amp;IF($BB262="수정"," / 수정세금계산서(합계에서 자동 가감)",""),4,200))</f>
        <v/>
      </c>
      <c r="BD262" s="2">
        <f>IF($BA262&lt;&gt;"포함","",IF(COUNTIFS($AX$8:$AX262,$AX262,$BA$8:$BA262,"포함")=1,MAX($BD$7:BD261)+1,""))</f>
        <v/>
      </c>
      <c r="BE262" s="2">
        <f>IF($BC262="","",MAX($BE$7:BE261)+1)</f>
        <v/>
      </c>
    </row>
    <row r="263">
      <c r="AR263" s="2">
        <f>IF(OR($A$5="",$B$6="",ROW()&lt;$A$5),"",IF(INDEX($A:$AP,ROW(),$B$6)="","",INDEX($A:$AP,ROW(),$B$6)))</f>
        <v/>
      </c>
      <c r="AS263" s="22">
        <f>IF($AR263="","",IF(ISNUMBER($AR263),IF($AR263&gt;=10000000,IFERROR(DATE(INT($AR263/10000),MOD(INT($AR263/100),100),MOD($AR263,100)),""),INT($AR263)),IFERROR(DATE(--LEFT(LEFT(SUBSTITUTE(SUBSTITUTE(SUBSTITUTE(SUBSTITUTE(TRIM($AR263),"-",""),".",""),"/","")," ",""),8),4),--MID(LEFT(SUBSTITUTE(SUBSTITUTE(SUBSTITUTE(SUBSTITUTE(TRIM($AR263),"-",""),".",""),"/","")," ",""),8),5,2),--MID(LEFT(SUBSTITUTE(SUBSTITUTE(SUBSTITUTE(SUBSTITUTE(TRIM($AR263),"-",""),".",""),"/","")," ",""),8),7,2)),"")))</f>
        <v/>
      </c>
      <c r="AT263" s="23">
        <f>IF($AS263="","",IF($F$6="",0,IF(ISNUMBER(INDEX($A:$AP,ROW(),$F$6)),INDEX($A:$AP,ROW(),$F$6),IFERROR(--SUBSTITUTE(SUBSTITUTE(TRIM(INDEX($A:$AP,ROW(),$F$6)),",",""),"원",""),0))))</f>
        <v/>
      </c>
      <c r="AU263" s="23">
        <f>IF($AS263="","",IF($G$6="",0,IF(ISNUMBER(INDEX($A:$AP,ROW(),$G$6)),INDEX($A:$AP,ROW(),$G$6),IFERROR(--SUBSTITUTE(SUBSTITUTE(TRIM(INDEX($A:$AP,ROW(),$G$6)),",",""),"원",""),0))))</f>
        <v/>
      </c>
      <c r="AV263" s="23">
        <f>IF($AS263="","",IF($H$6="",$AT263+$AU263,IF($H$6="",0,IF(ISNUMBER(INDEX($A:$AP,ROW(),$H$6)),INDEX($A:$AP,ROW(),$H$6),IFERROR(--SUBSTITUTE(SUBSTITUTE(TRIM(INDEX($A:$AP,ROW(),$H$6)),",",""),"원",""),0)))))</f>
        <v/>
      </c>
      <c r="AW263" s="2">
        <f>IF(OR($AS263="",$C$6=""),"",TRIM(INDEX($A:$AP,ROW(),$C$6)&amp;""))</f>
        <v/>
      </c>
      <c r="AX263" s="2">
        <f>IF($AS263="","",IF($AZ263&lt;&gt;"",SUBSTITUTE(SUBSTITUTE($AZ263,"-","")," ",""),$AY263))</f>
        <v/>
      </c>
      <c r="AY263" s="2">
        <f>IF(OR($AS263="",$E$6=""),"",TRIM(INDEX($A:$AP,ROW(),$E$6)&amp;""))</f>
        <v/>
      </c>
      <c r="AZ263" s="2">
        <f>IF(OR($AS263="",$D$6=""),"",TRIM(INDEX($A:$AP,ROW(),$D$6)&amp;""))</f>
        <v/>
      </c>
      <c r="BA263" s="2">
        <f>IF($AS263="","",IF(AND($AS263&gt;=설정!$B$10,$AS263&lt;=설정!$B$11),"포함","기간 밖"))</f>
        <v/>
      </c>
      <c r="BB263" s="2">
        <f>IF($AS263="","",IF(OR($AT263&lt;0,AND($I$6&lt;&gt;"",ISNUMBER(FIND("수정",INDEX($A:$AP,ROW(),IF($I$6="",1,$I$6))&amp;"")))),"수정","일반"))</f>
        <v/>
      </c>
      <c r="BC263" s="2">
        <f>IF($AS263="","",MID(IF($BA263="기간 밖"," / 기간 밖(신고기간 아님)","")&amp;IF(AND($AW263&lt;&gt;"",COUNTIF($AW$8:$AW$1007,$AW263)&gt;1)," / 승인번호 중복(두 번 붙여넣기?)","")&amp;IF(ABS($AU263-ROUND($AT263*0.1,0))&gt;설정!$B$8,IF($AU263=0," / 세액 0원(영세율·면세 여부 확인)"," / 세액이 공급가액 10%와 다름"),"")&amp;IF($BB263="수정"," / 수정세금계산서(합계에서 자동 가감)",""),4,200))</f>
        <v/>
      </c>
      <c r="BD263" s="2">
        <f>IF($BA263&lt;&gt;"포함","",IF(COUNTIFS($AX$8:$AX263,$AX263,$BA$8:$BA263,"포함")=1,MAX($BD$7:BD262)+1,""))</f>
        <v/>
      </c>
      <c r="BE263" s="2">
        <f>IF($BC263="","",MAX($BE$7:BE262)+1)</f>
        <v/>
      </c>
    </row>
    <row r="264">
      <c r="AR264" s="2">
        <f>IF(OR($A$5="",$B$6="",ROW()&lt;$A$5),"",IF(INDEX($A:$AP,ROW(),$B$6)="","",INDEX($A:$AP,ROW(),$B$6)))</f>
        <v/>
      </c>
      <c r="AS264" s="22">
        <f>IF($AR264="","",IF(ISNUMBER($AR264),IF($AR264&gt;=10000000,IFERROR(DATE(INT($AR264/10000),MOD(INT($AR264/100),100),MOD($AR264,100)),""),INT($AR264)),IFERROR(DATE(--LEFT(LEFT(SUBSTITUTE(SUBSTITUTE(SUBSTITUTE(SUBSTITUTE(TRIM($AR264),"-",""),".",""),"/","")," ",""),8),4),--MID(LEFT(SUBSTITUTE(SUBSTITUTE(SUBSTITUTE(SUBSTITUTE(TRIM($AR264),"-",""),".",""),"/","")," ",""),8),5,2),--MID(LEFT(SUBSTITUTE(SUBSTITUTE(SUBSTITUTE(SUBSTITUTE(TRIM($AR264),"-",""),".",""),"/","")," ",""),8),7,2)),"")))</f>
        <v/>
      </c>
      <c r="AT264" s="23">
        <f>IF($AS264="","",IF($F$6="",0,IF(ISNUMBER(INDEX($A:$AP,ROW(),$F$6)),INDEX($A:$AP,ROW(),$F$6),IFERROR(--SUBSTITUTE(SUBSTITUTE(TRIM(INDEX($A:$AP,ROW(),$F$6)),",",""),"원",""),0))))</f>
        <v/>
      </c>
      <c r="AU264" s="23">
        <f>IF($AS264="","",IF($G$6="",0,IF(ISNUMBER(INDEX($A:$AP,ROW(),$G$6)),INDEX($A:$AP,ROW(),$G$6),IFERROR(--SUBSTITUTE(SUBSTITUTE(TRIM(INDEX($A:$AP,ROW(),$G$6)),",",""),"원",""),0))))</f>
        <v/>
      </c>
      <c r="AV264" s="23">
        <f>IF($AS264="","",IF($H$6="",$AT264+$AU264,IF($H$6="",0,IF(ISNUMBER(INDEX($A:$AP,ROW(),$H$6)),INDEX($A:$AP,ROW(),$H$6),IFERROR(--SUBSTITUTE(SUBSTITUTE(TRIM(INDEX($A:$AP,ROW(),$H$6)),",",""),"원",""),0)))))</f>
        <v/>
      </c>
      <c r="AW264" s="2">
        <f>IF(OR($AS264="",$C$6=""),"",TRIM(INDEX($A:$AP,ROW(),$C$6)&amp;""))</f>
        <v/>
      </c>
      <c r="AX264" s="2">
        <f>IF($AS264="","",IF($AZ264&lt;&gt;"",SUBSTITUTE(SUBSTITUTE($AZ264,"-","")," ",""),$AY264))</f>
        <v/>
      </c>
      <c r="AY264" s="2">
        <f>IF(OR($AS264="",$E$6=""),"",TRIM(INDEX($A:$AP,ROW(),$E$6)&amp;""))</f>
        <v/>
      </c>
      <c r="AZ264" s="2">
        <f>IF(OR($AS264="",$D$6=""),"",TRIM(INDEX($A:$AP,ROW(),$D$6)&amp;""))</f>
        <v/>
      </c>
      <c r="BA264" s="2">
        <f>IF($AS264="","",IF(AND($AS264&gt;=설정!$B$10,$AS264&lt;=설정!$B$11),"포함","기간 밖"))</f>
        <v/>
      </c>
      <c r="BB264" s="2">
        <f>IF($AS264="","",IF(OR($AT264&lt;0,AND($I$6&lt;&gt;"",ISNUMBER(FIND("수정",INDEX($A:$AP,ROW(),IF($I$6="",1,$I$6))&amp;"")))),"수정","일반"))</f>
        <v/>
      </c>
      <c r="BC264" s="2">
        <f>IF($AS264="","",MID(IF($BA264="기간 밖"," / 기간 밖(신고기간 아님)","")&amp;IF(AND($AW264&lt;&gt;"",COUNTIF($AW$8:$AW$1007,$AW264)&gt;1)," / 승인번호 중복(두 번 붙여넣기?)","")&amp;IF(ABS($AU264-ROUND($AT264*0.1,0))&gt;설정!$B$8,IF($AU264=0," / 세액 0원(영세율·면세 여부 확인)"," / 세액이 공급가액 10%와 다름"),"")&amp;IF($BB264="수정"," / 수정세금계산서(합계에서 자동 가감)",""),4,200))</f>
        <v/>
      </c>
      <c r="BD264" s="2">
        <f>IF($BA264&lt;&gt;"포함","",IF(COUNTIFS($AX$8:$AX264,$AX264,$BA$8:$BA264,"포함")=1,MAX($BD$7:BD263)+1,""))</f>
        <v/>
      </c>
      <c r="BE264" s="2">
        <f>IF($BC264="","",MAX($BE$7:BE263)+1)</f>
        <v/>
      </c>
    </row>
    <row r="265">
      <c r="AR265" s="2">
        <f>IF(OR($A$5="",$B$6="",ROW()&lt;$A$5),"",IF(INDEX($A:$AP,ROW(),$B$6)="","",INDEX($A:$AP,ROW(),$B$6)))</f>
        <v/>
      </c>
      <c r="AS265" s="22">
        <f>IF($AR265="","",IF(ISNUMBER($AR265),IF($AR265&gt;=10000000,IFERROR(DATE(INT($AR265/10000),MOD(INT($AR265/100),100),MOD($AR265,100)),""),INT($AR265)),IFERROR(DATE(--LEFT(LEFT(SUBSTITUTE(SUBSTITUTE(SUBSTITUTE(SUBSTITUTE(TRIM($AR265),"-",""),".",""),"/","")," ",""),8),4),--MID(LEFT(SUBSTITUTE(SUBSTITUTE(SUBSTITUTE(SUBSTITUTE(TRIM($AR265),"-",""),".",""),"/","")," ",""),8),5,2),--MID(LEFT(SUBSTITUTE(SUBSTITUTE(SUBSTITUTE(SUBSTITUTE(TRIM($AR265),"-",""),".",""),"/","")," ",""),8),7,2)),"")))</f>
        <v/>
      </c>
      <c r="AT265" s="23">
        <f>IF($AS265="","",IF($F$6="",0,IF(ISNUMBER(INDEX($A:$AP,ROW(),$F$6)),INDEX($A:$AP,ROW(),$F$6),IFERROR(--SUBSTITUTE(SUBSTITUTE(TRIM(INDEX($A:$AP,ROW(),$F$6)),",",""),"원",""),0))))</f>
        <v/>
      </c>
      <c r="AU265" s="23">
        <f>IF($AS265="","",IF($G$6="",0,IF(ISNUMBER(INDEX($A:$AP,ROW(),$G$6)),INDEX($A:$AP,ROW(),$G$6),IFERROR(--SUBSTITUTE(SUBSTITUTE(TRIM(INDEX($A:$AP,ROW(),$G$6)),",",""),"원",""),0))))</f>
        <v/>
      </c>
      <c r="AV265" s="23">
        <f>IF($AS265="","",IF($H$6="",$AT265+$AU265,IF($H$6="",0,IF(ISNUMBER(INDEX($A:$AP,ROW(),$H$6)),INDEX($A:$AP,ROW(),$H$6),IFERROR(--SUBSTITUTE(SUBSTITUTE(TRIM(INDEX($A:$AP,ROW(),$H$6)),",",""),"원",""),0)))))</f>
        <v/>
      </c>
      <c r="AW265" s="2">
        <f>IF(OR($AS265="",$C$6=""),"",TRIM(INDEX($A:$AP,ROW(),$C$6)&amp;""))</f>
        <v/>
      </c>
      <c r="AX265" s="2">
        <f>IF($AS265="","",IF($AZ265&lt;&gt;"",SUBSTITUTE(SUBSTITUTE($AZ265,"-","")," ",""),$AY265))</f>
        <v/>
      </c>
      <c r="AY265" s="2">
        <f>IF(OR($AS265="",$E$6=""),"",TRIM(INDEX($A:$AP,ROW(),$E$6)&amp;""))</f>
        <v/>
      </c>
      <c r="AZ265" s="2">
        <f>IF(OR($AS265="",$D$6=""),"",TRIM(INDEX($A:$AP,ROW(),$D$6)&amp;""))</f>
        <v/>
      </c>
      <c r="BA265" s="2">
        <f>IF($AS265="","",IF(AND($AS265&gt;=설정!$B$10,$AS265&lt;=설정!$B$11),"포함","기간 밖"))</f>
        <v/>
      </c>
      <c r="BB265" s="2">
        <f>IF($AS265="","",IF(OR($AT265&lt;0,AND($I$6&lt;&gt;"",ISNUMBER(FIND("수정",INDEX($A:$AP,ROW(),IF($I$6="",1,$I$6))&amp;"")))),"수정","일반"))</f>
        <v/>
      </c>
      <c r="BC265" s="2">
        <f>IF($AS265="","",MID(IF($BA265="기간 밖"," / 기간 밖(신고기간 아님)","")&amp;IF(AND($AW265&lt;&gt;"",COUNTIF($AW$8:$AW$1007,$AW265)&gt;1)," / 승인번호 중복(두 번 붙여넣기?)","")&amp;IF(ABS($AU265-ROUND($AT265*0.1,0))&gt;설정!$B$8,IF($AU265=0," / 세액 0원(영세율·면세 여부 확인)"," / 세액이 공급가액 10%와 다름"),"")&amp;IF($BB265="수정"," / 수정세금계산서(합계에서 자동 가감)",""),4,200))</f>
        <v/>
      </c>
      <c r="BD265" s="2">
        <f>IF($BA265&lt;&gt;"포함","",IF(COUNTIFS($AX$8:$AX265,$AX265,$BA$8:$BA265,"포함")=1,MAX($BD$7:BD264)+1,""))</f>
        <v/>
      </c>
      <c r="BE265" s="2">
        <f>IF($BC265="","",MAX($BE$7:BE264)+1)</f>
        <v/>
      </c>
    </row>
    <row r="266">
      <c r="AR266" s="2">
        <f>IF(OR($A$5="",$B$6="",ROW()&lt;$A$5),"",IF(INDEX($A:$AP,ROW(),$B$6)="","",INDEX($A:$AP,ROW(),$B$6)))</f>
        <v/>
      </c>
      <c r="AS266" s="22">
        <f>IF($AR266="","",IF(ISNUMBER($AR266),IF($AR266&gt;=10000000,IFERROR(DATE(INT($AR266/10000),MOD(INT($AR266/100),100),MOD($AR266,100)),""),INT($AR266)),IFERROR(DATE(--LEFT(LEFT(SUBSTITUTE(SUBSTITUTE(SUBSTITUTE(SUBSTITUTE(TRIM($AR266),"-",""),".",""),"/","")," ",""),8),4),--MID(LEFT(SUBSTITUTE(SUBSTITUTE(SUBSTITUTE(SUBSTITUTE(TRIM($AR266),"-",""),".",""),"/","")," ",""),8),5,2),--MID(LEFT(SUBSTITUTE(SUBSTITUTE(SUBSTITUTE(SUBSTITUTE(TRIM($AR266),"-",""),".",""),"/","")," ",""),8),7,2)),"")))</f>
        <v/>
      </c>
      <c r="AT266" s="23">
        <f>IF($AS266="","",IF($F$6="",0,IF(ISNUMBER(INDEX($A:$AP,ROW(),$F$6)),INDEX($A:$AP,ROW(),$F$6),IFERROR(--SUBSTITUTE(SUBSTITUTE(TRIM(INDEX($A:$AP,ROW(),$F$6)),",",""),"원",""),0))))</f>
        <v/>
      </c>
      <c r="AU266" s="23">
        <f>IF($AS266="","",IF($G$6="",0,IF(ISNUMBER(INDEX($A:$AP,ROW(),$G$6)),INDEX($A:$AP,ROW(),$G$6),IFERROR(--SUBSTITUTE(SUBSTITUTE(TRIM(INDEX($A:$AP,ROW(),$G$6)),",",""),"원",""),0))))</f>
        <v/>
      </c>
      <c r="AV266" s="23">
        <f>IF($AS266="","",IF($H$6="",$AT266+$AU266,IF($H$6="",0,IF(ISNUMBER(INDEX($A:$AP,ROW(),$H$6)),INDEX($A:$AP,ROW(),$H$6),IFERROR(--SUBSTITUTE(SUBSTITUTE(TRIM(INDEX($A:$AP,ROW(),$H$6)),",",""),"원",""),0)))))</f>
        <v/>
      </c>
      <c r="AW266" s="2">
        <f>IF(OR($AS266="",$C$6=""),"",TRIM(INDEX($A:$AP,ROW(),$C$6)&amp;""))</f>
        <v/>
      </c>
      <c r="AX266" s="2">
        <f>IF($AS266="","",IF($AZ266&lt;&gt;"",SUBSTITUTE(SUBSTITUTE($AZ266,"-","")," ",""),$AY266))</f>
        <v/>
      </c>
      <c r="AY266" s="2">
        <f>IF(OR($AS266="",$E$6=""),"",TRIM(INDEX($A:$AP,ROW(),$E$6)&amp;""))</f>
        <v/>
      </c>
      <c r="AZ266" s="2">
        <f>IF(OR($AS266="",$D$6=""),"",TRIM(INDEX($A:$AP,ROW(),$D$6)&amp;""))</f>
        <v/>
      </c>
      <c r="BA266" s="2">
        <f>IF($AS266="","",IF(AND($AS266&gt;=설정!$B$10,$AS266&lt;=설정!$B$11),"포함","기간 밖"))</f>
        <v/>
      </c>
      <c r="BB266" s="2">
        <f>IF($AS266="","",IF(OR($AT266&lt;0,AND($I$6&lt;&gt;"",ISNUMBER(FIND("수정",INDEX($A:$AP,ROW(),IF($I$6="",1,$I$6))&amp;"")))),"수정","일반"))</f>
        <v/>
      </c>
      <c r="BC266" s="2">
        <f>IF($AS266="","",MID(IF($BA266="기간 밖"," / 기간 밖(신고기간 아님)","")&amp;IF(AND($AW266&lt;&gt;"",COUNTIF($AW$8:$AW$1007,$AW266)&gt;1)," / 승인번호 중복(두 번 붙여넣기?)","")&amp;IF(ABS($AU266-ROUND($AT266*0.1,0))&gt;설정!$B$8,IF($AU266=0," / 세액 0원(영세율·면세 여부 확인)"," / 세액이 공급가액 10%와 다름"),"")&amp;IF($BB266="수정"," / 수정세금계산서(합계에서 자동 가감)",""),4,200))</f>
        <v/>
      </c>
      <c r="BD266" s="2">
        <f>IF($BA266&lt;&gt;"포함","",IF(COUNTIFS($AX$8:$AX266,$AX266,$BA$8:$BA266,"포함")=1,MAX($BD$7:BD265)+1,""))</f>
        <v/>
      </c>
      <c r="BE266" s="2">
        <f>IF($BC266="","",MAX($BE$7:BE265)+1)</f>
        <v/>
      </c>
    </row>
    <row r="267">
      <c r="AR267" s="2">
        <f>IF(OR($A$5="",$B$6="",ROW()&lt;$A$5),"",IF(INDEX($A:$AP,ROW(),$B$6)="","",INDEX($A:$AP,ROW(),$B$6)))</f>
        <v/>
      </c>
      <c r="AS267" s="22">
        <f>IF($AR267="","",IF(ISNUMBER($AR267),IF($AR267&gt;=10000000,IFERROR(DATE(INT($AR267/10000),MOD(INT($AR267/100),100),MOD($AR267,100)),""),INT($AR267)),IFERROR(DATE(--LEFT(LEFT(SUBSTITUTE(SUBSTITUTE(SUBSTITUTE(SUBSTITUTE(TRIM($AR267),"-",""),".",""),"/","")," ",""),8),4),--MID(LEFT(SUBSTITUTE(SUBSTITUTE(SUBSTITUTE(SUBSTITUTE(TRIM($AR267),"-",""),".",""),"/","")," ",""),8),5,2),--MID(LEFT(SUBSTITUTE(SUBSTITUTE(SUBSTITUTE(SUBSTITUTE(TRIM($AR267),"-",""),".",""),"/","")," ",""),8),7,2)),"")))</f>
        <v/>
      </c>
      <c r="AT267" s="23">
        <f>IF($AS267="","",IF($F$6="",0,IF(ISNUMBER(INDEX($A:$AP,ROW(),$F$6)),INDEX($A:$AP,ROW(),$F$6),IFERROR(--SUBSTITUTE(SUBSTITUTE(TRIM(INDEX($A:$AP,ROW(),$F$6)),",",""),"원",""),0))))</f>
        <v/>
      </c>
      <c r="AU267" s="23">
        <f>IF($AS267="","",IF($G$6="",0,IF(ISNUMBER(INDEX($A:$AP,ROW(),$G$6)),INDEX($A:$AP,ROW(),$G$6),IFERROR(--SUBSTITUTE(SUBSTITUTE(TRIM(INDEX($A:$AP,ROW(),$G$6)),",",""),"원",""),0))))</f>
        <v/>
      </c>
      <c r="AV267" s="23">
        <f>IF($AS267="","",IF($H$6="",$AT267+$AU267,IF($H$6="",0,IF(ISNUMBER(INDEX($A:$AP,ROW(),$H$6)),INDEX($A:$AP,ROW(),$H$6),IFERROR(--SUBSTITUTE(SUBSTITUTE(TRIM(INDEX($A:$AP,ROW(),$H$6)),",",""),"원",""),0)))))</f>
        <v/>
      </c>
      <c r="AW267" s="2">
        <f>IF(OR($AS267="",$C$6=""),"",TRIM(INDEX($A:$AP,ROW(),$C$6)&amp;""))</f>
        <v/>
      </c>
      <c r="AX267" s="2">
        <f>IF($AS267="","",IF($AZ267&lt;&gt;"",SUBSTITUTE(SUBSTITUTE($AZ267,"-","")," ",""),$AY267))</f>
        <v/>
      </c>
      <c r="AY267" s="2">
        <f>IF(OR($AS267="",$E$6=""),"",TRIM(INDEX($A:$AP,ROW(),$E$6)&amp;""))</f>
        <v/>
      </c>
      <c r="AZ267" s="2">
        <f>IF(OR($AS267="",$D$6=""),"",TRIM(INDEX($A:$AP,ROW(),$D$6)&amp;""))</f>
        <v/>
      </c>
      <c r="BA267" s="2">
        <f>IF($AS267="","",IF(AND($AS267&gt;=설정!$B$10,$AS267&lt;=설정!$B$11),"포함","기간 밖"))</f>
        <v/>
      </c>
      <c r="BB267" s="2">
        <f>IF($AS267="","",IF(OR($AT267&lt;0,AND($I$6&lt;&gt;"",ISNUMBER(FIND("수정",INDEX($A:$AP,ROW(),IF($I$6="",1,$I$6))&amp;"")))),"수정","일반"))</f>
        <v/>
      </c>
      <c r="BC267" s="2">
        <f>IF($AS267="","",MID(IF($BA267="기간 밖"," / 기간 밖(신고기간 아님)","")&amp;IF(AND($AW267&lt;&gt;"",COUNTIF($AW$8:$AW$1007,$AW267)&gt;1)," / 승인번호 중복(두 번 붙여넣기?)","")&amp;IF(ABS($AU267-ROUND($AT267*0.1,0))&gt;설정!$B$8,IF($AU267=0," / 세액 0원(영세율·면세 여부 확인)"," / 세액이 공급가액 10%와 다름"),"")&amp;IF($BB267="수정"," / 수정세금계산서(합계에서 자동 가감)",""),4,200))</f>
        <v/>
      </c>
      <c r="BD267" s="2">
        <f>IF($BA267&lt;&gt;"포함","",IF(COUNTIFS($AX$8:$AX267,$AX267,$BA$8:$BA267,"포함")=1,MAX($BD$7:BD266)+1,""))</f>
        <v/>
      </c>
      <c r="BE267" s="2">
        <f>IF($BC267="","",MAX($BE$7:BE266)+1)</f>
        <v/>
      </c>
    </row>
    <row r="268">
      <c r="AR268" s="2">
        <f>IF(OR($A$5="",$B$6="",ROW()&lt;$A$5),"",IF(INDEX($A:$AP,ROW(),$B$6)="","",INDEX($A:$AP,ROW(),$B$6)))</f>
        <v/>
      </c>
      <c r="AS268" s="22">
        <f>IF($AR268="","",IF(ISNUMBER($AR268),IF($AR268&gt;=10000000,IFERROR(DATE(INT($AR268/10000),MOD(INT($AR268/100),100),MOD($AR268,100)),""),INT($AR268)),IFERROR(DATE(--LEFT(LEFT(SUBSTITUTE(SUBSTITUTE(SUBSTITUTE(SUBSTITUTE(TRIM($AR268),"-",""),".",""),"/","")," ",""),8),4),--MID(LEFT(SUBSTITUTE(SUBSTITUTE(SUBSTITUTE(SUBSTITUTE(TRIM($AR268),"-",""),".",""),"/","")," ",""),8),5,2),--MID(LEFT(SUBSTITUTE(SUBSTITUTE(SUBSTITUTE(SUBSTITUTE(TRIM($AR268),"-",""),".",""),"/","")," ",""),8),7,2)),"")))</f>
        <v/>
      </c>
      <c r="AT268" s="23">
        <f>IF($AS268="","",IF($F$6="",0,IF(ISNUMBER(INDEX($A:$AP,ROW(),$F$6)),INDEX($A:$AP,ROW(),$F$6),IFERROR(--SUBSTITUTE(SUBSTITUTE(TRIM(INDEX($A:$AP,ROW(),$F$6)),",",""),"원",""),0))))</f>
        <v/>
      </c>
      <c r="AU268" s="23">
        <f>IF($AS268="","",IF($G$6="",0,IF(ISNUMBER(INDEX($A:$AP,ROW(),$G$6)),INDEX($A:$AP,ROW(),$G$6),IFERROR(--SUBSTITUTE(SUBSTITUTE(TRIM(INDEX($A:$AP,ROW(),$G$6)),",",""),"원",""),0))))</f>
        <v/>
      </c>
      <c r="AV268" s="23">
        <f>IF($AS268="","",IF($H$6="",$AT268+$AU268,IF($H$6="",0,IF(ISNUMBER(INDEX($A:$AP,ROW(),$H$6)),INDEX($A:$AP,ROW(),$H$6),IFERROR(--SUBSTITUTE(SUBSTITUTE(TRIM(INDEX($A:$AP,ROW(),$H$6)),",",""),"원",""),0)))))</f>
        <v/>
      </c>
      <c r="AW268" s="2">
        <f>IF(OR($AS268="",$C$6=""),"",TRIM(INDEX($A:$AP,ROW(),$C$6)&amp;""))</f>
        <v/>
      </c>
      <c r="AX268" s="2">
        <f>IF($AS268="","",IF($AZ268&lt;&gt;"",SUBSTITUTE(SUBSTITUTE($AZ268,"-","")," ",""),$AY268))</f>
        <v/>
      </c>
      <c r="AY268" s="2">
        <f>IF(OR($AS268="",$E$6=""),"",TRIM(INDEX($A:$AP,ROW(),$E$6)&amp;""))</f>
        <v/>
      </c>
      <c r="AZ268" s="2">
        <f>IF(OR($AS268="",$D$6=""),"",TRIM(INDEX($A:$AP,ROW(),$D$6)&amp;""))</f>
        <v/>
      </c>
      <c r="BA268" s="2">
        <f>IF($AS268="","",IF(AND($AS268&gt;=설정!$B$10,$AS268&lt;=설정!$B$11),"포함","기간 밖"))</f>
        <v/>
      </c>
      <c r="BB268" s="2">
        <f>IF($AS268="","",IF(OR($AT268&lt;0,AND($I$6&lt;&gt;"",ISNUMBER(FIND("수정",INDEX($A:$AP,ROW(),IF($I$6="",1,$I$6))&amp;"")))),"수정","일반"))</f>
        <v/>
      </c>
      <c r="BC268" s="2">
        <f>IF($AS268="","",MID(IF($BA268="기간 밖"," / 기간 밖(신고기간 아님)","")&amp;IF(AND($AW268&lt;&gt;"",COUNTIF($AW$8:$AW$1007,$AW268)&gt;1)," / 승인번호 중복(두 번 붙여넣기?)","")&amp;IF(ABS($AU268-ROUND($AT268*0.1,0))&gt;설정!$B$8,IF($AU268=0," / 세액 0원(영세율·면세 여부 확인)"," / 세액이 공급가액 10%와 다름"),"")&amp;IF($BB268="수정"," / 수정세금계산서(합계에서 자동 가감)",""),4,200))</f>
        <v/>
      </c>
      <c r="BD268" s="2">
        <f>IF($BA268&lt;&gt;"포함","",IF(COUNTIFS($AX$8:$AX268,$AX268,$BA$8:$BA268,"포함")=1,MAX($BD$7:BD267)+1,""))</f>
        <v/>
      </c>
      <c r="BE268" s="2">
        <f>IF($BC268="","",MAX($BE$7:BE267)+1)</f>
        <v/>
      </c>
    </row>
    <row r="269">
      <c r="AR269" s="2">
        <f>IF(OR($A$5="",$B$6="",ROW()&lt;$A$5),"",IF(INDEX($A:$AP,ROW(),$B$6)="","",INDEX($A:$AP,ROW(),$B$6)))</f>
        <v/>
      </c>
      <c r="AS269" s="22">
        <f>IF($AR269="","",IF(ISNUMBER($AR269),IF($AR269&gt;=10000000,IFERROR(DATE(INT($AR269/10000),MOD(INT($AR269/100),100),MOD($AR269,100)),""),INT($AR269)),IFERROR(DATE(--LEFT(LEFT(SUBSTITUTE(SUBSTITUTE(SUBSTITUTE(SUBSTITUTE(TRIM($AR269),"-",""),".",""),"/","")," ",""),8),4),--MID(LEFT(SUBSTITUTE(SUBSTITUTE(SUBSTITUTE(SUBSTITUTE(TRIM($AR269),"-",""),".",""),"/","")," ",""),8),5,2),--MID(LEFT(SUBSTITUTE(SUBSTITUTE(SUBSTITUTE(SUBSTITUTE(TRIM($AR269),"-",""),".",""),"/","")," ",""),8),7,2)),"")))</f>
        <v/>
      </c>
      <c r="AT269" s="23">
        <f>IF($AS269="","",IF($F$6="",0,IF(ISNUMBER(INDEX($A:$AP,ROW(),$F$6)),INDEX($A:$AP,ROW(),$F$6),IFERROR(--SUBSTITUTE(SUBSTITUTE(TRIM(INDEX($A:$AP,ROW(),$F$6)),",",""),"원",""),0))))</f>
        <v/>
      </c>
      <c r="AU269" s="23">
        <f>IF($AS269="","",IF($G$6="",0,IF(ISNUMBER(INDEX($A:$AP,ROW(),$G$6)),INDEX($A:$AP,ROW(),$G$6),IFERROR(--SUBSTITUTE(SUBSTITUTE(TRIM(INDEX($A:$AP,ROW(),$G$6)),",",""),"원",""),0))))</f>
        <v/>
      </c>
      <c r="AV269" s="23">
        <f>IF($AS269="","",IF($H$6="",$AT269+$AU269,IF($H$6="",0,IF(ISNUMBER(INDEX($A:$AP,ROW(),$H$6)),INDEX($A:$AP,ROW(),$H$6),IFERROR(--SUBSTITUTE(SUBSTITUTE(TRIM(INDEX($A:$AP,ROW(),$H$6)),",",""),"원",""),0)))))</f>
        <v/>
      </c>
      <c r="AW269" s="2">
        <f>IF(OR($AS269="",$C$6=""),"",TRIM(INDEX($A:$AP,ROW(),$C$6)&amp;""))</f>
        <v/>
      </c>
      <c r="AX269" s="2">
        <f>IF($AS269="","",IF($AZ269&lt;&gt;"",SUBSTITUTE(SUBSTITUTE($AZ269,"-","")," ",""),$AY269))</f>
        <v/>
      </c>
      <c r="AY269" s="2">
        <f>IF(OR($AS269="",$E$6=""),"",TRIM(INDEX($A:$AP,ROW(),$E$6)&amp;""))</f>
        <v/>
      </c>
      <c r="AZ269" s="2">
        <f>IF(OR($AS269="",$D$6=""),"",TRIM(INDEX($A:$AP,ROW(),$D$6)&amp;""))</f>
        <v/>
      </c>
      <c r="BA269" s="2">
        <f>IF($AS269="","",IF(AND($AS269&gt;=설정!$B$10,$AS269&lt;=설정!$B$11),"포함","기간 밖"))</f>
        <v/>
      </c>
      <c r="BB269" s="2">
        <f>IF($AS269="","",IF(OR($AT269&lt;0,AND($I$6&lt;&gt;"",ISNUMBER(FIND("수정",INDEX($A:$AP,ROW(),IF($I$6="",1,$I$6))&amp;"")))),"수정","일반"))</f>
        <v/>
      </c>
      <c r="BC269" s="2">
        <f>IF($AS269="","",MID(IF($BA269="기간 밖"," / 기간 밖(신고기간 아님)","")&amp;IF(AND($AW269&lt;&gt;"",COUNTIF($AW$8:$AW$1007,$AW269)&gt;1)," / 승인번호 중복(두 번 붙여넣기?)","")&amp;IF(ABS($AU269-ROUND($AT269*0.1,0))&gt;설정!$B$8,IF($AU269=0," / 세액 0원(영세율·면세 여부 확인)"," / 세액이 공급가액 10%와 다름"),"")&amp;IF($BB269="수정"," / 수정세금계산서(합계에서 자동 가감)",""),4,200))</f>
        <v/>
      </c>
      <c r="BD269" s="2">
        <f>IF($BA269&lt;&gt;"포함","",IF(COUNTIFS($AX$8:$AX269,$AX269,$BA$8:$BA269,"포함")=1,MAX($BD$7:BD268)+1,""))</f>
        <v/>
      </c>
      <c r="BE269" s="2">
        <f>IF($BC269="","",MAX($BE$7:BE268)+1)</f>
        <v/>
      </c>
    </row>
    <row r="270">
      <c r="AR270" s="2">
        <f>IF(OR($A$5="",$B$6="",ROW()&lt;$A$5),"",IF(INDEX($A:$AP,ROW(),$B$6)="","",INDEX($A:$AP,ROW(),$B$6)))</f>
        <v/>
      </c>
      <c r="AS270" s="22">
        <f>IF($AR270="","",IF(ISNUMBER($AR270),IF($AR270&gt;=10000000,IFERROR(DATE(INT($AR270/10000),MOD(INT($AR270/100),100),MOD($AR270,100)),""),INT($AR270)),IFERROR(DATE(--LEFT(LEFT(SUBSTITUTE(SUBSTITUTE(SUBSTITUTE(SUBSTITUTE(TRIM($AR270),"-",""),".",""),"/","")," ",""),8),4),--MID(LEFT(SUBSTITUTE(SUBSTITUTE(SUBSTITUTE(SUBSTITUTE(TRIM($AR270),"-",""),".",""),"/","")," ",""),8),5,2),--MID(LEFT(SUBSTITUTE(SUBSTITUTE(SUBSTITUTE(SUBSTITUTE(TRIM($AR270),"-",""),".",""),"/","")," ",""),8),7,2)),"")))</f>
        <v/>
      </c>
      <c r="AT270" s="23">
        <f>IF($AS270="","",IF($F$6="",0,IF(ISNUMBER(INDEX($A:$AP,ROW(),$F$6)),INDEX($A:$AP,ROW(),$F$6),IFERROR(--SUBSTITUTE(SUBSTITUTE(TRIM(INDEX($A:$AP,ROW(),$F$6)),",",""),"원",""),0))))</f>
        <v/>
      </c>
      <c r="AU270" s="23">
        <f>IF($AS270="","",IF($G$6="",0,IF(ISNUMBER(INDEX($A:$AP,ROW(),$G$6)),INDEX($A:$AP,ROW(),$G$6),IFERROR(--SUBSTITUTE(SUBSTITUTE(TRIM(INDEX($A:$AP,ROW(),$G$6)),",",""),"원",""),0))))</f>
        <v/>
      </c>
      <c r="AV270" s="23">
        <f>IF($AS270="","",IF($H$6="",$AT270+$AU270,IF($H$6="",0,IF(ISNUMBER(INDEX($A:$AP,ROW(),$H$6)),INDEX($A:$AP,ROW(),$H$6),IFERROR(--SUBSTITUTE(SUBSTITUTE(TRIM(INDEX($A:$AP,ROW(),$H$6)),",",""),"원",""),0)))))</f>
        <v/>
      </c>
      <c r="AW270" s="2">
        <f>IF(OR($AS270="",$C$6=""),"",TRIM(INDEX($A:$AP,ROW(),$C$6)&amp;""))</f>
        <v/>
      </c>
      <c r="AX270" s="2">
        <f>IF($AS270="","",IF($AZ270&lt;&gt;"",SUBSTITUTE(SUBSTITUTE($AZ270,"-","")," ",""),$AY270))</f>
        <v/>
      </c>
      <c r="AY270" s="2">
        <f>IF(OR($AS270="",$E$6=""),"",TRIM(INDEX($A:$AP,ROW(),$E$6)&amp;""))</f>
        <v/>
      </c>
      <c r="AZ270" s="2">
        <f>IF(OR($AS270="",$D$6=""),"",TRIM(INDEX($A:$AP,ROW(),$D$6)&amp;""))</f>
        <v/>
      </c>
      <c r="BA270" s="2">
        <f>IF($AS270="","",IF(AND($AS270&gt;=설정!$B$10,$AS270&lt;=설정!$B$11),"포함","기간 밖"))</f>
        <v/>
      </c>
      <c r="BB270" s="2">
        <f>IF($AS270="","",IF(OR($AT270&lt;0,AND($I$6&lt;&gt;"",ISNUMBER(FIND("수정",INDEX($A:$AP,ROW(),IF($I$6="",1,$I$6))&amp;"")))),"수정","일반"))</f>
        <v/>
      </c>
      <c r="BC270" s="2">
        <f>IF($AS270="","",MID(IF($BA270="기간 밖"," / 기간 밖(신고기간 아님)","")&amp;IF(AND($AW270&lt;&gt;"",COUNTIF($AW$8:$AW$1007,$AW270)&gt;1)," / 승인번호 중복(두 번 붙여넣기?)","")&amp;IF(ABS($AU270-ROUND($AT270*0.1,0))&gt;설정!$B$8,IF($AU270=0," / 세액 0원(영세율·면세 여부 확인)"," / 세액이 공급가액 10%와 다름"),"")&amp;IF($BB270="수정"," / 수정세금계산서(합계에서 자동 가감)",""),4,200))</f>
        <v/>
      </c>
      <c r="BD270" s="2">
        <f>IF($BA270&lt;&gt;"포함","",IF(COUNTIFS($AX$8:$AX270,$AX270,$BA$8:$BA270,"포함")=1,MAX($BD$7:BD269)+1,""))</f>
        <v/>
      </c>
      <c r="BE270" s="2">
        <f>IF($BC270="","",MAX($BE$7:BE269)+1)</f>
        <v/>
      </c>
    </row>
    <row r="271">
      <c r="AR271" s="2">
        <f>IF(OR($A$5="",$B$6="",ROW()&lt;$A$5),"",IF(INDEX($A:$AP,ROW(),$B$6)="","",INDEX($A:$AP,ROW(),$B$6)))</f>
        <v/>
      </c>
      <c r="AS271" s="22">
        <f>IF($AR271="","",IF(ISNUMBER($AR271),IF($AR271&gt;=10000000,IFERROR(DATE(INT($AR271/10000),MOD(INT($AR271/100),100),MOD($AR271,100)),""),INT($AR271)),IFERROR(DATE(--LEFT(LEFT(SUBSTITUTE(SUBSTITUTE(SUBSTITUTE(SUBSTITUTE(TRIM($AR271),"-",""),".",""),"/","")," ",""),8),4),--MID(LEFT(SUBSTITUTE(SUBSTITUTE(SUBSTITUTE(SUBSTITUTE(TRIM($AR271),"-",""),".",""),"/","")," ",""),8),5,2),--MID(LEFT(SUBSTITUTE(SUBSTITUTE(SUBSTITUTE(SUBSTITUTE(TRIM($AR271),"-",""),".",""),"/","")," ",""),8),7,2)),"")))</f>
        <v/>
      </c>
      <c r="AT271" s="23">
        <f>IF($AS271="","",IF($F$6="",0,IF(ISNUMBER(INDEX($A:$AP,ROW(),$F$6)),INDEX($A:$AP,ROW(),$F$6),IFERROR(--SUBSTITUTE(SUBSTITUTE(TRIM(INDEX($A:$AP,ROW(),$F$6)),",",""),"원",""),0))))</f>
        <v/>
      </c>
      <c r="AU271" s="23">
        <f>IF($AS271="","",IF($G$6="",0,IF(ISNUMBER(INDEX($A:$AP,ROW(),$G$6)),INDEX($A:$AP,ROW(),$G$6),IFERROR(--SUBSTITUTE(SUBSTITUTE(TRIM(INDEX($A:$AP,ROW(),$G$6)),",",""),"원",""),0))))</f>
        <v/>
      </c>
      <c r="AV271" s="23">
        <f>IF($AS271="","",IF($H$6="",$AT271+$AU271,IF($H$6="",0,IF(ISNUMBER(INDEX($A:$AP,ROW(),$H$6)),INDEX($A:$AP,ROW(),$H$6),IFERROR(--SUBSTITUTE(SUBSTITUTE(TRIM(INDEX($A:$AP,ROW(),$H$6)),",",""),"원",""),0)))))</f>
        <v/>
      </c>
      <c r="AW271" s="2">
        <f>IF(OR($AS271="",$C$6=""),"",TRIM(INDEX($A:$AP,ROW(),$C$6)&amp;""))</f>
        <v/>
      </c>
      <c r="AX271" s="2">
        <f>IF($AS271="","",IF($AZ271&lt;&gt;"",SUBSTITUTE(SUBSTITUTE($AZ271,"-","")," ",""),$AY271))</f>
        <v/>
      </c>
      <c r="AY271" s="2">
        <f>IF(OR($AS271="",$E$6=""),"",TRIM(INDEX($A:$AP,ROW(),$E$6)&amp;""))</f>
        <v/>
      </c>
      <c r="AZ271" s="2">
        <f>IF(OR($AS271="",$D$6=""),"",TRIM(INDEX($A:$AP,ROW(),$D$6)&amp;""))</f>
        <v/>
      </c>
      <c r="BA271" s="2">
        <f>IF($AS271="","",IF(AND($AS271&gt;=설정!$B$10,$AS271&lt;=설정!$B$11),"포함","기간 밖"))</f>
        <v/>
      </c>
      <c r="BB271" s="2">
        <f>IF($AS271="","",IF(OR($AT271&lt;0,AND($I$6&lt;&gt;"",ISNUMBER(FIND("수정",INDEX($A:$AP,ROW(),IF($I$6="",1,$I$6))&amp;"")))),"수정","일반"))</f>
        <v/>
      </c>
      <c r="BC271" s="2">
        <f>IF($AS271="","",MID(IF($BA271="기간 밖"," / 기간 밖(신고기간 아님)","")&amp;IF(AND($AW271&lt;&gt;"",COUNTIF($AW$8:$AW$1007,$AW271)&gt;1)," / 승인번호 중복(두 번 붙여넣기?)","")&amp;IF(ABS($AU271-ROUND($AT271*0.1,0))&gt;설정!$B$8,IF($AU271=0," / 세액 0원(영세율·면세 여부 확인)"," / 세액이 공급가액 10%와 다름"),"")&amp;IF($BB271="수정"," / 수정세금계산서(합계에서 자동 가감)",""),4,200))</f>
        <v/>
      </c>
      <c r="BD271" s="2">
        <f>IF($BA271&lt;&gt;"포함","",IF(COUNTIFS($AX$8:$AX271,$AX271,$BA$8:$BA271,"포함")=1,MAX($BD$7:BD270)+1,""))</f>
        <v/>
      </c>
      <c r="BE271" s="2">
        <f>IF($BC271="","",MAX($BE$7:BE270)+1)</f>
        <v/>
      </c>
    </row>
    <row r="272">
      <c r="AR272" s="2">
        <f>IF(OR($A$5="",$B$6="",ROW()&lt;$A$5),"",IF(INDEX($A:$AP,ROW(),$B$6)="","",INDEX($A:$AP,ROW(),$B$6)))</f>
        <v/>
      </c>
      <c r="AS272" s="22">
        <f>IF($AR272="","",IF(ISNUMBER($AR272),IF($AR272&gt;=10000000,IFERROR(DATE(INT($AR272/10000),MOD(INT($AR272/100),100),MOD($AR272,100)),""),INT($AR272)),IFERROR(DATE(--LEFT(LEFT(SUBSTITUTE(SUBSTITUTE(SUBSTITUTE(SUBSTITUTE(TRIM($AR272),"-",""),".",""),"/","")," ",""),8),4),--MID(LEFT(SUBSTITUTE(SUBSTITUTE(SUBSTITUTE(SUBSTITUTE(TRIM($AR272),"-",""),".",""),"/","")," ",""),8),5,2),--MID(LEFT(SUBSTITUTE(SUBSTITUTE(SUBSTITUTE(SUBSTITUTE(TRIM($AR272),"-",""),".",""),"/","")," ",""),8),7,2)),"")))</f>
        <v/>
      </c>
      <c r="AT272" s="23">
        <f>IF($AS272="","",IF($F$6="",0,IF(ISNUMBER(INDEX($A:$AP,ROW(),$F$6)),INDEX($A:$AP,ROW(),$F$6),IFERROR(--SUBSTITUTE(SUBSTITUTE(TRIM(INDEX($A:$AP,ROW(),$F$6)),",",""),"원",""),0))))</f>
        <v/>
      </c>
      <c r="AU272" s="23">
        <f>IF($AS272="","",IF($G$6="",0,IF(ISNUMBER(INDEX($A:$AP,ROW(),$G$6)),INDEX($A:$AP,ROW(),$G$6),IFERROR(--SUBSTITUTE(SUBSTITUTE(TRIM(INDEX($A:$AP,ROW(),$G$6)),",",""),"원",""),0))))</f>
        <v/>
      </c>
      <c r="AV272" s="23">
        <f>IF($AS272="","",IF($H$6="",$AT272+$AU272,IF($H$6="",0,IF(ISNUMBER(INDEX($A:$AP,ROW(),$H$6)),INDEX($A:$AP,ROW(),$H$6),IFERROR(--SUBSTITUTE(SUBSTITUTE(TRIM(INDEX($A:$AP,ROW(),$H$6)),",",""),"원",""),0)))))</f>
        <v/>
      </c>
      <c r="AW272" s="2">
        <f>IF(OR($AS272="",$C$6=""),"",TRIM(INDEX($A:$AP,ROW(),$C$6)&amp;""))</f>
        <v/>
      </c>
      <c r="AX272" s="2">
        <f>IF($AS272="","",IF($AZ272&lt;&gt;"",SUBSTITUTE(SUBSTITUTE($AZ272,"-","")," ",""),$AY272))</f>
        <v/>
      </c>
      <c r="AY272" s="2">
        <f>IF(OR($AS272="",$E$6=""),"",TRIM(INDEX($A:$AP,ROW(),$E$6)&amp;""))</f>
        <v/>
      </c>
      <c r="AZ272" s="2">
        <f>IF(OR($AS272="",$D$6=""),"",TRIM(INDEX($A:$AP,ROW(),$D$6)&amp;""))</f>
        <v/>
      </c>
      <c r="BA272" s="2">
        <f>IF($AS272="","",IF(AND($AS272&gt;=설정!$B$10,$AS272&lt;=설정!$B$11),"포함","기간 밖"))</f>
        <v/>
      </c>
      <c r="BB272" s="2">
        <f>IF($AS272="","",IF(OR($AT272&lt;0,AND($I$6&lt;&gt;"",ISNUMBER(FIND("수정",INDEX($A:$AP,ROW(),IF($I$6="",1,$I$6))&amp;"")))),"수정","일반"))</f>
        <v/>
      </c>
      <c r="BC272" s="2">
        <f>IF($AS272="","",MID(IF($BA272="기간 밖"," / 기간 밖(신고기간 아님)","")&amp;IF(AND($AW272&lt;&gt;"",COUNTIF($AW$8:$AW$1007,$AW272)&gt;1)," / 승인번호 중복(두 번 붙여넣기?)","")&amp;IF(ABS($AU272-ROUND($AT272*0.1,0))&gt;설정!$B$8,IF($AU272=0," / 세액 0원(영세율·면세 여부 확인)"," / 세액이 공급가액 10%와 다름"),"")&amp;IF($BB272="수정"," / 수정세금계산서(합계에서 자동 가감)",""),4,200))</f>
        <v/>
      </c>
      <c r="BD272" s="2">
        <f>IF($BA272&lt;&gt;"포함","",IF(COUNTIFS($AX$8:$AX272,$AX272,$BA$8:$BA272,"포함")=1,MAX($BD$7:BD271)+1,""))</f>
        <v/>
      </c>
      <c r="BE272" s="2">
        <f>IF($BC272="","",MAX($BE$7:BE271)+1)</f>
        <v/>
      </c>
    </row>
    <row r="273">
      <c r="AR273" s="2">
        <f>IF(OR($A$5="",$B$6="",ROW()&lt;$A$5),"",IF(INDEX($A:$AP,ROW(),$B$6)="","",INDEX($A:$AP,ROW(),$B$6)))</f>
        <v/>
      </c>
      <c r="AS273" s="22">
        <f>IF($AR273="","",IF(ISNUMBER($AR273),IF($AR273&gt;=10000000,IFERROR(DATE(INT($AR273/10000),MOD(INT($AR273/100),100),MOD($AR273,100)),""),INT($AR273)),IFERROR(DATE(--LEFT(LEFT(SUBSTITUTE(SUBSTITUTE(SUBSTITUTE(SUBSTITUTE(TRIM($AR273),"-",""),".",""),"/","")," ",""),8),4),--MID(LEFT(SUBSTITUTE(SUBSTITUTE(SUBSTITUTE(SUBSTITUTE(TRIM($AR273),"-",""),".",""),"/","")," ",""),8),5,2),--MID(LEFT(SUBSTITUTE(SUBSTITUTE(SUBSTITUTE(SUBSTITUTE(TRIM($AR273),"-",""),".",""),"/","")," ",""),8),7,2)),"")))</f>
        <v/>
      </c>
      <c r="AT273" s="23">
        <f>IF($AS273="","",IF($F$6="",0,IF(ISNUMBER(INDEX($A:$AP,ROW(),$F$6)),INDEX($A:$AP,ROW(),$F$6),IFERROR(--SUBSTITUTE(SUBSTITUTE(TRIM(INDEX($A:$AP,ROW(),$F$6)),",",""),"원",""),0))))</f>
        <v/>
      </c>
      <c r="AU273" s="23">
        <f>IF($AS273="","",IF($G$6="",0,IF(ISNUMBER(INDEX($A:$AP,ROW(),$G$6)),INDEX($A:$AP,ROW(),$G$6),IFERROR(--SUBSTITUTE(SUBSTITUTE(TRIM(INDEX($A:$AP,ROW(),$G$6)),",",""),"원",""),0))))</f>
        <v/>
      </c>
      <c r="AV273" s="23">
        <f>IF($AS273="","",IF($H$6="",$AT273+$AU273,IF($H$6="",0,IF(ISNUMBER(INDEX($A:$AP,ROW(),$H$6)),INDEX($A:$AP,ROW(),$H$6),IFERROR(--SUBSTITUTE(SUBSTITUTE(TRIM(INDEX($A:$AP,ROW(),$H$6)),",",""),"원",""),0)))))</f>
        <v/>
      </c>
      <c r="AW273" s="2">
        <f>IF(OR($AS273="",$C$6=""),"",TRIM(INDEX($A:$AP,ROW(),$C$6)&amp;""))</f>
        <v/>
      </c>
      <c r="AX273" s="2">
        <f>IF($AS273="","",IF($AZ273&lt;&gt;"",SUBSTITUTE(SUBSTITUTE($AZ273,"-","")," ",""),$AY273))</f>
        <v/>
      </c>
      <c r="AY273" s="2">
        <f>IF(OR($AS273="",$E$6=""),"",TRIM(INDEX($A:$AP,ROW(),$E$6)&amp;""))</f>
        <v/>
      </c>
      <c r="AZ273" s="2">
        <f>IF(OR($AS273="",$D$6=""),"",TRIM(INDEX($A:$AP,ROW(),$D$6)&amp;""))</f>
        <v/>
      </c>
      <c r="BA273" s="2">
        <f>IF($AS273="","",IF(AND($AS273&gt;=설정!$B$10,$AS273&lt;=설정!$B$11),"포함","기간 밖"))</f>
        <v/>
      </c>
      <c r="BB273" s="2">
        <f>IF($AS273="","",IF(OR($AT273&lt;0,AND($I$6&lt;&gt;"",ISNUMBER(FIND("수정",INDEX($A:$AP,ROW(),IF($I$6="",1,$I$6))&amp;"")))),"수정","일반"))</f>
        <v/>
      </c>
      <c r="BC273" s="2">
        <f>IF($AS273="","",MID(IF($BA273="기간 밖"," / 기간 밖(신고기간 아님)","")&amp;IF(AND($AW273&lt;&gt;"",COUNTIF($AW$8:$AW$1007,$AW273)&gt;1)," / 승인번호 중복(두 번 붙여넣기?)","")&amp;IF(ABS($AU273-ROUND($AT273*0.1,0))&gt;설정!$B$8,IF($AU273=0," / 세액 0원(영세율·면세 여부 확인)"," / 세액이 공급가액 10%와 다름"),"")&amp;IF($BB273="수정"," / 수정세금계산서(합계에서 자동 가감)",""),4,200))</f>
        <v/>
      </c>
      <c r="BD273" s="2">
        <f>IF($BA273&lt;&gt;"포함","",IF(COUNTIFS($AX$8:$AX273,$AX273,$BA$8:$BA273,"포함")=1,MAX($BD$7:BD272)+1,""))</f>
        <v/>
      </c>
      <c r="BE273" s="2">
        <f>IF($BC273="","",MAX($BE$7:BE272)+1)</f>
        <v/>
      </c>
    </row>
    <row r="274">
      <c r="AR274" s="2">
        <f>IF(OR($A$5="",$B$6="",ROW()&lt;$A$5),"",IF(INDEX($A:$AP,ROW(),$B$6)="","",INDEX($A:$AP,ROW(),$B$6)))</f>
        <v/>
      </c>
      <c r="AS274" s="22">
        <f>IF($AR274="","",IF(ISNUMBER($AR274),IF($AR274&gt;=10000000,IFERROR(DATE(INT($AR274/10000),MOD(INT($AR274/100),100),MOD($AR274,100)),""),INT($AR274)),IFERROR(DATE(--LEFT(LEFT(SUBSTITUTE(SUBSTITUTE(SUBSTITUTE(SUBSTITUTE(TRIM($AR274),"-",""),".",""),"/","")," ",""),8),4),--MID(LEFT(SUBSTITUTE(SUBSTITUTE(SUBSTITUTE(SUBSTITUTE(TRIM($AR274),"-",""),".",""),"/","")," ",""),8),5,2),--MID(LEFT(SUBSTITUTE(SUBSTITUTE(SUBSTITUTE(SUBSTITUTE(TRIM($AR274),"-",""),".",""),"/","")," ",""),8),7,2)),"")))</f>
        <v/>
      </c>
      <c r="AT274" s="23">
        <f>IF($AS274="","",IF($F$6="",0,IF(ISNUMBER(INDEX($A:$AP,ROW(),$F$6)),INDEX($A:$AP,ROW(),$F$6),IFERROR(--SUBSTITUTE(SUBSTITUTE(TRIM(INDEX($A:$AP,ROW(),$F$6)),",",""),"원",""),0))))</f>
        <v/>
      </c>
      <c r="AU274" s="23">
        <f>IF($AS274="","",IF($G$6="",0,IF(ISNUMBER(INDEX($A:$AP,ROW(),$G$6)),INDEX($A:$AP,ROW(),$G$6),IFERROR(--SUBSTITUTE(SUBSTITUTE(TRIM(INDEX($A:$AP,ROW(),$G$6)),",",""),"원",""),0))))</f>
        <v/>
      </c>
      <c r="AV274" s="23">
        <f>IF($AS274="","",IF($H$6="",$AT274+$AU274,IF($H$6="",0,IF(ISNUMBER(INDEX($A:$AP,ROW(),$H$6)),INDEX($A:$AP,ROW(),$H$6),IFERROR(--SUBSTITUTE(SUBSTITUTE(TRIM(INDEX($A:$AP,ROW(),$H$6)),",",""),"원",""),0)))))</f>
        <v/>
      </c>
      <c r="AW274" s="2">
        <f>IF(OR($AS274="",$C$6=""),"",TRIM(INDEX($A:$AP,ROW(),$C$6)&amp;""))</f>
        <v/>
      </c>
      <c r="AX274" s="2">
        <f>IF($AS274="","",IF($AZ274&lt;&gt;"",SUBSTITUTE(SUBSTITUTE($AZ274,"-","")," ",""),$AY274))</f>
        <v/>
      </c>
      <c r="AY274" s="2">
        <f>IF(OR($AS274="",$E$6=""),"",TRIM(INDEX($A:$AP,ROW(),$E$6)&amp;""))</f>
        <v/>
      </c>
      <c r="AZ274" s="2">
        <f>IF(OR($AS274="",$D$6=""),"",TRIM(INDEX($A:$AP,ROW(),$D$6)&amp;""))</f>
        <v/>
      </c>
      <c r="BA274" s="2">
        <f>IF($AS274="","",IF(AND($AS274&gt;=설정!$B$10,$AS274&lt;=설정!$B$11),"포함","기간 밖"))</f>
        <v/>
      </c>
      <c r="BB274" s="2">
        <f>IF($AS274="","",IF(OR($AT274&lt;0,AND($I$6&lt;&gt;"",ISNUMBER(FIND("수정",INDEX($A:$AP,ROW(),IF($I$6="",1,$I$6))&amp;"")))),"수정","일반"))</f>
        <v/>
      </c>
      <c r="BC274" s="2">
        <f>IF($AS274="","",MID(IF($BA274="기간 밖"," / 기간 밖(신고기간 아님)","")&amp;IF(AND($AW274&lt;&gt;"",COUNTIF($AW$8:$AW$1007,$AW274)&gt;1)," / 승인번호 중복(두 번 붙여넣기?)","")&amp;IF(ABS($AU274-ROUND($AT274*0.1,0))&gt;설정!$B$8,IF($AU274=0," / 세액 0원(영세율·면세 여부 확인)"," / 세액이 공급가액 10%와 다름"),"")&amp;IF($BB274="수정"," / 수정세금계산서(합계에서 자동 가감)",""),4,200))</f>
        <v/>
      </c>
      <c r="BD274" s="2">
        <f>IF($BA274&lt;&gt;"포함","",IF(COUNTIFS($AX$8:$AX274,$AX274,$BA$8:$BA274,"포함")=1,MAX($BD$7:BD273)+1,""))</f>
        <v/>
      </c>
      <c r="BE274" s="2">
        <f>IF($BC274="","",MAX($BE$7:BE273)+1)</f>
        <v/>
      </c>
    </row>
    <row r="275">
      <c r="AR275" s="2">
        <f>IF(OR($A$5="",$B$6="",ROW()&lt;$A$5),"",IF(INDEX($A:$AP,ROW(),$B$6)="","",INDEX($A:$AP,ROW(),$B$6)))</f>
        <v/>
      </c>
      <c r="AS275" s="22">
        <f>IF($AR275="","",IF(ISNUMBER($AR275),IF($AR275&gt;=10000000,IFERROR(DATE(INT($AR275/10000),MOD(INT($AR275/100),100),MOD($AR275,100)),""),INT($AR275)),IFERROR(DATE(--LEFT(LEFT(SUBSTITUTE(SUBSTITUTE(SUBSTITUTE(SUBSTITUTE(TRIM($AR275),"-",""),".",""),"/","")," ",""),8),4),--MID(LEFT(SUBSTITUTE(SUBSTITUTE(SUBSTITUTE(SUBSTITUTE(TRIM($AR275),"-",""),".",""),"/","")," ",""),8),5,2),--MID(LEFT(SUBSTITUTE(SUBSTITUTE(SUBSTITUTE(SUBSTITUTE(TRIM($AR275),"-",""),".",""),"/","")," ",""),8),7,2)),"")))</f>
        <v/>
      </c>
      <c r="AT275" s="23">
        <f>IF($AS275="","",IF($F$6="",0,IF(ISNUMBER(INDEX($A:$AP,ROW(),$F$6)),INDEX($A:$AP,ROW(),$F$6),IFERROR(--SUBSTITUTE(SUBSTITUTE(TRIM(INDEX($A:$AP,ROW(),$F$6)),",",""),"원",""),0))))</f>
        <v/>
      </c>
      <c r="AU275" s="23">
        <f>IF($AS275="","",IF($G$6="",0,IF(ISNUMBER(INDEX($A:$AP,ROW(),$G$6)),INDEX($A:$AP,ROW(),$G$6),IFERROR(--SUBSTITUTE(SUBSTITUTE(TRIM(INDEX($A:$AP,ROW(),$G$6)),",",""),"원",""),0))))</f>
        <v/>
      </c>
      <c r="AV275" s="23">
        <f>IF($AS275="","",IF($H$6="",$AT275+$AU275,IF($H$6="",0,IF(ISNUMBER(INDEX($A:$AP,ROW(),$H$6)),INDEX($A:$AP,ROW(),$H$6),IFERROR(--SUBSTITUTE(SUBSTITUTE(TRIM(INDEX($A:$AP,ROW(),$H$6)),",",""),"원",""),0)))))</f>
        <v/>
      </c>
      <c r="AW275" s="2">
        <f>IF(OR($AS275="",$C$6=""),"",TRIM(INDEX($A:$AP,ROW(),$C$6)&amp;""))</f>
        <v/>
      </c>
      <c r="AX275" s="2">
        <f>IF($AS275="","",IF($AZ275&lt;&gt;"",SUBSTITUTE(SUBSTITUTE($AZ275,"-","")," ",""),$AY275))</f>
        <v/>
      </c>
      <c r="AY275" s="2">
        <f>IF(OR($AS275="",$E$6=""),"",TRIM(INDEX($A:$AP,ROW(),$E$6)&amp;""))</f>
        <v/>
      </c>
      <c r="AZ275" s="2">
        <f>IF(OR($AS275="",$D$6=""),"",TRIM(INDEX($A:$AP,ROW(),$D$6)&amp;""))</f>
        <v/>
      </c>
      <c r="BA275" s="2">
        <f>IF($AS275="","",IF(AND($AS275&gt;=설정!$B$10,$AS275&lt;=설정!$B$11),"포함","기간 밖"))</f>
        <v/>
      </c>
      <c r="BB275" s="2">
        <f>IF($AS275="","",IF(OR($AT275&lt;0,AND($I$6&lt;&gt;"",ISNUMBER(FIND("수정",INDEX($A:$AP,ROW(),IF($I$6="",1,$I$6))&amp;"")))),"수정","일반"))</f>
        <v/>
      </c>
      <c r="BC275" s="2">
        <f>IF($AS275="","",MID(IF($BA275="기간 밖"," / 기간 밖(신고기간 아님)","")&amp;IF(AND($AW275&lt;&gt;"",COUNTIF($AW$8:$AW$1007,$AW275)&gt;1)," / 승인번호 중복(두 번 붙여넣기?)","")&amp;IF(ABS($AU275-ROUND($AT275*0.1,0))&gt;설정!$B$8,IF($AU275=0," / 세액 0원(영세율·면세 여부 확인)"," / 세액이 공급가액 10%와 다름"),"")&amp;IF($BB275="수정"," / 수정세금계산서(합계에서 자동 가감)",""),4,200))</f>
        <v/>
      </c>
      <c r="BD275" s="2">
        <f>IF($BA275&lt;&gt;"포함","",IF(COUNTIFS($AX$8:$AX275,$AX275,$BA$8:$BA275,"포함")=1,MAX($BD$7:BD274)+1,""))</f>
        <v/>
      </c>
      <c r="BE275" s="2">
        <f>IF($BC275="","",MAX($BE$7:BE274)+1)</f>
        <v/>
      </c>
    </row>
    <row r="276">
      <c r="AR276" s="2">
        <f>IF(OR($A$5="",$B$6="",ROW()&lt;$A$5),"",IF(INDEX($A:$AP,ROW(),$B$6)="","",INDEX($A:$AP,ROW(),$B$6)))</f>
        <v/>
      </c>
      <c r="AS276" s="22">
        <f>IF($AR276="","",IF(ISNUMBER($AR276),IF($AR276&gt;=10000000,IFERROR(DATE(INT($AR276/10000),MOD(INT($AR276/100),100),MOD($AR276,100)),""),INT($AR276)),IFERROR(DATE(--LEFT(LEFT(SUBSTITUTE(SUBSTITUTE(SUBSTITUTE(SUBSTITUTE(TRIM($AR276),"-",""),".",""),"/","")," ",""),8),4),--MID(LEFT(SUBSTITUTE(SUBSTITUTE(SUBSTITUTE(SUBSTITUTE(TRIM($AR276),"-",""),".",""),"/","")," ",""),8),5,2),--MID(LEFT(SUBSTITUTE(SUBSTITUTE(SUBSTITUTE(SUBSTITUTE(TRIM($AR276),"-",""),".",""),"/","")," ",""),8),7,2)),"")))</f>
        <v/>
      </c>
      <c r="AT276" s="23">
        <f>IF($AS276="","",IF($F$6="",0,IF(ISNUMBER(INDEX($A:$AP,ROW(),$F$6)),INDEX($A:$AP,ROW(),$F$6),IFERROR(--SUBSTITUTE(SUBSTITUTE(TRIM(INDEX($A:$AP,ROW(),$F$6)),",",""),"원",""),0))))</f>
        <v/>
      </c>
      <c r="AU276" s="23">
        <f>IF($AS276="","",IF($G$6="",0,IF(ISNUMBER(INDEX($A:$AP,ROW(),$G$6)),INDEX($A:$AP,ROW(),$G$6),IFERROR(--SUBSTITUTE(SUBSTITUTE(TRIM(INDEX($A:$AP,ROW(),$G$6)),",",""),"원",""),0))))</f>
        <v/>
      </c>
      <c r="AV276" s="23">
        <f>IF($AS276="","",IF($H$6="",$AT276+$AU276,IF($H$6="",0,IF(ISNUMBER(INDEX($A:$AP,ROW(),$H$6)),INDEX($A:$AP,ROW(),$H$6),IFERROR(--SUBSTITUTE(SUBSTITUTE(TRIM(INDEX($A:$AP,ROW(),$H$6)),",",""),"원",""),0)))))</f>
        <v/>
      </c>
      <c r="AW276" s="2">
        <f>IF(OR($AS276="",$C$6=""),"",TRIM(INDEX($A:$AP,ROW(),$C$6)&amp;""))</f>
        <v/>
      </c>
      <c r="AX276" s="2">
        <f>IF($AS276="","",IF($AZ276&lt;&gt;"",SUBSTITUTE(SUBSTITUTE($AZ276,"-","")," ",""),$AY276))</f>
        <v/>
      </c>
      <c r="AY276" s="2">
        <f>IF(OR($AS276="",$E$6=""),"",TRIM(INDEX($A:$AP,ROW(),$E$6)&amp;""))</f>
        <v/>
      </c>
      <c r="AZ276" s="2">
        <f>IF(OR($AS276="",$D$6=""),"",TRIM(INDEX($A:$AP,ROW(),$D$6)&amp;""))</f>
        <v/>
      </c>
      <c r="BA276" s="2">
        <f>IF($AS276="","",IF(AND($AS276&gt;=설정!$B$10,$AS276&lt;=설정!$B$11),"포함","기간 밖"))</f>
        <v/>
      </c>
      <c r="BB276" s="2">
        <f>IF($AS276="","",IF(OR($AT276&lt;0,AND($I$6&lt;&gt;"",ISNUMBER(FIND("수정",INDEX($A:$AP,ROW(),IF($I$6="",1,$I$6))&amp;"")))),"수정","일반"))</f>
        <v/>
      </c>
      <c r="BC276" s="2">
        <f>IF($AS276="","",MID(IF($BA276="기간 밖"," / 기간 밖(신고기간 아님)","")&amp;IF(AND($AW276&lt;&gt;"",COUNTIF($AW$8:$AW$1007,$AW276)&gt;1)," / 승인번호 중복(두 번 붙여넣기?)","")&amp;IF(ABS($AU276-ROUND($AT276*0.1,0))&gt;설정!$B$8,IF($AU276=0," / 세액 0원(영세율·면세 여부 확인)"," / 세액이 공급가액 10%와 다름"),"")&amp;IF($BB276="수정"," / 수정세금계산서(합계에서 자동 가감)",""),4,200))</f>
        <v/>
      </c>
      <c r="BD276" s="2">
        <f>IF($BA276&lt;&gt;"포함","",IF(COUNTIFS($AX$8:$AX276,$AX276,$BA$8:$BA276,"포함")=1,MAX($BD$7:BD275)+1,""))</f>
        <v/>
      </c>
      <c r="BE276" s="2">
        <f>IF($BC276="","",MAX($BE$7:BE275)+1)</f>
        <v/>
      </c>
    </row>
    <row r="277">
      <c r="AR277" s="2">
        <f>IF(OR($A$5="",$B$6="",ROW()&lt;$A$5),"",IF(INDEX($A:$AP,ROW(),$B$6)="","",INDEX($A:$AP,ROW(),$B$6)))</f>
        <v/>
      </c>
      <c r="AS277" s="22">
        <f>IF($AR277="","",IF(ISNUMBER($AR277),IF($AR277&gt;=10000000,IFERROR(DATE(INT($AR277/10000),MOD(INT($AR277/100),100),MOD($AR277,100)),""),INT($AR277)),IFERROR(DATE(--LEFT(LEFT(SUBSTITUTE(SUBSTITUTE(SUBSTITUTE(SUBSTITUTE(TRIM($AR277),"-",""),".",""),"/","")," ",""),8),4),--MID(LEFT(SUBSTITUTE(SUBSTITUTE(SUBSTITUTE(SUBSTITUTE(TRIM($AR277),"-",""),".",""),"/","")," ",""),8),5,2),--MID(LEFT(SUBSTITUTE(SUBSTITUTE(SUBSTITUTE(SUBSTITUTE(TRIM($AR277),"-",""),".",""),"/","")," ",""),8),7,2)),"")))</f>
        <v/>
      </c>
      <c r="AT277" s="23">
        <f>IF($AS277="","",IF($F$6="",0,IF(ISNUMBER(INDEX($A:$AP,ROW(),$F$6)),INDEX($A:$AP,ROW(),$F$6),IFERROR(--SUBSTITUTE(SUBSTITUTE(TRIM(INDEX($A:$AP,ROW(),$F$6)),",",""),"원",""),0))))</f>
        <v/>
      </c>
      <c r="AU277" s="23">
        <f>IF($AS277="","",IF($G$6="",0,IF(ISNUMBER(INDEX($A:$AP,ROW(),$G$6)),INDEX($A:$AP,ROW(),$G$6),IFERROR(--SUBSTITUTE(SUBSTITUTE(TRIM(INDEX($A:$AP,ROW(),$G$6)),",",""),"원",""),0))))</f>
        <v/>
      </c>
      <c r="AV277" s="23">
        <f>IF($AS277="","",IF($H$6="",$AT277+$AU277,IF($H$6="",0,IF(ISNUMBER(INDEX($A:$AP,ROW(),$H$6)),INDEX($A:$AP,ROW(),$H$6),IFERROR(--SUBSTITUTE(SUBSTITUTE(TRIM(INDEX($A:$AP,ROW(),$H$6)),",",""),"원",""),0)))))</f>
        <v/>
      </c>
      <c r="AW277" s="2">
        <f>IF(OR($AS277="",$C$6=""),"",TRIM(INDEX($A:$AP,ROW(),$C$6)&amp;""))</f>
        <v/>
      </c>
      <c r="AX277" s="2">
        <f>IF($AS277="","",IF($AZ277&lt;&gt;"",SUBSTITUTE(SUBSTITUTE($AZ277,"-","")," ",""),$AY277))</f>
        <v/>
      </c>
      <c r="AY277" s="2">
        <f>IF(OR($AS277="",$E$6=""),"",TRIM(INDEX($A:$AP,ROW(),$E$6)&amp;""))</f>
        <v/>
      </c>
      <c r="AZ277" s="2">
        <f>IF(OR($AS277="",$D$6=""),"",TRIM(INDEX($A:$AP,ROW(),$D$6)&amp;""))</f>
        <v/>
      </c>
      <c r="BA277" s="2">
        <f>IF($AS277="","",IF(AND($AS277&gt;=설정!$B$10,$AS277&lt;=설정!$B$11),"포함","기간 밖"))</f>
        <v/>
      </c>
      <c r="BB277" s="2">
        <f>IF($AS277="","",IF(OR($AT277&lt;0,AND($I$6&lt;&gt;"",ISNUMBER(FIND("수정",INDEX($A:$AP,ROW(),IF($I$6="",1,$I$6))&amp;"")))),"수정","일반"))</f>
        <v/>
      </c>
      <c r="BC277" s="2">
        <f>IF($AS277="","",MID(IF($BA277="기간 밖"," / 기간 밖(신고기간 아님)","")&amp;IF(AND($AW277&lt;&gt;"",COUNTIF($AW$8:$AW$1007,$AW277)&gt;1)," / 승인번호 중복(두 번 붙여넣기?)","")&amp;IF(ABS($AU277-ROUND($AT277*0.1,0))&gt;설정!$B$8,IF($AU277=0," / 세액 0원(영세율·면세 여부 확인)"," / 세액이 공급가액 10%와 다름"),"")&amp;IF($BB277="수정"," / 수정세금계산서(합계에서 자동 가감)",""),4,200))</f>
        <v/>
      </c>
      <c r="BD277" s="2">
        <f>IF($BA277&lt;&gt;"포함","",IF(COUNTIFS($AX$8:$AX277,$AX277,$BA$8:$BA277,"포함")=1,MAX($BD$7:BD276)+1,""))</f>
        <v/>
      </c>
      <c r="BE277" s="2">
        <f>IF($BC277="","",MAX($BE$7:BE276)+1)</f>
        <v/>
      </c>
    </row>
    <row r="278">
      <c r="AR278" s="2">
        <f>IF(OR($A$5="",$B$6="",ROW()&lt;$A$5),"",IF(INDEX($A:$AP,ROW(),$B$6)="","",INDEX($A:$AP,ROW(),$B$6)))</f>
        <v/>
      </c>
      <c r="AS278" s="22">
        <f>IF($AR278="","",IF(ISNUMBER($AR278),IF($AR278&gt;=10000000,IFERROR(DATE(INT($AR278/10000),MOD(INT($AR278/100),100),MOD($AR278,100)),""),INT($AR278)),IFERROR(DATE(--LEFT(LEFT(SUBSTITUTE(SUBSTITUTE(SUBSTITUTE(SUBSTITUTE(TRIM($AR278),"-",""),".",""),"/","")," ",""),8),4),--MID(LEFT(SUBSTITUTE(SUBSTITUTE(SUBSTITUTE(SUBSTITUTE(TRIM($AR278),"-",""),".",""),"/","")," ",""),8),5,2),--MID(LEFT(SUBSTITUTE(SUBSTITUTE(SUBSTITUTE(SUBSTITUTE(TRIM($AR278),"-",""),".",""),"/","")," ",""),8),7,2)),"")))</f>
        <v/>
      </c>
      <c r="AT278" s="23">
        <f>IF($AS278="","",IF($F$6="",0,IF(ISNUMBER(INDEX($A:$AP,ROW(),$F$6)),INDEX($A:$AP,ROW(),$F$6),IFERROR(--SUBSTITUTE(SUBSTITUTE(TRIM(INDEX($A:$AP,ROW(),$F$6)),",",""),"원",""),0))))</f>
        <v/>
      </c>
      <c r="AU278" s="23">
        <f>IF($AS278="","",IF($G$6="",0,IF(ISNUMBER(INDEX($A:$AP,ROW(),$G$6)),INDEX($A:$AP,ROW(),$G$6),IFERROR(--SUBSTITUTE(SUBSTITUTE(TRIM(INDEX($A:$AP,ROW(),$G$6)),",",""),"원",""),0))))</f>
        <v/>
      </c>
      <c r="AV278" s="23">
        <f>IF($AS278="","",IF($H$6="",$AT278+$AU278,IF($H$6="",0,IF(ISNUMBER(INDEX($A:$AP,ROW(),$H$6)),INDEX($A:$AP,ROW(),$H$6),IFERROR(--SUBSTITUTE(SUBSTITUTE(TRIM(INDEX($A:$AP,ROW(),$H$6)),",",""),"원",""),0)))))</f>
        <v/>
      </c>
      <c r="AW278" s="2">
        <f>IF(OR($AS278="",$C$6=""),"",TRIM(INDEX($A:$AP,ROW(),$C$6)&amp;""))</f>
        <v/>
      </c>
      <c r="AX278" s="2">
        <f>IF($AS278="","",IF($AZ278&lt;&gt;"",SUBSTITUTE(SUBSTITUTE($AZ278,"-","")," ",""),$AY278))</f>
        <v/>
      </c>
      <c r="AY278" s="2">
        <f>IF(OR($AS278="",$E$6=""),"",TRIM(INDEX($A:$AP,ROW(),$E$6)&amp;""))</f>
        <v/>
      </c>
      <c r="AZ278" s="2">
        <f>IF(OR($AS278="",$D$6=""),"",TRIM(INDEX($A:$AP,ROW(),$D$6)&amp;""))</f>
        <v/>
      </c>
      <c r="BA278" s="2">
        <f>IF($AS278="","",IF(AND($AS278&gt;=설정!$B$10,$AS278&lt;=설정!$B$11),"포함","기간 밖"))</f>
        <v/>
      </c>
      <c r="BB278" s="2">
        <f>IF($AS278="","",IF(OR($AT278&lt;0,AND($I$6&lt;&gt;"",ISNUMBER(FIND("수정",INDEX($A:$AP,ROW(),IF($I$6="",1,$I$6))&amp;"")))),"수정","일반"))</f>
        <v/>
      </c>
      <c r="BC278" s="2">
        <f>IF($AS278="","",MID(IF($BA278="기간 밖"," / 기간 밖(신고기간 아님)","")&amp;IF(AND($AW278&lt;&gt;"",COUNTIF($AW$8:$AW$1007,$AW278)&gt;1)," / 승인번호 중복(두 번 붙여넣기?)","")&amp;IF(ABS($AU278-ROUND($AT278*0.1,0))&gt;설정!$B$8,IF($AU278=0," / 세액 0원(영세율·면세 여부 확인)"," / 세액이 공급가액 10%와 다름"),"")&amp;IF($BB278="수정"," / 수정세금계산서(합계에서 자동 가감)",""),4,200))</f>
        <v/>
      </c>
      <c r="BD278" s="2">
        <f>IF($BA278&lt;&gt;"포함","",IF(COUNTIFS($AX$8:$AX278,$AX278,$BA$8:$BA278,"포함")=1,MAX($BD$7:BD277)+1,""))</f>
        <v/>
      </c>
      <c r="BE278" s="2">
        <f>IF($BC278="","",MAX($BE$7:BE277)+1)</f>
        <v/>
      </c>
    </row>
    <row r="279">
      <c r="AR279" s="2">
        <f>IF(OR($A$5="",$B$6="",ROW()&lt;$A$5),"",IF(INDEX($A:$AP,ROW(),$B$6)="","",INDEX($A:$AP,ROW(),$B$6)))</f>
        <v/>
      </c>
      <c r="AS279" s="22">
        <f>IF($AR279="","",IF(ISNUMBER($AR279),IF($AR279&gt;=10000000,IFERROR(DATE(INT($AR279/10000),MOD(INT($AR279/100),100),MOD($AR279,100)),""),INT($AR279)),IFERROR(DATE(--LEFT(LEFT(SUBSTITUTE(SUBSTITUTE(SUBSTITUTE(SUBSTITUTE(TRIM($AR279),"-",""),".",""),"/","")," ",""),8),4),--MID(LEFT(SUBSTITUTE(SUBSTITUTE(SUBSTITUTE(SUBSTITUTE(TRIM($AR279),"-",""),".",""),"/","")," ",""),8),5,2),--MID(LEFT(SUBSTITUTE(SUBSTITUTE(SUBSTITUTE(SUBSTITUTE(TRIM($AR279),"-",""),".",""),"/","")," ",""),8),7,2)),"")))</f>
        <v/>
      </c>
      <c r="AT279" s="23">
        <f>IF($AS279="","",IF($F$6="",0,IF(ISNUMBER(INDEX($A:$AP,ROW(),$F$6)),INDEX($A:$AP,ROW(),$F$6),IFERROR(--SUBSTITUTE(SUBSTITUTE(TRIM(INDEX($A:$AP,ROW(),$F$6)),",",""),"원",""),0))))</f>
        <v/>
      </c>
      <c r="AU279" s="23">
        <f>IF($AS279="","",IF($G$6="",0,IF(ISNUMBER(INDEX($A:$AP,ROW(),$G$6)),INDEX($A:$AP,ROW(),$G$6),IFERROR(--SUBSTITUTE(SUBSTITUTE(TRIM(INDEX($A:$AP,ROW(),$G$6)),",",""),"원",""),0))))</f>
        <v/>
      </c>
      <c r="AV279" s="23">
        <f>IF($AS279="","",IF($H$6="",$AT279+$AU279,IF($H$6="",0,IF(ISNUMBER(INDEX($A:$AP,ROW(),$H$6)),INDEX($A:$AP,ROW(),$H$6),IFERROR(--SUBSTITUTE(SUBSTITUTE(TRIM(INDEX($A:$AP,ROW(),$H$6)),",",""),"원",""),0)))))</f>
        <v/>
      </c>
      <c r="AW279" s="2">
        <f>IF(OR($AS279="",$C$6=""),"",TRIM(INDEX($A:$AP,ROW(),$C$6)&amp;""))</f>
        <v/>
      </c>
      <c r="AX279" s="2">
        <f>IF($AS279="","",IF($AZ279&lt;&gt;"",SUBSTITUTE(SUBSTITUTE($AZ279,"-","")," ",""),$AY279))</f>
        <v/>
      </c>
      <c r="AY279" s="2">
        <f>IF(OR($AS279="",$E$6=""),"",TRIM(INDEX($A:$AP,ROW(),$E$6)&amp;""))</f>
        <v/>
      </c>
      <c r="AZ279" s="2">
        <f>IF(OR($AS279="",$D$6=""),"",TRIM(INDEX($A:$AP,ROW(),$D$6)&amp;""))</f>
        <v/>
      </c>
      <c r="BA279" s="2">
        <f>IF($AS279="","",IF(AND($AS279&gt;=설정!$B$10,$AS279&lt;=설정!$B$11),"포함","기간 밖"))</f>
        <v/>
      </c>
      <c r="BB279" s="2">
        <f>IF($AS279="","",IF(OR($AT279&lt;0,AND($I$6&lt;&gt;"",ISNUMBER(FIND("수정",INDEX($A:$AP,ROW(),IF($I$6="",1,$I$6))&amp;"")))),"수정","일반"))</f>
        <v/>
      </c>
      <c r="BC279" s="2">
        <f>IF($AS279="","",MID(IF($BA279="기간 밖"," / 기간 밖(신고기간 아님)","")&amp;IF(AND($AW279&lt;&gt;"",COUNTIF($AW$8:$AW$1007,$AW279)&gt;1)," / 승인번호 중복(두 번 붙여넣기?)","")&amp;IF(ABS($AU279-ROUND($AT279*0.1,0))&gt;설정!$B$8,IF($AU279=0," / 세액 0원(영세율·면세 여부 확인)"," / 세액이 공급가액 10%와 다름"),"")&amp;IF($BB279="수정"," / 수정세금계산서(합계에서 자동 가감)",""),4,200))</f>
        <v/>
      </c>
      <c r="BD279" s="2">
        <f>IF($BA279&lt;&gt;"포함","",IF(COUNTIFS($AX$8:$AX279,$AX279,$BA$8:$BA279,"포함")=1,MAX($BD$7:BD278)+1,""))</f>
        <v/>
      </c>
      <c r="BE279" s="2">
        <f>IF($BC279="","",MAX($BE$7:BE278)+1)</f>
        <v/>
      </c>
    </row>
    <row r="280">
      <c r="AR280" s="2">
        <f>IF(OR($A$5="",$B$6="",ROW()&lt;$A$5),"",IF(INDEX($A:$AP,ROW(),$B$6)="","",INDEX($A:$AP,ROW(),$B$6)))</f>
        <v/>
      </c>
      <c r="AS280" s="22">
        <f>IF($AR280="","",IF(ISNUMBER($AR280),IF($AR280&gt;=10000000,IFERROR(DATE(INT($AR280/10000),MOD(INT($AR280/100),100),MOD($AR280,100)),""),INT($AR280)),IFERROR(DATE(--LEFT(LEFT(SUBSTITUTE(SUBSTITUTE(SUBSTITUTE(SUBSTITUTE(TRIM($AR280),"-",""),".",""),"/","")," ",""),8),4),--MID(LEFT(SUBSTITUTE(SUBSTITUTE(SUBSTITUTE(SUBSTITUTE(TRIM($AR280),"-",""),".",""),"/","")," ",""),8),5,2),--MID(LEFT(SUBSTITUTE(SUBSTITUTE(SUBSTITUTE(SUBSTITUTE(TRIM($AR280),"-",""),".",""),"/","")," ",""),8),7,2)),"")))</f>
        <v/>
      </c>
      <c r="AT280" s="23">
        <f>IF($AS280="","",IF($F$6="",0,IF(ISNUMBER(INDEX($A:$AP,ROW(),$F$6)),INDEX($A:$AP,ROW(),$F$6),IFERROR(--SUBSTITUTE(SUBSTITUTE(TRIM(INDEX($A:$AP,ROW(),$F$6)),",",""),"원",""),0))))</f>
        <v/>
      </c>
      <c r="AU280" s="23">
        <f>IF($AS280="","",IF($G$6="",0,IF(ISNUMBER(INDEX($A:$AP,ROW(),$G$6)),INDEX($A:$AP,ROW(),$G$6),IFERROR(--SUBSTITUTE(SUBSTITUTE(TRIM(INDEX($A:$AP,ROW(),$G$6)),",",""),"원",""),0))))</f>
        <v/>
      </c>
      <c r="AV280" s="23">
        <f>IF($AS280="","",IF($H$6="",$AT280+$AU280,IF($H$6="",0,IF(ISNUMBER(INDEX($A:$AP,ROW(),$H$6)),INDEX($A:$AP,ROW(),$H$6),IFERROR(--SUBSTITUTE(SUBSTITUTE(TRIM(INDEX($A:$AP,ROW(),$H$6)),",",""),"원",""),0)))))</f>
        <v/>
      </c>
      <c r="AW280" s="2">
        <f>IF(OR($AS280="",$C$6=""),"",TRIM(INDEX($A:$AP,ROW(),$C$6)&amp;""))</f>
        <v/>
      </c>
      <c r="AX280" s="2">
        <f>IF($AS280="","",IF($AZ280&lt;&gt;"",SUBSTITUTE(SUBSTITUTE($AZ280,"-","")," ",""),$AY280))</f>
        <v/>
      </c>
      <c r="AY280" s="2">
        <f>IF(OR($AS280="",$E$6=""),"",TRIM(INDEX($A:$AP,ROW(),$E$6)&amp;""))</f>
        <v/>
      </c>
      <c r="AZ280" s="2">
        <f>IF(OR($AS280="",$D$6=""),"",TRIM(INDEX($A:$AP,ROW(),$D$6)&amp;""))</f>
        <v/>
      </c>
      <c r="BA280" s="2">
        <f>IF($AS280="","",IF(AND($AS280&gt;=설정!$B$10,$AS280&lt;=설정!$B$11),"포함","기간 밖"))</f>
        <v/>
      </c>
      <c r="BB280" s="2">
        <f>IF($AS280="","",IF(OR($AT280&lt;0,AND($I$6&lt;&gt;"",ISNUMBER(FIND("수정",INDEX($A:$AP,ROW(),IF($I$6="",1,$I$6))&amp;"")))),"수정","일반"))</f>
        <v/>
      </c>
      <c r="BC280" s="2">
        <f>IF($AS280="","",MID(IF($BA280="기간 밖"," / 기간 밖(신고기간 아님)","")&amp;IF(AND($AW280&lt;&gt;"",COUNTIF($AW$8:$AW$1007,$AW280)&gt;1)," / 승인번호 중복(두 번 붙여넣기?)","")&amp;IF(ABS($AU280-ROUND($AT280*0.1,0))&gt;설정!$B$8,IF($AU280=0," / 세액 0원(영세율·면세 여부 확인)"," / 세액이 공급가액 10%와 다름"),"")&amp;IF($BB280="수정"," / 수정세금계산서(합계에서 자동 가감)",""),4,200))</f>
        <v/>
      </c>
      <c r="BD280" s="2">
        <f>IF($BA280&lt;&gt;"포함","",IF(COUNTIFS($AX$8:$AX280,$AX280,$BA$8:$BA280,"포함")=1,MAX($BD$7:BD279)+1,""))</f>
        <v/>
      </c>
      <c r="BE280" s="2">
        <f>IF($BC280="","",MAX($BE$7:BE279)+1)</f>
        <v/>
      </c>
    </row>
    <row r="281">
      <c r="AR281" s="2">
        <f>IF(OR($A$5="",$B$6="",ROW()&lt;$A$5),"",IF(INDEX($A:$AP,ROW(),$B$6)="","",INDEX($A:$AP,ROW(),$B$6)))</f>
        <v/>
      </c>
      <c r="AS281" s="22">
        <f>IF($AR281="","",IF(ISNUMBER($AR281),IF($AR281&gt;=10000000,IFERROR(DATE(INT($AR281/10000),MOD(INT($AR281/100),100),MOD($AR281,100)),""),INT($AR281)),IFERROR(DATE(--LEFT(LEFT(SUBSTITUTE(SUBSTITUTE(SUBSTITUTE(SUBSTITUTE(TRIM($AR281),"-",""),".",""),"/","")," ",""),8),4),--MID(LEFT(SUBSTITUTE(SUBSTITUTE(SUBSTITUTE(SUBSTITUTE(TRIM($AR281),"-",""),".",""),"/","")," ",""),8),5,2),--MID(LEFT(SUBSTITUTE(SUBSTITUTE(SUBSTITUTE(SUBSTITUTE(TRIM($AR281),"-",""),".",""),"/","")," ",""),8),7,2)),"")))</f>
        <v/>
      </c>
      <c r="AT281" s="23">
        <f>IF($AS281="","",IF($F$6="",0,IF(ISNUMBER(INDEX($A:$AP,ROW(),$F$6)),INDEX($A:$AP,ROW(),$F$6),IFERROR(--SUBSTITUTE(SUBSTITUTE(TRIM(INDEX($A:$AP,ROW(),$F$6)),",",""),"원",""),0))))</f>
        <v/>
      </c>
      <c r="AU281" s="23">
        <f>IF($AS281="","",IF($G$6="",0,IF(ISNUMBER(INDEX($A:$AP,ROW(),$G$6)),INDEX($A:$AP,ROW(),$G$6),IFERROR(--SUBSTITUTE(SUBSTITUTE(TRIM(INDEX($A:$AP,ROW(),$G$6)),",",""),"원",""),0))))</f>
        <v/>
      </c>
      <c r="AV281" s="23">
        <f>IF($AS281="","",IF($H$6="",$AT281+$AU281,IF($H$6="",0,IF(ISNUMBER(INDEX($A:$AP,ROW(),$H$6)),INDEX($A:$AP,ROW(),$H$6),IFERROR(--SUBSTITUTE(SUBSTITUTE(TRIM(INDEX($A:$AP,ROW(),$H$6)),",",""),"원",""),0)))))</f>
        <v/>
      </c>
      <c r="AW281" s="2">
        <f>IF(OR($AS281="",$C$6=""),"",TRIM(INDEX($A:$AP,ROW(),$C$6)&amp;""))</f>
        <v/>
      </c>
      <c r="AX281" s="2">
        <f>IF($AS281="","",IF($AZ281&lt;&gt;"",SUBSTITUTE(SUBSTITUTE($AZ281,"-","")," ",""),$AY281))</f>
        <v/>
      </c>
      <c r="AY281" s="2">
        <f>IF(OR($AS281="",$E$6=""),"",TRIM(INDEX($A:$AP,ROW(),$E$6)&amp;""))</f>
        <v/>
      </c>
      <c r="AZ281" s="2">
        <f>IF(OR($AS281="",$D$6=""),"",TRIM(INDEX($A:$AP,ROW(),$D$6)&amp;""))</f>
        <v/>
      </c>
      <c r="BA281" s="2">
        <f>IF($AS281="","",IF(AND($AS281&gt;=설정!$B$10,$AS281&lt;=설정!$B$11),"포함","기간 밖"))</f>
        <v/>
      </c>
      <c r="BB281" s="2">
        <f>IF($AS281="","",IF(OR($AT281&lt;0,AND($I$6&lt;&gt;"",ISNUMBER(FIND("수정",INDEX($A:$AP,ROW(),IF($I$6="",1,$I$6))&amp;"")))),"수정","일반"))</f>
        <v/>
      </c>
      <c r="BC281" s="2">
        <f>IF($AS281="","",MID(IF($BA281="기간 밖"," / 기간 밖(신고기간 아님)","")&amp;IF(AND($AW281&lt;&gt;"",COUNTIF($AW$8:$AW$1007,$AW281)&gt;1)," / 승인번호 중복(두 번 붙여넣기?)","")&amp;IF(ABS($AU281-ROUND($AT281*0.1,0))&gt;설정!$B$8,IF($AU281=0," / 세액 0원(영세율·면세 여부 확인)"," / 세액이 공급가액 10%와 다름"),"")&amp;IF($BB281="수정"," / 수정세금계산서(합계에서 자동 가감)",""),4,200))</f>
        <v/>
      </c>
      <c r="BD281" s="2">
        <f>IF($BA281&lt;&gt;"포함","",IF(COUNTIFS($AX$8:$AX281,$AX281,$BA$8:$BA281,"포함")=1,MAX($BD$7:BD280)+1,""))</f>
        <v/>
      </c>
      <c r="BE281" s="2">
        <f>IF($BC281="","",MAX($BE$7:BE280)+1)</f>
        <v/>
      </c>
    </row>
    <row r="282">
      <c r="AR282" s="2">
        <f>IF(OR($A$5="",$B$6="",ROW()&lt;$A$5),"",IF(INDEX($A:$AP,ROW(),$B$6)="","",INDEX($A:$AP,ROW(),$B$6)))</f>
        <v/>
      </c>
      <c r="AS282" s="22">
        <f>IF($AR282="","",IF(ISNUMBER($AR282),IF($AR282&gt;=10000000,IFERROR(DATE(INT($AR282/10000),MOD(INT($AR282/100),100),MOD($AR282,100)),""),INT($AR282)),IFERROR(DATE(--LEFT(LEFT(SUBSTITUTE(SUBSTITUTE(SUBSTITUTE(SUBSTITUTE(TRIM($AR282),"-",""),".",""),"/","")," ",""),8),4),--MID(LEFT(SUBSTITUTE(SUBSTITUTE(SUBSTITUTE(SUBSTITUTE(TRIM($AR282),"-",""),".",""),"/","")," ",""),8),5,2),--MID(LEFT(SUBSTITUTE(SUBSTITUTE(SUBSTITUTE(SUBSTITUTE(TRIM($AR282),"-",""),".",""),"/","")," ",""),8),7,2)),"")))</f>
        <v/>
      </c>
      <c r="AT282" s="23">
        <f>IF($AS282="","",IF($F$6="",0,IF(ISNUMBER(INDEX($A:$AP,ROW(),$F$6)),INDEX($A:$AP,ROW(),$F$6),IFERROR(--SUBSTITUTE(SUBSTITUTE(TRIM(INDEX($A:$AP,ROW(),$F$6)),",",""),"원",""),0))))</f>
        <v/>
      </c>
      <c r="AU282" s="23">
        <f>IF($AS282="","",IF($G$6="",0,IF(ISNUMBER(INDEX($A:$AP,ROW(),$G$6)),INDEX($A:$AP,ROW(),$G$6),IFERROR(--SUBSTITUTE(SUBSTITUTE(TRIM(INDEX($A:$AP,ROW(),$G$6)),",",""),"원",""),0))))</f>
        <v/>
      </c>
      <c r="AV282" s="23">
        <f>IF($AS282="","",IF($H$6="",$AT282+$AU282,IF($H$6="",0,IF(ISNUMBER(INDEX($A:$AP,ROW(),$H$6)),INDEX($A:$AP,ROW(),$H$6),IFERROR(--SUBSTITUTE(SUBSTITUTE(TRIM(INDEX($A:$AP,ROW(),$H$6)),",",""),"원",""),0)))))</f>
        <v/>
      </c>
      <c r="AW282" s="2">
        <f>IF(OR($AS282="",$C$6=""),"",TRIM(INDEX($A:$AP,ROW(),$C$6)&amp;""))</f>
        <v/>
      </c>
      <c r="AX282" s="2">
        <f>IF($AS282="","",IF($AZ282&lt;&gt;"",SUBSTITUTE(SUBSTITUTE($AZ282,"-","")," ",""),$AY282))</f>
        <v/>
      </c>
      <c r="AY282" s="2">
        <f>IF(OR($AS282="",$E$6=""),"",TRIM(INDEX($A:$AP,ROW(),$E$6)&amp;""))</f>
        <v/>
      </c>
      <c r="AZ282" s="2">
        <f>IF(OR($AS282="",$D$6=""),"",TRIM(INDEX($A:$AP,ROW(),$D$6)&amp;""))</f>
        <v/>
      </c>
      <c r="BA282" s="2">
        <f>IF($AS282="","",IF(AND($AS282&gt;=설정!$B$10,$AS282&lt;=설정!$B$11),"포함","기간 밖"))</f>
        <v/>
      </c>
      <c r="BB282" s="2">
        <f>IF($AS282="","",IF(OR($AT282&lt;0,AND($I$6&lt;&gt;"",ISNUMBER(FIND("수정",INDEX($A:$AP,ROW(),IF($I$6="",1,$I$6))&amp;"")))),"수정","일반"))</f>
        <v/>
      </c>
      <c r="BC282" s="2">
        <f>IF($AS282="","",MID(IF($BA282="기간 밖"," / 기간 밖(신고기간 아님)","")&amp;IF(AND($AW282&lt;&gt;"",COUNTIF($AW$8:$AW$1007,$AW282)&gt;1)," / 승인번호 중복(두 번 붙여넣기?)","")&amp;IF(ABS($AU282-ROUND($AT282*0.1,0))&gt;설정!$B$8,IF($AU282=0," / 세액 0원(영세율·면세 여부 확인)"," / 세액이 공급가액 10%와 다름"),"")&amp;IF($BB282="수정"," / 수정세금계산서(합계에서 자동 가감)",""),4,200))</f>
        <v/>
      </c>
      <c r="BD282" s="2">
        <f>IF($BA282&lt;&gt;"포함","",IF(COUNTIFS($AX$8:$AX282,$AX282,$BA$8:$BA282,"포함")=1,MAX($BD$7:BD281)+1,""))</f>
        <v/>
      </c>
      <c r="BE282" s="2">
        <f>IF($BC282="","",MAX($BE$7:BE281)+1)</f>
        <v/>
      </c>
    </row>
    <row r="283">
      <c r="AR283" s="2">
        <f>IF(OR($A$5="",$B$6="",ROW()&lt;$A$5),"",IF(INDEX($A:$AP,ROW(),$B$6)="","",INDEX($A:$AP,ROW(),$B$6)))</f>
        <v/>
      </c>
      <c r="AS283" s="22">
        <f>IF($AR283="","",IF(ISNUMBER($AR283),IF($AR283&gt;=10000000,IFERROR(DATE(INT($AR283/10000),MOD(INT($AR283/100),100),MOD($AR283,100)),""),INT($AR283)),IFERROR(DATE(--LEFT(LEFT(SUBSTITUTE(SUBSTITUTE(SUBSTITUTE(SUBSTITUTE(TRIM($AR283),"-",""),".",""),"/","")," ",""),8),4),--MID(LEFT(SUBSTITUTE(SUBSTITUTE(SUBSTITUTE(SUBSTITUTE(TRIM($AR283),"-",""),".",""),"/","")," ",""),8),5,2),--MID(LEFT(SUBSTITUTE(SUBSTITUTE(SUBSTITUTE(SUBSTITUTE(TRIM($AR283),"-",""),".",""),"/","")," ",""),8),7,2)),"")))</f>
        <v/>
      </c>
      <c r="AT283" s="23">
        <f>IF($AS283="","",IF($F$6="",0,IF(ISNUMBER(INDEX($A:$AP,ROW(),$F$6)),INDEX($A:$AP,ROW(),$F$6),IFERROR(--SUBSTITUTE(SUBSTITUTE(TRIM(INDEX($A:$AP,ROW(),$F$6)),",",""),"원",""),0))))</f>
        <v/>
      </c>
      <c r="AU283" s="23">
        <f>IF($AS283="","",IF($G$6="",0,IF(ISNUMBER(INDEX($A:$AP,ROW(),$G$6)),INDEX($A:$AP,ROW(),$G$6),IFERROR(--SUBSTITUTE(SUBSTITUTE(TRIM(INDEX($A:$AP,ROW(),$G$6)),",",""),"원",""),0))))</f>
        <v/>
      </c>
      <c r="AV283" s="23">
        <f>IF($AS283="","",IF($H$6="",$AT283+$AU283,IF($H$6="",0,IF(ISNUMBER(INDEX($A:$AP,ROW(),$H$6)),INDEX($A:$AP,ROW(),$H$6),IFERROR(--SUBSTITUTE(SUBSTITUTE(TRIM(INDEX($A:$AP,ROW(),$H$6)),",",""),"원",""),0)))))</f>
        <v/>
      </c>
      <c r="AW283" s="2">
        <f>IF(OR($AS283="",$C$6=""),"",TRIM(INDEX($A:$AP,ROW(),$C$6)&amp;""))</f>
        <v/>
      </c>
      <c r="AX283" s="2">
        <f>IF($AS283="","",IF($AZ283&lt;&gt;"",SUBSTITUTE(SUBSTITUTE($AZ283,"-","")," ",""),$AY283))</f>
        <v/>
      </c>
      <c r="AY283" s="2">
        <f>IF(OR($AS283="",$E$6=""),"",TRIM(INDEX($A:$AP,ROW(),$E$6)&amp;""))</f>
        <v/>
      </c>
      <c r="AZ283" s="2">
        <f>IF(OR($AS283="",$D$6=""),"",TRIM(INDEX($A:$AP,ROW(),$D$6)&amp;""))</f>
        <v/>
      </c>
      <c r="BA283" s="2">
        <f>IF($AS283="","",IF(AND($AS283&gt;=설정!$B$10,$AS283&lt;=설정!$B$11),"포함","기간 밖"))</f>
        <v/>
      </c>
      <c r="BB283" s="2">
        <f>IF($AS283="","",IF(OR($AT283&lt;0,AND($I$6&lt;&gt;"",ISNUMBER(FIND("수정",INDEX($A:$AP,ROW(),IF($I$6="",1,$I$6))&amp;"")))),"수정","일반"))</f>
        <v/>
      </c>
      <c r="BC283" s="2">
        <f>IF($AS283="","",MID(IF($BA283="기간 밖"," / 기간 밖(신고기간 아님)","")&amp;IF(AND($AW283&lt;&gt;"",COUNTIF($AW$8:$AW$1007,$AW283)&gt;1)," / 승인번호 중복(두 번 붙여넣기?)","")&amp;IF(ABS($AU283-ROUND($AT283*0.1,0))&gt;설정!$B$8,IF($AU283=0," / 세액 0원(영세율·면세 여부 확인)"," / 세액이 공급가액 10%와 다름"),"")&amp;IF($BB283="수정"," / 수정세금계산서(합계에서 자동 가감)",""),4,200))</f>
        <v/>
      </c>
      <c r="BD283" s="2">
        <f>IF($BA283&lt;&gt;"포함","",IF(COUNTIFS($AX$8:$AX283,$AX283,$BA$8:$BA283,"포함")=1,MAX($BD$7:BD282)+1,""))</f>
        <v/>
      </c>
      <c r="BE283" s="2">
        <f>IF($BC283="","",MAX($BE$7:BE282)+1)</f>
        <v/>
      </c>
    </row>
    <row r="284">
      <c r="AR284" s="2">
        <f>IF(OR($A$5="",$B$6="",ROW()&lt;$A$5),"",IF(INDEX($A:$AP,ROW(),$B$6)="","",INDEX($A:$AP,ROW(),$B$6)))</f>
        <v/>
      </c>
      <c r="AS284" s="22">
        <f>IF($AR284="","",IF(ISNUMBER($AR284),IF($AR284&gt;=10000000,IFERROR(DATE(INT($AR284/10000),MOD(INT($AR284/100),100),MOD($AR284,100)),""),INT($AR284)),IFERROR(DATE(--LEFT(LEFT(SUBSTITUTE(SUBSTITUTE(SUBSTITUTE(SUBSTITUTE(TRIM($AR284),"-",""),".",""),"/","")," ",""),8),4),--MID(LEFT(SUBSTITUTE(SUBSTITUTE(SUBSTITUTE(SUBSTITUTE(TRIM($AR284),"-",""),".",""),"/","")," ",""),8),5,2),--MID(LEFT(SUBSTITUTE(SUBSTITUTE(SUBSTITUTE(SUBSTITUTE(TRIM($AR284),"-",""),".",""),"/","")," ",""),8),7,2)),"")))</f>
        <v/>
      </c>
      <c r="AT284" s="23">
        <f>IF($AS284="","",IF($F$6="",0,IF(ISNUMBER(INDEX($A:$AP,ROW(),$F$6)),INDEX($A:$AP,ROW(),$F$6),IFERROR(--SUBSTITUTE(SUBSTITUTE(TRIM(INDEX($A:$AP,ROW(),$F$6)),",",""),"원",""),0))))</f>
        <v/>
      </c>
      <c r="AU284" s="23">
        <f>IF($AS284="","",IF($G$6="",0,IF(ISNUMBER(INDEX($A:$AP,ROW(),$G$6)),INDEX($A:$AP,ROW(),$G$6),IFERROR(--SUBSTITUTE(SUBSTITUTE(TRIM(INDEX($A:$AP,ROW(),$G$6)),",",""),"원",""),0))))</f>
        <v/>
      </c>
      <c r="AV284" s="23">
        <f>IF($AS284="","",IF($H$6="",$AT284+$AU284,IF($H$6="",0,IF(ISNUMBER(INDEX($A:$AP,ROW(),$H$6)),INDEX($A:$AP,ROW(),$H$6),IFERROR(--SUBSTITUTE(SUBSTITUTE(TRIM(INDEX($A:$AP,ROW(),$H$6)),",",""),"원",""),0)))))</f>
        <v/>
      </c>
      <c r="AW284" s="2">
        <f>IF(OR($AS284="",$C$6=""),"",TRIM(INDEX($A:$AP,ROW(),$C$6)&amp;""))</f>
        <v/>
      </c>
      <c r="AX284" s="2">
        <f>IF($AS284="","",IF($AZ284&lt;&gt;"",SUBSTITUTE(SUBSTITUTE($AZ284,"-","")," ",""),$AY284))</f>
        <v/>
      </c>
      <c r="AY284" s="2">
        <f>IF(OR($AS284="",$E$6=""),"",TRIM(INDEX($A:$AP,ROW(),$E$6)&amp;""))</f>
        <v/>
      </c>
      <c r="AZ284" s="2">
        <f>IF(OR($AS284="",$D$6=""),"",TRIM(INDEX($A:$AP,ROW(),$D$6)&amp;""))</f>
        <v/>
      </c>
      <c r="BA284" s="2">
        <f>IF($AS284="","",IF(AND($AS284&gt;=설정!$B$10,$AS284&lt;=설정!$B$11),"포함","기간 밖"))</f>
        <v/>
      </c>
      <c r="BB284" s="2">
        <f>IF($AS284="","",IF(OR($AT284&lt;0,AND($I$6&lt;&gt;"",ISNUMBER(FIND("수정",INDEX($A:$AP,ROW(),IF($I$6="",1,$I$6))&amp;"")))),"수정","일반"))</f>
        <v/>
      </c>
      <c r="BC284" s="2">
        <f>IF($AS284="","",MID(IF($BA284="기간 밖"," / 기간 밖(신고기간 아님)","")&amp;IF(AND($AW284&lt;&gt;"",COUNTIF($AW$8:$AW$1007,$AW284)&gt;1)," / 승인번호 중복(두 번 붙여넣기?)","")&amp;IF(ABS($AU284-ROUND($AT284*0.1,0))&gt;설정!$B$8,IF($AU284=0," / 세액 0원(영세율·면세 여부 확인)"," / 세액이 공급가액 10%와 다름"),"")&amp;IF($BB284="수정"," / 수정세금계산서(합계에서 자동 가감)",""),4,200))</f>
        <v/>
      </c>
      <c r="BD284" s="2">
        <f>IF($BA284&lt;&gt;"포함","",IF(COUNTIFS($AX$8:$AX284,$AX284,$BA$8:$BA284,"포함")=1,MAX($BD$7:BD283)+1,""))</f>
        <v/>
      </c>
      <c r="BE284" s="2">
        <f>IF($BC284="","",MAX($BE$7:BE283)+1)</f>
        <v/>
      </c>
    </row>
    <row r="285">
      <c r="AR285" s="2">
        <f>IF(OR($A$5="",$B$6="",ROW()&lt;$A$5),"",IF(INDEX($A:$AP,ROW(),$B$6)="","",INDEX($A:$AP,ROW(),$B$6)))</f>
        <v/>
      </c>
      <c r="AS285" s="22">
        <f>IF($AR285="","",IF(ISNUMBER($AR285),IF($AR285&gt;=10000000,IFERROR(DATE(INT($AR285/10000),MOD(INT($AR285/100),100),MOD($AR285,100)),""),INT($AR285)),IFERROR(DATE(--LEFT(LEFT(SUBSTITUTE(SUBSTITUTE(SUBSTITUTE(SUBSTITUTE(TRIM($AR285),"-",""),".",""),"/","")," ",""),8),4),--MID(LEFT(SUBSTITUTE(SUBSTITUTE(SUBSTITUTE(SUBSTITUTE(TRIM($AR285),"-",""),".",""),"/","")," ",""),8),5,2),--MID(LEFT(SUBSTITUTE(SUBSTITUTE(SUBSTITUTE(SUBSTITUTE(TRIM($AR285),"-",""),".",""),"/","")," ",""),8),7,2)),"")))</f>
        <v/>
      </c>
      <c r="AT285" s="23">
        <f>IF($AS285="","",IF($F$6="",0,IF(ISNUMBER(INDEX($A:$AP,ROW(),$F$6)),INDEX($A:$AP,ROW(),$F$6),IFERROR(--SUBSTITUTE(SUBSTITUTE(TRIM(INDEX($A:$AP,ROW(),$F$6)),",",""),"원",""),0))))</f>
        <v/>
      </c>
      <c r="AU285" s="23">
        <f>IF($AS285="","",IF($G$6="",0,IF(ISNUMBER(INDEX($A:$AP,ROW(),$G$6)),INDEX($A:$AP,ROW(),$G$6),IFERROR(--SUBSTITUTE(SUBSTITUTE(TRIM(INDEX($A:$AP,ROW(),$G$6)),",",""),"원",""),0))))</f>
        <v/>
      </c>
      <c r="AV285" s="23">
        <f>IF($AS285="","",IF($H$6="",$AT285+$AU285,IF($H$6="",0,IF(ISNUMBER(INDEX($A:$AP,ROW(),$H$6)),INDEX($A:$AP,ROW(),$H$6),IFERROR(--SUBSTITUTE(SUBSTITUTE(TRIM(INDEX($A:$AP,ROW(),$H$6)),",",""),"원",""),0)))))</f>
        <v/>
      </c>
      <c r="AW285" s="2">
        <f>IF(OR($AS285="",$C$6=""),"",TRIM(INDEX($A:$AP,ROW(),$C$6)&amp;""))</f>
        <v/>
      </c>
      <c r="AX285" s="2">
        <f>IF($AS285="","",IF($AZ285&lt;&gt;"",SUBSTITUTE(SUBSTITUTE($AZ285,"-","")," ",""),$AY285))</f>
        <v/>
      </c>
      <c r="AY285" s="2">
        <f>IF(OR($AS285="",$E$6=""),"",TRIM(INDEX($A:$AP,ROW(),$E$6)&amp;""))</f>
        <v/>
      </c>
      <c r="AZ285" s="2">
        <f>IF(OR($AS285="",$D$6=""),"",TRIM(INDEX($A:$AP,ROW(),$D$6)&amp;""))</f>
        <v/>
      </c>
      <c r="BA285" s="2">
        <f>IF($AS285="","",IF(AND($AS285&gt;=설정!$B$10,$AS285&lt;=설정!$B$11),"포함","기간 밖"))</f>
        <v/>
      </c>
      <c r="BB285" s="2">
        <f>IF($AS285="","",IF(OR($AT285&lt;0,AND($I$6&lt;&gt;"",ISNUMBER(FIND("수정",INDEX($A:$AP,ROW(),IF($I$6="",1,$I$6))&amp;"")))),"수정","일반"))</f>
        <v/>
      </c>
      <c r="BC285" s="2">
        <f>IF($AS285="","",MID(IF($BA285="기간 밖"," / 기간 밖(신고기간 아님)","")&amp;IF(AND($AW285&lt;&gt;"",COUNTIF($AW$8:$AW$1007,$AW285)&gt;1)," / 승인번호 중복(두 번 붙여넣기?)","")&amp;IF(ABS($AU285-ROUND($AT285*0.1,0))&gt;설정!$B$8,IF($AU285=0," / 세액 0원(영세율·면세 여부 확인)"," / 세액이 공급가액 10%와 다름"),"")&amp;IF($BB285="수정"," / 수정세금계산서(합계에서 자동 가감)",""),4,200))</f>
        <v/>
      </c>
      <c r="BD285" s="2">
        <f>IF($BA285&lt;&gt;"포함","",IF(COUNTIFS($AX$8:$AX285,$AX285,$BA$8:$BA285,"포함")=1,MAX($BD$7:BD284)+1,""))</f>
        <v/>
      </c>
      <c r="BE285" s="2">
        <f>IF($BC285="","",MAX($BE$7:BE284)+1)</f>
        <v/>
      </c>
    </row>
    <row r="286">
      <c r="AR286" s="2">
        <f>IF(OR($A$5="",$B$6="",ROW()&lt;$A$5),"",IF(INDEX($A:$AP,ROW(),$B$6)="","",INDEX($A:$AP,ROW(),$B$6)))</f>
        <v/>
      </c>
      <c r="AS286" s="22">
        <f>IF($AR286="","",IF(ISNUMBER($AR286),IF($AR286&gt;=10000000,IFERROR(DATE(INT($AR286/10000),MOD(INT($AR286/100),100),MOD($AR286,100)),""),INT($AR286)),IFERROR(DATE(--LEFT(LEFT(SUBSTITUTE(SUBSTITUTE(SUBSTITUTE(SUBSTITUTE(TRIM($AR286),"-",""),".",""),"/","")," ",""),8),4),--MID(LEFT(SUBSTITUTE(SUBSTITUTE(SUBSTITUTE(SUBSTITUTE(TRIM($AR286),"-",""),".",""),"/","")," ",""),8),5,2),--MID(LEFT(SUBSTITUTE(SUBSTITUTE(SUBSTITUTE(SUBSTITUTE(TRIM($AR286),"-",""),".",""),"/","")," ",""),8),7,2)),"")))</f>
        <v/>
      </c>
      <c r="AT286" s="23">
        <f>IF($AS286="","",IF($F$6="",0,IF(ISNUMBER(INDEX($A:$AP,ROW(),$F$6)),INDEX($A:$AP,ROW(),$F$6),IFERROR(--SUBSTITUTE(SUBSTITUTE(TRIM(INDEX($A:$AP,ROW(),$F$6)),",",""),"원",""),0))))</f>
        <v/>
      </c>
      <c r="AU286" s="23">
        <f>IF($AS286="","",IF($G$6="",0,IF(ISNUMBER(INDEX($A:$AP,ROW(),$G$6)),INDEX($A:$AP,ROW(),$G$6),IFERROR(--SUBSTITUTE(SUBSTITUTE(TRIM(INDEX($A:$AP,ROW(),$G$6)),",",""),"원",""),0))))</f>
        <v/>
      </c>
      <c r="AV286" s="23">
        <f>IF($AS286="","",IF($H$6="",$AT286+$AU286,IF($H$6="",0,IF(ISNUMBER(INDEX($A:$AP,ROW(),$H$6)),INDEX($A:$AP,ROW(),$H$6),IFERROR(--SUBSTITUTE(SUBSTITUTE(TRIM(INDEX($A:$AP,ROW(),$H$6)),",",""),"원",""),0)))))</f>
        <v/>
      </c>
      <c r="AW286" s="2">
        <f>IF(OR($AS286="",$C$6=""),"",TRIM(INDEX($A:$AP,ROW(),$C$6)&amp;""))</f>
        <v/>
      </c>
      <c r="AX286" s="2">
        <f>IF($AS286="","",IF($AZ286&lt;&gt;"",SUBSTITUTE(SUBSTITUTE($AZ286,"-","")," ",""),$AY286))</f>
        <v/>
      </c>
      <c r="AY286" s="2">
        <f>IF(OR($AS286="",$E$6=""),"",TRIM(INDEX($A:$AP,ROW(),$E$6)&amp;""))</f>
        <v/>
      </c>
      <c r="AZ286" s="2">
        <f>IF(OR($AS286="",$D$6=""),"",TRIM(INDEX($A:$AP,ROW(),$D$6)&amp;""))</f>
        <v/>
      </c>
      <c r="BA286" s="2">
        <f>IF($AS286="","",IF(AND($AS286&gt;=설정!$B$10,$AS286&lt;=설정!$B$11),"포함","기간 밖"))</f>
        <v/>
      </c>
      <c r="BB286" s="2">
        <f>IF($AS286="","",IF(OR($AT286&lt;0,AND($I$6&lt;&gt;"",ISNUMBER(FIND("수정",INDEX($A:$AP,ROW(),IF($I$6="",1,$I$6))&amp;"")))),"수정","일반"))</f>
        <v/>
      </c>
      <c r="BC286" s="2">
        <f>IF($AS286="","",MID(IF($BA286="기간 밖"," / 기간 밖(신고기간 아님)","")&amp;IF(AND($AW286&lt;&gt;"",COUNTIF($AW$8:$AW$1007,$AW286)&gt;1)," / 승인번호 중복(두 번 붙여넣기?)","")&amp;IF(ABS($AU286-ROUND($AT286*0.1,0))&gt;설정!$B$8,IF($AU286=0," / 세액 0원(영세율·면세 여부 확인)"," / 세액이 공급가액 10%와 다름"),"")&amp;IF($BB286="수정"," / 수정세금계산서(합계에서 자동 가감)",""),4,200))</f>
        <v/>
      </c>
      <c r="BD286" s="2">
        <f>IF($BA286&lt;&gt;"포함","",IF(COUNTIFS($AX$8:$AX286,$AX286,$BA$8:$BA286,"포함")=1,MAX($BD$7:BD285)+1,""))</f>
        <v/>
      </c>
      <c r="BE286" s="2">
        <f>IF($BC286="","",MAX($BE$7:BE285)+1)</f>
        <v/>
      </c>
    </row>
    <row r="287">
      <c r="AR287" s="2">
        <f>IF(OR($A$5="",$B$6="",ROW()&lt;$A$5),"",IF(INDEX($A:$AP,ROW(),$B$6)="","",INDEX($A:$AP,ROW(),$B$6)))</f>
        <v/>
      </c>
      <c r="AS287" s="22">
        <f>IF($AR287="","",IF(ISNUMBER($AR287),IF($AR287&gt;=10000000,IFERROR(DATE(INT($AR287/10000),MOD(INT($AR287/100),100),MOD($AR287,100)),""),INT($AR287)),IFERROR(DATE(--LEFT(LEFT(SUBSTITUTE(SUBSTITUTE(SUBSTITUTE(SUBSTITUTE(TRIM($AR287),"-",""),".",""),"/","")," ",""),8),4),--MID(LEFT(SUBSTITUTE(SUBSTITUTE(SUBSTITUTE(SUBSTITUTE(TRIM($AR287),"-",""),".",""),"/","")," ",""),8),5,2),--MID(LEFT(SUBSTITUTE(SUBSTITUTE(SUBSTITUTE(SUBSTITUTE(TRIM($AR287),"-",""),".",""),"/","")," ",""),8),7,2)),"")))</f>
        <v/>
      </c>
      <c r="AT287" s="23">
        <f>IF($AS287="","",IF($F$6="",0,IF(ISNUMBER(INDEX($A:$AP,ROW(),$F$6)),INDEX($A:$AP,ROW(),$F$6),IFERROR(--SUBSTITUTE(SUBSTITUTE(TRIM(INDEX($A:$AP,ROW(),$F$6)),",",""),"원",""),0))))</f>
        <v/>
      </c>
      <c r="AU287" s="23">
        <f>IF($AS287="","",IF($G$6="",0,IF(ISNUMBER(INDEX($A:$AP,ROW(),$G$6)),INDEX($A:$AP,ROW(),$G$6),IFERROR(--SUBSTITUTE(SUBSTITUTE(TRIM(INDEX($A:$AP,ROW(),$G$6)),",",""),"원",""),0))))</f>
        <v/>
      </c>
      <c r="AV287" s="23">
        <f>IF($AS287="","",IF($H$6="",$AT287+$AU287,IF($H$6="",0,IF(ISNUMBER(INDEX($A:$AP,ROW(),$H$6)),INDEX($A:$AP,ROW(),$H$6),IFERROR(--SUBSTITUTE(SUBSTITUTE(TRIM(INDEX($A:$AP,ROW(),$H$6)),",",""),"원",""),0)))))</f>
        <v/>
      </c>
      <c r="AW287" s="2">
        <f>IF(OR($AS287="",$C$6=""),"",TRIM(INDEX($A:$AP,ROW(),$C$6)&amp;""))</f>
        <v/>
      </c>
      <c r="AX287" s="2">
        <f>IF($AS287="","",IF($AZ287&lt;&gt;"",SUBSTITUTE(SUBSTITUTE($AZ287,"-","")," ",""),$AY287))</f>
        <v/>
      </c>
      <c r="AY287" s="2">
        <f>IF(OR($AS287="",$E$6=""),"",TRIM(INDEX($A:$AP,ROW(),$E$6)&amp;""))</f>
        <v/>
      </c>
      <c r="AZ287" s="2">
        <f>IF(OR($AS287="",$D$6=""),"",TRIM(INDEX($A:$AP,ROW(),$D$6)&amp;""))</f>
        <v/>
      </c>
      <c r="BA287" s="2">
        <f>IF($AS287="","",IF(AND($AS287&gt;=설정!$B$10,$AS287&lt;=설정!$B$11),"포함","기간 밖"))</f>
        <v/>
      </c>
      <c r="BB287" s="2">
        <f>IF($AS287="","",IF(OR($AT287&lt;0,AND($I$6&lt;&gt;"",ISNUMBER(FIND("수정",INDEX($A:$AP,ROW(),IF($I$6="",1,$I$6))&amp;"")))),"수정","일반"))</f>
        <v/>
      </c>
      <c r="BC287" s="2">
        <f>IF($AS287="","",MID(IF($BA287="기간 밖"," / 기간 밖(신고기간 아님)","")&amp;IF(AND($AW287&lt;&gt;"",COUNTIF($AW$8:$AW$1007,$AW287)&gt;1)," / 승인번호 중복(두 번 붙여넣기?)","")&amp;IF(ABS($AU287-ROUND($AT287*0.1,0))&gt;설정!$B$8,IF($AU287=0," / 세액 0원(영세율·면세 여부 확인)"," / 세액이 공급가액 10%와 다름"),"")&amp;IF($BB287="수정"," / 수정세금계산서(합계에서 자동 가감)",""),4,200))</f>
        <v/>
      </c>
      <c r="BD287" s="2">
        <f>IF($BA287&lt;&gt;"포함","",IF(COUNTIFS($AX$8:$AX287,$AX287,$BA$8:$BA287,"포함")=1,MAX($BD$7:BD286)+1,""))</f>
        <v/>
      </c>
      <c r="BE287" s="2">
        <f>IF($BC287="","",MAX($BE$7:BE286)+1)</f>
        <v/>
      </c>
    </row>
    <row r="288">
      <c r="AR288" s="2">
        <f>IF(OR($A$5="",$B$6="",ROW()&lt;$A$5),"",IF(INDEX($A:$AP,ROW(),$B$6)="","",INDEX($A:$AP,ROW(),$B$6)))</f>
        <v/>
      </c>
      <c r="AS288" s="22">
        <f>IF($AR288="","",IF(ISNUMBER($AR288),IF($AR288&gt;=10000000,IFERROR(DATE(INT($AR288/10000),MOD(INT($AR288/100),100),MOD($AR288,100)),""),INT($AR288)),IFERROR(DATE(--LEFT(LEFT(SUBSTITUTE(SUBSTITUTE(SUBSTITUTE(SUBSTITUTE(TRIM($AR288),"-",""),".",""),"/","")," ",""),8),4),--MID(LEFT(SUBSTITUTE(SUBSTITUTE(SUBSTITUTE(SUBSTITUTE(TRIM($AR288),"-",""),".",""),"/","")," ",""),8),5,2),--MID(LEFT(SUBSTITUTE(SUBSTITUTE(SUBSTITUTE(SUBSTITUTE(TRIM($AR288),"-",""),".",""),"/","")," ",""),8),7,2)),"")))</f>
        <v/>
      </c>
      <c r="AT288" s="23">
        <f>IF($AS288="","",IF($F$6="",0,IF(ISNUMBER(INDEX($A:$AP,ROW(),$F$6)),INDEX($A:$AP,ROW(),$F$6),IFERROR(--SUBSTITUTE(SUBSTITUTE(TRIM(INDEX($A:$AP,ROW(),$F$6)),",",""),"원",""),0))))</f>
        <v/>
      </c>
      <c r="AU288" s="23">
        <f>IF($AS288="","",IF($G$6="",0,IF(ISNUMBER(INDEX($A:$AP,ROW(),$G$6)),INDEX($A:$AP,ROW(),$G$6),IFERROR(--SUBSTITUTE(SUBSTITUTE(TRIM(INDEX($A:$AP,ROW(),$G$6)),",",""),"원",""),0))))</f>
        <v/>
      </c>
      <c r="AV288" s="23">
        <f>IF($AS288="","",IF($H$6="",$AT288+$AU288,IF($H$6="",0,IF(ISNUMBER(INDEX($A:$AP,ROW(),$H$6)),INDEX($A:$AP,ROW(),$H$6),IFERROR(--SUBSTITUTE(SUBSTITUTE(TRIM(INDEX($A:$AP,ROW(),$H$6)),",",""),"원",""),0)))))</f>
        <v/>
      </c>
      <c r="AW288" s="2">
        <f>IF(OR($AS288="",$C$6=""),"",TRIM(INDEX($A:$AP,ROW(),$C$6)&amp;""))</f>
        <v/>
      </c>
      <c r="AX288" s="2">
        <f>IF($AS288="","",IF($AZ288&lt;&gt;"",SUBSTITUTE(SUBSTITUTE($AZ288,"-","")," ",""),$AY288))</f>
        <v/>
      </c>
      <c r="AY288" s="2">
        <f>IF(OR($AS288="",$E$6=""),"",TRIM(INDEX($A:$AP,ROW(),$E$6)&amp;""))</f>
        <v/>
      </c>
      <c r="AZ288" s="2">
        <f>IF(OR($AS288="",$D$6=""),"",TRIM(INDEX($A:$AP,ROW(),$D$6)&amp;""))</f>
        <v/>
      </c>
      <c r="BA288" s="2">
        <f>IF($AS288="","",IF(AND($AS288&gt;=설정!$B$10,$AS288&lt;=설정!$B$11),"포함","기간 밖"))</f>
        <v/>
      </c>
      <c r="BB288" s="2">
        <f>IF($AS288="","",IF(OR($AT288&lt;0,AND($I$6&lt;&gt;"",ISNUMBER(FIND("수정",INDEX($A:$AP,ROW(),IF($I$6="",1,$I$6))&amp;"")))),"수정","일반"))</f>
        <v/>
      </c>
      <c r="BC288" s="2">
        <f>IF($AS288="","",MID(IF($BA288="기간 밖"," / 기간 밖(신고기간 아님)","")&amp;IF(AND($AW288&lt;&gt;"",COUNTIF($AW$8:$AW$1007,$AW288)&gt;1)," / 승인번호 중복(두 번 붙여넣기?)","")&amp;IF(ABS($AU288-ROUND($AT288*0.1,0))&gt;설정!$B$8,IF($AU288=0," / 세액 0원(영세율·면세 여부 확인)"," / 세액이 공급가액 10%와 다름"),"")&amp;IF($BB288="수정"," / 수정세금계산서(합계에서 자동 가감)",""),4,200))</f>
        <v/>
      </c>
      <c r="BD288" s="2">
        <f>IF($BA288&lt;&gt;"포함","",IF(COUNTIFS($AX$8:$AX288,$AX288,$BA$8:$BA288,"포함")=1,MAX($BD$7:BD287)+1,""))</f>
        <v/>
      </c>
      <c r="BE288" s="2">
        <f>IF($BC288="","",MAX($BE$7:BE287)+1)</f>
        <v/>
      </c>
    </row>
    <row r="289">
      <c r="AR289" s="2">
        <f>IF(OR($A$5="",$B$6="",ROW()&lt;$A$5),"",IF(INDEX($A:$AP,ROW(),$B$6)="","",INDEX($A:$AP,ROW(),$B$6)))</f>
        <v/>
      </c>
      <c r="AS289" s="22">
        <f>IF($AR289="","",IF(ISNUMBER($AR289),IF($AR289&gt;=10000000,IFERROR(DATE(INT($AR289/10000),MOD(INT($AR289/100),100),MOD($AR289,100)),""),INT($AR289)),IFERROR(DATE(--LEFT(LEFT(SUBSTITUTE(SUBSTITUTE(SUBSTITUTE(SUBSTITUTE(TRIM($AR289),"-",""),".",""),"/","")," ",""),8),4),--MID(LEFT(SUBSTITUTE(SUBSTITUTE(SUBSTITUTE(SUBSTITUTE(TRIM($AR289),"-",""),".",""),"/","")," ",""),8),5,2),--MID(LEFT(SUBSTITUTE(SUBSTITUTE(SUBSTITUTE(SUBSTITUTE(TRIM($AR289),"-",""),".",""),"/","")," ",""),8),7,2)),"")))</f>
        <v/>
      </c>
      <c r="AT289" s="23">
        <f>IF($AS289="","",IF($F$6="",0,IF(ISNUMBER(INDEX($A:$AP,ROW(),$F$6)),INDEX($A:$AP,ROW(),$F$6),IFERROR(--SUBSTITUTE(SUBSTITUTE(TRIM(INDEX($A:$AP,ROW(),$F$6)),",",""),"원",""),0))))</f>
        <v/>
      </c>
      <c r="AU289" s="23">
        <f>IF($AS289="","",IF($G$6="",0,IF(ISNUMBER(INDEX($A:$AP,ROW(),$G$6)),INDEX($A:$AP,ROW(),$G$6),IFERROR(--SUBSTITUTE(SUBSTITUTE(TRIM(INDEX($A:$AP,ROW(),$G$6)),",",""),"원",""),0))))</f>
        <v/>
      </c>
      <c r="AV289" s="23">
        <f>IF($AS289="","",IF($H$6="",$AT289+$AU289,IF($H$6="",0,IF(ISNUMBER(INDEX($A:$AP,ROW(),$H$6)),INDEX($A:$AP,ROW(),$H$6),IFERROR(--SUBSTITUTE(SUBSTITUTE(TRIM(INDEX($A:$AP,ROW(),$H$6)),",",""),"원",""),0)))))</f>
        <v/>
      </c>
      <c r="AW289" s="2">
        <f>IF(OR($AS289="",$C$6=""),"",TRIM(INDEX($A:$AP,ROW(),$C$6)&amp;""))</f>
        <v/>
      </c>
      <c r="AX289" s="2">
        <f>IF($AS289="","",IF($AZ289&lt;&gt;"",SUBSTITUTE(SUBSTITUTE($AZ289,"-","")," ",""),$AY289))</f>
        <v/>
      </c>
      <c r="AY289" s="2">
        <f>IF(OR($AS289="",$E$6=""),"",TRIM(INDEX($A:$AP,ROW(),$E$6)&amp;""))</f>
        <v/>
      </c>
      <c r="AZ289" s="2">
        <f>IF(OR($AS289="",$D$6=""),"",TRIM(INDEX($A:$AP,ROW(),$D$6)&amp;""))</f>
        <v/>
      </c>
      <c r="BA289" s="2">
        <f>IF($AS289="","",IF(AND($AS289&gt;=설정!$B$10,$AS289&lt;=설정!$B$11),"포함","기간 밖"))</f>
        <v/>
      </c>
      <c r="BB289" s="2">
        <f>IF($AS289="","",IF(OR($AT289&lt;0,AND($I$6&lt;&gt;"",ISNUMBER(FIND("수정",INDEX($A:$AP,ROW(),IF($I$6="",1,$I$6))&amp;"")))),"수정","일반"))</f>
        <v/>
      </c>
      <c r="BC289" s="2">
        <f>IF($AS289="","",MID(IF($BA289="기간 밖"," / 기간 밖(신고기간 아님)","")&amp;IF(AND($AW289&lt;&gt;"",COUNTIF($AW$8:$AW$1007,$AW289)&gt;1)," / 승인번호 중복(두 번 붙여넣기?)","")&amp;IF(ABS($AU289-ROUND($AT289*0.1,0))&gt;설정!$B$8,IF($AU289=0," / 세액 0원(영세율·면세 여부 확인)"," / 세액이 공급가액 10%와 다름"),"")&amp;IF($BB289="수정"," / 수정세금계산서(합계에서 자동 가감)",""),4,200))</f>
        <v/>
      </c>
      <c r="BD289" s="2">
        <f>IF($BA289&lt;&gt;"포함","",IF(COUNTIFS($AX$8:$AX289,$AX289,$BA$8:$BA289,"포함")=1,MAX($BD$7:BD288)+1,""))</f>
        <v/>
      </c>
      <c r="BE289" s="2">
        <f>IF($BC289="","",MAX($BE$7:BE288)+1)</f>
        <v/>
      </c>
    </row>
    <row r="290">
      <c r="AR290" s="2">
        <f>IF(OR($A$5="",$B$6="",ROW()&lt;$A$5),"",IF(INDEX($A:$AP,ROW(),$B$6)="","",INDEX($A:$AP,ROW(),$B$6)))</f>
        <v/>
      </c>
      <c r="AS290" s="22">
        <f>IF($AR290="","",IF(ISNUMBER($AR290),IF($AR290&gt;=10000000,IFERROR(DATE(INT($AR290/10000),MOD(INT($AR290/100),100),MOD($AR290,100)),""),INT($AR290)),IFERROR(DATE(--LEFT(LEFT(SUBSTITUTE(SUBSTITUTE(SUBSTITUTE(SUBSTITUTE(TRIM($AR290),"-",""),".",""),"/","")," ",""),8),4),--MID(LEFT(SUBSTITUTE(SUBSTITUTE(SUBSTITUTE(SUBSTITUTE(TRIM($AR290),"-",""),".",""),"/","")," ",""),8),5,2),--MID(LEFT(SUBSTITUTE(SUBSTITUTE(SUBSTITUTE(SUBSTITUTE(TRIM($AR290),"-",""),".",""),"/","")," ",""),8),7,2)),"")))</f>
        <v/>
      </c>
      <c r="AT290" s="23">
        <f>IF($AS290="","",IF($F$6="",0,IF(ISNUMBER(INDEX($A:$AP,ROW(),$F$6)),INDEX($A:$AP,ROW(),$F$6),IFERROR(--SUBSTITUTE(SUBSTITUTE(TRIM(INDEX($A:$AP,ROW(),$F$6)),",",""),"원",""),0))))</f>
        <v/>
      </c>
      <c r="AU290" s="23">
        <f>IF($AS290="","",IF($G$6="",0,IF(ISNUMBER(INDEX($A:$AP,ROW(),$G$6)),INDEX($A:$AP,ROW(),$G$6),IFERROR(--SUBSTITUTE(SUBSTITUTE(TRIM(INDEX($A:$AP,ROW(),$G$6)),",",""),"원",""),0))))</f>
        <v/>
      </c>
      <c r="AV290" s="23">
        <f>IF($AS290="","",IF($H$6="",$AT290+$AU290,IF($H$6="",0,IF(ISNUMBER(INDEX($A:$AP,ROW(),$H$6)),INDEX($A:$AP,ROW(),$H$6),IFERROR(--SUBSTITUTE(SUBSTITUTE(TRIM(INDEX($A:$AP,ROW(),$H$6)),",",""),"원",""),0)))))</f>
        <v/>
      </c>
      <c r="AW290" s="2">
        <f>IF(OR($AS290="",$C$6=""),"",TRIM(INDEX($A:$AP,ROW(),$C$6)&amp;""))</f>
        <v/>
      </c>
      <c r="AX290" s="2">
        <f>IF($AS290="","",IF($AZ290&lt;&gt;"",SUBSTITUTE(SUBSTITUTE($AZ290,"-","")," ",""),$AY290))</f>
        <v/>
      </c>
      <c r="AY290" s="2">
        <f>IF(OR($AS290="",$E$6=""),"",TRIM(INDEX($A:$AP,ROW(),$E$6)&amp;""))</f>
        <v/>
      </c>
      <c r="AZ290" s="2">
        <f>IF(OR($AS290="",$D$6=""),"",TRIM(INDEX($A:$AP,ROW(),$D$6)&amp;""))</f>
        <v/>
      </c>
      <c r="BA290" s="2">
        <f>IF($AS290="","",IF(AND($AS290&gt;=설정!$B$10,$AS290&lt;=설정!$B$11),"포함","기간 밖"))</f>
        <v/>
      </c>
      <c r="BB290" s="2">
        <f>IF($AS290="","",IF(OR($AT290&lt;0,AND($I$6&lt;&gt;"",ISNUMBER(FIND("수정",INDEX($A:$AP,ROW(),IF($I$6="",1,$I$6))&amp;"")))),"수정","일반"))</f>
        <v/>
      </c>
      <c r="BC290" s="2">
        <f>IF($AS290="","",MID(IF($BA290="기간 밖"," / 기간 밖(신고기간 아님)","")&amp;IF(AND($AW290&lt;&gt;"",COUNTIF($AW$8:$AW$1007,$AW290)&gt;1)," / 승인번호 중복(두 번 붙여넣기?)","")&amp;IF(ABS($AU290-ROUND($AT290*0.1,0))&gt;설정!$B$8,IF($AU290=0," / 세액 0원(영세율·면세 여부 확인)"," / 세액이 공급가액 10%와 다름"),"")&amp;IF($BB290="수정"," / 수정세금계산서(합계에서 자동 가감)",""),4,200))</f>
        <v/>
      </c>
      <c r="BD290" s="2">
        <f>IF($BA290&lt;&gt;"포함","",IF(COUNTIFS($AX$8:$AX290,$AX290,$BA$8:$BA290,"포함")=1,MAX($BD$7:BD289)+1,""))</f>
        <v/>
      </c>
      <c r="BE290" s="2">
        <f>IF($BC290="","",MAX($BE$7:BE289)+1)</f>
        <v/>
      </c>
    </row>
    <row r="291">
      <c r="AR291" s="2">
        <f>IF(OR($A$5="",$B$6="",ROW()&lt;$A$5),"",IF(INDEX($A:$AP,ROW(),$B$6)="","",INDEX($A:$AP,ROW(),$B$6)))</f>
        <v/>
      </c>
      <c r="AS291" s="22">
        <f>IF($AR291="","",IF(ISNUMBER($AR291),IF($AR291&gt;=10000000,IFERROR(DATE(INT($AR291/10000),MOD(INT($AR291/100),100),MOD($AR291,100)),""),INT($AR291)),IFERROR(DATE(--LEFT(LEFT(SUBSTITUTE(SUBSTITUTE(SUBSTITUTE(SUBSTITUTE(TRIM($AR291),"-",""),".",""),"/","")," ",""),8),4),--MID(LEFT(SUBSTITUTE(SUBSTITUTE(SUBSTITUTE(SUBSTITUTE(TRIM($AR291),"-",""),".",""),"/","")," ",""),8),5,2),--MID(LEFT(SUBSTITUTE(SUBSTITUTE(SUBSTITUTE(SUBSTITUTE(TRIM($AR291),"-",""),".",""),"/","")," ",""),8),7,2)),"")))</f>
        <v/>
      </c>
      <c r="AT291" s="23">
        <f>IF($AS291="","",IF($F$6="",0,IF(ISNUMBER(INDEX($A:$AP,ROW(),$F$6)),INDEX($A:$AP,ROW(),$F$6),IFERROR(--SUBSTITUTE(SUBSTITUTE(TRIM(INDEX($A:$AP,ROW(),$F$6)),",",""),"원",""),0))))</f>
        <v/>
      </c>
      <c r="AU291" s="23">
        <f>IF($AS291="","",IF($G$6="",0,IF(ISNUMBER(INDEX($A:$AP,ROW(),$G$6)),INDEX($A:$AP,ROW(),$G$6),IFERROR(--SUBSTITUTE(SUBSTITUTE(TRIM(INDEX($A:$AP,ROW(),$G$6)),",",""),"원",""),0))))</f>
        <v/>
      </c>
      <c r="AV291" s="23">
        <f>IF($AS291="","",IF($H$6="",$AT291+$AU291,IF($H$6="",0,IF(ISNUMBER(INDEX($A:$AP,ROW(),$H$6)),INDEX($A:$AP,ROW(),$H$6),IFERROR(--SUBSTITUTE(SUBSTITUTE(TRIM(INDEX($A:$AP,ROW(),$H$6)),",",""),"원",""),0)))))</f>
        <v/>
      </c>
      <c r="AW291" s="2">
        <f>IF(OR($AS291="",$C$6=""),"",TRIM(INDEX($A:$AP,ROW(),$C$6)&amp;""))</f>
        <v/>
      </c>
      <c r="AX291" s="2">
        <f>IF($AS291="","",IF($AZ291&lt;&gt;"",SUBSTITUTE(SUBSTITUTE($AZ291,"-","")," ",""),$AY291))</f>
        <v/>
      </c>
      <c r="AY291" s="2">
        <f>IF(OR($AS291="",$E$6=""),"",TRIM(INDEX($A:$AP,ROW(),$E$6)&amp;""))</f>
        <v/>
      </c>
      <c r="AZ291" s="2">
        <f>IF(OR($AS291="",$D$6=""),"",TRIM(INDEX($A:$AP,ROW(),$D$6)&amp;""))</f>
        <v/>
      </c>
      <c r="BA291" s="2">
        <f>IF($AS291="","",IF(AND($AS291&gt;=설정!$B$10,$AS291&lt;=설정!$B$11),"포함","기간 밖"))</f>
        <v/>
      </c>
      <c r="BB291" s="2">
        <f>IF($AS291="","",IF(OR($AT291&lt;0,AND($I$6&lt;&gt;"",ISNUMBER(FIND("수정",INDEX($A:$AP,ROW(),IF($I$6="",1,$I$6))&amp;"")))),"수정","일반"))</f>
        <v/>
      </c>
      <c r="BC291" s="2">
        <f>IF($AS291="","",MID(IF($BA291="기간 밖"," / 기간 밖(신고기간 아님)","")&amp;IF(AND($AW291&lt;&gt;"",COUNTIF($AW$8:$AW$1007,$AW291)&gt;1)," / 승인번호 중복(두 번 붙여넣기?)","")&amp;IF(ABS($AU291-ROUND($AT291*0.1,0))&gt;설정!$B$8,IF($AU291=0," / 세액 0원(영세율·면세 여부 확인)"," / 세액이 공급가액 10%와 다름"),"")&amp;IF($BB291="수정"," / 수정세금계산서(합계에서 자동 가감)",""),4,200))</f>
        <v/>
      </c>
      <c r="BD291" s="2">
        <f>IF($BA291&lt;&gt;"포함","",IF(COUNTIFS($AX$8:$AX291,$AX291,$BA$8:$BA291,"포함")=1,MAX($BD$7:BD290)+1,""))</f>
        <v/>
      </c>
      <c r="BE291" s="2">
        <f>IF($BC291="","",MAX($BE$7:BE290)+1)</f>
        <v/>
      </c>
    </row>
    <row r="292">
      <c r="AR292" s="2">
        <f>IF(OR($A$5="",$B$6="",ROW()&lt;$A$5),"",IF(INDEX($A:$AP,ROW(),$B$6)="","",INDEX($A:$AP,ROW(),$B$6)))</f>
        <v/>
      </c>
      <c r="AS292" s="22">
        <f>IF($AR292="","",IF(ISNUMBER($AR292),IF($AR292&gt;=10000000,IFERROR(DATE(INT($AR292/10000),MOD(INT($AR292/100),100),MOD($AR292,100)),""),INT($AR292)),IFERROR(DATE(--LEFT(LEFT(SUBSTITUTE(SUBSTITUTE(SUBSTITUTE(SUBSTITUTE(TRIM($AR292),"-",""),".",""),"/","")," ",""),8),4),--MID(LEFT(SUBSTITUTE(SUBSTITUTE(SUBSTITUTE(SUBSTITUTE(TRIM($AR292),"-",""),".",""),"/","")," ",""),8),5,2),--MID(LEFT(SUBSTITUTE(SUBSTITUTE(SUBSTITUTE(SUBSTITUTE(TRIM($AR292),"-",""),".",""),"/","")," ",""),8),7,2)),"")))</f>
        <v/>
      </c>
      <c r="AT292" s="23">
        <f>IF($AS292="","",IF($F$6="",0,IF(ISNUMBER(INDEX($A:$AP,ROW(),$F$6)),INDEX($A:$AP,ROW(),$F$6),IFERROR(--SUBSTITUTE(SUBSTITUTE(TRIM(INDEX($A:$AP,ROW(),$F$6)),",",""),"원",""),0))))</f>
        <v/>
      </c>
      <c r="AU292" s="23">
        <f>IF($AS292="","",IF($G$6="",0,IF(ISNUMBER(INDEX($A:$AP,ROW(),$G$6)),INDEX($A:$AP,ROW(),$G$6),IFERROR(--SUBSTITUTE(SUBSTITUTE(TRIM(INDEX($A:$AP,ROW(),$G$6)),",",""),"원",""),0))))</f>
        <v/>
      </c>
      <c r="AV292" s="23">
        <f>IF($AS292="","",IF($H$6="",$AT292+$AU292,IF($H$6="",0,IF(ISNUMBER(INDEX($A:$AP,ROW(),$H$6)),INDEX($A:$AP,ROW(),$H$6),IFERROR(--SUBSTITUTE(SUBSTITUTE(TRIM(INDEX($A:$AP,ROW(),$H$6)),",",""),"원",""),0)))))</f>
        <v/>
      </c>
      <c r="AW292" s="2">
        <f>IF(OR($AS292="",$C$6=""),"",TRIM(INDEX($A:$AP,ROW(),$C$6)&amp;""))</f>
        <v/>
      </c>
      <c r="AX292" s="2">
        <f>IF($AS292="","",IF($AZ292&lt;&gt;"",SUBSTITUTE(SUBSTITUTE($AZ292,"-","")," ",""),$AY292))</f>
        <v/>
      </c>
      <c r="AY292" s="2">
        <f>IF(OR($AS292="",$E$6=""),"",TRIM(INDEX($A:$AP,ROW(),$E$6)&amp;""))</f>
        <v/>
      </c>
      <c r="AZ292" s="2">
        <f>IF(OR($AS292="",$D$6=""),"",TRIM(INDEX($A:$AP,ROW(),$D$6)&amp;""))</f>
        <v/>
      </c>
      <c r="BA292" s="2">
        <f>IF($AS292="","",IF(AND($AS292&gt;=설정!$B$10,$AS292&lt;=설정!$B$11),"포함","기간 밖"))</f>
        <v/>
      </c>
      <c r="BB292" s="2">
        <f>IF($AS292="","",IF(OR($AT292&lt;0,AND($I$6&lt;&gt;"",ISNUMBER(FIND("수정",INDEX($A:$AP,ROW(),IF($I$6="",1,$I$6))&amp;"")))),"수정","일반"))</f>
        <v/>
      </c>
      <c r="BC292" s="2">
        <f>IF($AS292="","",MID(IF($BA292="기간 밖"," / 기간 밖(신고기간 아님)","")&amp;IF(AND($AW292&lt;&gt;"",COUNTIF($AW$8:$AW$1007,$AW292)&gt;1)," / 승인번호 중복(두 번 붙여넣기?)","")&amp;IF(ABS($AU292-ROUND($AT292*0.1,0))&gt;설정!$B$8,IF($AU292=0," / 세액 0원(영세율·면세 여부 확인)"," / 세액이 공급가액 10%와 다름"),"")&amp;IF($BB292="수정"," / 수정세금계산서(합계에서 자동 가감)",""),4,200))</f>
        <v/>
      </c>
      <c r="BD292" s="2">
        <f>IF($BA292&lt;&gt;"포함","",IF(COUNTIFS($AX$8:$AX292,$AX292,$BA$8:$BA292,"포함")=1,MAX($BD$7:BD291)+1,""))</f>
        <v/>
      </c>
      <c r="BE292" s="2">
        <f>IF($BC292="","",MAX($BE$7:BE291)+1)</f>
        <v/>
      </c>
    </row>
    <row r="293">
      <c r="AR293" s="2">
        <f>IF(OR($A$5="",$B$6="",ROW()&lt;$A$5),"",IF(INDEX($A:$AP,ROW(),$B$6)="","",INDEX($A:$AP,ROW(),$B$6)))</f>
        <v/>
      </c>
      <c r="AS293" s="22">
        <f>IF($AR293="","",IF(ISNUMBER($AR293),IF($AR293&gt;=10000000,IFERROR(DATE(INT($AR293/10000),MOD(INT($AR293/100),100),MOD($AR293,100)),""),INT($AR293)),IFERROR(DATE(--LEFT(LEFT(SUBSTITUTE(SUBSTITUTE(SUBSTITUTE(SUBSTITUTE(TRIM($AR293),"-",""),".",""),"/","")," ",""),8),4),--MID(LEFT(SUBSTITUTE(SUBSTITUTE(SUBSTITUTE(SUBSTITUTE(TRIM($AR293),"-",""),".",""),"/","")," ",""),8),5,2),--MID(LEFT(SUBSTITUTE(SUBSTITUTE(SUBSTITUTE(SUBSTITUTE(TRIM($AR293),"-",""),".",""),"/","")," ",""),8),7,2)),"")))</f>
        <v/>
      </c>
      <c r="AT293" s="23">
        <f>IF($AS293="","",IF($F$6="",0,IF(ISNUMBER(INDEX($A:$AP,ROW(),$F$6)),INDEX($A:$AP,ROW(),$F$6),IFERROR(--SUBSTITUTE(SUBSTITUTE(TRIM(INDEX($A:$AP,ROW(),$F$6)),",",""),"원",""),0))))</f>
        <v/>
      </c>
      <c r="AU293" s="23">
        <f>IF($AS293="","",IF($G$6="",0,IF(ISNUMBER(INDEX($A:$AP,ROW(),$G$6)),INDEX($A:$AP,ROW(),$G$6),IFERROR(--SUBSTITUTE(SUBSTITUTE(TRIM(INDEX($A:$AP,ROW(),$G$6)),",",""),"원",""),0))))</f>
        <v/>
      </c>
      <c r="AV293" s="23">
        <f>IF($AS293="","",IF($H$6="",$AT293+$AU293,IF($H$6="",0,IF(ISNUMBER(INDEX($A:$AP,ROW(),$H$6)),INDEX($A:$AP,ROW(),$H$6),IFERROR(--SUBSTITUTE(SUBSTITUTE(TRIM(INDEX($A:$AP,ROW(),$H$6)),",",""),"원",""),0)))))</f>
        <v/>
      </c>
      <c r="AW293" s="2">
        <f>IF(OR($AS293="",$C$6=""),"",TRIM(INDEX($A:$AP,ROW(),$C$6)&amp;""))</f>
        <v/>
      </c>
      <c r="AX293" s="2">
        <f>IF($AS293="","",IF($AZ293&lt;&gt;"",SUBSTITUTE(SUBSTITUTE($AZ293,"-","")," ",""),$AY293))</f>
        <v/>
      </c>
      <c r="AY293" s="2">
        <f>IF(OR($AS293="",$E$6=""),"",TRIM(INDEX($A:$AP,ROW(),$E$6)&amp;""))</f>
        <v/>
      </c>
      <c r="AZ293" s="2">
        <f>IF(OR($AS293="",$D$6=""),"",TRIM(INDEX($A:$AP,ROW(),$D$6)&amp;""))</f>
        <v/>
      </c>
      <c r="BA293" s="2">
        <f>IF($AS293="","",IF(AND($AS293&gt;=설정!$B$10,$AS293&lt;=설정!$B$11),"포함","기간 밖"))</f>
        <v/>
      </c>
      <c r="BB293" s="2">
        <f>IF($AS293="","",IF(OR($AT293&lt;0,AND($I$6&lt;&gt;"",ISNUMBER(FIND("수정",INDEX($A:$AP,ROW(),IF($I$6="",1,$I$6))&amp;"")))),"수정","일반"))</f>
        <v/>
      </c>
      <c r="BC293" s="2">
        <f>IF($AS293="","",MID(IF($BA293="기간 밖"," / 기간 밖(신고기간 아님)","")&amp;IF(AND($AW293&lt;&gt;"",COUNTIF($AW$8:$AW$1007,$AW293)&gt;1)," / 승인번호 중복(두 번 붙여넣기?)","")&amp;IF(ABS($AU293-ROUND($AT293*0.1,0))&gt;설정!$B$8,IF($AU293=0," / 세액 0원(영세율·면세 여부 확인)"," / 세액이 공급가액 10%와 다름"),"")&amp;IF($BB293="수정"," / 수정세금계산서(합계에서 자동 가감)",""),4,200))</f>
        <v/>
      </c>
      <c r="BD293" s="2">
        <f>IF($BA293&lt;&gt;"포함","",IF(COUNTIFS($AX$8:$AX293,$AX293,$BA$8:$BA293,"포함")=1,MAX($BD$7:BD292)+1,""))</f>
        <v/>
      </c>
      <c r="BE293" s="2">
        <f>IF($BC293="","",MAX($BE$7:BE292)+1)</f>
        <v/>
      </c>
    </row>
    <row r="294">
      <c r="AR294" s="2">
        <f>IF(OR($A$5="",$B$6="",ROW()&lt;$A$5),"",IF(INDEX($A:$AP,ROW(),$B$6)="","",INDEX($A:$AP,ROW(),$B$6)))</f>
        <v/>
      </c>
      <c r="AS294" s="22">
        <f>IF($AR294="","",IF(ISNUMBER($AR294),IF($AR294&gt;=10000000,IFERROR(DATE(INT($AR294/10000),MOD(INT($AR294/100),100),MOD($AR294,100)),""),INT($AR294)),IFERROR(DATE(--LEFT(LEFT(SUBSTITUTE(SUBSTITUTE(SUBSTITUTE(SUBSTITUTE(TRIM($AR294),"-",""),".",""),"/","")," ",""),8),4),--MID(LEFT(SUBSTITUTE(SUBSTITUTE(SUBSTITUTE(SUBSTITUTE(TRIM($AR294),"-",""),".",""),"/","")," ",""),8),5,2),--MID(LEFT(SUBSTITUTE(SUBSTITUTE(SUBSTITUTE(SUBSTITUTE(TRIM($AR294),"-",""),".",""),"/","")," ",""),8),7,2)),"")))</f>
        <v/>
      </c>
      <c r="AT294" s="23">
        <f>IF($AS294="","",IF($F$6="",0,IF(ISNUMBER(INDEX($A:$AP,ROW(),$F$6)),INDEX($A:$AP,ROW(),$F$6),IFERROR(--SUBSTITUTE(SUBSTITUTE(TRIM(INDEX($A:$AP,ROW(),$F$6)),",",""),"원",""),0))))</f>
        <v/>
      </c>
      <c r="AU294" s="23">
        <f>IF($AS294="","",IF($G$6="",0,IF(ISNUMBER(INDEX($A:$AP,ROW(),$G$6)),INDEX($A:$AP,ROW(),$G$6),IFERROR(--SUBSTITUTE(SUBSTITUTE(TRIM(INDEX($A:$AP,ROW(),$G$6)),",",""),"원",""),0))))</f>
        <v/>
      </c>
      <c r="AV294" s="23">
        <f>IF($AS294="","",IF($H$6="",$AT294+$AU294,IF($H$6="",0,IF(ISNUMBER(INDEX($A:$AP,ROW(),$H$6)),INDEX($A:$AP,ROW(),$H$6),IFERROR(--SUBSTITUTE(SUBSTITUTE(TRIM(INDEX($A:$AP,ROW(),$H$6)),",",""),"원",""),0)))))</f>
        <v/>
      </c>
      <c r="AW294" s="2">
        <f>IF(OR($AS294="",$C$6=""),"",TRIM(INDEX($A:$AP,ROW(),$C$6)&amp;""))</f>
        <v/>
      </c>
      <c r="AX294" s="2">
        <f>IF($AS294="","",IF($AZ294&lt;&gt;"",SUBSTITUTE(SUBSTITUTE($AZ294,"-","")," ",""),$AY294))</f>
        <v/>
      </c>
      <c r="AY294" s="2">
        <f>IF(OR($AS294="",$E$6=""),"",TRIM(INDEX($A:$AP,ROW(),$E$6)&amp;""))</f>
        <v/>
      </c>
      <c r="AZ294" s="2">
        <f>IF(OR($AS294="",$D$6=""),"",TRIM(INDEX($A:$AP,ROW(),$D$6)&amp;""))</f>
        <v/>
      </c>
      <c r="BA294" s="2">
        <f>IF($AS294="","",IF(AND($AS294&gt;=설정!$B$10,$AS294&lt;=설정!$B$11),"포함","기간 밖"))</f>
        <v/>
      </c>
      <c r="BB294" s="2">
        <f>IF($AS294="","",IF(OR($AT294&lt;0,AND($I$6&lt;&gt;"",ISNUMBER(FIND("수정",INDEX($A:$AP,ROW(),IF($I$6="",1,$I$6))&amp;"")))),"수정","일반"))</f>
        <v/>
      </c>
      <c r="BC294" s="2">
        <f>IF($AS294="","",MID(IF($BA294="기간 밖"," / 기간 밖(신고기간 아님)","")&amp;IF(AND($AW294&lt;&gt;"",COUNTIF($AW$8:$AW$1007,$AW294)&gt;1)," / 승인번호 중복(두 번 붙여넣기?)","")&amp;IF(ABS($AU294-ROUND($AT294*0.1,0))&gt;설정!$B$8,IF($AU294=0," / 세액 0원(영세율·면세 여부 확인)"," / 세액이 공급가액 10%와 다름"),"")&amp;IF($BB294="수정"," / 수정세금계산서(합계에서 자동 가감)",""),4,200))</f>
        <v/>
      </c>
      <c r="BD294" s="2">
        <f>IF($BA294&lt;&gt;"포함","",IF(COUNTIFS($AX$8:$AX294,$AX294,$BA$8:$BA294,"포함")=1,MAX($BD$7:BD293)+1,""))</f>
        <v/>
      </c>
      <c r="BE294" s="2">
        <f>IF($BC294="","",MAX($BE$7:BE293)+1)</f>
        <v/>
      </c>
    </row>
    <row r="295">
      <c r="AR295" s="2">
        <f>IF(OR($A$5="",$B$6="",ROW()&lt;$A$5),"",IF(INDEX($A:$AP,ROW(),$B$6)="","",INDEX($A:$AP,ROW(),$B$6)))</f>
        <v/>
      </c>
      <c r="AS295" s="22">
        <f>IF($AR295="","",IF(ISNUMBER($AR295),IF($AR295&gt;=10000000,IFERROR(DATE(INT($AR295/10000),MOD(INT($AR295/100),100),MOD($AR295,100)),""),INT($AR295)),IFERROR(DATE(--LEFT(LEFT(SUBSTITUTE(SUBSTITUTE(SUBSTITUTE(SUBSTITUTE(TRIM($AR295),"-",""),".",""),"/","")," ",""),8),4),--MID(LEFT(SUBSTITUTE(SUBSTITUTE(SUBSTITUTE(SUBSTITUTE(TRIM($AR295),"-",""),".",""),"/","")," ",""),8),5,2),--MID(LEFT(SUBSTITUTE(SUBSTITUTE(SUBSTITUTE(SUBSTITUTE(TRIM($AR295),"-",""),".",""),"/","")," ",""),8),7,2)),"")))</f>
        <v/>
      </c>
      <c r="AT295" s="23">
        <f>IF($AS295="","",IF($F$6="",0,IF(ISNUMBER(INDEX($A:$AP,ROW(),$F$6)),INDEX($A:$AP,ROW(),$F$6),IFERROR(--SUBSTITUTE(SUBSTITUTE(TRIM(INDEX($A:$AP,ROW(),$F$6)),",",""),"원",""),0))))</f>
        <v/>
      </c>
      <c r="AU295" s="23">
        <f>IF($AS295="","",IF($G$6="",0,IF(ISNUMBER(INDEX($A:$AP,ROW(),$G$6)),INDEX($A:$AP,ROW(),$G$6),IFERROR(--SUBSTITUTE(SUBSTITUTE(TRIM(INDEX($A:$AP,ROW(),$G$6)),",",""),"원",""),0))))</f>
        <v/>
      </c>
      <c r="AV295" s="23">
        <f>IF($AS295="","",IF($H$6="",$AT295+$AU295,IF($H$6="",0,IF(ISNUMBER(INDEX($A:$AP,ROW(),$H$6)),INDEX($A:$AP,ROW(),$H$6),IFERROR(--SUBSTITUTE(SUBSTITUTE(TRIM(INDEX($A:$AP,ROW(),$H$6)),",",""),"원",""),0)))))</f>
        <v/>
      </c>
      <c r="AW295" s="2">
        <f>IF(OR($AS295="",$C$6=""),"",TRIM(INDEX($A:$AP,ROW(),$C$6)&amp;""))</f>
        <v/>
      </c>
      <c r="AX295" s="2">
        <f>IF($AS295="","",IF($AZ295&lt;&gt;"",SUBSTITUTE(SUBSTITUTE($AZ295,"-","")," ",""),$AY295))</f>
        <v/>
      </c>
      <c r="AY295" s="2">
        <f>IF(OR($AS295="",$E$6=""),"",TRIM(INDEX($A:$AP,ROW(),$E$6)&amp;""))</f>
        <v/>
      </c>
      <c r="AZ295" s="2">
        <f>IF(OR($AS295="",$D$6=""),"",TRIM(INDEX($A:$AP,ROW(),$D$6)&amp;""))</f>
        <v/>
      </c>
      <c r="BA295" s="2">
        <f>IF($AS295="","",IF(AND($AS295&gt;=설정!$B$10,$AS295&lt;=설정!$B$11),"포함","기간 밖"))</f>
        <v/>
      </c>
      <c r="BB295" s="2">
        <f>IF($AS295="","",IF(OR($AT295&lt;0,AND($I$6&lt;&gt;"",ISNUMBER(FIND("수정",INDEX($A:$AP,ROW(),IF($I$6="",1,$I$6))&amp;"")))),"수정","일반"))</f>
        <v/>
      </c>
      <c r="BC295" s="2">
        <f>IF($AS295="","",MID(IF($BA295="기간 밖"," / 기간 밖(신고기간 아님)","")&amp;IF(AND($AW295&lt;&gt;"",COUNTIF($AW$8:$AW$1007,$AW295)&gt;1)," / 승인번호 중복(두 번 붙여넣기?)","")&amp;IF(ABS($AU295-ROUND($AT295*0.1,0))&gt;설정!$B$8,IF($AU295=0," / 세액 0원(영세율·면세 여부 확인)"," / 세액이 공급가액 10%와 다름"),"")&amp;IF($BB295="수정"," / 수정세금계산서(합계에서 자동 가감)",""),4,200))</f>
        <v/>
      </c>
      <c r="BD295" s="2">
        <f>IF($BA295&lt;&gt;"포함","",IF(COUNTIFS($AX$8:$AX295,$AX295,$BA$8:$BA295,"포함")=1,MAX($BD$7:BD294)+1,""))</f>
        <v/>
      </c>
      <c r="BE295" s="2">
        <f>IF($BC295="","",MAX($BE$7:BE294)+1)</f>
        <v/>
      </c>
    </row>
    <row r="296">
      <c r="AR296" s="2">
        <f>IF(OR($A$5="",$B$6="",ROW()&lt;$A$5),"",IF(INDEX($A:$AP,ROW(),$B$6)="","",INDEX($A:$AP,ROW(),$B$6)))</f>
        <v/>
      </c>
      <c r="AS296" s="22">
        <f>IF($AR296="","",IF(ISNUMBER($AR296),IF($AR296&gt;=10000000,IFERROR(DATE(INT($AR296/10000),MOD(INT($AR296/100),100),MOD($AR296,100)),""),INT($AR296)),IFERROR(DATE(--LEFT(LEFT(SUBSTITUTE(SUBSTITUTE(SUBSTITUTE(SUBSTITUTE(TRIM($AR296),"-",""),".",""),"/","")," ",""),8),4),--MID(LEFT(SUBSTITUTE(SUBSTITUTE(SUBSTITUTE(SUBSTITUTE(TRIM($AR296),"-",""),".",""),"/","")," ",""),8),5,2),--MID(LEFT(SUBSTITUTE(SUBSTITUTE(SUBSTITUTE(SUBSTITUTE(TRIM($AR296),"-",""),".",""),"/","")," ",""),8),7,2)),"")))</f>
        <v/>
      </c>
      <c r="AT296" s="23">
        <f>IF($AS296="","",IF($F$6="",0,IF(ISNUMBER(INDEX($A:$AP,ROW(),$F$6)),INDEX($A:$AP,ROW(),$F$6),IFERROR(--SUBSTITUTE(SUBSTITUTE(TRIM(INDEX($A:$AP,ROW(),$F$6)),",",""),"원",""),0))))</f>
        <v/>
      </c>
      <c r="AU296" s="23">
        <f>IF($AS296="","",IF($G$6="",0,IF(ISNUMBER(INDEX($A:$AP,ROW(),$G$6)),INDEX($A:$AP,ROW(),$G$6),IFERROR(--SUBSTITUTE(SUBSTITUTE(TRIM(INDEX($A:$AP,ROW(),$G$6)),",",""),"원",""),0))))</f>
        <v/>
      </c>
      <c r="AV296" s="23">
        <f>IF($AS296="","",IF($H$6="",$AT296+$AU296,IF($H$6="",0,IF(ISNUMBER(INDEX($A:$AP,ROW(),$H$6)),INDEX($A:$AP,ROW(),$H$6),IFERROR(--SUBSTITUTE(SUBSTITUTE(TRIM(INDEX($A:$AP,ROW(),$H$6)),",",""),"원",""),0)))))</f>
        <v/>
      </c>
      <c r="AW296" s="2">
        <f>IF(OR($AS296="",$C$6=""),"",TRIM(INDEX($A:$AP,ROW(),$C$6)&amp;""))</f>
        <v/>
      </c>
      <c r="AX296" s="2">
        <f>IF($AS296="","",IF($AZ296&lt;&gt;"",SUBSTITUTE(SUBSTITUTE($AZ296,"-","")," ",""),$AY296))</f>
        <v/>
      </c>
      <c r="AY296" s="2">
        <f>IF(OR($AS296="",$E$6=""),"",TRIM(INDEX($A:$AP,ROW(),$E$6)&amp;""))</f>
        <v/>
      </c>
      <c r="AZ296" s="2">
        <f>IF(OR($AS296="",$D$6=""),"",TRIM(INDEX($A:$AP,ROW(),$D$6)&amp;""))</f>
        <v/>
      </c>
      <c r="BA296" s="2">
        <f>IF($AS296="","",IF(AND($AS296&gt;=설정!$B$10,$AS296&lt;=설정!$B$11),"포함","기간 밖"))</f>
        <v/>
      </c>
      <c r="BB296" s="2">
        <f>IF($AS296="","",IF(OR($AT296&lt;0,AND($I$6&lt;&gt;"",ISNUMBER(FIND("수정",INDEX($A:$AP,ROW(),IF($I$6="",1,$I$6))&amp;"")))),"수정","일반"))</f>
        <v/>
      </c>
      <c r="BC296" s="2">
        <f>IF($AS296="","",MID(IF($BA296="기간 밖"," / 기간 밖(신고기간 아님)","")&amp;IF(AND($AW296&lt;&gt;"",COUNTIF($AW$8:$AW$1007,$AW296)&gt;1)," / 승인번호 중복(두 번 붙여넣기?)","")&amp;IF(ABS($AU296-ROUND($AT296*0.1,0))&gt;설정!$B$8,IF($AU296=0," / 세액 0원(영세율·면세 여부 확인)"," / 세액이 공급가액 10%와 다름"),"")&amp;IF($BB296="수정"," / 수정세금계산서(합계에서 자동 가감)",""),4,200))</f>
        <v/>
      </c>
      <c r="BD296" s="2">
        <f>IF($BA296&lt;&gt;"포함","",IF(COUNTIFS($AX$8:$AX296,$AX296,$BA$8:$BA296,"포함")=1,MAX($BD$7:BD295)+1,""))</f>
        <v/>
      </c>
      <c r="BE296" s="2">
        <f>IF($BC296="","",MAX($BE$7:BE295)+1)</f>
        <v/>
      </c>
    </row>
    <row r="297">
      <c r="AR297" s="2">
        <f>IF(OR($A$5="",$B$6="",ROW()&lt;$A$5),"",IF(INDEX($A:$AP,ROW(),$B$6)="","",INDEX($A:$AP,ROW(),$B$6)))</f>
        <v/>
      </c>
      <c r="AS297" s="22">
        <f>IF($AR297="","",IF(ISNUMBER($AR297),IF($AR297&gt;=10000000,IFERROR(DATE(INT($AR297/10000),MOD(INT($AR297/100),100),MOD($AR297,100)),""),INT($AR297)),IFERROR(DATE(--LEFT(LEFT(SUBSTITUTE(SUBSTITUTE(SUBSTITUTE(SUBSTITUTE(TRIM($AR297),"-",""),".",""),"/","")," ",""),8),4),--MID(LEFT(SUBSTITUTE(SUBSTITUTE(SUBSTITUTE(SUBSTITUTE(TRIM($AR297),"-",""),".",""),"/","")," ",""),8),5,2),--MID(LEFT(SUBSTITUTE(SUBSTITUTE(SUBSTITUTE(SUBSTITUTE(TRIM($AR297),"-",""),".",""),"/","")," ",""),8),7,2)),"")))</f>
        <v/>
      </c>
      <c r="AT297" s="23">
        <f>IF($AS297="","",IF($F$6="",0,IF(ISNUMBER(INDEX($A:$AP,ROW(),$F$6)),INDEX($A:$AP,ROW(),$F$6),IFERROR(--SUBSTITUTE(SUBSTITUTE(TRIM(INDEX($A:$AP,ROW(),$F$6)),",",""),"원",""),0))))</f>
        <v/>
      </c>
      <c r="AU297" s="23">
        <f>IF($AS297="","",IF($G$6="",0,IF(ISNUMBER(INDEX($A:$AP,ROW(),$G$6)),INDEX($A:$AP,ROW(),$G$6),IFERROR(--SUBSTITUTE(SUBSTITUTE(TRIM(INDEX($A:$AP,ROW(),$G$6)),",",""),"원",""),0))))</f>
        <v/>
      </c>
      <c r="AV297" s="23">
        <f>IF($AS297="","",IF($H$6="",$AT297+$AU297,IF($H$6="",0,IF(ISNUMBER(INDEX($A:$AP,ROW(),$H$6)),INDEX($A:$AP,ROW(),$H$6),IFERROR(--SUBSTITUTE(SUBSTITUTE(TRIM(INDEX($A:$AP,ROW(),$H$6)),",",""),"원",""),0)))))</f>
        <v/>
      </c>
      <c r="AW297" s="2">
        <f>IF(OR($AS297="",$C$6=""),"",TRIM(INDEX($A:$AP,ROW(),$C$6)&amp;""))</f>
        <v/>
      </c>
      <c r="AX297" s="2">
        <f>IF($AS297="","",IF($AZ297&lt;&gt;"",SUBSTITUTE(SUBSTITUTE($AZ297,"-","")," ",""),$AY297))</f>
        <v/>
      </c>
      <c r="AY297" s="2">
        <f>IF(OR($AS297="",$E$6=""),"",TRIM(INDEX($A:$AP,ROW(),$E$6)&amp;""))</f>
        <v/>
      </c>
      <c r="AZ297" s="2">
        <f>IF(OR($AS297="",$D$6=""),"",TRIM(INDEX($A:$AP,ROW(),$D$6)&amp;""))</f>
        <v/>
      </c>
      <c r="BA297" s="2">
        <f>IF($AS297="","",IF(AND($AS297&gt;=설정!$B$10,$AS297&lt;=설정!$B$11),"포함","기간 밖"))</f>
        <v/>
      </c>
      <c r="BB297" s="2">
        <f>IF($AS297="","",IF(OR($AT297&lt;0,AND($I$6&lt;&gt;"",ISNUMBER(FIND("수정",INDEX($A:$AP,ROW(),IF($I$6="",1,$I$6))&amp;"")))),"수정","일반"))</f>
        <v/>
      </c>
      <c r="BC297" s="2">
        <f>IF($AS297="","",MID(IF($BA297="기간 밖"," / 기간 밖(신고기간 아님)","")&amp;IF(AND($AW297&lt;&gt;"",COUNTIF($AW$8:$AW$1007,$AW297)&gt;1)," / 승인번호 중복(두 번 붙여넣기?)","")&amp;IF(ABS($AU297-ROUND($AT297*0.1,0))&gt;설정!$B$8,IF($AU297=0," / 세액 0원(영세율·면세 여부 확인)"," / 세액이 공급가액 10%와 다름"),"")&amp;IF($BB297="수정"," / 수정세금계산서(합계에서 자동 가감)",""),4,200))</f>
        <v/>
      </c>
      <c r="BD297" s="2">
        <f>IF($BA297&lt;&gt;"포함","",IF(COUNTIFS($AX$8:$AX297,$AX297,$BA$8:$BA297,"포함")=1,MAX($BD$7:BD296)+1,""))</f>
        <v/>
      </c>
      <c r="BE297" s="2">
        <f>IF($BC297="","",MAX($BE$7:BE296)+1)</f>
        <v/>
      </c>
    </row>
    <row r="298">
      <c r="AR298" s="2">
        <f>IF(OR($A$5="",$B$6="",ROW()&lt;$A$5),"",IF(INDEX($A:$AP,ROW(),$B$6)="","",INDEX($A:$AP,ROW(),$B$6)))</f>
        <v/>
      </c>
      <c r="AS298" s="22">
        <f>IF($AR298="","",IF(ISNUMBER($AR298),IF($AR298&gt;=10000000,IFERROR(DATE(INT($AR298/10000),MOD(INT($AR298/100),100),MOD($AR298,100)),""),INT($AR298)),IFERROR(DATE(--LEFT(LEFT(SUBSTITUTE(SUBSTITUTE(SUBSTITUTE(SUBSTITUTE(TRIM($AR298),"-",""),".",""),"/","")," ",""),8),4),--MID(LEFT(SUBSTITUTE(SUBSTITUTE(SUBSTITUTE(SUBSTITUTE(TRIM($AR298),"-",""),".",""),"/","")," ",""),8),5,2),--MID(LEFT(SUBSTITUTE(SUBSTITUTE(SUBSTITUTE(SUBSTITUTE(TRIM($AR298),"-",""),".",""),"/","")," ",""),8),7,2)),"")))</f>
        <v/>
      </c>
      <c r="AT298" s="23">
        <f>IF($AS298="","",IF($F$6="",0,IF(ISNUMBER(INDEX($A:$AP,ROW(),$F$6)),INDEX($A:$AP,ROW(),$F$6),IFERROR(--SUBSTITUTE(SUBSTITUTE(TRIM(INDEX($A:$AP,ROW(),$F$6)),",",""),"원",""),0))))</f>
        <v/>
      </c>
      <c r="AU298" s="23">
        <f>IF($AS298="","",IF($G$6="",0,IF(ISNUMBER(INDEX($A:$AP,ROW(),$G$6)),INDEX($A:$AP,ROW(),$G$6),IFERROR(--SUBSTITUTE(SUBSTITUTE(TRIM(INDEX($A:$AP,ROW(),$G$6)),",",""),"원",""),0))))</f>
        <v/>
      </c>
      <c r="AV298" s="23">
        <f>IF($AS298="","",IF($H$6="",$AT298+$AU298,IF($H$6="",0,IF(ISNUMBER(INDEX($A:$AP,ROW(),$H$6)),INDEX($A:$AP,ROW(),$H$6),IFERROR(--SUBSTITUTE(SUBSTITUTE(TRIM(INDEX($A:$AP,ROW(),$H$6)),",",""),"원",""),0)))))</f>
        <v/>
      </c>
      <c r="AW298" s="2">
        <f>IF(OR($AS298="",$C$6=""),"",TRIM(INDEX($A:$AP,ROW(),$C$6)&amp;""))</f>
        <v/>
      </c>
      <c r="AX298" s="2">
        <f>IF($AS298="","",IF($AZ298&lt;&gt;"",SUBSTITUTE(SUBSTITUTE($AZ298,"-","")," ",""),$AY298))</f>
        <v/>
      </c>
      <c r="AY298" s="2">
        <f>IF(OR($AS298="",$E$6=""),"",TRIM(INDEX($A:$AP,ROW(),$E$6)&amp;""))</f>
        <v/>
      </c>
      <c r="AZ298" s="2">
        <f>IF(OR($AS298="",$D$6=""),"",TRIM(INDEX($A:$AP,ROW(),$D$6)&amp;""))</f>
        <v/>
      </c>
      <c r="BA298" s="2">
        <f>IF($AS298="","",IF(AND($AS298&gt;=설정!$B$10,$AS298&lt;=설정!$B$11),"포함","기간 밖"))</f>
        <v/>
      </c>
      <c r="BB298" s="2">
        <f>IF($AS298="","",IF(OR($AT298&lt;0,AND($I$6&lt;&gt;"",ISNUMBER(FIND("수정",INDEX($A:$AP,ROW(),IF($I$6="",1,$I$6))&amp;"")))),"수정","일반"))</f>
        <v/>
      </c>
      <c r="BC298" s="2">
        <f>IF($AS298="","",MID(IF($BA298="기간 밖"," / 기간 밖(신고기간 아님)","")&amp;IF(AND($AW298&lt;&gt;"",COUNTIF($AW$8:$AW$1007,$AW298)&gt;1)," / 승인번호 중복(두 번 붙여넣기?)","")&amp;IF(ABS($AU298-ROUND($AT298*0.1,0))&gt;설정!$B$8,IF($AU298=0," / 세액 0원(영세율·면세 여부 확인)"," / 세액이 공급가액 10%와 다름"),"")&amp;IF($BB298="수정"," / 수정세금계산서(합계에서 자동 가감)",""),4,200))</f>
        <v/>
      </c>
      <c r="BD298" s="2">
        <f>IF($BA298&lt;&gt;"포함","",IF(COUNTIFS($AX$8:$AX298,$AX298,$BA$8:$BA298,"포함")=1,MAX($BD$7:BD297)+1,""))</f>
        <v/>
      </c>
      <c r="BE298" s="2">
        <f>IF($BC298="","",MAX($BE$7:BE297)+1)</f>
        <v/>
      </c>
    </row>
    <row r="299">
      <c r="AR299" s="2">
        <f>IF(OR($A$5="",$B$6="",ROW()&lt;$A$5),"",IF(INDEX($A:$AP,ROW(),$B$6)="","",INDEX($A:$AP,ROW(),$B$6)))</f>
        <v/>
      </c>
      <c r="AS299" s="22">
        <f>IF($AR299="","",IF(ISNUMBER($AR299),IF($AR299&gt;=10000000,IFERROR(DATE(INT($AR299/10000),MOD(INT($AR299/100),100),MOD($AR299,100)),""),INT($AR299)),IFERROR(DATE(--LEFT(LEFT(SUBSTITUTE(SUBSTITUTE(SUBSTITUTE(SUBSTITUTE(TRIM($AR299),"-",""),".",""),"/","")," ",""),8),4),--MID(LEFT(SUBSTITUTE(SUBSTITUTE(SUBSTITUTE(SUBSTITUTE(TRIM($AR299),"-",""),".",""),"/","")," ",""),8),5,2),--MID(LEFT(SUBSTITUTE(SUBSTITUTE(SUBSTITUTE(SUBSTITUTE(TRIM($AR299),"-",""),".",""),"/","")," ",""),8),7,2)),"")))</f>
        <v/>
      </c>
      <c r="AT299" s="23">
        <f>IF($AS299="","",IF($F$6="",0,IF(ISNUMBER(INDEX($A:$AP,ROW(),$F$6)),INDEX($A:$AP,ROW(),$F$6),IFERROR(--SUBSTITUTE(SUBSTITUTE(TRIM(INDEX($A:$AP,ROW(),$F$6)),",",""),"원",""),0))))</f>
        <v/>
      </c>
      <c r="AU299" s="23">
        <f>IF($AS299="","",IF($G$6="",0,IF(ISNUMBER(INDEX($A:$AP,ROW(),$G$6)),INDEX($A:$AP,ROW(),$G$6),IFERROR(--SUBSTITUTE(SUBSTITUTE(TRIM(INDEX($A:$AP,ROW(),$G$6)),",",""),"원",""),0))))</f>
        <v/>
      </c>
      <c r="AV299" s="23">
        <f>IF($AS299="","",IF($H$6="",$AT299+$AU299,IF($H$6="",0,IF(ISNUMBER(INDEX($A:$AP,ROW(),$H$6)),INDEX($A:$AP,ROW(),$H$6),IFERROR(--SUBSTITUTE(SUBSTITUTE(TRIM(INDEX($A:$AP,ROW(),$H$6)),",",""),"원",""),0)))))</f>
        <v/>
      </c>
      <c r="AW299" s="2">
        <f>IF(OR($AS299="",$C$6=""),"",TRIM(INDEX($A:$AP,ROW(),$C$6)&amp;""))</f>
        <v/>
      </c>
      <c r="AX299" s="2">
        <f>IF($AS299="","",IF($AZ299&lt;&gt;"",SUBSTITUTE(SUBSTITUTE($AZ299,"-","")," ",""),$AY299))</f>
        <v/>
      </c>
      <c r="AY299" s="2">
        <f>IF(OR($AS299="",$E$6=""),"",TRIM(INDEX($A:$AP,ROW(),$E$6)&amp;""))</f>
        <v/>
      </c>
      <c r="AZ299" s="2">
        <f>IF(OR($AS299="",$D$6=""),"",TRIM(INDEX($A:$AP,ROW(),$D$6)&amp;""))</f>
        <v/>
      </c>
      <c r="BA299" s="2">
        <f>IF($AS299="","",IF(AND($AS299&gt;=설정!$B$10,$AS299&lt;=설정!$B$11),"포함","기간 밖"))</f>
        <v/>
      </c>
      <c r="BB299" s="2">
        <f>IF($AS299="","",IF(OR($AT299&lt;0,AND($I$6&lt;&gt;"",ISNUMBER(FIND("수정",INDEX($A:$AP,ROW(),IF($I$6="",1,$I$6))&amp;"")))),"수정","일반"))</f>
        <v/>
      </c>
      <c r="BC299" s="2">
        <f>IF($AS299="","",MID(IF($BA299="기간 밖"," / 기간 밖(신고기간 아님)","")&amp;IF(AND($AW299&lt;&gt;"",COUNTIF($AW$8:$AW$1007,$AW299)&gt;1)," / 승인번호 중복(두 번 붙여넣기?)","")&amp;IF(ABS($AU299-ROUND($AT299*0.1,0))&gt;설정!$B$8,IF($AU299=0," / 세액 0원(영세율·면세 여부 확인)"," / 세액이 공급가액 10%와 다름"),"")&amp;IF($BB299="수정"," / 수정세금계산서(합계에서 자동 가감)",""),4,200))</f>
        <v/>
      </c>
      <c r="BD299" s="2">
        <f>IF($BA299&lt;&gt;"포함","",IF(COUNTIFS($AX$8:$AX299,$AX299,$BA$8:$BA299,"포함")=1,MAX($BD$7:BD298)+1,""))</f>
        <v/>
      </c>
      <c r="BE299" s="2">
        <f>IF($BC299="","",MAX($BE$7:BE298)+1)</f>
        <v/>
      </c>
    </row>
    <row r="300">
      <c r="AR300" s="2">
        <f>IF(OR($A$5="",$B$6="",ROW()&lt;$A$5),"",IF(INDEX($A:$AP,ROW(),$B$6)="","",INDEX($A:$AP,ROW(),$B$6)))</f>
        <v/>
      </c>
      <c r="AS300" s="22">
        <f>IF($AR300="","",IF(ISNUMBER($AR300),IF($AR300&gt;=10000000,IFERROR(DATE(INT($AR300/10000),MOD(INT($AR300/100),100),MOD($AR300,100)),""),INT($AR300)),IFERROR(DATE(--LEFT(LEFT(SUBSTITUTE(SUBSTITUTE(SUBSTITUTE(SUBSTITUTE(TRIM($AR300),"-",""),".",""),"/","")," ",""),8),4),--MID(LEFT(SUBSTITUTE(SUBSTITUTE(SUBSTITUTE(SUBSTITUTE(TRIM($AR300),"-",""),".",""),"/","")," ",""),8),5,2),--MID(LEFT(SUBSTITUTE(SUBSTITUTE(SUBSTITUTE(SUBSTITUTE(TRIM($AR300),"-",""),".",""),"/","")," ",""),8),7,2)),"")))</f>
        <v/>
      </c>
      <c r="AT300" s="23">
        <f>IF($AS300="","",IF($F$6="",0,IF(ISNUMBER(INDEX($A:$AP,ROW(),$F$6)),INDEX($A:$AP,ROW(),$F$6),IFERROR(--SUBSTITUTE(SUBSTITUTE(TRIM(INDEX($A:$AP,ROW(),$F$6)),",",""),"원",""),0))))</f>
        <v/>
      </c>
      <c r="AU300" s="23">
        <f>IF($AS300="","",IF($G$6="",0,IF(ISNUMBER(INDEX($A:$AP,ROW(),$G$6)),INDEX($A:$AP,ROW(),$G$6),IFERROR(--SUBSTITUTE(SUBSTITUTE(TRIM(INDEX($A:$AP,ROW(),$G$6)),",",""),"원",""),0))))</f>
        <v/>
      </c>
      <c r="AV300" s="23">
        <f>IF($AS300="","",IF($H$6="",$AT300+$AU300,IF($H$6="",0,IF(ISNUMBER(INDEX($A:$AP,ROW(),$H$6)),INDEX($A:$AP,ROW(),$H$6),IFERROR(--SUBSTITUTE(SUBSTITUTE(TRIM(INDEX($A:$AP,ROW(),$H$6)),",",""),"원",""),0)))))</f>
        <v/>
      </c>
      <c r="AW300" s="2">
        <f>IF(OR($AS300="",$C$6=""),"",TRIM(INDEX($A:$AP,ROW(),$C$6)&amp;""))</f>
        <v/>
      </c>
      <c r="AX300" s="2">
        <f>IF($AS300="","",IF($AZ300&lt;&gt;"",SUBSTITUTE(SUBSTITUTE($AZ300,"-","")," ",""),$AY300))</f>
        <v/>
      </c>
      <c r="AY300" s="2">
        <f>IF(OR($AS300="",$E$6=""),"",TRIM(INDEX($A:$AP,ROW(),$E$6)&amp;""))</f>
        <v/>
      </c>
      <c r="AZ300" s="2">
        <f>IF(OR($AS300="",$D$6=""),"",TRIM(INDEX($A:$AP,ROW(),$D$6)&amp;""))</f>
        <v/>
      </c>
      <c r="BA300" s="2">
        <f>IF($AS300="","",IF(AND($AS300&gt;=설정!$B$10,$AS300&lt;=설정!$B$11),"포함","기간 밖"))</f>
        <v/>
      </c>
      <c r="BB300" s="2">
        <f>IF($AS300="","",IF(OR($AT300&lt;0,AND($I$6&lt;&gt;"",ISNUMBER(FIND("수정",INDEX($A:$AP,ROW(),IF($I$6="",1,$I$6))&amp;"")))),"수정","일반"))</f>
        <v/>
      </c>
      <c r="BC300" s="2">
        <f>IF($AS300="","",MID(IF($BA300="기간 밖"," / 기간 밖(신고기간 아님)","")&amp;IF(AND($AW300&lt;&gt;"",COUNTIF($AW$8:$AW$1007,$AW300)&gt;1)," / 승인번호 중복(두 번 붙여넣기?)","")&amp;IF(ABS($AU300-ROUND($AT300*0.1,0))&gt;설정!$B$8,IF($AU300=0," / 세액 0원(영세율·면세 여부 확인)"," / 세액이 공급가액 10%와 다름"),"")&amp;IF($BB300="수정"," / 수정세금계산서(합계에서 자동 가감)",""),4,200))</f>
        <v/>
      </c>
      <c r="BD300" s="2">
        <f>IF($BA300&lt;&gt;"포함","",IF(COUNTIFS($AX$8:$AX300,$AX300,$BA$8:$BA300,"포함")=1,MAX($BD$7:BD299)+1,""))</f>
        <v/>
      </c>
      <c r="BE300" s="2">
        <f>IF($BC300="","",MAX($BE$7:BE299)+1)</f>
        <v/>
      </c>
    </row>
    <row r="301">
      <c r="AR301" s="2">
        <f>IF(OR($A$5="",$B$6="",ROW()&lt;$A$5),"",IF(INDEX($A:$AP,ROW(),$B$6)="","",INDEX($A:$AP,ROW(),$B$6)))</f>
        <v/>
      </c>
      <c r="AS301" s="22">
        <f>IF($AR301="","",IF(ISNUMBER($AR301),IF($AR301&gt;=10000000,IFERROR(DATE(INT($AR301/10000),MOD(INT($AR301/100),100),MOD($AR301,100)),""),INT($AR301)),IFERROR(DATE(--LEFT(LEFT(SUBSTITUTE(SUBSTITUTE(SUBSTITUTE(SUBSTITUTE(TRIM($AR301),"-",""),".",""),"/","")," ",""),8),4),--MID(LEFT(SUBSTITUTE(SUBSTITUTE(SUBSTITUTE(SUBSTITUTE(TRIM($AR301),"-",""),".",""),"/","")," ",""),8),5,2),--MID(LEFT(SUBSTITUTE(SUBSTITUTE(SUBSTITUTE(SUBSTITUTE(TRIM($AR301),"-",""),".",""),"/","")," ",""),8),7,2)),"")))</f>
        <v/>
      </c>
      <c r="AT301" s="23">
        <f>IF($AS301="","",IF($F$6="",0,IF(ISNUMBER(INDEX($A:$AP,ROW(),$F$6)),INDEX($A:$AP,ROW(),$F$6),IFERROR(--SUBSTITUTE(SUBSTITUTE(TRIM(INDEX($A:$AP,ROW(),$F$6)),",",""),"원",""),0))))</f>
        <v/>
      </c>
      <c r="AU301" s="23">
        <f>IF($AS301="","",IF($G$6="",0,IF(ISNUMBER(INDEX($A:$AP,ROW(),$G$6)),INDEX($A:$AP,ROW(),$G$6),IFERROR(--SUBSTITUTE(SUBSTITUTE(TRIM(INDEX($A:$AP,ROW(),$G$6)),",",""),"원",""),0))))</f>
        <v/>
      </c>
      <c r="AV301" s="23">
        <f>IF($AS301="","",IF($H$6="",$AT301+$AU301,IF($H$6="",0,IF(ISNUMBER(INDEX($A:$AP,ROW(),$H$6)),INDEX($A:$AP,ROW(),$H$6),IFERROR(--SUBSTITUTE(SUBSTITUTE(TRIM(INDEX($A:$AP,ROW(),$H$6)),",",""),"원",""),0)))))</f>
        <v/>
      </c>
      <c r="AW301" s="2">
        <f>IF(OR($AS301="",$C$6=""),"",TRIM(INDEX($A:$AP,ROW(),$C$6)&amp;""))</f>
        <v/>
      </c>
      <c r="AX301" s="2">
        <f>IF($AS301="","",IF($AZ301&lt;&gt;"",SUBSTITUTE(SUBSTITUTE($AZ301,"-","")," ",""),$AY301))</f>
        <v/>
      </c>
      <c r="AY301" s="2">
        <f>IF(OR($AS301="",$E$6=""),"",TRIM(INDEX($A:$AP,ROW(),$E$6)&amp;""))</f>
        <v/>
      </c>
      <c r="AZ301" s="2">
        <f>IF(OR($AS301="",$D$6=""),"",TRIM(INDEX($A:$AP,ROW(),$D$6)&amp;""))</f>
        <v/>
      </c>
      <c r="BA301" s="2">
        <f>IF($AS301="","",IF(AND($AS301&gt;=설정!$B$10,$AS301&lt;=설정!$B$11),"포함","기간 밖"))</f>
        <v/>
      </c>
      <c r="BB301" s="2">
        <f>IF($AS301="","",IF(OR($AT301&lt;0,AND($I$6&lt;&gt;"",ISNUMBER(FIND("수정",INDEX($A:$AP,ROW(),IF($I$6="",1,$I$6))&amp;"")))),"수정","일반"))</f>
        <v/>
      </c>
      <c r="BC301" s="2">
        <f>IF($AS301="","",MID(IF($BA301="기간 밖"," / 기간 밖(신고기간 아님)","")&amp;IF(AND($AW301&lt;&gt;"",COUNTIF($AW$8:$AW$1007,$AW301)&gt;1)," / 승인번호 중복(두 번 붙여넣기?)","")&amp;IF(ABS($AU301-ROUND($AT301*0.1,0))&gt;설정!$B$8,IF($AU301=0," / 세액 0원(영세율·면세 여부 확인)"," / 세액이 공급가액 10%와 다름"),"")&amp;IF($BB301="수정"," / 수정세금계산서(합계에서 자동 가감)",""),4,200))</f>
        <v/>
      </c>
      <c r="BD301" s="2">
        <f>IF($BA301&lt;&gt;"포함","",IF(COUNTIFS($AX$8:$AX301,$AX301,$BA$8:$BA301,"포함")=1,MAX($BD$7:BD300)+1,""))</f>
        <v/>
      </c>
      <c r="BE301" s="2">
        <f>IF($BC301="","",MAX($BE$7:BE300)+1)</f>
        <v/>
      </c>
    </row>
    <row r="302">
      <c r="AR302" s="2">
        <f>IF(OR($A$5="",$B$6="",ROW()&lt;$A$5),"",IF(INDEX($A:$AP,ROW(),$B$6)="","",INDEX($A:$AP,ROW(),$B$6)))</f>
        <v/>
      </c>
      <c r="AS302" s="22">
        <f>IF($AR302="","",IF(ISNUMBER($AR302),IF($AR302&gt;=10000000,IFERROR(DATE(INT($AR302/10000),MOD(INT($AR302/100),100),MOD($AR302,100)),""),INT($AR302)),IFERROR(DATE(--LEFT(LEFT(SUBSTITUTE(SUBSTITUTE(SUBSTITUTE(SUBSTITUTE(TRIM($AR302),"-",""),".",""),"/","")," ",""),8),4),--MID(LEFT(SUBSTITUTE(SUBSTITUTE(SUBSTITUTE(SUBSTITUTE(TRIM($AR302),"-",""),".",""),"/","")," ",""),8),5,2),--MID(LEFT(SUBSTITUTE(SUBSTITUTE(SUBSTITUTE(SUBSTITUTE(TRIM($AR302),"-",""),".",""),"/","")," ",""),8),7,2)),"")))</f>
        <v/>
      </c>
      <c r="AT302" s="23">
        <f>IF($AS302="","",IF($F$6="",0,IF(ISNUMBER(INDEX($A:$AP,ROW(),$F$6)),INDEX($A:$AP,ROW(),$F$6),IFERROR(--SUBSTITUTE(SUBSTITUTE(TRIM(INDEX($A:$AP,ROW(),$F$6)),",",""),"원",""),0))))</f>
        <v/>
      </c>
      <c r="AU302" s="23">
        <f>IF($AS302="","",IF($G$6="",0,IF(ISNUMBER(INDEX($A:$AP,ROW(),$G$6)),INDEX($A:$AP,ROW(),$G$6),IFERROR(--SUBSTITUTE(SUBSTITUTE(TRIM(INDEX($A:$AP,ROW(),$G$6)),",",""),"원",""),0))))</f>
        <v/>
      </c>
      <c r="AV302" s="23">
        <f>IF($AS302="","",IF($H$6="",$AT302+$AU302,IF($H$6="",0,IF(ISNUMBER(INDEX($A:$AP,ROW(),$H$6)),INDEX($A:$AP,ROW(),$H$6),IFERROR(--SUBSTITUTE(SUBSTITUTE(TRIM(INDEX($A:$AP,ROW(),$H$6)),",",""),"원",""),0)))))</f>
        <v/>
      </c>
      <c r="AW302" s="2">
        <f>IF(OR($AS302="",$C$6=""),"",TRIM(INDEX($A:$AP,ROW(),$C$6)&amp;""))</f>
        <v/>
      </c>
      <c r="AX302" s="2">
        <f>IF($AS302="","",IF($AZ302&lt;&gt;"",SUBSTITUTE(SUBSTITUTE($AZ302,"-","")," ",""),$AY302))</f>
        <v/>
      </c>
      <c r="AY302" s="2">
        <f>IF(OR($AS302="",$E$6=""),"",TRIM(INDEX($A:$AP,ROW(),$E$6)&amp;""))</f>
        <v/>
      </c>
      <c r="AZ302" s="2">
        <f>IF(OR($AS302="",$D$6=""),"",TRIM(INDEX($A:$AP,ROW(),$D$6)&amp;""))</f>
        <v/>
      </c>
      <c r="BA302" s="2">
        <f>IF($AS302="","",IF(AND($AS302&gt;=설정!$B$10,$AS302&lt;=설정!$B$11),"포함","기간 밖"))</f>
        <v/>
      </c>
      <c r="BB302" s="2">
        <f>IF($AS302="","",IF(OR($AT302&lt;0,AND($I$6&lt;&gt;"",ISNUMBER(FIND("수정",INDEX($A:$AP,ROW(),IF($I$6="",1,$I$6))&amp;"")))),"수정","일반"))</f>
        <v/>
      </c>
      <c r="BC302" s="2">
        <f>IF($AS302="","",MID(IF($BA302="기간 밖"," / 기간 밖(신고기간 아님)","")&amp;IF(AND($AW302&lt;&gt;"",COUNTIF($AW$8:$AW$1007,$AW302)&gt;1)," / 승인번호 중복(두 번 붙여넣기?)","")&amp;IF(ABS($AU302-ROUND($AT302*0.1,0))&gt;설정!$B$8,IF($AU302=0," / 세액 0원(영세율·면세 여부 확인)"," / 세액이 공급가액 10%와 다름"),"")&amp;IF($BB302="수정"," / 수정세금계산서(합계에서 자동 가감)",""),4,200))</f>
        <v/>
      </c>
      <c r="BD302" s="2">
        <f>IF($BA302&lt;&gt;"포함","",IF(COUNTIFS($AX$8:$AX302,$AX302,$BA$8:$BA302,"포함")=1,MAX($BD$7:BD301)+1,""))</f>
        <v/>
      </c>
      <c r="BE302" s="2">
        <f>IF($BC302="","",MAX($BE$7:BE301)+1)</f>
        <v/>
      </c>
    </row>
    <row r="303">
      <c r="AR303" s="2">
        <f>IF(OR($A$5="",$B$6="",ROW()&lt;$A$5),"",IF(INDEX($A:$AP,ROW(),$B$6)="","",INDEX($A:$AP,ROW(),$B$6)))</f>
        <v/>
      </c>
      <c r="AS303" s="22">
        <f>IF($AR303="","",IF(ISNUMBER($AR303),IF($AR303&gt;=10000000,IFERROR(DATE(INT($AR303/10000),MOD(INT($AR303/100),100),MOD($AR303,100)),""),INT($AR303)),IFERROR(DATE(--LEFT(LEFT(SUBSTITUTE(SUBSTITUTE(SUBSTITUTE(SUBSTITUTE(TRIM($AR303),"-",""),".",""),"/","")," ",""),8),4),--MID(LEFT(SUBSTITUTE(SUBSTITUTE(SUBSTITUTE(SUBSTITUTE(TRIM($AR303),"-",""),".",""),"/","")," ",""),8),5,2),--MID(LEFT(SUBSTITUTE(SUBSTITUTE(SUBSTITUTE(SUBSTITUTE(TRIM($AR303),"-",""),".",""),"/","")," ",""),8),7,2)),"")))</f>
        <v/>
      </c>
      <c r="AT303" s="23">
        <f>IF($AS303="","",IF($F$6="",0,IF(ISNUMBER(INDEX($A:$AP,ROW(),$F$6)),INDEX($A:$AP,ROW(),$F$6),IFERROR(--SUBSTITUTE(SUBSTITUTE(TRIM(INDEX($A:$AP,ROW(),$F$6)),",",""),"원",""),0))))</f>
        <v/>
      </c>
      <c r="AU303" s="23">
        <f>IF($AS303="","",IF($G$6="",0,IF(ISNUMBER(INDEX($A:$AP,ROW(),$G$6)),INDEX($A:$AP,ROW(),$G$6),IFERROR(--SUBSTITUTE(SUBSTITUTE(TRIM(INDEX($A:$AP,ROW(),$G$6)),",",""),"원",""),0))))</f>
        <v/>
      </c>
      <c r="AV303" s="23">
        <f>IF($AS303="","",IF($H$6="",$AT303+$AU303,IF($H$6="",0,IF(ISNUMBER(INDEX($A:$AP,ROW(),$H$6)),INDEX($A:$AP,ROW(),$H$6),IFERROR(--SUBSTITUTE(SUBSTITUTE(TRIM(INDEX($A:$AP,ROW(),$H$6)),",",""),"원",""),0)))))</f>
        <v/>
      </c>
      <c r="AW303" s="2">
        <f>IF(OR($AS303="",$C$6=""),"",TRIM(INDEX($A:$AP,ROW(),$C$6)&amp;""))</f>
        <v/>
      </c>
      <c r="AX303" s="2">
        <f>IF($AS303="","",IF($AZ303&lt;&gt;"",SUBSTITUTE(SUBSTITUTE($AZ303,"-","")," ",""),$AY303))</f>
        <v/>
      </c>
      <c r="AY303" s="2">
        <f>IF(OR($AS303="",$E$6=""),"",TRIM(INDEX($A:$AP,ROW(),$E$6)&amp;""))</f>
        <v/>
      </c>
      <c r="AZ303" s="2">
        <f>IF(OR($AS303="",$D$6=""),"",TRIM(INDEX($A:$AP,ROW(),$D$6)&amp;""))</f>
        <v/>
      </c>
      <c r="BA303" s="2">
        <f>IF($AS303="","",IF(AND($AS303&gt;=설정!$B$10,$AS303&lt;=설정!$B$11),"포함","기간 밖"))</f>
        <v/>
      </c>
      <c r="BB303" s="2">
        <f>IF($AS303="","",IF(OR($AT303&lt;0,AND($I$6&lt;&gt;"",ISNUMBER(FIND("수정",INDEX($A:$AP,ROW(),IF($I$6="",1,$I$6))&amp;"")))),"수정","일반"))</f>
        <v/>
      </c>
      <c r="BC303" s="2">
        <f>IF($AS303="","",MID(IF($BA303="기간 밖"," / 기간 밖(신고기간 아님)","")&amp;IF(AND($AW303&lt;&gt;"",COUNTIF($AW$8:$AW$1007,$AW303)&gt;1)," / 승인번호 중복(두 번 붙여넣기?)","")&amp;IF(ABS($AU303-ROUND($AT303*0.1,0))&gt;설정!$B$8,IF($AU303=0," / 세액 0원(영세율·면세 여부 확인)"," / 세액이 공급가액 10%와 다름"),"")&amp;IF($BB303="수정"," / 수정세금계산서(합계에서 자동 가감)",""),4,200))</f>
        <v/>
      </c>
      <c r="BD303" s="2">
        <f>IF($BA303&lt;&gt;"포함","",IF(COUNTIFS($AX$8:$AX303,$AX303,$BA$8:$BA303,"포함")=1,MAX($BD$7:BD302)+1,""))</f>
        <v/>
      </c>
      <c r="BE303" s="2">
        <f>IF($BC303="","",MAX($BE$7:BE302)+1)</f>
        <v/>
      </c>
    </row>
    <row r="304">
      <c r="AR304" s="2">
        <f>IF(OR($A$5="",$B$6="",ROW()&lt;$A$5),"",IF(INDEX($A:$AP,ROW(),$B$6)="","",INDEX($A:$AP,ROW(),$B$6)))</f>
        <v/>
      </c>
      <c r="AS304" s="22">
        <f>IF($AR304="","",IF(ISNUMBER($AR304),IF($AR304&gt;=10000000,IFERROR(DATE(INT($AR304/10000),MOD(INT($AR304/100),100),MOD($AR304,100)),""),INT($AR304)),IFERROR(DATE(--LEFT(LEFT(SUBSTITUTE(SUBSTITUTE(SUBSTITUTE(SUBSTITUTE(TRIM($AR304),"-",""),".",""),"/","")," ",""),8),4),--MID(LEFT(SUBSTITUTE(SUBSTITUTE(SUBSTITUTE(SUBSTITUTE(TRIM($AR304),"-",""),".",""),"/","")," ",""),8),5,2),--MID(LEFT(SUBSTITUTE(SUBSTITUTE(SUBSTITUTE(SUBSTITUTE(TRIM($AR304),"-",""),".",""),"/","")," ",""),8),7,2)),"")))</f>
        <v/>
      </c>
      <c r="AT304" s="23">
        <f>IF($AS304="","",IF($F$6="",0,IF(ISNUMBER(INDEX($A:$AP,ROW(),$F$6)),INDEX($A:$AP,ROW(),$F$6),IFERROR(--SUBSTITUTE(SUBSTITUTE(TRIM(INDEX($A:$AP,ROW(),$F$6)),",",""),"원",""),0))))</f>
        <v/>
      </c>
      <c r="AU304" s="23">
        <f>IF($AS304="","",IF($G$6="",0,IF(ISNUMBER(INDEX($A:$AP,ROW(),$G$6)),INDEX($A:$AP,ROW(),$G$6),IFERROR(--SUBSTITUTE(SUBSTITUTE(TRIM(INDEX($A:$AP,ROW(),$G$6)),",",""),"원",""),0))))</f>
        <v/>
      </c>
      <c r="AV304" s="23">
        <f>IF($AS304="","",IF($H$6="",$AT304+$AU304,IF($H$6="",0,IF(ISNUMBER(INDEX($A:$AP,ROW(),$H$6)),INDEX($A:$AP,ROW(),$H$6),IFERROR(--SUBSTITUTE(SUBSTITUTE(TRIM(INDEX($A:$AP,ROW(),$H$6)),",",""),"원",""),0)))))</f>
        <v/>
      </c>
      <c r="AW304" s="2">
        <f>IF(OR($AS304="",$C$6=""),"",TRIM(INDEX($A:$AP,ROW(),$C$6)&amp;""))</f>
        <v/>
      </c>
      <c r="AX304" s="2">
        <f>IF($AS304="","",IF($AZ304&lt;&gt;"",SUBSTITUTE(SUBSTITUTE($AZ304,"-","")," ",""),$AY304))</f>
        <v/>
      </c>
      <c r="AY304" s="2">
        <f>IF(OR($AS304="",$E$6=""),"",TRIM(INDEX($A:$AP,ROW(),$E$6)&amp;""))</f>
        <v/>
      </c>
      <c r="AZ304" s="2">
        <f>IF(OR($AS304="",$D$6=""),"",TRIM(INDEX($A:$AP,ROW(),$D$6)&amp;""))</f>
        <v/>
      </c>
      <c r="BA304" s="2">
        <f>IF($AS304="","",IF(AND($AS304&gt;=설정!$B$10,$AS304&lt;=설정!$B$11),"포함","기간 밖"))</f>
        <v/>
      </c>
      <c r="BB304" s="2">
        <f>IF($AS304="","",IF(OR($AT304&lt;0,AND($I$6&lt;&gt;"",ISNUMBER(FIND("수정",INDEX($A:$AP,ROW(),IF($I$6="",1,$I$6))&amp;"")))),"수정","일반"))</f>
        <v/>
      </c>
      <c r="BC304" s="2">
        <f>IF($AS304="","",MID(IF($BA304="기간 밖"," / 기간 밖(신고기간 아님)","")&amp;IF(AND($AW304&lt;&gt;"",COUNTIF($AW$8:$AW$1007,$AW304)&gt;1)," / 승인번호 중복(두 번 붙여넣기?)","")&amp;IF(ABS($AU304-ROUND($AT304*0.1,0))&gt;설정!$B$8,IF($AU304=0," / 세액 0원(영세율·면세 여부 확인)"," / 세액이 공급가액 10%와 다름"),"")&amp;IF($BB304="수정"," / 수정세금계산서(합계에서 자동 가감)",""),4,200))</f>
        <v/>
      </c>
      <c r="BD304" s="2">
        <f>IF($BA304&lt;&gt;"포함","",IF(COUNTIFS($AX$8:$AX304,$AX304,$BA$8:$BA304,"포함")=1,MAX($BD$7:BD303)+1,""))</f>
        <v/>
      </c>
      <c r="BE304" s="2">
        <f>IF($BC304="","",MAX($BE$7:BE303)+1)</f>
        <v/>
      </c>
    </row>
    <row r="305">
      <c r="AR305" s="2">
        <f>IF(OR($A$5="",$B$6="",ROW()&lt;$A$5),"",IF(INDEX($A:$AP,ROW(),$B$6)="","",INDEX($A:$AP,ROW(),$B$6)))</f>
        <v/>
      </c>
      <c r="AS305" s="22">
        <f>IF($AR305="","",IF(ISNUMBER($AR305),IF($AR305&gt;=10000000,IFERROR(DATE(INT($AR305/10000),MOD(INT($AR305/100),100),MOD($AR305,100)),""),INT($AR305)),IFERROR(DATE(--LEFT(LEFT(SUBSTITUTE(SUBSTITUTE(SUBSTITUTE(SUBSTITUTE(TRIM($AR305),"-",""),".",""),"/","")," ",""),8),4),--MID(LEFT(SUBSTITUTE(SUBSTITUTE(SUBSTITUTE(SUBSTITUTE(TRIM($AR305),"-",""),".",""),"/","")," ",""),8),5,2),--MID(LEFT(SUBSTITUTE(SUBSTITUTE(SUBSTITUTE(SUBSTITUTE(TRIM($AR305),"-",""),".",""),"/","")," ",""),8),7,2)),"")))</f>
        <v/>
      </c>
      <c r="AT305" s="23">
        <f>IF($AS305="","",IF($F$6="",0,IF(ISNUMBER(INDEX($A:$AP,ROW(),$F$6)),INDEX($A:$AP,ROW(),$F$6),IFERROR(--SUBSTITUTE(SUBSTITUTE(TRIM(INDEX($A:$AP,ROW(),$F$6)),",",""),"원",""),0))))</f>
        <v/>
      </c>
      <c r="AU305" s="23">
        <f>IF($AS305="","",IF($G$6="",0,IF(ISNUMBER(INDEX($A:$AP,ROW(),$G$6)),INDEX($A:$AP,ROW(),$G$6),IFERROR(--SUBSTITUTE(SUBSTITUTE(TRIM(INDEX($A:$AP,ROW(),$G$6)),",",""),"원",""),0))))</f>
        <v/>
      </c>
      <c r="AV305" s="23">
        <f>IF($AS305="","",IF($H$6="",$AT305+$AU305,IF($H$6="",0,IF(ISNUMBER(INDEX($A:$AP,ROW(),$H$6)),INDEX($A:$AP,ROW(),$H$6),IFERROR(--SUBSTITUTE(SUBSTITUTE(TRIM(INDEX($A:$AP,ROW(),$H$6)),",",""),"원",""),0)))))</f>
        <v/>
      </c>
      <c r="AW305" s="2">
        <f>IF(OR($AS305="",$C$6=""),"",TRIM(INDEX($A:$AP,ROW(),$C$6)&amp;""))</f>
        <v/>
      </c>
      <c r="AX305" s="2">
        <f>IF($AS305="","",IF($AZ305&lt;&gt;"",SUBSTITUTE(SUBSTITUTE($AZ305,"-","")," ",""),$AY305))</f>
        <v/>
      </c>
      <c r="AY305" s="2">
        <f>IF(OR($AS305="",$E$6=""),"",TRIM(INDEX($A:$AP,ROW(),$E$6)&amp;""))</f>
        <v/>
      </c>
      <c r="AZ305" s="2">
        <f>IF(OR($AS305="",$D$6=""),"",TRIM(INDEX($A:$AP,ROW(),$D$6)&amp;""))</f>
        <v/>
      </c>
      <c r="BA305" s="2">
        <f>IF($AS305="","",IF(AND($AS305&gt;=설정!$B$10,$AS305&lt;=설정!$B$11),"포함","기간 밖"))</f>
        <v/>
      </c>
      <c r="BB305" s="2">
        <f>IF($AS305="","",IF(OR($AT305&lt;0,AND($I$6&lt;&gt;"",ISNUMBER(FIND("수정",INDEX($A:$AP,ROW(),IF($I$6="",1,$I$6))&amp;"")))),"수정","일반"))</f>
        <v/>
      </c>
      <c r="BC305" s="2">
        <f>IF($AS305="","",MID(IF($BA305="기간 밖"," / 기간 밖(신고기간 아님)","")&amp;IF(AND($AW305&lt;&gt;"",COUNTIF($AW$8:$AW$1007,$AW305)&gt;1)," / 승인번호 중복(두 번 붙여넣기?)","")&amp;IF(ABS($AU305-ROUND($AT305*0.1,0))&gt;설정!$B$8,IF($AU305=0," / 세액 0원(영세율·면세 여부 확인)"," / 세액이 공급가액 10%와 다름"),"")&amp;IF($BB305="수정"," / 수정세금계산서(합계에서 자동 가감)",""),4,200))</f>
        <v/>
      </c>
      <c r="BD305" s="2">
        <f>IF($BA305&lt;&gt;"포함","",IF(COUNTIFS($AX$8:$AX305,$AX305,$BA$8:$BA305,"포함")=1,MAX($BD$7:BD304)+1,""))</f>
        <v/>
      </c>
      <c r="BE305" s="2">
        <f>IF($BC305="","",MAX($BE$7:BE304)+1)</f>
        <v/>
      </c>
    </row>
    <row r="306">
      <c r="AR306" s="2">
        <f>IF(OR($A$5="",$B$6="",ROW()&lt;$A$5),"",IF(INDEX($A:$AP,ROW(),$B$6)="","",INDEX($A:$AP,ROW(),$B$6)))</f>
        <v/>
      </c>
      <c r="AS306" s="22">
        <f>IF($AR306="","",IF(ISNUMBER($AR306),IF($AR306&gt;=10000000,IFERROR(DATE(INT($AR306/10000),MOD(INT($AR306/100),100),MOD($AR306,100)),""),INT($AR306)),IFERROR(DATE(--LEFT(LEFT(SUBSTITUTE(SUBSTITUTE(SUBSTITUTE(SUBSTITUTE(TRIM($AR306),"-",""),".",""),"/","")," ",""),8),4),--MID(LEFT(SUBSTITUTE(SUBSTITUTE(SUBSTITUTE(SUBSTITUTE(TRIM($AR306),"-",""),".",""),"/","")," ",""),8),5,2),--MID(LEFT(SUBSTITUTE(SUBSTITUTE(SUBSTITUTE(SUBSTITUTE(TRIM($AR306),"-",""),".",""),"/","")," ",""),8),7,2)),"")))</f>
        <v/>
      </c>
      <c r="AT306" s="23">
        <f>IF($AS306="","",IF($F$6="",0,IF(ISNUMBER(INDEX($A:$AP,ROW(),$F$6)),INDEX($A:$AP,ROW(),$F$6),IFERROR(--SUBSTITUTE(SUBSTITUTE(TRIM(INDEX($A:$AP,ROW(),$F$6)),",",""),"원",""),0))))</f>
        <v/>
      </c>
      <c r="AU306" s="23">
        <f>IF($AS306="","",IF($G$6="",0,IF(ISNUMBER(INDEX($A:$AP,ROW(),$G$6)),INDEX($A:$AP,ROW(),$G$6),IFERROR(--SUBSTITUTE(SUBSTITUTE(TRIM(INDEX($A:$AP,ROW(),$G$6)),",",""),"원",""),0))))</f>
        <v/>
      </c>
      <c r="AV306" s="23">
        <f>IF($AS306="","",IF($H$6="",$AT306+$AU306,IF($H$6="",0,IF(ISNUMBER(INDEX($A:$AP,ROW(),$H$6)),INDEX($A:$AP,ROW(),$H$6),IFERROR(--SUBSTITUTE(SUBSTITUTE(TRIM(INDEX($A:$AP,ROW(),$H$6)),",",""),"원",""),0)))))</f>
        <v/>
      </c>
      <c r="AW306" s="2">
        <f>IF(OR($AS306="",$C$6=""),"",TRIM(INDEX($A:$AP,ROW(),$C$6)&amp;""))</f>
        <v/>
      </c>
      <c r="AX306" s="2">
        <f>IF($AS306="","",IF($AZ306&lt;&gt;"",SUBSTITUTE(SUBSTITUTE($AZ306,"-","")," ",""),$AY306))</f>
        <v/>
      </c>
      <c r="AY306" s="2">
        <f>IF(OR($AS306="",$E$6=""),"",TRIM(INDEX($A:$AP,ROW(),$E$6)&amp;""))</f>
        <v/>
      </c>
      <c r="AZ306" s="2">
        <f>IF(OR($AS306="",$D$6=""),"",TRIM(INDEX($A:$AP,ROW(),$D$6)&amp;""))</f>
        <v/>
      </c>
      <c r="BA306" s="2">
        <f>IF($AS306="","",IF(AND($AS306&gt;=설정!$B$10,$AS306&lt;=설정!$B$11),"포함","기간 밖"))</f>
        <v/>
      </c>
      <c r="BB306" s="2">
        <f>IF($AS306="","",IF(OR($AT306&lt;0,AND($I$6&lt;&gt;"",ISNUMBER(FIND("수정",INDEX($A:$AP,ROW(),IF($I$6="",1,$I$6))&amp;"")))),"수정","일반"))</f>
        <v/>
      </c>
      <c r="BC306" s="2">
        <f>IF($AS306="","",MID(IF($BA306="기간 밖"," / 기간 밖(신고기간 아님)","")&amp;IF(AND($AW306&lt;&gt;"",COUNTIF($AW$8:$AW$1007,$AW306)&gt;1)," / 승인번호 중복(두 번 붙여넣기?)","")&amp;IF(ABS($AU306-ROUND($AT306*0.1,0))&gt;설정!$B$8,IF($AU306=0," / 세액 0원(영세율·면세 여부 확인)"," / 세액이 공급가액 10%와 다름"),"")&amp;IF($BB306="수정"," / 수정세금계산서(합계에서 자동 가감)",""),4,200))</f>
        <v/>
      </c>
      <c r="BD306" s="2">
        <f>IF($BA306&lt;&gt;"포함","",IF(COUNTIFS($AX$8:$AX306,$AX306,$BA$8:$BA306,"포함")=1,MAX($BD$7:BD305)+1,""))</f>
        <v/>
      </c>
      <c r="BE306" s="2">
        <f>IF($BC306="","",MAX($BE$7:BE305)+1)</f>
        <v/>
      </c>
    </row>
    <row r="307">
      <c r="AR307" s="2">
        <f>IF(OR($A$5="",$B$6="",ROW()&lt;$A$5),"",IF(INDEX($A:$AP,ROW(),$B$6)="","",INDEX($A:$AP,ROW(),$B$6)))</f>
        <v/>
      </c>
      <c r="AS307" s="22">
        <f>IF($AR307="","",IF(ISNUMBER($AR307),IF($AR307&gt;=10000000,IFERROR(DATE(INT($AR307/10000),MOD(INT($AR307/100),100),MOD($AR307,100)),""),INT($AR307)),IFERROR(DATE(--LEFT(LEFT(SUBSTITUTE(SUBSTITUTE(SUBSTITUTE(SUBSTITUTE(TRIM($AR307),"-",""),".",""),"/","")," ",""),8),4),--MID(LEFT(SUBSTITUTE(SUBSTITUTE(SUBSTITUTE(SUBSTITUTE(TRIM($AR307),"-",""),".",""),"/","")," ",""),8),5,2),--MID(LEFT(SUBSTITUTE(SUBSTITUTE(SUBSTITUTE(SUBSTITUTE(TRIM($AR307),"-",""),".",""),"/","")," ",""),8),7,2)),"")))</f>
        <v/>
      </c>
      <c r="AT307" s="23">
        <f>IF($AS307="","",IF($F$6="",0,IF(ISNUMBER(INDEX($A:$AP,ROW(),$F$6)),INDEX($A:$AP,ROW(),$F$6),IFERROR(--SUBSTITUTE(SUBSTITUTE(TRIM(INDEX($A:$AP,ROW(),$F$6)),",",""),"원",""),0))))</f>
        <v/>
      </c>
      <c r="AU307" s="23">
        <f>IF($AS307="","",IF($G$6="",0,IF(ISNUMBER(INDEX($A:$AP,ROW(),$G$6)),INDEX($A:$AP,ROW(),$G$6),IFERROR(--SUBSTITUTE(SUBSTITUTE(TRIM(INDEX($A:$AP,ROW(),$G$6)),",",""),"원",""),0))))</f>
        <v/>
      </c>
      <c r="AV307" s="23">
        <f>IF($AS307="","",IF($H$6="",$AT307+$AU307,IF($H$6="",0,IF(ISNUMBER(INDEX($A:$AP,ROW(),$H$6)),INDEX($A:$AP,ROW(),$H$6),IFERROR(--SUBSTITUTE(SUBSTITUTE(TRIM(INDEX($A:$AP,ROW(),$H$6)),",",""),"원",""),0)))))</f>
        <v/>
      </c>
      <c r="AW307" s="2">
        <f>IF(OR($AS307="",$C$6=""),"",TRIM(INDEX($A:$AP,ROW(),$C$6)&amp;""))</f>
        <v/>
      </c>
      <c r="AX307" s="2">
        <f>IF($AS307="","",IF($AZ307&lt;&gt;"",SUBSTITUTE(SUBSTITUTE($AZ307,"-","")," ",""),$AY307))</f>
        <v/>
      </c>
      <c r="AY307" s="2">
        <f>IF(OR($AS307="",$E$6=""),"",TRIM(INDEX($A:$AP,ROW(),$E$6)&amp;""))</f>
        <v/>
      </c>
      <c r="AZ307" s="2">
        <f>IF(OR($AS307="",$D$6=""),"",TRIM(INDEX($A:$AP,ROW(),$D$6)&amp;""))</f>
        <v/>
      </c>
      <c r="BA307" s="2">
        <f>IF($AS307="","",IF(AND($AS307&gt;=설정!$B$10,$AS307&lt;=설정!$B$11),"포함","기간 밖"))</f>
        <v/>
      </c>
      <c r="BB307" s="2">
        <f>IF($AS307="","",IF(OR($AT307&lt;0,AND($I$6&lt;&gt;"",ISNUMBER(FIND("수정",INDEX($A:$AP,ROW(),IF($I$6="",1,$I$6))&amp;"")))),"수정","일반"))</f>
        <v/>
      </c>
      <c r="BC307" s="2">
        <f>IF($AS307="","",MID(IF($BA307="기간 밖"," / 기간 밖(신고기간 아님)","")&amp;IF(AND($AW307&lt;&gt;"",COUNTIF($AW$8:$AW$1007,$AW307)&gt;1)," / 승인번호 중복(두 번 붙여넣기?)","")&amp;IF(ABS($AU307-ROUND($AT307*0.1,0))&gt;설정!$B$8,IF($AU307=0," / 세액 0원(영세율·면세 여부 확인)"," / 세액이 공급가액 10%와 다름"),"")&amp;IF($BB307="수정"," / 수정세금계산서(합계에서 자동 가감)",""),4,200))</f>
        <v/>
      </c>
      <c r="BD307" s="2">
        <f>IF($BA307&lt;&gt;"포함","",IF(COUNTIFS($AX$8:$AX307,$AX307,$BA$8:$BA307,"포함")=1,MAX($BD$7:BD306)+1,""))</f>
        <v/>
      </c>
      <c r="BE307" s="2">
        <f>IF($BC307="","",MAX($BE$7:BE306)+1)</f>
        <v/>
      </c>
    </row>
    <row r="308">
      <c r="AR308" s="2">
        <f>IF(OR($A$5="",$B$6="",ROW()&lt;$A$5),"",IF(INDEX($A:$AP,ROW(),$B$6)="","",INDEX($A:$AP,ROW(),$B$6)))</f>
        <v/>
      </c>
      <c r="AS308" s="22">
        <f>IF($AR308="","",IF(ISNUMBER($AR308),IF($AR308&gt;=10000000,IFERROR(DATE(INT($AR308/10000),MOD(INT($AR308/100),100),MOD($AR308,100)),""),INT($AR308)),IFERROR(DATE(--LEFT(LEFT(SUBSTITUTE(SUBSTITUTE(SUBSTITUTE(SUBSTITUTE(TRIM($AR308),"-",""),".",""),"/","")," ",""),8),4),--MID(LEFT(SUBSTITUTE(SUBSTITUTE(SUBSTITUTE(SUBSTITUTE(TRIM($AR308),"-",""),".",""),"/","")," ",""),8),5,2),--MID(LEFT(SUBSTITUTE(SUBSTITUTE(SUBSTITUTE(SUBSTITUTE(TRIM($AR308),"-",""),".",""),"/","")," ",""),8),7,2)),"")))</f>
        <v/>
      </c>
      <c r="AT308" s="23">
        <f>IF($AS308="","",IF($F$6="",0,IF(ISNUMBER(INDEX($A:$AP,ROW(),$F$6)),INDEX($A:$AP,ROW(),$F$6),IFERROR(--SUBSTITUTE(SUBSTITUTE(TRIM(INDEX($A:$AP,ROW(),$F$6)),",",""),"원",""),0))))</f>
        <v/>
      </c>
      <c r="AU308" s="23">
        <f>IF($AS308="","",IF($G$6="",0,IF(ISNUMBER(INDEX($A:$AP,ROW(),$G$6)),INDEX($A:$AP,ROW(),$G$6),IFERROR(--SUBSTITUTE(SUBSTITUTE(TRIM(INDEX($A:$AP,ROW(),$G$6)),",",""),"원",""),0))))</f>
        <v/>
      </c>
      <c r="AV308" s="23">
        <f>IF($AS308="","",IF($H$6="",$AT308+$AU308,IF($H$6="",0,IF(ISNUMBER(INDEX($A:$AP,ROW(),$H$6)),INDEX($A:$AP,ROW(),$H$6),IFERROR(--SUBSTITUTE(SUBSTITUTE(TRIM(INDEX($A:$AP,ROW(),$H$6)),",",""),"원",""),0)))))</f>
        <v/>
      </c>
      <c r="AW308" s="2">
        <f>IF(OR($AS308="",$C$6=""),"",TRIM(INDEX($A:$AP,ROW(),$C$6)&amp;""))</f>
        <v/>
      </c>
      <c r="AX308" s="2">
        <f>IF($AS308="","",IF($AZ308&lt;&gt;"",SUBSTITUTE(SUBSTITUTE($AZ308,"-","")," ",""),$AY308))</f>
        <v/>
      </c>
      <c r="AY308" s="2">
        <f>IF(OR($AS308="",$E$6=""),"",TRIM(INDEX($A:$AP,ROW(),$E$6)&amp;""))</f>
        <v/>
      </c>
      <c r="AZ308" s="2">
        <f>IF(OR($AS308="",$D$6=""),"",TRIM(INDEX($A:$AP,ROW(),$D$6)&amp;""))</f>
        <v/>
      </c>
      <c r="BA308" s="2">
        <f>IF($AS308="","",IF(AND($AS308&gt;=설정!$B$10,$AS308&lt;=설정!$B$11),"포함","기간 밖"))</f>
        <v/>
      </c>
      <c r="BB308" s="2">
        <f>IF($AS308="","",IF(OR($AT308&lt;0,AND($I$6&lt;&gt;"",ISNUMBER(FIND("수정",INDEX($A:$AP,ROW(),IF($I$6="",1,$I$6))&amp;"")))),"수정","일반"))</f>
        <v/>
      </c>
      <c r="BC308" s="2">
        <f>IF($AS308="","",MID(IF($BA308="기간 밖"," / 기간 밖(신고기간 아님)","")&amp;IF(AND($AW308&lt;&gt;"",COUNTIF($AW$8:$AW$1007,$AW308)&gt;1)," / 승인번호 중복(두 번 붙여넣기?)","")&amp;IF(ABS($AU308-ROUND($AT308*0.1,0))&gt;설정!$B$8,IF($AU308=0," / 세액 0원(영세율·면세 여부 확인)"," / 세액이 공급가액 10%와 다름"),"")&amp;IF($BB308="수정"," / 수정세금계산서(합계에서 자동 가감)",""),4,200))</f>
        <v/>
      </c>
      <c r="BD308" s="2">
        <f>IF($BA308&lt;&gt;"포함","",IF(COUNTIFS($AX$8:$AX308,$AX308,$BA$8:$BA308,"포함")=1,MAX($BD$7:BD307)+1,""))</f>
        <v/>
      </c>
      <c r="BE308" s="2">
        <f>IF($BC308="","",MAX($BE$7:BE307)+1)</f>
        <v/>
      </c>
    </row>
    <row r="309">
      <c r="AR309" s="2">
        <f>IF(OR($A$5="",$B$6="",ROW()&lt;$A$5),"",IF(INDEX($A:$AP,ROW(),$B$6)="","",INDEX($A:$AP,ROW(),$B$6)))</f>
        <v/>
      </c>
      <c r="AS309" s="22">
        <f>IF($AR309="","",IF(ISNUMBER($AR309),IF($AR309&gt;=10000000,IFERROR(DATE(INT($AR309/10000),MOD(INT($AR309/100),100),MOD($AR309,100)),""),INT($AR309)),IFERROR(DATE(--LEFT(LEFT(SUBSTITUTE(SUBSTITUTE(SUBSTITUTE(SUBSTITUTE(TRIM($AR309),"-",""),".",""),"/","")," ",""),8),4),--MID(LEFT(SUBSTITUTE(SUBSTITUTE(SUBSTITUTE(SUBSTITUTE(TRIM($AR309),"-",""),".",""),"/","")," ",""),8),5,2),--MID(LEFT(SUBSTITUTE(SUBSTITUTE(SUBSTITUTE(SUBSTITUTE(TRIM($AR309),"-",""),".",""),"/","")," ",""),8),7,2)),"")))</f>
        <v/>
      </c>
      <c r="AT309" s="23">
        <f>IF($AS309="","",IF($F$6="",0,IF(ISNUMBER(INDEX($A:$AP,ROW(),$F$6)),INDEX($A:$AP,ROW(),$F$6),IFERROR(--SUBSTITUTE(SUBSTITUTE(TRIM(INDEX($A:$AP,ROW(),$F$6)),",",""),"원",""),0))))</f>
        <v/>
      </c>
      <c r="AU309" s="23">
        <f>IF($AS309="","",IF($G$6="",0,IF(ISNUMBER(INDEX($A:$AP,ROW(),$G$6)),INDEX($A:$AP,ROW(),$G$6),IFERROR(--SUBSTITUTE(SUBSTITUTE(TRIM(INDEX($A:$AP,ROW(),$G$6)),",",""),"원",""),0))))</f>
        <v/>
      </c>
      <c r="AV309" s="23">
        <f>IF($AS309="","",IF($H$6="",$AT309+$AU309,IF($H$6="",0,IF(ISNUMBER(INDEX($A:$AP,ROW(),$H$6)),INDEX($A:$AP,ROW(),$H$6),IFERROR(--SUBSTITUTE(SUBSTITUTE(TRIM(INDEX($A:$AP,ROW(),$H$6)),",",""),"원",""),0)))))</f>
        <v/>
      </c>
      <c r="AW309" s="2">
        <f>IF(OR($AS309="",$C$6=""),"",TRIM(INDEX($A:$AP,ROW(),$C$6)&amp;""))</f>
        <v/>
      </c>
      <c r="AX309" s="2">
        <f>IF($AS309="","",IF($AZ309&lt;&gt;"",SUBSTITUTE(SUBSTITUTE($AZ309,"-","")," ",""),$AY309))</f>
        <v/>
      </c>
      <c r="AY309" s="2">
        <f>IF(OR($AS309="",$E$6=""),"",TRIM(INDEX($A:$AP,ROW(),$E$6)&amp;""))</f>
        <v/>
      </c>
      <c r="AZ309" s="2">
        <f>IF(OR($AS309="",$D$6=""),"",TRIM(INDEX($A:$AP,ROW(),$D$6)&amp;""))</f>
        <v/>
      </c>
      <c r="BA309" s="2">
        <f>IF($AS309="","",IF(AND($AS309&gt;=설정!$B$10,$AS309&lt;=설정!$B$11),"포함","기간 밖"))</f>
        <v/>
      </c>
      <c r="BB309" s="2">
        <f>IF($AS309="","",IF(OR($AT309&lt;0,AND($I$6&lt;&gt;"",ISNUMBER(FIND("수정",INDEX($A:$AP,ROW(),IF($I$6="",1,$I$6))&amp;"")))),"수정","일반"))</f>
        <v/>
      </c>
      <c r="BC309" s="2">
        <f>IF($AS309="","",MID(IF($BA309="기간 밖"," / 기간 밖(신고기간 아님)","")&amp;IF(AND($AW309&lt;&gt;"",COUNTIF($AW$8:$AW$1007,$AW309)&gt;1)," / 승인번호 중복(두 번 붙여넣기?)","")&amp;IF(ABS($AU309-ROUND($AT309*0.1,0))&gt;설정!$B$8,IF($AU309=0," / 세액 0원(영세율·면세 여부 확인)"," / 세액이 공급가액 10%와 다름"),"")&amp;IF($BB309="수정"," / 수정세금계산서(합계에서 자동 가감)",""),4,200))</f>
        <v/>
      </c>
      <c r="BD309" s="2">
        <f>IF($BA309&lt;&gt;"포함","",IF(COUNTIFS($AX$8:$AX309,$AX309,$BA$8:$BA309,"포함")=1,MAX($BD$7:BD308)+1,""))</f>
        <v/>
      </c>
      <c r="BE309" s="2">
        <f>IF($BC309="","",MAX($BE$7:BE308)+1)</f>
        <v/>
      </c>
    </row>
    <row r="310">
      <c r="AR310" s="2">
        <f>IF(OR($A$5="",$B$6="",ROW()&lt;$A$5),"",IF(INDEX($A:$AP,ROW(),$B$6)="","",INDEX($A:$AP,ROW(),$B$6)))</f>
        <v/>
      </c>
      <c r="AS310" s="22">
        <f>IF($AR310="","",IF(ISNUMBER($AR310),IF($AR310&gt;=10000000,IFERROR(DATE(INT($AR310/10000),MOD(INT($AR310/100),100),MOD($AR310,100)),""),INT($AR310)),IFERROR(DATE(--LEFT(LEFT(SUBSTITUTE(SUBSTITUTE(SUBSTITUTE(SUBSTITUTE(TRIM($AR310),"-",""),".",""),"/","")," ",""),8),4),--MID(LEFT(SUBSTITUTE(SUBSTITUTE(SUBSTITUTE(SUBSTITUTE(TRIM($AR310),"-",""),".",""),"/","")," ",""),8),5,2),--MID(LEFT(SUBSTITUTE(SUBSTITUTE(SUBSTITUTE(SUBSTITUTE(TRIM($AR310),"-",""),".",""),"/","")," ",""),8),7,2)),"")))</f>
        <v/>
      </c>
      <c r="AT310" s="23">
        <f>IF($AS310="","",IF($F$6="",0,IF(ISNUMBER(INDEX($A:$AP,ROW(),$F$6)),INDEX($A:$AP,ROW(),$F$6),IFERROR(--SUBSTITUTE(SUBSTITUTE(TRIM(INDEX($A:$AP,ROW(),$F$6)),",",""),"원",""),0))))</f>
        <v/>
      </c>
      <c r="AU310" s="23">
        <f>IF($AS310="","",IF($G$6="",0,IF(ISNUMBER(INDEX($A:$AP,ROW(),$G$6)),INDEX($A:$AP,ROW(),$G$6),IFERROR(--SUBSTITUTE(SUBSTITUTE(TRIM(INDEX($A:$AP,ROW(),$G$6)),",",""),"원",""),0))))</f>
        <v/>
      </c>
      <c r="AV310" s="23">
        <f>IF($AS310="","",IF($H$6="",$AT310+$AU310,IF($H$6="",0,IF(ISNUMBER(INDEX($A:$AP,ROW(),$H$6)),INDEX($A:$AP,ROW(),$H$6),IFERROR(--SUBSTITUTE(SUBSTITUTE(TRIM(INDEX($A:$AP,ROW(),$H$6)),",",""),"원",""),0)))))</f>
        <v/>
      </c>
      <c r="AW310" s="2">
        <f>IF(OR($AS310="",$C$6=""),"",TRIM(INDEX($A:$AP,ROW(),$C$6)&amp;""))</f>
        <v/>
      </c>
      <c r="AX310" s="2">
        <f>IF($AS310="","",IF($AZ310&lt;&gt;"",SUBSTITUTE(SUBSTITUTE($AZ310,"-","")," ",""),$AY310))</f>
        <v/>
      </c>
      <c r="AY310" s="2">
        <f>IF(OR($AS310="",$E$6=""),"",TRIM(INDEX($A:$AP,ROW(),$E$6)&amp;""))</f>
        <v/>
      </c>
      <c r="AZ310" s="2">
        <f>IF(OR($AS310="",$D$6=""),"",TRIM(INDEX($A:$AP,ROW(),$D$6)&amp;""))</f>
        <v/>
      </c>
      <c r="BA310" s="2">
        <f>IF($AS310="","",IF(AND($AS310&gt;=설정!$B$10,$AS310&lt;=설정!$B$11),"포함","기간 밖"))</f>
        <v/>
      </c>
      <c r="BB310" s="2">
        <f>IF($AS310="","",IF(OR($AT310&lt;0,AND($I$6&lt;&gt;"",ISNUMBER(FIND("수정",INDEX($A:$AP,ROW(),IF($I$6="",1,$I$6))&amp;"")))),"수정","일반"))</f>
        <v/>
      </c>
      <c r="BC310" s="2">
        <f>IF($AS310="","",MID(IF($BA310="기간 밖"," / 기간 밖(신고기간 아님)","")&amp;IF(AND($AW310&lt;&gt;"",COUNTIF($AW$8:$AW$1007,$AW310)&gt;1)," / 승인번호 중복(두 번 붙여넣기?)","")&amp;IF(ABS($AU310-ROUND($AT310*0.1,0))&gt;설정!$B$8,IF($AU310=0," / 세액 0원(영세율·면세 여부 확인)"," / 세액이 공급가액 10%와 다름"),"")&amp;IF($BB310="수정"," / 수정세금계산서(합계에서 자동 가감)",""),4,200))</f>
        <v/>
      </c>
      <c r="BD310" s="2">
        <f>IF($BA310&lt;&gt;"포함","",IF(COUNTIFS($AX$8:$AX310,$AX310,$BA$8:$BA310,"포함")=1,MAX($BD$7:BD309)+1,""))</f>
        <v/>
      </c>
      <c r="BE310" s="2">
        <f>IF($BC310="","",MAX($BE$7:BE309)+1)</f>
        <v/>
      </c>
    </row>
    <row r="311">
      <c r="AR311" s="2">
        <f>IF(OR($A$5="",$B$6="",ROW()&lt;$A$5),"",IF(INDEX($A:$AP,ROW(),$B$6)="","",INDEX($A:$AP,ROW(),$B$6)))</f>
        <v/>
      </c>
      <c r="AS311" s="22">
        <f>IF($AR311="","",IF(ISNUMBER($AR311),IF($AR311&gt;=10000000,IFERROR(DATE(INT($AR311/10000),MOD(INT($AR311/100),100),MOD($AR311,100)),""),INT($AR311)),IFERROR(DATE(--LEFT(LEFT(SUBSTITUTE(SUBSTITUTE(SUBSTITUTE(SUBSTITUTE(TRIM($AR311),"-",""),".",""),"/","")," ",""),8),4),--MID(LEFT(SUBSTITUTE(SUBSTITUTE(SUBSTITUTE(SUBSTITUTE(TRIM($AR311),"-",""),".",""),"/","")," ",""),8),5,2),--MID(LEFT(SUBSTITUTE(SUBSTITUTE(SUBSTITUTE(SUBSTITUTE(TRIM($AR311),"-",""),".",""),"/","")," ",""),8),7,2)),"")))</f>
        <v/>
      </c>
      <c r="AT311" s="23">
        <f>IF($AS311="","",IF($F$6="",0,IF(ISNUMBER(INDEX($A:$AP,ROW(),$F$6)),INDEX($A:$AP,ROW(),$F$6),IFERROR(--SUBSTITUTE(SUBSTITUTE(TRIM(INDEX($A:$AP,ROW(),$F$6)),",",""),"원",""),0))))</f>
        <v/>
      </c>
      <c r="AU311" s="23">
        <f>IF($AS311="","",IF($G$6="",0,IF(ISNUMBER(INDEX($A:$AP,ROW(),$G$6)),INDEX($A:$AP,ROW(),$G$6),IFERROR(--SUBSTITUTE(SUBSTITUTE(TRIM(INDEX($A:$AP,ROW(),$G$6)),",",""),"원",""),0))))</f>
        <v/>
      </c>
      <c r="AV311" s="23">
        <f>IF($AS311="","",IF($H$6="",$AT311+$AU311,IF($H$6="",0,IF(ISNUMBER(INDEX($A:$AP,ROW(),$H$6)),INDEX($A:$AP,ROW(),$H$6),IFERROR(--SUBSTITUTE(SUBSTITUTE(TRIM(INDEX($A:$AP,ROW(),$H$6)),",",""),"원",""),0)))))</f>
        <v/>
      </c>
      <c r="AW311" s="2">
        <f>IF(OR($AS311="",$C$6=""),"",TRIM(INDEX($A:$AP,ROW(),$C$6)&amp;""))</f>
        <v/>
      </c>
      <c r="AX311" s="2">
        <f>IF($AS311="","",IF($AZ311&lt;&gt;"",SUBSTITUTE(SUBSTITUTE($AZ311,"-","")," ",""),$AY311))</f>
        <v/>
      </c>
      <c r="AY311" s="2">
        <f>IF(OR($AS311="",$E$6=""),"",TRIM(INDEX($A:$AP,ROW(),$E$6)&amp;""))</f>
        <v/>
      </c>
      <c r="AZ311" s="2">
        <f>IF(OR($AS311="",$D$6=""),"",TRIM(INDEX($A:$AP,ROW(),$D$6)&amp;""))</f>
        <v/>
      </c>
      <c r="BA311" s="2">
        <f>IF($AS311="","",IF(AND($AS311&gt;=설정!$B$10,$AS311&lt;=설정!$B$11),"포함","기간 밖"))</f>
        <v/>
      </c>
      <c r="BB311" s="2">
        <f>IF($AS311="","",IF(OR($AT311&lt;0,AND($I$6&lt;&gt;"",ISNUMBER(FIND("수정",INDEX($A:$AP,ROW(),IF($I$6="",1,$I$6))&amp;"")))),"수정","일반"))</f>
        <v/>
      </c>
      <c r="BC311" s="2">
        <f>IF($AS311="","",MID(IF($BA311="기간 밖"," / 기간 밖(신고기간 아님)","")&amp;IF(AND($AW311&lt;&gt;"",COUNTIF($AW$8:$AW$1007,$AW311)&gt;1)," / 승인번호 중복(두 번 붙여넣기?)","")&amp;IF(ABS($AU311-ROUND($AT311*0.1,0))&gt;설정!$B$8,IF($AU311=0," / 세액 0원(영세율·면세 여부 확인)"," / 세액이 공급가액 10%와 다름"),"")&amp;IF($BB311="수정"," / 수정세금계산서(합계에서 자동 가감)",""),4,200))</f>
        <v/>
      </c>
      <c r="BD311" s="2">
        <f>IF($BA311&lt;&gt;"포함","",IF(COUNTIFS($AX$8:$AX311,$AX311,$BA$8:$BA311,"포함")=1,MAX($BD$7:BD310)+1,""))</f>
        <v/>
      </c>
      <c r="BE311" s="2">
        <f>IF($BC311="","",MAX($BE$7:BE310)+1)</f>
        <v/>
      </c>
    </row>
    <row r="312">
      <c r="AR312" s="2">
        <f>IF(OR($A$5="",$B$6="",ROW()&lt;$A$5),"",IF(INDEX($A:$AP,ROW(),$B$6)="","",INDEX($A:$AP,ROW(),$B$6)))</f>
        <v/>
      </c>
      <c r="AS312" s="22">
        <f>IF($AR312="","",IF(ISNUMBER($AR312),IF($AR312&gt;=10000000,IFERROR(DATE(INT($AR312/10000),MOD(INT($AR312/100),100),MOD($AR312,100)),""),INT($AR312)),IFERROR(DATE(--LEFT(LEFT(SUBSTITUTE(SUBSTITUTE(SUBSTITUTE(SUBSTITUTE(TRIM($AR312),"-",""),".",""),"/","")," ",""),8),4),--MID(LEFT(SUBSTITUTE(SUBSTITUTE(SUBSTITUTE(SUBSTITUTE(TRIM($AR312),"-",""),".",""),"/","")," ",""),8),5,2),--MID(LEFT(SUBSTITUTE(SUBSTITUTE(SUBSTITUTE(SUBSTITUTE(TRIM($AR312),"-",""),".",""),"/","")," ",""),8),7,2)),"")))</f>
        <v/>
      </c>
      <c r="AT312" s="23">
        <f>IF($AS312="","",IF($F$6="",0,IF(ISNUMBER(INDEX($A:$AP,ROW(),$F$6)),INDEX($A:$AP,ROW(),$F$6),IFERROR(--SUBSTITUTE(SUBSTITUTE(TRIM(INDEX($A:$AP,ROW(),$F$6)),",",""),"원",""),0))))</f>
        <v/>
      </c>
      <c r="AU312" s="23">
        <f>IF($AS312="","",IF($G$6="",0,IF(ISNUMBER(INDEX($A:$AP,ROW(),$G$6)),INDEX($A:$AP,ROW(),$G$6),IFERROR(--SUBSTITUTE(SUBSTITUTE(TRIM(INDEX($A:$AP,ROW(),$G$6)),",",""),"원",""),0))))</f>
        <v/>
      </c>
      <c r="AV312" s="23">
        <f>IF($AS312="","",IF($H$6="",$AT312+$AU312,IF($H$6="",0,IF(ISNUMBER(INDEX($A:$AP,ROW(),$H$6)),INDEX($A:$AP,ROW(),$H$6),IFERROR(--SUBSTITUTE(SUBSTITUTE(TRIM(INDEX($A:$AP,ROW(),$H$6)),",",""),"원",""),0)))))</f>
        <v/>
      </c>
      <c r="AW312" s="2">
        <f>IF(OR($AS312="",$C$6=""),"",TRIM(INDEX($A:$AP,ROW(),$C$6)&amp;""))</f>
        <v/>
      </c>
      <c r="AX312" s="2">
        <f>IF($AS312="","",IF($AZ312&lt;&gt;"",SUBSTITUTE(SUBSTITUTE($AZ312,"-","")," ",""),$AY312))</f>
        <v/>
      </c>
      <c r="AY312" s="2">
        <f>IF(OR($AS312="",$E$6=""),"",TRIM(INDEX($A:$AP,ROW(),$E$6)&amp;""))</f>
        <v/>
      </c>
      <c r="AZ312" s="2">
        <f>IF(OR($AS312="",$D$6=""),"",TRIM(INDEX($A:$AP,ROW(),$D$6)&amp;""))</f>
        <v/>
      </c>
      <c r="BA312" s="2">
        <f>IF($AS312="","",IF(AND($AS312&gt;=설정!$B$10,$AS312&lt;=설정!$B$11),"포함","기간 밖"))</f>
        <v/>
      </c>
      <c r="BB312" s="2">
        <f>IF($AS312="","",IF(OR($AT312&lt;0,AND($I$6&lt;&gt;"",ISNUMBER(FIND("수정",INDEX($A:$AP,ROW(),IF($I$6="",1,$I$6))&amp;"")))),"수정","일반"))</f>
        <v/>
      </c>
      <c r="BC312" s="2">
        <f>IF($AS312="","",MID(IF($BA312="기간 밖"," / 기간 밖(신고기간 아님)","")&amp;IF(AND($AW312&lt;&gt;"",COUNTIF($AW$8:$AW$1007,$AW312)&gt;1)," / 승인번호 중복(두 번 붙여넣기?)","")&amp;IF(ABS($AU312-ROUND($AT312*0.1,0))&gt;설정!$B$8,IF($AU312=0," / 세액 0원(영세율·면세 여부 확인)"," / 세액이 공급가액 10%와 다름"),"")&amp;IF($BB312="수정"," / 수정세금계산서(합계에서 자동 가감)",""),4,200))</f>
        <v/>
      </c>
      <c r="BD312" s="2">
        <f>IF($BA312&lt;&gt;"포함","",IF(COUNTIFS($AX$8:$AX312,$AX312,$BA$8:$BA312,"포함")=1,MAX($BD$7:BD311)+1,""))</f>
        <v/>
      </c>
      <c r="BE312" s="2">
        <f>IF($BC312="","",MAX($BE$7:BE311)+1)</f>
        <v/>
      </c>
    </row>
    <row r="313">
      <c r="AR313" s="2">
        <f>IF(OR($A$5="",$B$6="",ROW()&lt;$A$5),"",IF(INDEX($A:$AP,ROW(),$B$6)="","",INDEX($A:$AP,ROW(),$B$6)))</f>
        <v/>
      </c>
      <c r="AS313" s="22">
        <f>IF($AR313="","",IF(ISNUMBER($AR313),IF($AR313&gt;=10000000,IFERROR(DATE(INT($AR313/10000),MOD(INT($AR313/100),100),MOD($AR313,100)),""),INT($AR313)),IFERROR(DATE(--LEFT(LEFT(SUBSTITUTE(SUBSTITUTE(SUBSTITUTE(SUBSTITUTE(TRIM($AR313),"-",""),".",""),"/","")," ",""),8),4),--MID(LEFT(SUBSTITUTE(SUBSTITUTE(SUBSTITUTE(SUBSTITUTE(TRIM($AR313),"-",""),".",""),"/","")," ",""),8),5,2),--MID(LEFT(SUBSTITUTE(SUBSTITUTE(SUBSTITUTE(SUBSTITUTE(TRIM($AR313),"-",""),".",""),"/","")," ",""),8),7,2)),"")))</f>
        <v/>
      </c>
      <c r="AT313" s="23">
        <f>IF($AS313="","",IF($F$6="",0,IF(ISNUMBER(INDEX($A:$AP,ROW(),$F$6)),INDEX($A:$AP,ROW(),$F$6),IFERROR(--SUBSTITUTE(SUBSTITUTE(TRIM(INDEX($A:$AP,ROW(),$F$6)),",",""),"원",""),0))))</f>
        <v/>
      </c>
      <c r="AU313" s="23">
        <f>IF($AS313="","",IF($G$6="",0,IF(ISNUMBER(INDEX($A:$AP,ROW(),$G$6)),INDEX($A:$AP,ROW(),$G$6),IFERROR(--SUBSTITUTE(SUBSTITUTE(TRIM(INDEX($A:$AP,ROW(),$G$6)),",",""),"원",""),0))))</f>
        <v/>
      </c>
      <c r="AV313" s="23">
        <f>IF($AS313="","",IF($H$6="",$AT313+$AU313,IF($H$6="",0,IF(ISNUMBER(INDEX($A:$AP,ROW(),$H$6)),INDEX($A:$AP,ROW(),$H$6),IFERROR(--SUBSTITUTE(SUBSTITUTE(TRIM(INDEX($A:$AP,ROW(),$H$6)),",",""),"원",""),0)))))</f>
        <v/>
      </c>
      <c r="AW313" s="2">
        <f>IF(OR($AS313="",$C$6=""),"",TRIM(INDEX($A:$AP,ROW(),$C$6)&amp;""))</f>
        <v/>
      </c>
      <c r="AX313" s="2">
        <f>IF($AS313="","",IF($AZ313&lt;&gt;"",SUBSTITUTE(SUBSTITUTE($AZ313,"-","")," ",""),$AY313))</f>
        <v/>
      </c>
      <c r="AY313" s="2">
        <f>IF(OR($AS313="",$E$6=""),"",TRIM(INDEX($A:$AP,ROW(),$E$6)&amp;""))</f>
        <v/>
      </c>
      <c r="AZ313" s="2">
        <f>IF(OR($AS313="",$D$6=""),"",TRIM(INDEX($A:$AP,ROW(),$D$6)&amp;""))</f>
        <v/>
      </c>
      <c r="BA313" s="2">
        <f>IF($AS313="","",IF(AND($AS313&gt;=설정!$B$10,$AS313&lt;=설정!$B$11),"포함","기간 밖"))</f>
        <v/>
      </c>
      <c r="BB313" s="2">
        <f>IF($AS313="","",IF(OR($AT313&lt;0,AND($I$6&lt;&gt;"",ISNUMBER(FIND("수정",INDEX($A:$AP,ROW(),IF($I$6="",1,$I$6))&amp;"")))),"수정","일반"))</f>
        <v/>
      </c>
      <c r="BC313" s="2">
        <f>IF($AS313="","",MID(IF($BA313="기간 밖"," / 기간 밖(신고기간 아님)","")&amp;IF(AND($AW313&lt;&gt;"",COUNTIF($AW$8:$AW$1007,$AW313)&gt;1)," / 승인번호 중복(두 번 붙여넣기?)","")&amp;IF(ABS($AU313-ROUND($AT313*0.1,0))&gt;설정!$B$8,IF($AU313=0," / 세액 0원(영세율·면세 여부 확인)"," / 세액이 공급가액 10%와 다름"),"")&amp;IF($BB313="수정"," / 수정세금계산서(합계에서 자동 가감)",""),4,200))</f>
        <v/>
      </c>
      <c r="BD313" s="2">
        <f>IF($BA313&lt;&gt;"포함","",IF(COUNTIFS($AX$8:$AX313,$AX313,$BA$8:$BA313,"포함")=1,MAX($BD$7:BD312)+1,""))</f>
        <v/>
      </c>
      <c r="BE313" s="2">
        <f>IF($BC313="","",MAX($BE$7:BE312)+1)</f>
        <v/>
      </c>
    </row>
    <row r="314">
      <c r="AR314" s="2">
        <f>IF(OR($A$5="",$B$6="",ROW()&lt;$A$5),"",IF(INDEX($A:$AP,ROW(),$B$6)="","",INDEX($A:$AP,ROW(),$B$6)))</f>
        <v/>
      </c>
      <c r="AS314" s="22">
        <f>IF($AR314="","",IF(ISNUMBER($AR314),IF($AR314&gt;=10000000,IFERROR(DATE(INT($AR314/10000),MOD(INT($AR314/100),100),MOD($AR314,100)),""),INT($AR314)),IFERROR(DATE(--LEFT(LEFT(SUBSTITUTE(SUBSTITUTE(SUBSTITUTE(SUBSTITUTE(TRIM($AR314),"-",""),".",""),"/","")," ",""),8),4),--MID(LEFT(SUBSTITUTE(SUBSTITUTE(SUBSTITUTE(SUBSTITUTE(TRIM($AR314),"-",""),".",""),"/","")," ",""),8),5,2),--MID(LEFT(SUBSTITUTE(SUBSTITUTE(SUBSTITUTE(SUBSTITUTE(TRIM($AR314),"-",""),".",""),"/","")," ",""),8),7,2)),"")))</f>
        <v/>
      </c>
      <c r="AT314" s="23">
        <f>IF($AS314="","",IF($F$6="",0,IF(ISNUMBER(INDEX($A:$AP,ROW(),$F$6)),INDEX($A:$AP,ROW(),$F$6),IFERROR(--SUBSTITUTE(SUBSTITUTE(TRIM(INDEX($A:$AP,ROW(),$F$6)),",",""),"원",""),0))))</f>
        <v/>
      </c>
      <c r="AU314" s="23">
        <f>IF($AS314="","",IF($G$6="",0,IF(ISNUMBER(INDEX($A:$AP,ROW(),$G$6)),INDEX($A:$AP,ROW(),$G$6),IFERROR(--SUBSTITUTE(SUBSTITUTE(TRIM(INDEX($A:$AP,ROW(),$G$6)),",",""),"원",""),0))))</f>
        <v/>
      </c>
      <c r="AV314" s="23">
        <f>IF($AS314="","",IF($H$6="",$AT314+$AU314,IF($H$6="",0,IF(ISNUMBER(INDEX($A:$AP,ROW(),$H$6)),INDEX($A:$AP,ROW(),$H$6),IFERROR(--SUBSTITUTE(SUBSTITUTE(TRIM(INDEX($A:$AP,ROW(),$H$6)),",",""),"원",""),0)))))</f>
        <v/>
      </c>
      <c r="AW314" s="2">
        <f>IF(OR($AS314="",$C$6=""),"",TRIM(INDEX($A:$AP,ROW(),$C$6)&amp;""))</f>
        <v/>
      </c>
      <c r="AX314" s="2">
        <f>IF($AS314="","",IF($AZ314&lt;&gt;"",SUBSTITUTE(SUBSTITUTE($AZ314,"-","")," ",""),$AY314))</f>
        <v/>
      </c>
      <c r="AY314" s="2">
        <f>IF(OR($AS314="",$E$6=""),"",TRIM(INDEX($A:$AP,ROW(),$E$6)&amp;""))</f>
        <v/>
      </c>
      <c r="AZ314" s="2">
        <f>IF(OR($AS314="",$D$6=""),"",TRIM(INDEX($A:$AP,ROW(),$D$6)&amp;""))</f>
        <v/>
      </c>
      <c r="BA314" s="2">
        <f>IF($AS314="","",IF(AND($AS314&gt;=설정!$B$10,$AS314&lt;=설정!$B$11),"포함","기간 밖"))</f>
        <v/>
      </c>
      <c r="BB314" s="2">
        <f>IF($AS314="","",IF(OR($AT314&lt;0,AND($I$6&lt;&gt;"",ISNUMBER(FIND("수정",INDEX($A:$AP,ROW(),IF($I$6="",1,$I$6))&amp;"")))),"수정","일반"))</f>
        <v/>
      </c>
      <c r="BC314" s="2">
        <f>IF($AS314="","",MID(IF($BA314="기간 밖"," / 기간 밖(신고기간 아님)","")&amp;IF(AND($AW314&lt;&gt;"",COUNTIF($AW$8:$AW$1007,$AW314)&gt;1)," / 승인번호 중복(두 번 붙여넣기?)","")&amp;IF(ABS($AU314-ROUND($AT314*0.1,0))&gt;설정!$B$8,IF($AU314=0," / 세액 0원(영세율·면세 여부 확인)"," / 세액이 공급가액 10%와 다름"),"")&amp;IF($BB314="수정"," / 수정세금계산서(합계에서 자동 가감)",""),4,200))</f>
        <v/>
      </c>
      <c r="BD314" s="2">
        <f>IF($BA314&lt;&gt;"포함","",IF(COUNTIFS($AX$8:$AX314,$AX314,$BA$8:$BA314,"포함")=1,MAX($BD$7:BD313)+1,""))</f>
        <v/>
      </c>
      <c r="BE314" s="2">
        <f>IF($BC314="","",MAX($BE$7:BE313)+1)</f>
        <v/>
      </c>
    </row>
    <row r="315">
      <c r="AR315" s="2">
        <f>IF(OR($A$5="",$B$6="",ROW()&lt;$A$5),"",IF(INDEX($A:$AP,ROW(),$B$6)="","",INDEX($A:$AP,ROW(),$B$6)))</f>
        <v/>
      </c>
      <c r="AS315" s="22">
        <f>IF($AR315="","",IF(ISNUMBER($AR315),IF($AR315&gt;=10000000,IFERROR(DATE(INT($AR315/10000),MOD(INT($AR315/100),100),MOD($AR315,100)),""),INT($AR315)),IFERROR(DATE(--LEFT(LEFT(SUBSTITUTE(SUBSTITUTE(SUBSTITUTE(SUBSTITUTE(TRIM($AR315),"-",""),".",""),"/","")," ",""),8),4),--MID(LEFT(SUBSTITUTE(SUBSTITUTE(SUBSTITUTE(SUBSTITUTE(TRIM($AR315),"-",""),".",""),"/","")," ",""),8),5,2),--MID(LEFT(SUBSTITUTE(SUBSTITUTE(SUBSTITUTE(SUBSTITUTE(TRIM($AR315),"-",""),".",""),"/","")," ",""),8),7,2)),"")))</f>
        <v/>
      </c>
      <c r="AT315" s="23">
        <f>IF($AS315="","",IF($F$6="",0,IF(ISNUMBER(INDEX($A:$AP,ROW(),$F$6)),INDEX($A:$AP,ROW(),$F$6),IFERROR(--SUBSTITUTE(SUBSTITUTE(TRIM(INDEX($A:$AP,ROW(),$F$6)),",",""),"원",""),0))))</f>
        <v/>
      </c>
      <c r="AU315" s="23">
        <f>IF($AS315="","",IF($G$6="",0,IF(ISNUMBER(INDEX($A:$AP,ROW(),$G$6)),INDEX($A:$AP,ROW(),$G$6),IFERROR(--SUBSTITUTE(SUBSTITUTE(TRIM(INDEX($A:$AP,ROW(),$G$6)),",",""),"원",""),0))))</f>
        <v/>
      </c>
      <c r="AV315" s="23">
        <f>IF($AS315="","",IF($H$6="",$AT315+$AU315,IF($H$6="",0,IF(ISNUMBER(INDEX($A:$AP,ROW(),$H$6)),INDEX($A:$AP,ROW(),$H$6),IFERROR(--SUBSTITUTE(SUBSTITUTE(TRIM(INDEX($A:$AP,ROW(),$H$6)),",",""),"원",""),0)))))</f>
        <v/>
      </c>
      <c r="AW315" s="2">
        <f>IF(OR($AS315="",$C$6=""),"",TRIM(INDEX($A:$AP,ROW(),$C$6)&amp;""))</f>
        <v/>
      </c>
      <c r="AX315" s="2">
        <f>IF($AS315="","",IF($AZ315&lt;&gt;"",SUBSTITUTE(SUBSTITUTE($AZ315,"-","")," ",""),$AY315))</f>
        <v/>
      </c>
      <c r="AY315" s="2">
        <f>IF(OR($AS315="",$E$6=""),"",TRIM(INDEX($A:$AP,ROW(),$E$6)&amp;""))</f>
        <v/>
      </c>
      <c r="AZ315" s="2">
        <f>IF(OR($AS315="",$D$6=""),"",TRIM(INDEX($A:$AP,ROW(),$D$6)&amp;""))</f>
        <v/>
      </c>
      <c r="BA315" s="2">
        <f>IF($AS315="","",IF(AND($AS315&gt;=설정!$B$10,$AS315&lt;=설정!$B$11),"포함","기간 밖"))</f>
        <v/>
      </c>
      <c r="BB315" s="2">
        <f>IF($AS315="","",IF(OR($AT315&lt;0,AND($I$6&lt;&gt;"",ISNUMBER(FIND("수정",INDEX($A:$AP,ROW(),IF($I$6="",1,$I$6))&amp;"")))),"수정","일반"))</f>
        <v/>
      </c>
      <c r="BC315" s="2">
        <f>IF($AS315="","",MID(IF($BA315="기간 밖"," / 기간 밖(신고기간 아님)","")&amp;IF(AND($AW315&lt;&gt;"",COUNTIF($AW$8:$AW$1007,$AW315)&gt;1)," / 승인번호 중복(두 번 붙여넣기?)","")&amp;IF(ABS($AU315-ROUND($AT315*0.1,0))&gt;설정!$B$8,IF($AU315=0," / 세액 0원(영세율·면세 여부 확인)"," / 세액이 공급가액 10%와 다름"),"")&amp;IF($BB315="수정"," / 수정세금계산서(합계에서 자동 가감)",""),4,200))</f>
        <v/>
      </c>
      <c r="BD315" s="2">
        <f>IF($BA315&lt;&gt;"포함","",IF(COUNTIFS($AX$8:$AX315,$AX315,$BA$8:$BA315,"포함")=1,MAX($BD$7:BD314)+1,""))</f>
        <v/>
      </c>
      <c r="BE315" s="2">
        <f>IF($BC315="","",MAX($BE$7:BE314)+1)</f>
        <v/>
      </c>
    </row>
    <row r="316">
      <c r="AR316" s="2">
        <f>IF(OR($A$5="",$B$6="",ROW()&lt;$A$5),"",IF(INDEX($A:$AP,ROW(),$B$6)="","",INDEX($A:$AP,ROW(),$B$6)))</f>
        <v/>
      </c>
      <c r="AS316" s="22">
        <f>IF($AR316="","",IF(ISNUMBER($AR316),IF($AR316&gt;=10000000,IFERROR(DATE(INT($AR316/10000),MOD(INT($AR316/100),100),MOD($AR316,100)),""),INT($AR316)),IFERROR(DATE(--LEFT(LEFT(SUBSTITUTE(SUBSTITUTE(SUBSTITUTE(SUBSTITUTE(TRIM($AR316),"-",""),".",""),"/","")," ",""),8),4),--MID(LEFT(SUBSTITUTE(SUBSTITUTE(SUBSTITUTE(SUBSTITUTE(TRIM($AR316),"-",""),".",""),"/","")," ",""),8),5,2),--MID(LEFT(SUBSTITUTE(SUBSTITUTE(SUBSTITUTE(SUBSTITUTE(TRIM($AR316),"-",""),".",""),"/","")," ",""),8),7,2)),"")))</f>
        <v/>
      </c>
      <c r="AT316" s="23">
        <f>IF($AS316="","",IF($F$6="",0,IF(ISNUMBER(INDEX($A:$AP,ROW(),$F$6)),INDEX($A:$AP,ROW(),$F$6),IFERROR(--SUBSTITUTE(SUBSTITUTE(TRIM(INDEX($A:$AP,ROW(),$F$6)),",",""),"원",""),0))))</f>
        <v/>
      </c>
      <c r="AU316" s="23">
        <f>IF($AS316="","",IF($G$6="",0,IF(ISNUMBER(INDEX($A:$AP,ROW(),$G$6)),INDEX($A:$AP,ROW(),$G$6),IFERROR(--SUBSTITUTE(SUBSTITUTE(TRIM(INDEX($A:$AP,ROW(),$G$6)),",",""),"원",""),0))))</f>
        <v/>
      </c>
      <c r="AV316" s="23">
        <f>IF($AS316="","",IF($H$6="",$AT316+$AU316,IF($H$6="",0,IF(ISNUMBER(INDEX($A:$AP,ROW(),$H$6)),INDEX($A:$AP,ROW(),$H$6),IFERROR(--SUBSTITUTE(SUBSTITUTE(TRIM(INDEX($A:$AP,ROW(),$H$6)),",",""),"원",""),0)))))</f>
        <v/>
      </c>
      <c r="AW316" s="2">
        <f>IF(OR($AS316="",$C$6=""),"",TRIM(INDEX($A:$AP,ROW(),$C$6)&amp;""))</f>
        <v/>
      </c>
      <c r="AX316" s="2">
        <f>IF($AS316="","",IF($AZ316&lt;&gt;"",SUBSTITUTE(SUBSTITUTE($AZ316,"-","")," ",""),$AY316))</f>
        <v/>
      </c>
      <c r="AY316" s="2">
        <f>IF(OR($AS316="",$E$6=""),"",TRIM(INDEX($A:$AP,ROW(),$E$6)&amp;""))</f>
        <v/>
      </c>
      <c r="AZ316" s="2">
        <f>IF(OR($AS316="",$D$6=""),"",TRIM(INDEX($A:$AP,ROW(),$D$6)&amp;""))</f>
        <v/>
      </c>
      <c r="BA316" s="2">
        <f>IF($AS316="","",IF(AND($AS316&gt;=설정!$B$10,$AS316&lt;=설정!$B$11),"포함","기간 밖"))</f>
        <v/>
      </c>
      <c r="BB316" s="2">
        <f>IF($AS316="","",IF(OR($AT316&lt;0,AND($I$6&lt;&gt;"",ISNUMBER(FIND("수정",INDEX($A:$AP,ROW(),IF($I$6="",1,$I$6))&amp;"")))),"수정","일반"))</f>
        <v/>
      </c>
      <c r="BC316" s="2">
        <f>IF($AS316="","",MID(IF($BA316="기간 밖"," / 기간 밖(신고기간 아님)","")&amp;IF(AND($AW316&lt;&gt;"",COUNTIF($AW$8:$AW$1007,$AW316)&gt;1)," / 승인번호 중복(두 번 붙여넣기?)","")&amp;IF(ABS($AU316-ROUND($AT316*0.1,0))&gt;설정!$B$8,IF($AU316=0," / 세액 0원(영세율·면세 여부 확인)"," / 세액이 공급가액 10%와 다름"),"")&amp;IF($BB316="수정"," / 수정세금계산서(합계에서 자동 가감)",""),4,200))</f>
        <v/>
      </c>
      <c r="BD316" s="2">
        <f>IF($BA316&lt;&gt;"포함","",IF(COUNTIFS($AX$8:$AX316,$AX316,$BA$8:$BA316,"포함")=1,MAX($BD$7:BD315)+1,""))</f>
        <v/>
      </c>
      <c r="BE316" s="2">
        <f>IF($BC316="","",MAX($BE$7:BE315)+1)</f>
        <v/>
      </c>
    </row>
    <row r="317">
      <c r="AR317" s="2">
        <f>IF(OR($A$5="",$B$6="",ROW()&lt;$A$5),"",IF(INDEX($A:$AP,ROW(),$B$6)="","",INDEX($A:$AP,ROW(),$B$6)))</f>
        <v/>
      </c>
      <c r="AS317" s="22">
        <f>IF($AR317="","",IF(ISNUMBER($AR317),IF($AR317&gt;=10000000,IFERROR(DATE(INT($AR317/10000),MOD(INT($AR317/100),100),MOD($AR317,100)),""),INT($AR317)),IFERROR(DATE(--LEFT(LEFT(SUBSTITUTE(SUBSTITUTE(SUBSTITUTE(SUBSTITUTE(TRIM($AR317),"-",""),".",""),"/","")," ",""),8),4),--MID(LEFT(SUBSTITUTE(SUBSTITUTE(SUBSTITUTE(SUBSTITUTE(TRIM($AR317),"-",""),".",""),"/","")," ",""),8),5,2),--MID(LEFT(SUBSTITUTE(SUBSTITUTE(SUBSTITUTE(SUBSTITUTE(TRIM($AR317),"-",""),".",""),"/","")," ",""),8),7,2)),"")))</f>
        <v/>
      </c>
      <c r="AT317" s="23">
        <f>IF($AS317="","",IF($F$6="",0,IF(ISNUMBER(INDEX($A:$AP,ROW(),$F$6)),INDEX($A:$AP,ROW(),$F$6),IFERROR(--SUBSTITUTE(SUBSTITUTE(TRIM(INDEX($A:$AP,ROW(),$F$6)),",",""),"원",""),0))))</f>
        <v/>
      </c>
      <c r="AU317" s="23">
        <f>IF($AS317="","",IF($G$6="",0,IF(ISNUMBER(INDEX($A:$AP,ROW(),$G$6)),INDEX($A:$AP,ROW(),$G$6),IFERROR(--SUBSTITUTE(SUBSTITUTE(TRIM(INDEX($A:$AP,ROW(),$G$6)),",",""),"원",""),0))))</f>
        <v/>
      </c>
      <c r="AV317" s="23">
        <f>IF($AS317="","",IF($H$6="",$AT317+$AU317,IF($H$6="",0,IF(ISNUMBER(INDEX($A:$AP,ROW(),$H$6)),INDEX($A:$AP,ROW(),$H$6),IFERROR(--SUBSTITUTE(SUBSTITUTE(TRIM(INDEX($A:$AP,ROW(),$H$6)),",",""),"원",""),0)))))</f>
        <v/>
      </c>
      <c r="AW317" s="2">
        <f>IF(OR($AS317="",$C$6=""),"",TRIM(INDEX($A:$AP,ROW(),$C$6)&amp;""))</f>
        <v/>
      </c>
      <c r="AX317" s="2">
        <f>IF($AS317="","",IF($AZ317&lt;&gt;"",SUBSTITUTE(SUBSTITUTE($AZ317,"-","")," ",""),$AY317))</f>
        <v/>
      </c>
      <c r="AY317" s="2">
        <f>IF(OR($AS317="",$E$6=""),"",TRIM(INDEX($A:$AP,ROW(),$E$6)&amp;""))</f>
        <v/>
      </c>
      <c r="AZ317" s="2">
        <f>IF(OR($AS317="",$D$6=""),"",TRIM(INDEX($A:$AP,ROW(),$D$6)&amp;""))</f>
        <v/>
      </c>
      <c r="BA317" s="2">
        <f>IF($AS317="","",IF(AND($AS317&gt;=설정!$B$10,$AS317&lt;=설정!$B$11),"포함","기간 밖"))</f>
        <v/>
      </c>
      <c r="BB317" s="2">
        <f>IF($AS317="","",IF(OR($AT317&lt;0,AND($I$6&lt;&gt;"",ISNUMBER(FIND("수정",INDEX($A:$AP,ROW(),IF($I$6="",1,$I$6))&amp;"")))),"수정","일반"))</f>
        <v/>
      </c>
      <c r="BC317" s="2">
        <f>IF($AS317="","",MID(IF($BA317="기간 밖"," / 기간 밖(신고기간 아님)","")&amp;IF(AND($AW317&lt;&gt;"",COUNTIF($AW$8:$AW$1007,$AW317)&gt;1)," / 승인번호 중복(두 번 붙여넣기?)","")&amp;IF(ABS($AU317-ROUND($AT317*0.1,0))&gt;설정!$B$8,IF($AU317=0," / 세액 0원(영세율·면세 여부 확인)"," / 세액이 공급가액 10%와 다름"),"")&amp;IF($BB317="수정"," / 수정세금계산서(합계에서 자동 가감)",""),4,200))</f>
        <v/>
      </c>
      <c r="BD317" s="2">
        <f>IF($BA317&lt;&gt;"포함","",IF(COUNTIFS($AX$8:$AX317,$AX317,$BA$8:$BA317,"포함")=1,MAX($BD$7:BD316)+1,""))</f>
        <v/>
      </c>
      <c r="BE317" s="2">
        <f>IF($BC317="","",MAX($BE$7:BE316)+1)</f>
        <v/>
      </c>
    </row>
    <row r="318">
      <c r="AR318" s="2">
        <f>IF(OR($A$5="",$B$6="",ROW()&lt;$A$5),"",IF(INDEX($A:$AP,ROW(),$B$6)="","",INDEX($A:$AP,ROW(),$B$6)))</f>
        <v/>
      </c>
      <c r="AS318" s="22">
        <f>IF($AR318="","",IF(ISNUMBER($AR318),IF($AR318&gt;=10000000,IFERROR(DATE(INT($AR318/10000),MOD(INT($AR318/100),100),MOD($AR318,100)),""),INT($AR318)),IFERROR(DATE(--LEFT(LEFT(SUBSTITUTE(SUBSTITUTE(SUBSTITUTE(SUBSTITUTE(TRIM($AR318),"-",""),".",""),"/","")," ",""),8),4),--MID(LEFT(SUBSTITUTE(SUBSTITUTE(SUBSTITUTE(SUBSTITUTE(TRIM($AR318),"-",""),".",""),"/","")," ",""),8),5,2),--MID(LEFT(SUBSTITUTE(SUBSTITUTE(SUBSTITUTE(SUBSTITUTE(TRIM($AR318),"-",""),".",""),"/","")," ",""),8),7,2)),"")))</f>
        <v/>
      </c>
      <c r="AT318" s="23">
        <f>IF($AS318="","",IF($F$6="",0,IF(ISNUMBER(INDEX($A:$AP,ROW(),$F$6)),INDEX($A:$AP,ROW(),$F$6),IFERROR(--SUBSTITUTE(SUBSTITUTE(TRIM(INDEX($A:$AP,ROW(),$F$6)),",",""),"원",""),0))))</f>
        <v/>
      </c>
      <c r="AU318" s="23">
        <f>IF($AS318="","",IF($G$6="",0,IF(ISNUMBER(INDEX($A:$AP,ROW(),$G$6)),INDEX($A:$AP,ROW(),$G$6),IFERROR(--SUBSTITUTE(SUBSTITUTE(TRIM(INDEX($A:$AP,ROW(),$G$6)),",",""),"원",""),0))))</f>
        <v/>
      </c>
      <c r="AV318" s="23">
        <f>IF($AS318="","",IF($H$6="",$AT318+$AU318,IF($H$6="",0,IF(ISNUMBER(INDEX($A:$AP,ROW(),$H$6)),INDEX($A:$AP,ROW(),$H$6),IFERROR(--SUBSTITUTE(SUBSTITUTE(TRIM(INDEX($A:$AP,ROW(),$H$6)),",",""),"원",""),0)))))</f>
        <v/>
      </c>
      <c r="AW318" s="2">
        <f>IF(OR($AS318="",$C$6=""),"",TRIM(INDEX($A:$AP,ROW(),$C$6)&amp;""))</f>
        <v/>
      </c>
      <c r="AX318" s="2">
        <f>IF($AS318="","",IF($AZ318&lt;&gt;"",SUBSTITUTE(SUBSTITUTE($AZ318,"-","")," ",""),$AY318))</f>
        <v/>
      </c>
      <c r="AY318" s="2">
        <f>IF(OR($AS318="",$E$6=""),"",TRIM(INDEX($A:$AP,ROW(),$E$6)&amp;""))</f>
        <v/>
      </c>
      <c r="AZ318" s="2">
        <f>IF(OR($AS318="",$D$6=""),"",TRIM(INDEX($A:$AP,ROW(),$D$6)&amp;""))</f>
        <v/>
      </c>
      <c r="BA318" s="2">
        <f>IF($AS318="","",IF(AND($AS318&gt;=설정!$B$10,$AS318&lt;=설정!$B$11),"포함","기간 밖"))</f>
        <v/>
      </c>
      <c r="BB318" s="2">
        <f>IF($AS318="","",IF(OR($AT318&lt;0,AND($I$6&lt;&gt;"",ISNUMBER(FIND("수정",INDEX($A:$AP,ROW(),IF($I$6="",1,$I$6))&amp;"")))),"수정","일반"))</f>
        <v/>
      </c>
      <c r="BC318" s="2">
        <f>IF($AS318="","",MID(IF($BA318="기간 밖"," / 기간 밖(신고기간 아님)","")&amp;IF(AND($AW318&lt;&gt;"",COUNTIF($AW$8:$AW$1007,$AW318)&gt;1)," / 승인번호 중복(두 번 붙여넣기?)","")&amp;IF(ABS($AU318-ROUND($AT318*0.1,0))&gt;설정!$B$8,IF($AU318=0," / 세액 0원(영세율·면세 여부 확인)"," / 세액이 공급가액 10%와 다름"),"")&amp;IF($BB318="수정"," / 수정세금계산서(합계에서 자동 가감)",""),4,200))</f>
        <v/>
      </c>
      <c r="BD318" s="2">
        <f>IF($BA318&lt;&gt;"포함","",IF(COUNTIFS($AX$8:$AX318,$AX318,$BA$8:$BA318,"포함")=1,MAX($BD$7:BD317)+1,""))</f>
        <v/>
      </c>
      <c r="BE318" s="2">
        <f>IF($BC318="","",MAX($BE$7:BE317)+1)</f>
        <v/>
      </c>
    </row>
    <row r="319">
      <c r="AR319" s="2">
        <f>IF(OR($A$5="",$B$6="",ROW()&lt;$A$5),"",IF(INDEX($A:$AP,ROW(),$B$6)="","",INDEX($A:$AP,ROW(),$B$6)))</f>
        <v/>
      </c>
      <c r="AS319" s="22">
        <f>IF($AR319="","",IF(ISNUMBER($AR319),IF($AR319&gt;=10000000,IFERROR(DATE(INT($AR319/10000),MOD(INT($AR319/100),100),MOD($AR319,100)),""),INT($AR319)),IFERROR(DATE(--LEFT(LEFT(SUBSTITUTE(SUBSTITUTE(SUBSTITUTE(SUBSTITUTE(TRIM($AR319),"-",""),".",""),"/","")," ",""),8),4),--MID(LEFT(SUBSTITUTE(SUBSTITUTE(SUBSTITUTE(SUBSTITUTE(TRIM($AR319),"-",""),".",""),"/","")," ",""),8),5,2),--MID(LEFT(SUBSTITUTE(SUBSTITUTE(SUBSTITUTE(SUBSTITUTE(TRIM($AR319),"-",""),".",""),"/","")," ",""),8),7,2)),"")))</f>
        <v/>
      </c>
      <c r="AT319" s="23">
        <f>IF($AS319="","",IF($F$6="",0,IF(ISNUMBER(INDEX($A:$AP,ROW(),$F$6)),INDEX($A:$AP,ROW(),$F$6),IFERROR(--SUBSTITUTE(SUBSTITUTE(TRIM(INDEX($A:$AP,ROW(),$F$6)),",",""),"원",""),0))))</f>
        <v/>
      </c>
      <c r="AU319" s="23">
        <f>IF($AS319="","",IF($G$6="",0,IF(ISNUMBER(INDEX($A:$AP,ROW(),$G$6)),INDEX($A:$AP,ROW(),$G$6),IFERROR(--SUBSTITUTE(SUBSTITUTE(TRIM(INDEX($A:$AP,ROW(),$G$6)),",",""),"원",""),0))))</f>
        <v/>
      </c>
      <c r="AV319" s="23">
        <f>IF($AS319="","",IF($H$6="",$AT319+$AU319,IF($H$6="",0,IF(ISNUMBER(INDEX($A:$AP,ROW(),$H$6)),INDEX($A:$AP,ROW(),$H$6),IFERROR(--SUBSTITUTE(SUBSTITUTE(TRIM(INDEX($A:$AP,ROW(),$H$6)),",",""),"원",""),0)))))</f>
        <v/>
      </c>
      <c r="AW319" s="2">
        <f>IF(OR($AS319="",$C$6=""),"",TRIM(INDEX($A:$AP,ROW(),$C$6)&amp;""))</f>
        <v/>
      </c>
      <c r="AX319" s="2">
        <f>IF($AS319="","",IF($AZ319&lt;&gt;"",SUBSTITUTE(SUBSTITUTE($AZ319,"-","")," ",""),$AY319))</f>
        <v/>
      </c>
      <c r="AY319" s="2">
        <f>IF(OR($AS319="",$E$6=""),"",TRIM(INDEX($A:$AP,ROW(),$E$6)&amp;""))</f>
        <v/>
      </c>
      <c r="AZ319" s="2">
        <f>IF(OR($AS319="",$D$6=""),"",TRIM(INDEX($A:$AP,ROW(),$D$6)&amp;""))</f>
        <v/>
      </c>
      <c r="BA319" s="2">
        <f>IF($AS319="","",IF(AND($AS319&gt;=설정!$B$10,$AS319&lt;=설정!$B$11),"포함","기간 밖"))</f>
        <v/>
      </c>
      <c r="BB319" s="2">
        <f>IF($AS319="","",IF(OR($AT319&lt;0,AND($I$6&lt;&gt;"",ISNUMBER(FIND("수정",INDEX($A:$AP,ROW(),IF($I$6="",1,$I$6))&amp;"")))),"수정","일반"))</f>
        <v/>
      </c>
      <c r="BC319" s="2">
        <f>IF($AS319="","",MID(IF($BA319="기간 밖"," / 기간 밖(신고기간 아님)","")&amp;IF(AND($AW319&lt;&gt;"",COUNTIF($AW$8:$AW$1007,$AW319)&gt;1)," / 승인번호 중복(두 번 붙여넣기?)","")&amp;IF(ABS($AU319-ROUND($AT319*0.1,0))&gt;설정!$B$8,IF($AU319=0," / 세액 0원(영세율·면세 여부 확인)"," / 세액이 공급가액 10%와 다름"),"")&amp;IF($BB319="수정"," / 수정세금계산서(합계에서 자동 가감)",""),4,200))</f>
        <v/>
      </c>
      <c r="BD319" s="2">
        <f>IF($BA319&lt;&gt;"포함","",IF(COUNTIFS($AX$8:$AX319,$AX319,$BA$8:$BA319,"포함")=1,MAX($BD$7:BD318)+1,""))</f>
        <v/>
      </c>
      <c r="BE319" s="2">
        <f>IF($BC319="","",MAX($BE$7:BE318)+1)</f>
        <v/>
      </c>
    </row>
    <row r="320">
      <c r="AR320" s="2">
        <f>IF(OR($A$5="",$B$6="",ROW()&lt;$A$5),"",IF(INDEX($A:$AP,ROW(),$B$6)="","",INDEX($A:$AP,ROW(),$B$6)))</f>
        <v/>
      </c>
      <c r="AS320" s="22">
        <f>IF($AR320="","",IF(ISNUMBER($AR320),IF($AR320&gt;=10000000,IFERROR(DATE(INT($AR320/10000),MOD(INT($AR320/100),100),MOD($AR320,100)),""),INT($AR320)),IFERROR(DATE(--LEFT(LEFT(SUBSTITUTE(SUBSTITUTE(SUBSTITUTE(SUBSTITUTE(TRIM($AR320),"-",""),".",""),"/","")," ",""),8),4),--MID(LEFT(SUBSTITUTE(SUBSTITUTE(SUBSTITUTE(SUBSTITUTE(TRIM($AR320),"-",""),".",""),"/","")," ",""),8),5,2),--MID(LEFT(SUBSTITUTE(SUBSTITUTE(SUBSTITUTE(SUBSTITUTE(TRIM($AR320),"-",""),".",""),"/","")," ",""),8),7,2)),"")))</f>
        <v/>
      </c>
      <c r="AT320" s="23">
        <f>IF($AS320="","",IF($F$6="",0,IF(ISNUMBER(INDEX($A:$AP,ROW(),$F$6)),INDEX($A:$AP,ROW(),$F$6),IFERROR(--SUBSTITUTE(SUBSTITUTE(TRIM(INDEX($A:$AP,ROW(),$F$6)),",",""),"원",""),0))))</f>
        <v/>
      </c>
      <c r="AU320" s="23">
        <f>IF($AS320="","",IF($G$6="",0,IF(ISNUMBER(INDEX($A:$AP,ROW(),$G$6)),INDEX($A:$AP,ROW(),$G$6),IFERROR(--SUBSTITUTE(SUBSTITUTE(TRIM(INDEX($A:$AP,ROW(),$G$6)),",",""),"원",""),0))))</f>
        <v/>
      </c>
      <c r="AV320" s="23">
        <f>IF($AS320="","",IF($H$6="",$AT320+$AU320,IF($H$6="",0,IF(ISNUMBER(INDEX($A:$AP,ROW(),$H$6)),INDEX($A:$AP,ROW(),$H$6),IFERROR(--SUBSTITUTE(SUBSTITUTE(TRIM(INDEX($A:$AP,ROW(),$H$6)),",",""),"원",""),0)))))</f>
        <v/>
      </c>
      <c r="AW320" s="2">
        <f>IF(OR($AS320="",$C$6=""),"",TRIM(INDEX($A:$AP,ROW(),$C$6)&amp;""))</f>
        <v/>
      </c>
      <c r="AX320" s="2">
        <f>IF($AS320="","",IF($AZ320&lt;&gt;"",SUBSTITUTE(SUBSTITUTE($AZ320,"-","")," ",""),$AY320))</f>
        <v/>
      </c>
      <c r="AY320" s="2">
        <f>IF(OR($AS320="",$E$6=""),"",TRIM(INDEX($A:$AP,ROW(),$E$6)&amp;""))</f>
        <v/>
      </c>
      <c r="AZ320" s="2">
        <f>IF(OR($AS320="",$D$6=""),"",TRIM(INDEX($A:$AP,ROW(),$D$6)&amp;""))</f>
        <v/>
      </c>
      <c r="BA320" s="2">
        <f>IF($AS320="","",IF(AND($AS320&gt;=설정!$B$10,$AS320&lt;=설정!$B$11),"포함","기간 밖"))</f>
        <v/>
      </c>
      <c r="BB320" s="2">
        <f>IF($AS320="","",IF(OR($AT320&lt;0,AND($I$6&lt;&gt;"",ISNUMBER(FIND("수정",INDEX($A:$AP,ROW(),IF($I$6="",1,$I$6))&amp;"")))),"수정","일반"))</f>
        <v/>
      </c>
      <c r="BC320" s="2">
        <f>IF($AS320="","",MID(IF($BA320="기간 밖"," / 기간 밖(신고기간 아님)","")&amp;IF(AND($AW320&lt;&gt;"",COUNTIF($AW$8:$AW$1007,$AW320)&gt;1)," / 승인번호 중복(두 번 붙여넣기?)","")&amp;IF(ABS($AU320-ROUND($AT320*0.1,0))&gt;설정!$B$8,IF($AU320=0," / 세액 0원(영세율·면세 여부 확인)"," / 세액이 공급가액 10%와 다름"),"")&amp;IF($BB320="수정"," / 수정세금계산서(합계에서 자동 가감)",""),4,200))</f>
        <v/>
      </c>
      <c r="BD320" s="2">
        <f>IF($BA320&lt;&gt;"포함","",IF(COUNTIFS($AX$8:$AX320,$AX320,$BA$8:$BA320,"포함")=1,MAX($BD$7:BD319)+1,""))</f>
        <v/>
      </c>
      <c r="BE320" s="2">
        <f>IF($BC320="","",MAX($BE$7:BE319)+1)</f>
        <v/>
      </c>
    </row>
    <row r="321">
      <c r="AR321" s="2">
        <f>IF(OR($A$5="",$B$6="",ROW()&lt;$A$5),"",IF(INDEX($A:$AP,ROW(),$B$6)="","",INDEX($A:$AP,ROW(),$B$6)))</f>
        <v/>
      </c>
      <c r="AS321" s="22">
        <f>IF($AR321="","",IF(ISNUMBER($AR321),IF($AR321&gt;=10000000,IFERROR(DATE(INT($AR321/10000),MOD(INT($AR321/100),100),MOD($AR321,100)),""),INT($AR321)),IFERROR(DATE(--LEFT(LEFT(SUBSTITUTE(SUBSTITUTE(SUBSTITUTE(SUBSTITUTE(TRIM($AR321),"-",""),".",""),"/","")," ",""),8),4),--MID(LEFT(SUBSTITUTE(SUBSTITUTE(SUBSTITUTE(SUBSTITUTE(TRIM($AR321),"-",""),".",""),"/","")," ",""),8),5,2),--MID(LEFT(SUBSTITUTE(SUBSTITUTE(SUBSTITUTE(SUBSTITUTE(TRIM($AR321),"-",""),".",""),"/","")," ",""),8),7,2)),"")))</f>
        <v/>
      </c>
      <c r="AT321" s="23">
        <f>IF($AS321="","",IF($F$6="",0,IF(ISNUMBER(INDEX($A:$AP,ROW(),$F$6)),INDEX($A:$AP,ROW(),$F$6),IFERROR(--SUBSTITUTE(SUBSTITUTE(TRIM(INDEX($A:$AP,ROW(),$F$6)),",",""),"원",""),0))))</f>
        <v/>
      </c>
      <c r="AU321" s="23">
        <f>IF($AS321="","",IF($G$6="",0,IF(ISNUMBER(INDEX($A:$AP,ROW(),$G$6)),INDEX($A:$AP,ROW(),$G$6),IFERROR(--SUBSTITUTE(SUBSTITUTE(TRIM(INDEX($A:$AP,ROW(),$G$6)),",",""),"원",""),0))))</f>
        <v/>
      </c>
      <c r="AV321" s="23">
        <f>IF($AS321="","",IF($H$6="",$AT321+$AU321,IF($H$6="",0,IF(ISNUMBER(INDEX($A:$AP,ROW(),$H$6)),INDEX($A:$AP,ROW(),$H$6),IFERROR(--SUBSTITUTE(SUBSTITUTE(TRIM(INDEX($A:$AP,ROW(),$H$6)),",",""),"원",""),0)))))</f>
        <v/>
      </c>
      <c r="AW321" s="2">
        <f>IF(OR($AS321="",$C$6=""),"",TRIM(INDEX($A:$AP,ROW(),$C$6)&amp;""))</f>
        <v/>
      </c>
      <c r="AX321" s="2">
        <f>IF($AS321="","",IF($AZ321&lt;&gt;"",SUBSTITUTE(SUBSTITUTE($AZ321,"-","")," ",""),$AY321))</f>
        <v/>
      </c>
      <c r="AY321" s="2">
        <f>IF(OR($AS321="",$E$6=""),"",TRIM(INDEX($A:$AP,ROW(),$E$6)&amp;""))</f>
        <v/>
      </c>
      <c r="AZ321" s="2">
        <f>IF(OR($AS321="",$D$6=""),"",TRIM(INDEX($A:$AP,ROW(),$D$6)&amp;""))</f>
        <v/>
      </c>
      <c r="BA321" s="2">
        <f>IF($AS321="","",IF(AND($AS321&gt;=설정!$B$10,$AS321&lt;=설정!$B$11),"포함","기간 밖"))</f>
        <v/>
      </c>
      <c r="BB321" s="2">
        <f>IF($AS321="","",IF(OR($AT321&lt;0,AND($I$6&lt;&gt;"",ISNUMBER(FIND("수정",INDEX($A:$AP,ROW(),IF($I$6="",1,$I$6))&amp;"")))),"수정","일반"))</f>
        <v/>
      </c>
      <c r="BC321" s="2">
        <f>IF($AS321="","",MID(IF($BA321="기간 밖"," / 기간 밖(신고기간 아님)","")&amp;IF(AND($AW321&lt;&gt;"",COUNTIF($AW$8:$AW$1007,$AW321)&gt;1)," / 승인번호 중복(두 번 붙여넣기?)","")&amp;IF(ABS($AU321-ROUND($AT321*0.1,0))&gt;설정!$B$8,IF($AU321=0," / 세액 0원(영세율·면세 여부 확인)"," / 세액이 공급가액 10%와 다름"),"")&amp;IF($BB321="수정"," / 수정세금계산서(합계에서 자동 가감)",""),4,200))</f>
        <v/>
      </c>
      <c r="BD321" s="2">
        <f>IF($BA321&lt;&gt;"포함","",IF(COUNTIFS($AX$8:$AX321,$AX321,$BA$8:$BA321,"포함")=1,MAX($BD$7:BD320)+1,""))</f>
        <v/>
      </c>
      <c r="BE321" s="2">
        <f>IF($BC321="","",MAX($BE$7:BE320)+1)</f>
        <v/>
      </c>
    </row>
    <row r="322">
      <c r="AR322" s="2">
        <f>IF(OR($A$5="",$B$6="",ROW()&lt;$A$5),"",IF(INDEX($A:$AP,ROW(),$B$6)="","",INDEX($A:$AP,ROW(),$B$6)))</f>
        <v/>
      </c>
      <c r="AS322" s="22">
        <f>IF($AR322="","",IF(ISNUMBER($AR322),IF($AR322&gt;=10000000,IFERROR(DATE(INT($AR322/10000),MOD(INT($AR322/100),100),MOD($AR322,100)),""),INT($AR322)),IFERROR(DATE(--LEFT(LEFT(SUBSTITUTE(SUBSTITUTE(SUBSTITUTE(SUBSTITUTE(TRIM($AR322),"-",""),".",""),"/","")," ",""),8),4),--MID(LEFT(SUBSTITUTE(SUBSTITUTE(SUBSTITUTE(SUBSTITUTE(TRIM($AR322),"-",""),".",""),"/","")," ",""),8),5,2),--MID(LEFT(SUBSTITUTE(SUBSTITUTE(SUBSTITUTE(SUBSTITUTE(TRIM($AR322),"-",""),".",""),"/","")," ",""),8),7,2)),"")))</f>
        <v/>
      </c>
      <c r="AT322" s="23">
        <f>IF($AS322="","",IF($F$6="",0,IF(ISNUMBER(INDEX($A:$AP,ROW(),$F$6)),INDEX($A:$AP,ROW(),$F$6),IFERROR(--SUBSTITUTE(SUBSTITUTE(TRIM(INDEX($A:$AP,ROW(),$F$6)),",",""),"원",""),0))))</f>
        <v/>
      </c>
      <c r="AU322" s="23">
        <f>IF($AS322="","",IF($G$6="",0,IF(ISNUMBER(INDEX($A:$AP,ROW(),$G$6)),INDEX($A:$AP,ROW(),$G$6),IFERROR(--SUBSTITUTE(SUBSTITUTE(TRIM(INDEX($A:$AP,ROW(),$G$6)),",",""),"원",""),0))))</f>
        <v/>
      </c>
      <c r="AV322" s="23">
        <f>IF($AS322="","",IF($H$6="",$AT322+$AU322,IF($H$6="",0,IF(ISNUMBER(INDEX($A:$AP,ROW(),$H$6)),INDEX($A:$AP,ROW(),$H$6),IFERROR(--SUBSTITUTE(SUBSTITUTE(TRIM(INDEX($A:$AP,ROW(),$H$6)),",",""),"원",""),0)))))</f>
        <v/>
      </c>
      <c r="AW322" s="2">
        <f>IF(OR($AS322="",$C$6=""),"",TRIM(INDEX($A:$AP,ROW(),$C$6)&amp;""))</f>
        <v/>
      </c>
      <c r="AX322" s="2">
        <f>IF($AS322="","",IF($AZ322&lt;&gt;"",SUBSTITUTE(SUBSTITUTE($AZ322,"-","")," ",""),$AY322))</f>
        <v/>
      </c>
      <c r="AY322" s="2">
        <f>IF(OR($AS322="",$E$6=""),"",TRIM(INDEX($A:$AP,ROW(),$E$6)&amp;""))</f>
        <v/>
      </c>
      <c r="AZ322" s="2">
        <f>IF(OR($AS322="",$D$6=""),"",TRIM(INDEX($A:$AP,ROW(),$D$6)&amp;""))</f>
        <v/>
      </c>
      <c r="BA322" s="2">
        <f>IF($AS322="","",IF(AND($AS322&gt;=설정!$B$10,$AS322&lt;=설정!$B$11),"포함","기간 밖"))</f>
        <v/>
      </c>
      <c r="BB322" s="2">
        <f>IF($AS322="","",IF(OR($AT322&lt;0,AND($I$6&lt;&gt;"",ISNUMBER(FIND("수정",INDEX($A:$AP,ROW(),IF($I$6="",1,$I$6))&amp;"")))),"수정","일반"))</f>
        <v/>
      </c>
      <c r="BC322" s="2">
        <f>IF($AS322="","",MID(IF($BA322="기간 밖"," / 기간 밖(신고기간 아님)","")&amp;IF(AND($AW322&lt;&gt;"",COUNTIF($AW$8:$AW$1007,$AW322)&gt;1)," / 승인번호 중복(두 번 붙여넣기?)","")&amp;IF(ABS($AU322-ROUND($AT322*0.1,0))&gt;설정!$B$8,IF($AU322=0," / 세액 0원(영세율·면세 여부 확인)"," / 세액이 공급가액 10%와 다름"),"")&amp;IF($BB322="수정"," / 수정세금계산서(합계에서 자동 가감)",""),4,200))</f>
        <v/>
      </c>
      <c r="BD322" s="2">
        <f>IF($BA322&lt;&gt;"포함","",IF(COUNTIFS($AX$8:$AX322,$AX322,$BA$8:$BA322,"포함")=1,MAX($BD$7:BD321)+1,""))</f>
        <v/>
      </c>
      <c r="BE322" s="2">
        <f>IF($BC322="","",MAX($BE$7:BE321)+1)</f>
        <v/>
      </c>
    </row>
    <row r="323">
      <c r="AR323" s="2">
        <f>IF(OR($A$5="",$B$6="",ROW()&lt;$A$5),"",IF(INDEX($A:$AP,ROW(),$B$6)="","",INDEX($A:$AP,ROW(),$B$6)))</f>
        <v/>
      </c>
      <c r="AS323" s="22">
        <f>IF($AR323="","",IF(ISNUMBER($AR323),IF($AR323&gt;=10000000,IFERROR(DATE(INT($AR323/10000),MOD(INT($AR323/100),100),MOD($AR323,100)),""),INT($AR323)),IFERROR(DATE(--LEFT(LEFT(SUBSTITUTE(SUBSTITUTE(SUBSTITUTE(SUBSTITUTE(TRIM($AR323),"-",""),".",""),"/","")," ",""),8),4),--MID(LEFT(SUBSTITUTE(SUBSTITUTE(SUBSTITUTE(SUBSTITUTE(TRIM($AR323),"-",""),".",""),"/","")," ",""),8),5,2),--MID(LEFT(SUBSTITUTE(SUBSTITUTE(SUBSTITUTE(SUBSTITUTE(TRIM($AR323),"-",""),".",""),"/","")," ",""),8),7,2)),"")))</f>
        <v/>
      </c>
      <c r="AT323" s="23">
        <f>IF($AS323="","",IF($F$6="",0,IF(ISNUMBER(INDEX($A:$AP,ROW(),$F$6)),INDEX($A:$AP,ROW(),$F$6),IFERROR(--SUBSTITUTE(SUBSTITUTE(TRIM(INDEX($A:$AP,ROW(),$F$6)),",",""),"원",""),0))))</f>
        <v/>
      </c>
      <c r="AU323" s="23">
        <f>IF($AS323="","",IF($G$6="",0,IF(ISNUMBER(INDEX($A:$AP,ROW(),$G$6)),INDEX($A:$AP,ROW(),$G$6),IFERROR(--SUBSTITUTE(SUBSTITUTE(TRIM(INDEX($A:$AP,ROW(),$G$6)),",",""),"원",""),0))))</f>
        <v/>
      </c>
      <c r="AV323" s="23">
        <f>IF($AS323="","",IF($H$6="",$AT323+$AU323,IF($H$6="",0,IF(ISNUMBER(INDEX($A:$AP,ROW(),$H$6)),INDEX($A:$AP,ROW(),$H$6),IFERROR(--SUBSTITUTE(SUBSTITUTE(TRIM(INDEX($A:$AP,ROW(),$H$6)),",",""),"원",""),0)))))</f>
        <v/>
      </c>
      <c r="AW323" s="2">
        <f>IF(OR($AS323="",$C$6=""),"",TRIM(INDEX($A:$AP,ROW(),$C$6)&amp;""))</f>
        <v/>
      </c>
      <c r="AX323" s="2">
        <f>IF($AS323="","",IF($AZ323&lt;&gt;"",SUBSTITUTE(SUBSTITUTE($AZ323,"-","")," ",""),$AY323))</f>
        <v/>
      </c>
      <c r="AY323" s="2">
        <f>IF(OR($AS323="",$E$6=""),"",TRIM(INDEX($A:$AP,ROW(),$E$6)&amp;""))</f>
        <v/>
      </c>
      <c r="AZ323" s="2">
        <f>IF(OR($AS323="",$D$6=""),"",TRIM(INDEX($A:$AP,ROW(),$D$6)&amp;""))</f>
        <v/>
      </c>
      <c r="BA323" s="2">
        <f>IF($AS323="","",IF(AND($AS323&gt;=설정!$B$10,$AS323&lt;=설정!$B$11),"포함","기간 밖"))</f>
        <v/>
      </c>
      <c r="BB323" s="2">
        <f>IF($AS323="","",IF(OR($AT323&lt;0,AND($I$6&lt;&gt;"",ISNUMBER(FIND("수정",INDEX($A:$AP,ROW(),IF($I$6="",1,$I$6))&amp;"")))),"수정","일반"))</f>
        <v/>
      </c>
      <c r="BC323" s="2">
        <f>IF($AS323="","",MID(IF($BA323="기간 밖"," / 기간 밖(신고기간 아님)","")&amp;IF(AND($AW323&lt;&gt;"",COUNTIF($AW$8:$AW$1007,$AW323)&gt;1)," / 승인번호 중복(두 번 붙여넣기?)","")&amp;IF(ABS($AU323-ROUND($AT323*0.1,0))&gt;설정!$B$8,IF($AU323=0," / 세액 0원(영세율·면세 여부 확인)"," / 세액이 공급가액 10%와 다름"),"")&amp;IF($BB323="수정"," / 수정세금계산서(합계에서 자동 가감)",""),4,200))</f>
        <v/>
      </c>
      <c r="BD323" s="2">
        <f>IF($BA323&lt;&gt;"포함","",IF(COUNTIFS($AX$8:$AX323,$AX323,$BA$8:$BA323,"포함")=1,MAX($BD$7:BD322)+1,""))</f>
        <v/>
      </c>
      <c r="BE323" s="2">
        <f>IF($BC323="","",MAX($BE$7:BE322)+1)</f>
        <v/>
      </c>
    </row>
    <row r="324">
      <c r="AR324" s="2">
        <f>IF(OR($A$5="",$B$6="",ROW()&lt;$A$5),"",IF(INDEX($A:$AP,ROW(),$B$6)="","",INDEX($A:$AP,ROW(),$B$6)))</f>
        <v/>
      </c>
      <c r="AS324" s="22">
        <f>IF($AR324="","",IF(ISNUMBER($AR324),IF($AR324&gt;=10000000,IFERROR(DATE(INT($AR324/10000),MOD(INT($AR324/100),100),MOD($AR324,100)),""),INT($AR324)),IFERROR(DATE(--LEFT(LEFT(SUBSTITUTE(SUBSTITUTE(SUBSTITUTE(SUBSTITUTE(TRIM($AR324),"-",""),".",""),"/","")," ",""),8),4),--MID(LEFT(SUBSTITUTE(SUBSTITUTE(SUBSTITUTE(SUBSTITUTE(TRIM($AR324),"-",""),".",""),"/","")," ",""),8),5,2),--MID(LEFT(SUBSTITUTE(SUBSTITUTE(SUBSTITUTE(SUBSTITUTE(TRIM($AR324),"-",""),".",""),"/","")," ",""),8),7,2)),"")))</f>
        <v/>
      </c>
      <c r="AT324" s="23">
        <f>IF($AS324="","",IF($F$6="",0,IF(ISNUMBER(INDEX($A:$AP,ROW(),$F$6)),INDEX($A:$AP,ROW(),$F$6),IFERROR(--SUBSTITUTE(SUBSTITUTE(TRIM(INDEX($A:$AP,ROW(),$F$6)),",",""),"원",""),0))))</f>
        <v/>
      </c>
      <c r="AU324" s="23">
        <f>IF($AS324="","",IF($G$6="",0,IF(ISNUMBER(INDEX($A:$AP,ROW(),$G$6)),INDEX($A:$AP,ROW(),$G$6),IFERROR(--SUBSTITUTE(SUBSTITUTE(TRIM(INDEX($A:$AP,ROW(),$G$6)),",",""),"원",""),0))))</f>
        <v/>
      </c>
      <c r="AV324" s="23">
        <f>IF($AS324="","",IF($H$6="",$AT324+$AU324,IF($H$6="",0,IF(ISNUMBER(INDEX($A:$AP,ROW(),$H$6)),INDEX($A:$AP,ROW(),$H$6),IFERROR(--SUBSTITUTE(SUBSTITUTE(TRIM(INDEX($A:$AP,ROW(),$H$6)),",",""),"원",""),0)))))</f>
        <v/>
      </c>
      <c r="AW324" s="2">
        <f>IF(OR($AS324="",$C$6=""),"",TRIM(INDEX($A:$AP,ROW(),$C$6)&amp;""))</f>
        <v/>
      </c>
      <c r="AX324" s="2">
        <f>IF($AS324="","",IF($AZ324&lt;&gt;"",SUBSTITUTE(SUBSTITUTE($AZ324,"-","")," ",""),$AY324))</f>
        <v/>
      </c>
      <c r="AY324" s="2">
        <f>IF(OR($AS324="",$E$6=""),"",TRIM(INDEX($A:$AP,ROW(),$E$6)&amp;""))</f>
        <v/>
      </c>
      <c r="AZ324" s="2">
        <f>IF(OR($AS324="",$D$6=""),"",TRIM(INDEX($A:$AP,ROW(),$D$6)&amp;""))</f>
        <v/>
      </c>
      <c r="BA324" s="2">
        <f>IF($AS324="","",IF(AND($AS324&gt;=설정!$B$10,$AS324&lt;=설정!$B$11),"포함","기간 밖"))</f>
        <v/>
      </c>
      <c r="BB324" s="2">
        <f>IF($AS324="","",IF(OR($AT324&lt;0,AND($I$6&lt;&gt;"",ISNUMBER(FIND("수정",INDEX($A:$AP,ROW(),IF($I$6="",1,$I$6))&amp;"")))),"수정","일반"))</f>
        <v/>
      </c>
      <c r="BC324" s="2">
        <f>IF($AS324="","",MID(IF($BA324="기간 밖"," / 기간 밖(신고기간 아님)","")&amp;IF(AND($AW324&lt;&gt;"",COUNTIF($AW$8:$AW$1007,$AW324)&gt;1)," / 승인번호 중복(두 번 붙여넣기?)","")&amp;IF(ABS($AU324-ROUND($AT324*0.1,0))&gt;설정!$B$8,IF($AU324=0," / 세액 0원(영세율·면세 여부 확인)"," / 세액이 공급가액 10%와 다름"),"")&amp;IF($BB324="수정"," / 수정세금계산서(합계에서 자동 가감)",""),4,200))</f>
        <v/>
      </c>
      <c r="BD324" s="2">
        <f>IF($BA324&lt;&gt;"포함","",IF(COUNTIFS($AX$8:$AX324,$AX324,$BA$8:$BA324,"포함")=1,MAX($BD$7:BD323)+1,""))</f>
        <v/>
      </c>
      <c r="BE324" s="2">
        <f>IF($BC324="","",MAX($BE$7:BE323)+1)</f>
        <v/>
      </c>
    </row>
    <row r="325">
      <c r="AR325" s="2">
        <f>IF(OR($A$5="",$B$6="",ROW()&lt;$A$5),"",IF(INDEX($A:$AP,ROW(),$B$6)="","",INDEX($A:$AP,ROW(),$B$6)))</f>
        <v/>
      </c>
      <c r="AS325" s="22">
        <f>IF($AR325="","",IF(ISNUMBER($AR325),IF($AR325&gt;=10000000,IFERROR(DATE(INT($AR325/10000),MOD(INT($AR325/100),100),MOD($AR325,100)),""),INT($AR325)),IFERROR(DATE(--LEFT(LEFT(SUBSTITUTE(SUBSTITUTE(SUBSTITUTE(SUBSTITUTE(TRIM($AR325),"-",""),".",""),"/","")," ",""),8),4),--MID(LEFT(SUBSTITUTE(SUBSTITUTE(SUBSTITUTE(SUBSTITUTE(TRIM($AR325),"-",""),".",""),"/","")," ",""),8),5,2),--MID(LEFT(SUBSTITUTE(SUBSTITUTE(SUBSTITUTE(SUBSTITUTE(TRIM($AR325),"-",""),".",""),"/","")," ",""),8),7,2)),"")))</f>
        <v/>
      </c>
      <c r="AT325" s="23">
        <f>IF($AS325="","",IF($F$6="",0,IF(ISNUMBER(INDEX($A:$AP,ROW(),$F$6)),INDEX($A:$AP,ROW(),$F$6),IFERROR(--SUBSTITUTE(SUBSTITUTE(TRIM(INDEX($A:$AP,ROW(),$F$6)),",",""),"원",""),0))))</f>
        <v/>
      </c>
      <c r="AU325" s="23">
        <f>IF($AS325="","",IF($G$6="",0,IF(ISNUMBER(INDEX($A:$AP,ROW(),$G$6)),INDEX($A:$AP,ROW(),$G$6),IFERROR(--SUBSTITUTE(SUBSTITUTE(TRIM(INDEX($A:$AP,ROW(),$G$6)),",",""),"원",""),0))))</f>
        <v/>
      </c>
      <c r="AV325" s="23">
        <f>IF($AS325="","",IF($H$6="",$AT325+$AU325,IF($H$6="",0,IF(ISNUMBER(INDEX($A:$AP,ROW(),$H$6)),INDEX($A:$AP,ROW(),$H$6),IFERROR(--SUBSTITUTE(SUBSTITUTE(TRIM(INDEX($A:$AP,ROW(),$H$6)),",",""),"원",""),0)))))</f>
        <v/>
      </c>
      <c r="AW325" s="2">
        <f>IF(OR($AS325="",$C$6=""),"",TRIM(INDEX($A:$AP,ROW(),$C$6)&amp;""))</f>
        <v/>
      </c>
      <c r="AX325" s="2">
        <f>IF($AS325="","",IF($AZ325&lt;&gt;"",SUBSTITUTE(SUBSTITUTE($AZ325,"-","")," ",""),$AY325))</f>
        <v/>
      </c>
      <c r="AY325" s="2">
        <f>IF(OR($AS325="",$E$6=""),"",TRIM(INDEX($A:$AP,ROW(),$E$6)&amp;""))</f>
        <v/>
      </c>
      <c r="AZ325" s="2">
        <f>IF(OR($AS325="",$D$6=""),"",TRIM(INDEX($A:$AP,ROW(),$D$6)&amp;""))</f>
        <v/>
      </c>
      <c r="BA325" s="2">
        <f>IF($AS325="","",IF(AND($AS325&gt;=설정!$B$10,$AS325&lt;=설정!$B$11),"포함","기간 밖"))</f>
        <v/>
      </c>
      <c r="BB325" s="2">
        <f>IF($AS325="","",IF(OR($AT325&lt;0,AND($I$6&lt;&gt;"",ISNUMBER(FIND("수정",INDEX($A:$AP,ROW(),IF($I$6="",1,$I$6))&amp;"")))),"수정","일반"))</f>
        <v/>
      </c>
      <c r="BC325" s="2">
        <f>IF($AS325="","",MID(IF($BA325="기간 밖"," / 기간 밖(신고기간 아님)","")&amp;IF(AND($AW325&lt;&gt;"",COUNTIF($AW$8:$AW$1007,$AW325)&gt;1)," / 승인번호 중복(두 번 붙여넣기?)","")&amp;IF(ABS($AU325-ROUND($AT325*0.1,0))&gt;설정!$B$8,IF($AU325=0," / 세액 0원(영세율·면세 여부 확인)"," / 세액이 공급가액 10%와 다름"),"")&amp;IF($BB325="수정"," / 수정세금계산서(합계에서 자동 가감)",""),4,200))</f>
        <v/>
      </c>
      <c r="BD325" s="2">
        <f>IF($BA325&lt;&gt;"포함","",IF(COUNTIFS($AX$8:$AX325,$AX325,$BA$8:$BA325,"포함")=1,MAX($BD$7:BD324)+1,""))</f>
        <v/>
      </c>
      <c r="BE325" s="2">
        <f>IF($BC325="","",MAX($BE$7:BE324)+1)</f>
        <v/>
      </c>
    </row>
    <row r="326">
      <c r="AR326" s="2">
        <f>IF(OR($A$5="",$B$6="",ROW()&lt;$A$5),"",IF(INDEX($A:$AP,ROW(),$B$6)="","",INDEX($A:$AP,ROW(),$B$6)))</f>
        <v/>
      </c>
      <c r="AS326" s="22">
        <f>IF($AR326="","",IF(ISNUMBER($AR326),IF($AR326&gt;=10000000,IFERROR(DATE(INT($AR326/10000),MOD(INT($AR326/100),100),MOD($AR326,100)),""),INT($AR326)),IFERROR(DATE(--LEFT(LEFT(SUBSTITUTE(SUBSTITUTE(SUBSTITUTE(SUBSTITUTE(TRIM($AR326),"-",""),".",""),"/","")," ",""),8),4),--MID(LEFT(SUBSTITUTE(SUBSTITUTE(SUBSTITUTE(SUBSTITUTE(TRIM($AR326),"-",""),".",""),"/","")," ",""),8),5,2),--MID(LEFT(SUBSTITUTE(SUBSTITUTE(SUBSTITUTE(SUBSTITUTE(TRIM($AR326),"-",""),".",""),"/","")," ",""),8),7,2)),"")))</f>
        <v/>
      </c>
      <c r="AT326" s="23">
        <f>IF($AS326="","",IF($F$6="",0,IF(ISNUMBER(INDEX($A:$AP,ROW(),$F$6)),INDEX($A:$AP,ROW(),$F$6),IFERROR(--SUBSTITUTE(SUBSTITUTE(TRIM(INDEX($A:$AP,ROW(),$F$6)),",",""),"원",""),0))))</f>
        <v/>
      </c>
      <c r="AU326" s="23">
        <f>IF($AS326="","",IF($G$6="",0,IF(ISNUMBER(INDEX($A:$AP,ROW(),$G$6)),INDEX($A:$AP,ROW(),$G$6),IFERROR(--SUBSTITUTE(SUBSTITUTE(TRIM(INDEX($A:$AP,ROW(),$G$6)),",",""),"원",""),0))))</f>
        <v/>
      </c>
      <c r="AV326" s="23">
        <f>IF($AS326="","",IF($H$6="",$AT326+$AU326,IF($H$6="",0,IF(ISNUMBER(INDEX($A:$AP,ROW(),$H$6)),INDEX($A:$AP,ROW(),$H$6),IFERROR(--SUBSTITUTE(SUBSTITUTE(TRIM(INDEX($A:$AP,ROW(),$H$6)),",",""),"원",""),0)))))</f>
        <v/>
      </c>
      <c r="AW326" s="2">
        <f>IF(OR($AS326="",$C$6=""),"",TRIM(INDEX($A:$AP,ROW(),$C$6)&amp;""))</f>
        <v/>
      </c>
      <c r="AX326" s="2">
        <f>IF($AS326="","",IF($AZ326&lt;&gt;"",SUBSTITUTE(SUBSTITUTE($AZ326,"-","")," ",""),$AY326))</f>
        <v/>
      </c>
      <c r="AY326" s="2">
        <f>IF(OR($AS326="",$E$6=""),"",TRIM(INDEX($A:$AP,ROW(),$E$6)&amp;""))</f>
        <v/>
      </c>
      <c r="AZ326" s="2">
        <f>IF(OR($AS326="",$D$6=""),"",TRIM(INDEX($A:$AP,ROW(),$D$6)&amp;""))</f>
        <v/>
      </c>
      <c r="BA326" s="2">
        <f>IF($AS326="","",IF(AND($AS326&gt;=설정!$B$10,$AS326&lt;=설정!$B$11),"포함","기간 밖"))</f>
        <v/>
      </c>
      <c r="BB326" s="2">
        <f>IF($AS326="","",IF(OR($AT326&lt;0,AND($I$6&lt;&gt;"",ISNUMBER(FIND("수정",INDEX($A:$AP,ROW(),IF($I$6="",1,$I$6))&amp;"")))),"수정","일반"))</f>
        <v/>
      </c>
      <c r="BC326" s="2">
        <f>IF($AS326="","",MID(IF($BA326="기간 밖"," / 기간 밖(신고기간 아님)","")&amp;IF(AND($AW326&lt;&gt;"",COUNTIF($AW$8:$AW$1007,$AW326)&gt;1)," / 승인번호 중복(두 번 붙여넣기?)","")&amp;IF(ABS($AU326-ROUND($AT326*0.1,0))&gt;설정!$B$8,IF($AU326=0," / 세액 0원(영세율·면세 여부 확인)"," / 세액이 공급가액 10%와 다름"),"")&amp;IF($BB326="수정"," / 수정세금계산서(합계에서 자동 가감)",""),4,200))</f>
        <v/>
      </c>
      <c r="BD326" s="2">
        <f>IF($BA326&lt;&gt;"포함","",IF(COUNTIFS($AX$8:$AX326,$AX326,$BA$8:$BA326,"포함")=1,MAX($BD$7:BD325)+1,""))</f>
        <v/>
      </c>
      <c r="BE326" s="2">
        <f>IF($BC326="","",MAX($BE$7:BE325)+1)</f>
        <v/>
      </c>
    </row>
    <row r="327">
      <c r="AR327" s="2">
        <f>IF(OR($A$5="",$B$6="",ROW()&lt;$A$5),"",IF(INDEX($A:$AP,ROW(),$B$6)="","",INDEX($A:$AP,ROW(),$B$6)))</f>
        <v/>
      </c>
      <c r="AS327" s="22">
        <f>IF($AR327="","",IF(ISNUMBER($AR327),IF($AR327&gt;=10000000,IFERROR(DATE(INT($AR327/10000),MOD(INT($AR327/100),100),MOD($AR327,100)),""),INT($AR327)),IFERROR(DATE(--LEFT(LEFT(SUBSTITUTE(SUBSTITUTE(SUBSTITUTE(SUBSTITUTE(TRIM($AR327),"-",""),".",""),"/","")," ",""),8),4),--MID(LEFT(SUBSTITUTE(SUBSTITUTE(SUBSTITUTE(SUBSTITUTE(TRIM($AR327),"-",""),".",""),"/","")," ",""),8),5,2),--MID(LEFT(SUBSTITUTE(SUBSTITUTE(SUBSTITUTE(SUBSTITUTE(TRIM($AR327),"-",""),".",""),"/","")," ",""),8),7,2)),"")))</f>
        <v/>
      </c>
      <c r="AT327" s="23">
        <f>IF($AS327="","",IF($F$6="",0,IF(ISNUMBER(INDEX($A:$AP,ROW(),$F$6)),INDEX($A:$AP,ROW(),$F$6),IFERROR(--SUBSTITUTE(SUBSTITUTE(TRIM(INDEX($A:$AP,ROW(),$F$6)),",",""),"원",""),0))))</f>
        <v/>
      </c>
      <c r="AU327" s="23">
        <f>IF($AS327="","",IF($G$6="",0,IF(ISNUMBER(INDEX($A:$AP,ROW(),$G$6)),INDEX($A:$AP,ROW(),$G$6),IFERROR(--SUBSTITUTE(SUBSTITUTE(TRIM(INDEX($A:$AP,ROW(),$G$6)),",",""),"원",""),0))))</f>
        <v/>
      </c>
      <c r="AV327" s="23">
        <f>IF($AS327="","",IF($H$6="",$AT327+$AU327,IF($H$6="",0,IF(ISNUMBER(INDEX($A:$AP,ROW(),$H$6)),INDEX($A:$AP,ROW(),$H$6),IFERROR(--SUBSTITUTE(SUBSTITUTE(TRIM(INDEX($A:$AP,ROW(),$H$6)),",",""),"원",""),0)))))</f>
        <v/>
      </c>
      <c r="AW327" s="2">
        <f>IF(OR($AS327="",$C$6=""),"",TRIM(INDEX($A:$AP,ROW(),$C$6)&amp;""))</f>
        <v/>
      </c>
      <c r="AX327" s="2">
        <f>IF($AS327="","",IF($AZ327&lt;&gt;"",SUBSTITUTE(SUBSTITUTE($AZ327,"-","")," ",""),$AY327))</f>
        <v/>
      </c>
      <c r="AY327" s="2">
        <f>IF(OR($AS327="",$E$6=""),"",TRIM(INDEX($A:$AP,ROW(),$E$6)&amp;""))</f>
        <v/>
      </c>
      <c r="AZ327" s="2">
        <f>IF(OR($AS327="",$D$6=""),"",TRIM(INDEX($A:$AP,ROW(),$D$6)&amp;""))</f>
        <v/>
      </c>
      <c r="BA327" s="2">
        <f>IF($AS327="","",IF(AND($AS327&gt;=설정!$B$10,$AS327&lt;=설정!$B$11),"포함","기간 밖"))</f>
        <v/>
      </c>
      <c r="BB327" s="2">
        <f>IF($AS327="","",IF(OR($AT327&lt;0,AND($I$6&lt;&gt;"",ISNUMBER(FIND("수정",INDEX($A:$AP,ROW(),IF($I$6="",1,$I$6))&amp;"")))),"수정","일반"))</f>
        <v/>
      </c>
      <c r="BC327" s="2">
        <f>IF($AS327="","",MID(IF($BA327="기간 밖"," / 기간 밖(신고기간 아님)","")&amp;IF(AND($AW327&lt;&gt;"",COUNTIF($AW$8:$AW$1007,$AW327)&gt;1)," / 승인번호 중복(두 번 붙여넣기?)","")&amp;IF(ABS($AU327-ROUND($AT327*0.1,0))&gt;설정!$B$8,IF($AU327=0," / 세액 0원(영세율·면세 여부 확인)"," / 세액이 공급가액 10%와 다름"),"")&amp;IF($BB327="수정"," / 수정세금계산서(합계에서 자동 가감)",""),4,200))</f>
        <v/>
      </c>
      <c r="BD327" s="2">
        <f>IF($BA327&lt;&gt;"포함","",IF(COUNTIFS($AX$8:$AX327,$AX327,$BA$8:$BA327,"포함")=1,MAX($BD$7:BD326)+1,""))</f>
        <v/>
      </c>
      <c r="BE327" s="2">
        <f>IF($BC327="","",MAX($BE$7:BE326)+1)</f>
        <v/>
      </c>
    </row>
    <row r="328">
      <c r="AR328" s="2">
        <f>IF(OR($A$5="",$B$6="",ROW()&lt;$A$5),"",IF(INDEX($A:$AP,ROW(),$B$6)="","",INDEX($A:$AP,ROW(),$B$6)))</f>
        <v/>
      </c>
      <c r="AS328" s="22">
        <f>IF($AR328="","",IF(ISNUMBER($AR328),IF($AR328&gt;=10000000,IFERROR(DATE(INT($AR328/10000),MOD(INT($AR328/100),100),MOD($AR328,100)),""),INT($AR328)),IFERROR(DATE(--LEFT(LEFT(SUBSTITUTE(SUBSTITUTE(SUBSTITUTE(SUBSTITUTE(TRIM($AR328),"-",""),".",""),"/","")," ",""),8),4),--MID(LEFT(SUBSTITUTE(SUBSTITUTE(SUBSTITUTE(SUBSTITUTE(TRIM($AR328),"-",""),".",""),"/","")," ",""),8),5,2),--MID(LEFT(SUBSTITUTE(SUBSTITUTE(SUBSTITUTE(SUBSTITUTE(TRIM($AR328),"-",""),".",""),"/","")," ",""),8),7,2)),"")))</f>
        <v/>
      </c>
      <c r="AT328" s="23">
        <f>IF($AS328="","",IF($F$6="",0,IF(ISNUMBER(INDEX($A:$AP,ROW(),$F$6)),INDEX($A:$AP,ROW(),$F$6),IFERROR(--SUBSTITUTE(SUBSTITUTE(TRIM(INDEX($A:$AP,ROW(),$F$6)),",",""),"원",""),0))))</f>
        <v/>
      </c>
      <c r="AU328" s="23">
        <f>IF($AS328="","",IF($G$6="",0,IF(ISNUMBER(INDEX($A:$AP,ROW(),$G$6)),INDEX($A:$AP,ROW(),$G$6),IFERROR(--SUBSTITUTE(SUBSTITUTE(TRIM(INDEX($A:$AP,ROW(),$G$6)),",",""),"원",""),0))))</f>
        <v/>
      </c>
      <c r="AV328" s="23">
        <f>IF($AS328="","",IF($H$6="",$AT328+$AU328,IF($H$6="",0,IF(ISNUMBER(INDEX($A:$AP,ROW(),$H$6)),INDEX($A:$AP,ROW(),$H$6),IFERROR(--SUBSTITUTE(SUBSTITUTE(TRIM(INDEX($A:$AP,ROW(),$H$6)),",",""),"원",""),0)))))</f>
        <v/>
      </c>
      <c r="AW328" s="2">
        <f>IF(OR($AS328="",$C$6=""),"",TRIM(INDEX($A:$AP,ROW(),$C$6)&amp;""))</f>
        <v/>
      </c>
      <c r="AX328" s="2">
        <f>IF($AS328="","",IF($AZ328&lt;&gt;"",SUBSTITUTE(SUBSTITUTE($AZ328,"-","")," ",""),$AY328))</f>
        <v/>
      </c>
      <c r="AY328" s="2">
        <f>IF(OR($AS328="",$E$6=""),"",TRIM(INDEX($A:$AP,ROW(),$E$6)&amp;""))</f>
        <v/>
      </c>
      <c r="AZ328" s="2">
        <f>IF(OR($AS328="",$D$6=""),"",TRIM(INDEX($A:$AP,ROW(),$D$6)&amp;""))</f>
        <v/>
      </c>
      <c r="BA328" s="2">
        <f>IF($AS328="","",IF(AND($AS328&gt;=설정!$B$10,$AS328&lt;=설정!$B$11),"포함","기간 밖"))</f>
        <v/>
      </c>
      <c r="BB328" s="2">
        <f>IF($AS328="","",IF(OR($AT328&lt;0,AND($I$6&lt;&gt;"",ISNUMBER(FIND("수정",INDEX($A:$AP,ROW(),IF($I$6="",1,$I$6))&amp;"")))),"수정","일반"))</f>
        <v/>
      </c>
      <c r="BC328" s="2">
        <f>IF($AS328="","",MID(IF($BA328="기간 밖"," / 기간 밖(신고기간 아님)","")&amp;IF(AND($AW328&lt;&gt;"",COUNTIF($AW$8:$AW$1007,$AW328)&gt;1)," / 승인번호 중복(두 번 붙여넣기?)","")&amp;IF(ABS($AU328-ROUND($AT328*0.1,0))&gt;설정!$B$8,IF($AU328=0," / 세액 0원(영세율·면세 여부 확인)"," / 세액이 공급가액 10%와 다름"),"")&amp;IF($BB328="수정"," / 수정세금계산서(합계에서 자동 가감)",""),4,200))</f>
        <v/>
      </c>
      <c r="BD328" s="2">
        <f>IF($BA328&lt;&gt;"포함","",IF(COUNTIFS($AX$8:$AX328,$AX328,$BA$8:$BA328,"포함")=1,MAX($BD$7:BD327)+1,""))</f>
        <v/>
      </c>
      <c r="BE328" s="2">
        <f>IF($BC328="","",MAX($BE$7:BE327)+1)</f>
        <v/>
      </c>
    </row>
    <row r="329">
      <c r="AR329" s="2">
        <f>IF(OR($A$5="",$B$6="",ROW()&lt;$A$5),"",IF(INDEX($A:$AP,ROW(),$B$6)="","",INDEX($A:$AP,ROW(),$B$6)))</f>
        <v/>
      </c>
      <c r="AS329" s="22">
        <f>IF($AR329="","",IF(ISNUMBER($AR329),IF($AR329&gt;=10000000,IFERROR(DATE(INT($AR329/10000),MOD(INT($AR329/100),100),MOD($AR329,100)),""),INT($AR329)),IFERROR(DATE(--LEFT(LEFT(SUBSTITUTE(SUBSTITUTE(SUBSTITUTE(SUBSTITUTE(TRIM($AR329),"-",""),".",""),"/","")," ",""),8),4),--MID(LEFT(SUBSTITUTE(SUBSTITUTE(SUBSTITUTE(SUBSTITUTE(TRIM($AR329),"-",""),".",""),"/","")," ",""),8),5,2),--MID(LEFT(SUBSTITUTE(SUBSTITUTE(SUBSTITUTE(SUBSTITUTE(TRIM($AR329),"-",""),".",""),"/","")," ",""),8),7,2)),"")))</f>
        <v/>
      </c>
      <c r="AT329" s="23">
        <f>IF($AS329="","",IF($F$6="",0,IF(ISNUMBER(INDEX($A:$AP,ROW(),$F$6)),INDEX($A:$AP,ROW(),$F$6),IFERROR(--SUBSTITUTE(SUBSTITUTE(TRIM(INDEX($A:$AP,ROW(),$F$6)),",",""),"원",""),0))))</f>
        <v/>
      </c>
      <c r="AU329" s="23">
        <f>IF($AS329="","",IF($G$6="",0,IF(ISNUMBER(INDEX($A:$AP,ROW(),$G$6)),INDEX($A:$AP,ROW(),$G$6),IFERROR(--SUBSTITUTE(SUBSTITUTE(TRIM(INDEX($A:$AP,ROW(),$G$6)),",",""),"원",""),0))))</f>
        <v/>
      </c>
      <c r="AV329" s="23">
        <f>IF($AS329="","",IF($H$6="",$AT329+$AU329,IF($H$6="",0,IF(ISNUMBER(INDEX($A:$AP,ROW(),$H$6)),INDEX($A:$AP,ROW(),$H$6),IFERROR(--SUBSTITUTE(SUBSTITUTE(TRIM(INDEX($A:$AP,ROW(),$H$6)),",",""),"원",""),0)))))</f>
        <v/>
      </c>
      <c r="AW329" s="2">
        <f>IF(OR($AS329="",$C$6=""),"",TRIM(INDEX($A:$AP,ROW(),$C$6)&amp;""))</f>
        <v/>
      </c>
      <c r="AX329" s="2">
        <f>IF($AS329="","",IF($AZ329&lt;&gt;"",SUBSTITUTE(SUBSTITUTE($AZ329,"-","")," ",""),$AY329))</f>
        <v/>
      </c>
      <c r="AY329" s="2">
        <f>IF(OR($AS329="",$E$6=""),"",TRIM(INDEX($A:$AP,ROW(),$E$6)&amp;""))</f>
        <v/>
      </c>
      <c r="AZ329" s="2">
        <f>IF(OR($AS329="",$D$6=""),"",TRIM(INDEX($A:$AP,ROW(),$D$6)&amp;""))</f>
        <v/>
      </c>
      <c r="BA329" s="2">
        <f>IF($AS329="","",IF(AND($AS329&gt;=설정!$B$10,$AS329&lt;=설정!$B$11),"포함","기간 밖"))</f>
        <v/>
      </c>
      <c r="BB329" s="2">
        <f>IF($AS329="","",IF(OR($AT329&lt;0,AND($I$6&lt;&gt;"",ISNUMBER(FIND("수정",INDEX($A:$AP,ROW(),IF($I$6="",1,$I$6))&amp;"")))),"수정","일반"))</f>
        <v/>
      </c>
      <c r="BC329" s="2">
        <f>IF($AS329="","",MID(IF($BA329="기간 밖"," / 기간 밖(신고기간 아님)","")&amp;IF(AND($AW329&lt;&gt;"",COUNTIF($AW$8:$AW$1007,$AW329)&gt;1)," / 승인번호 중복(두 번 붙여넣기?)","")&amp;IF(ABS($AU329-ROUND($AT329*0.1,0))&gt;설정!$B$8,IF($AU329=0," / 세액 0원(영세율·면세 여부 확인)"," / 세액이 공급가액 10%와 다름"),"")&amp;IF($BB329="수정"," / 수정세금계산서(합계에서 자동 가감)",""),4,200))</f>
        <v/>
      </c>
      <c r="BD329" s="2">
        <f>IF($BA329&lt;&gt;"포함","",IF(COUNTIFS($AX$8:$AX329,$AX329,$BA$8:$BA329,"포함")=1,MAX($BD$7:BD328)+1,""))</f>
        <v/>
      </c>
      <c r="BE329" s="2">
        <f>IF($BC329="","",MAX($BE$7:BE328)+1)</f>
        <v/>
      </c>
    </row>
    <row r="330">
      <c r="AR330" s="2">
        <f>IF(OR($A$5="",$B$6="",ROW()&lt;$A$5),"",IF(INDEX($A:$AP,ROW(),$B$6)="","",INDEX($A:$AP,ROW(),$B$6)))</f>
        <v/>
      </c>
      <c r="AS330" s="22">
        <f>IF($AR330="","",IF(ISNUMBER($AR330),IF($AR330&gt;=10000000,IFERROR(DATE(INT($AR330/10000),MOD(INT($AR330/100),100),MOD($AR330,100)),""),INT($AR330)),IFERROR(DATE(--LEFT(LEFT(SUBSTITUTE(SUBSTITUTE(SUBSTITUTE(SUBSTITUTE(TRIM($AR330),"-",""),".",""),"/","")," ",""),8),4),--MID(LEFT(SUBSTITUTE(SUBSTITUTE(SUBSTITUTE(SUBSTITUTE(TRIM($AR330),"-",""),".",""),"/","")," ",""),8),5,2),--MID(LEFT(SUBSTITUTE(SUBSTITUTE(SUBSTITUTE(SUBSTITUTE(TRIM($AR330),"-",""),".",""),"/","")," ",""),8),7,2)),"")))</f>
        <v/>
      </c>
      <c r="AT330" s="23">
        <f>IF($AS330="","",IF($F$6="",0,IF(ISNUMBER(INDEX($A:$AP,ROW(),$F$6)),INDEX($A:$AP,ROW(),$F$6),IFERROR(--SUBSTITUTE(SUBSTITUTE(TRIM(INDEX($A:$AP,ROW(),$F$6)),",",""),"원",""),0))))</f>
        <v/>
      </c>
      <c r="AU330" s="23">
        <f>IF($AS330="","",IF($G$6="",0,IF(ISNUMBER(INDEX($A:$AP,ROW(),$G$6)),INDEX($A:$AP,ROW(),$G$6),IFERROR(--SUBSTITUTE(SUBSTITUTE(TRIM(INDEX($A:$AP,ROW(),$G$6)),",",""),"원",""),0))))</f>
        <v/>
      </c>
      <c r="AV330" s="23">
        <f>IF($AS330="","",IF($H$6="",$AT330+$AU330,IF($H$6="",0,IF(ISNUMBER(INDEX($A:$AP,ROW(),$H$6)),INDEX($A:$AP,ROW(),$H$6),IFERROR(--SUBSTITUTE(SUBSTITUTE(TRIM(INDEX($A:$AP,ROW(),$H$6)),",",""),"원",""),0)))))</f>
        <v/>
      </c>
      <c r="AW330" s="2">
        <f>IF(OR($AS330="",$C$6=""),"",TRIM(INDEX($A:$AP,ROW(),$C$6)&amp;""))</f>
        <v/>
      </c>
      <c r="AX330" s="2">
        <f>IF($AS330="","",IF($AZ330&lt;&gt;"",SUBSTITUTE(SUBSTITUTE($AZ330,"-","")," ",""),$AY330))</f>
        <v/>
      </c>
      <c r="AY330" s="2">
        <f>IF(OR($AS330="",$E$6=""),"",TRIM(INDEX($A:$AP,ROW(),$E$6)&amp;""))</f>
        <v/>
      </c>
      <c r="AZ330" s="2">
        <f>IF(OR($AS330="",$D$6=""),"",TRIM(INDEX($A:$AP,ROW(),$D$6)&amp;""))</f>
        <v/>
      </c>
      <c r="BA330" s="2">
        <f>IF($AS330="","",IF(AND($AS330&gt;=설정!$B$10,$AS330&lt;=설정!$B$11),"포함","기간 밖"))</f>
        <v/>
      </c>
      <c r="BB330" s="2">
        <f>IF($AS330="","",IF(OR($AT330&lt;0,AND($I$6&lt;&gt;"",ISNUMBER(FIND("수정",INDEX($A:$AP,ROW(),IF($I$6="",1,$I$6))&amp;"")))),"수정","일반"))</f>
        <v/>
      </c>
      <c r="BC330" s="2">
        <f>IF($AS330="","",MID(IF($BA330="기간 밖"," / 기간 밖(신고기간 아님)","")&amp;IF(AND($AW330&lt;&gt;"",COUNTIF($AW$8:$AW$1007,$AW330)&gt;1)," / 승인번호 중복(두 번 붙여넣기?)","")&amp;IF(ABS($AU330-ROUND($AT330*0.1,0))&gt;설정!$B$8,IF($AU330=0," / 세액 0원(영세율·면세 여부 확인)"," / 세액이 공급가액 10%와 다름"),"")&amp;IF($BB330="수정"," / 수정세금계산서(합계에서 자동 가감)",""),4,200))</f>
        <v/>
      </c>
      <c r="BD330" s="2">
        <f>IF($BA330&lt;&gt;"포함","",IF(COUNTIFS($AX$8:$AX330,$AX330,$BA$8:$BA330,"포함")=1,MAX($BD$7:BD329)+1,""))</f>
        <v/>
      </c>
      <c r="BE330" s="2">
        <f>IF($BC330="","",MAX($BE$7:BE329)+1)</f>
        <v/>
      </c>
    </row>
    <row r="331">
      <c r="AR331" s="2">
        <f>IF(OR($A$5="",$B$6="",ROW()&lt;$A$5),"",IF(INDEX($A:$AP,ROW(),$B$6)="","",INDEX($A:$AP,ROW(),$B$6)))</f>
        <v/>
      </c>
      <c r="AS331" s="22">
        <f>IF($AR331="","",IF(ISNUMBER($AR331),IF($AR331&gt;=10000000,IFERROR(DATE(INT($AR331/10000),MOD(INT($AR331/100),100),MOD($AR331,100)),""),INT($AR331)),IFERROR(DATE(--LEFT(LEFT(SUBSTITUTE(SUBSTITUTE(SUBSTITUTE(SUBSTITUTE(TRIM($AR331),"-",""),".",""),"/","")," ",""),8),4),--MID(LEFT(SUBSTITUTE(SUBSTITUTE(SUBSTITUTE(SUBSTITUTE(TRIM($AR331),"-",""),".",""),"/","")," ",""),8),5,2),--MID(LEFT(SUBSTITUTE(SUBSTITUTE(SUBSTITUTE(SUBSTITUTE(TRIM($AR331),"-",""),".",""),"/","")," ",""),8),7,2)),"")))</f>
        <v/>
      </c>
      <c r="AT331" s="23">
        <f>IF($AS331="","",IF($F$6="",0,IF(ISNUMBER(INDEX($A:$AP,ROW(),$F$6)),INDEX($A:$AP,ROW(),$F$6),IFERROR(--SUBSTITUTE(SUBSTITUTE(TRIM(INDEX($A:$AP,ROW(),$F$6)),",",""),"원",""),0))))</f>
        <v/>
      </c>
      <c r="AU331" s="23">
        <f>IF($AS331="","",IF($G$6="",0,IF(ISNUMBER(INDEX($A:$AP,ROW(),$G$6)),INDEX($A:$AP,ROW(),$G$6),IFERROR(--SUBSTITUTE(SUBSTITUTE(TRIM(INDEX($A:$AP,ROW(),$G$6)),",",""),"원",""),0))))</f>
        <v/>
      </c>
      <c r="AV331" s="23">
        <f>IF($AS331="","",IF($H$6="",$AT331+$AU331,IF($H$6="",0,IF(ISNUMBER(INDEX($A:$AP,ROW(),$H$6)),INDEX($A:$AP,ROW(),$H$6),IFERROR(--SUBSTITUTE(SUBSTITUTE(TRIM(INDEX($A:$AP,ROW(),$H$6)),",",""),"원",""),0)))))</f>
        <v/>
      </c>
      <c r="AW331" s="2">
        <f>IF(OR($AS331="",$C$6=""),"",TRIM(INDEX($A:$AP,ROW(),$C$6)&amp;""))</f>
        <v/>
      </c>
      <c r="AX331" s="2">
        <f>IF($AS331="","",IF($AZ331&lt;&gt;"",SUBSTITUTE(SUBSTITUTE($AZ331,"-","")," ",""),$AY331))</f>
        <v/>
      </c>
      <c r="AY331" s="2">
        <f>IF(OR($AS331="",$E$6=""),"",TRIM(INDEX($A:$AP,ROW(),$E$6)&amp;""))</f>
        <v/>
      </c>
      <c r="AZ331" s="2">
        <f>IF(OR($AS331="",$D$6=""),"",TRIM(INDEX($A:$AP,ROW(),$D$6)&amp;""))</f>
        <v/>
      </c>
      <c r="BA331" s="2">
        <f>IF($AS331="","",IF(AND($AS331&gt;=설정!$B$10,$AS331&lt;=설정!$B$11),"포함","기간 밖"))</f>
        <v/>
      </c>
      <c r="BB331" s="2">
        <f>IF($AS331="","",IF(OR($AT331&lt;0,AND($I$6&lt;&gt;"",ISNUMBER(FIND("수정",INDEX($A:$AP,ROW(),IF($I$6="",1,$I$6))&amp;"")))),"수정","일반"))</f>
        <v/>
      </c>
      <c r="BC331" s="2">
        <f>IF($AS331="","",MID(IF($BA331="기간 밖"," / 기간 밖(신고기간 아님)","")&amp;IF(AND($AW331&lt;&gt;"",COUNTIF($AW$8:$AW$1007,$AW331)&gt;1)," / 승인번호 중복(두 번 붙여넣기?)","")&amp;IF(ABS($AU331-ROUND($AT331*0.1,0))&gt;설정!$B$8,IF($AU331=0," / 세액 0원(영세율·면세 여부 확인)"," / 세액이 공급가액 10%와 다름"),"")&amp;IF($BB331="수정"," / 수정세금계산서(합계에서 자동 가감)",""),4,200))</f>
        <v/>
      </c>
      <c r="BD331" s="2">
        <f>IF($BA331&lt;&gt;"포함","",IF(COUNTIFS($AX$8:$AX331,$AX331,$BA$8:$BA331,"포함")=1,MAX($BD$7:BD330)+1,""))</f>
        <v/>
      </c>
      <c r="BE331" s="2">
        <f>IF($BC331="","",MAX($BE$7:BE330)+1)</f>
        <v/>
      </c>
    </row>
    <row r="332">
      <c r="AR332" s="2">
        <f>IF(OR($A$5="",$B$6="",ROW()&lt;$A$5),"",IF(INDEX($A:$AP,ROW(),$B$6)="","",INDEX($A:$AP,ROW(),$B$6)))</f>
        <v/>
      </c>
      <c r="AS332" s="22">
        <f>IF($AR332="","",IF(ISNUMBER($AR332),IF($AR332&gt;=10000000,IFERROR(DATE(INT($AR332/10000),MOD(INT($AR332/100),100),MOD($AR332,100)),""),INT($AR332)),IFERROR(DATE(--LEFT(LEFT(SUBSTITUTE(SUBSTITUTE(SUBSTITUTE(SUBSTITUTE(TRIM($AR332),"-",""),".",""),"/","")," ",""),8),4),--MID(LEFT(SUBSTITUTE(SUBSTITUTE(SUBSTITUTE(SUBSTITUTE(TRIM($AR332),"-",""),".",""),"/","")," ",""),8),5,2),--MID(LEFT(SUBSTITUTE(SUBSTITUTE(SUBSTITUTE(SUBSTITUTE(TRIM($AR332),"-",""),".",""),"/","")," ",""),8),7,2)),"")))</f>
        <v/>
      </c>
      <c r="AT332" s="23">
        <f>IF($AS332="","",IF($F$6="",0,IF(ISNUMBER(INDEX($A:$AP,ROW(),$F$6)),INDEX($A:$AP,ROW(),$F$6),IFERROR(--SUBSTITUTE(SUBSTITUTE(TRIM(INDEX($A:$AP,ROW(),$F$6)),",",""),"원",""),0))))</f>
        <v/>
      </c>
      <c r="AU332" s="23">
        <f>IF($AS332="","",IF($G$6="",0,IF(ISNUMBER(INDEX($A:$AP,ROW(),$G$6)),INDEX($A:$AP,ROW(),$G$6),IFERROR(--SUBSTITUTE(SUBSTITUTE(TRIM(INDEX($A:$AP,ROW(),$G$6)),",",""),"원",""),0))))</f>
        <v/>
      </c>
      <c r="AV332" s="23">
        <f>IF($AS332="","",IF($H$6="",$AT332+$AU332,IF($H$6="",0,IF(ISNUMBER(INDEX($A:$AP,ROW(),$H$6)),INDEX($A:$AP,ROW(),$H$6),IFERROR(--SUBSTITUTE(SUBSTITUTE(TRIM(INDEX($A:$AP,ROW(),$H$6)),",",""),"원",""),0)))))</f>
        <v/>
      </c>
      <c r="AW332" s="2">
        <f>IF(OR($AS332="",$C$6=""),"",TRIM(INDEX($A:$AP,ROW(),$C$6)&amp;""))</f>
        <v/>
      </c>
      <c r="AX332" s="2">
        <f>IF($AS332="","",IF($AZ332&lt;&gt;"",SUBSTITUTE(SUBSTITUTE($AZ332,"-","")," ",""),$AY332))</f>
        <v/>
      </c>
      <c r="AY332" s="2">
        <f>IF(OR($AS332="",$E$6=""),"",TRIM(INDEX($A:$AP,ROW(),$E$6)&amp;""))</f>
        <v/>
      </c>
      <c r="AZ332" s="2">
        <f>IF(OR($AS332="",$D$6=""),"",TRIM(INDEX($A:$AP,ROW(),$D$6)&amp;""))</f>
        <v/>
      </c>
      <c r="BA332" s="2">
        <f>IF($AS332="","",IF(AND($AS332&gt;=설정!$B$10,$AS332&lt;=설정!$B$11),"포함","기간 밖"))</f>
        <v/>
      </c>
      <c r="BB332" s="2">
        <f>IF($AS332="","",IF(OR($AT332&lt;0,AND($I$6&lt;&gt;"",ISNUMBER(FIND("수정",INDEX($A:$AP,ROW(),IF($I$6="",1,$I$6))&amp;"")))),"수정","일반"))</f>
        <v/>
      </c>
      <c r="BC332" s="2">
        <f>IF($AS332="","",MID(IF($BA332="기간 밖"," / 기간 밖(신고기간 아님)","")&amp;IF(AND($AW332&lt;&gt;"",COUNTIF($AW$8:$AW$1007,$AW332)&gt;1)," / 승인번호 중복(두 번 붙여넣기?)","")&amp;IF(ABS($AU332-ROUND($AT332*0.1,0))&gt;설정!$B$8,IF($AU332=0," / 세액 0원(영세율·면세 여부 확인)"," / 세액이 공급가액 10%와 다름"),"")&amp;IF($BB332="수정"," / 수정세금계산서(합계에서 자동 가감)",""),4,200))</f>
        <v/>
      </c>
      <c r="BD332" s="2">
        <f>IF($BA332&lt;&gt;"포함","",IF(COUNTIFS($AX$8:$AX332,$AX332,$BA$8:$BA332,"포함")=1,MAX($BD$7:BD331)+1,""))</f>
        <v/>
      </c>
      <c r="BE332" s="2">
        <f>IF($BC332="","",MAX($BE$7:BE331)+1)</f>
        <v/>
      </c>
    </row>
    <row r="333">
      <c r="AR333" s="2">
        <f>IF(OR($A$5="",$B$6="",ROW()&lt;$A$5),"",IF(INDEX($A:$AP,ROW(),$B$6)="","",INDEX($A:$AP,ROW(),$B$6)))</f>
        <v/>
      </c>
      <c r="AS333" s="22">
        <f>IF($AR333="","",IF(ISNUMBER($AR333),IF($AR333&gt;=10000000,IFERROR(DATE(INT($AR333/10000),MOD(INT($AR333/100),100),MOD($AR333,100)),""),INT($AR333)),IFERROR(DATE(--LEFT(LEFT(SUBSTITUTE(SUBSTITUTE(SUBSTITUTE(SUBSTITUTE(TRIM($AR333),"-",""),".",""),"/","")," ",""),8),4),--MID(LEFT(SUBSTITUTE(SUBSTITUTE(SUBSTITUTE(SUBSTITUTE(TRIM($AR333),"-",""),".",""),"/","")," ",""),8),5,2),--MID(LEFT(SUBSTITUTE(SUBSTITUTE(SUBSTITUTE(SUBSTITUTE(TRIM($AR333),"-",""),".",""),"/","")," ",""),8),7,2)),"")))</f>
        <v/>
      </c>
      <c r="AT333" s="23">
        <f>IF($AS333="","",IF($F$6="",0,IF(ISNUMBER(INDEX($A:$AP,ROW(),$F$6)),INDEX($A:$AP,ROW(),$F$6),IFERROR(--SUBSTITUTE(SUBSTITUTE(TRIM(INDEX($A:$AP,ROW(),$F$6)),",",""),"원",""),0))))</f>
        <v/>
      </c>
      <c r="AU333" s="23">
        <f>IF($AS333="","",IF($G$6="",0,IF(ISNUMBER(INDEX($A:$AP,ROW(),$G$6)),INDEX($A:$AP,ROW(),$G$6),IFERROR(--SUBSTITUTE(SUBSTITUTE(TRIM(INDEX($A:$AP,ROW(),$G$6)),",",""),"원",""),0))))</f>
        <v/>
      </c>
      <c r="AV333" s="23">
        <f>IF($AS333="","",IF($H$6="",$AT333+$AU333,IF($H$6="",0,IF(ISNUMBER(INDEX($A:$AP,ROW(),$H$6)),INDEX($A:$AP,ROW(),$H$6),IFERROR(--SUBSTITUTE(SUBSTITUTE(TRIM(INDEX($A:$AP,ROW(),$H$6)),",",""),"원",""),0)))))</f>
        <v/>
      </c>
      <c r="AW333" s="2">
        <f>IF(OR($AS333="",$C$6=""),"",TRIM(INDEX($A:$AP,ROW(),$C$6)&amp;""))</f>
        <v/>
      </c>
      <c r="AX333" s="2">
        <f>IF($AS333="","",IF($AZ333&lt;&gt;"",SUBSTITUTE(SUBSTITUTE($AZ333,"-","")," ",""),$AY333))</f>
        <v/>
      </c>
      <c r="AY333" s="2">
        <f>IF(OR($AS333="",$E$6=""),"",TRIM(INDEX($A:$AP,ROW(),$E$6)&amp;""))</f>
        <v/>
      </c>
      <c r="AZ333" s="2">
        <f>IF(OR($AS333="",$D$6=""),"",TRIM(INDEX($A:$AP,ROW(),$D$6)&amp;""))</f>
        <v/>
      </c>
      <c r="BA333" s="2">
        <f>IF($AS333="","",IF(AND($AS333&gt;=설정!$B$10,$AS333&lt;=설정!$B$11),"포함","기간 밖"))</f>
        <v/>
      </c>
      <c r="BB333" s="2">
        <f>IF($AS333="","",IF(OR($AT333&lt;0,AND($I$6&lt;&gt;"",ISNUMBER(FIND("수정",INDEX($A:$AP,ROW(),IF($I$6="",1,$I$6))&amp;"")))),"수정","일반"))</f>
        <v/>
      </c>
      <c r="BC333" s="2">
        <f>IF($AS333="","",MID(IF($BA333="기간 밖"," / 기간 밖(신고기간 아님)","")&amp;IF(AND($AW333&lt;&gt;"",COUNTIF($AW$8:$AW$1007,$AW333)&gt;1)," / 승인번호 중복(두 번 붙여넣기?)","")&amp;IF(ABS($AU333-ROUND($AT333*0.1,0))&gt;설정!$B$8,IF($AU333=0," / 세액 0원(영세율·면세 여부 확인)"," / 세액이 공급가액 10%와 다름"),"")&amp;IF($BB333="수정"," / 수정세금계산서(합계에서 자동 가감)",""),4,200))</f>
        <v/>
      </c>
      <c r="BD333" s="2">
        <f>IF($BA333&lt;&gt;"포함","",IF(COUNTIFS($AX$8:$AX333,$AX333,$BA$8:$BA333,"포함")=1,MAX($BD$7:BD332)+1,""))</f>
        <v/>
      </c>
      <c r="BE333" s="2">
        <f>IF($BC333="","",MAX($BE$7:BE332)+1)</f>
        <v/>
      </c>
    </row>
    <row r="334">
      <c r="AR334" s="2">
        <f>IF(OR($A$5="",$B$6="",ROW()&lt;$A$5),"",IF(INDEX($A:$AP,ROW(),$B$6)="","",INDEX($A:$AP,ROW(),$B$6)))</f>
        <v/>
      </c>
      <c r="AS334" s="22">
        <f>IF($AR334="","",IF(ISNUMBER($AR334),IF($AR334&gt;=10000000,IFERROR(DATE(INT($AR334/10000),MOD(INT($AR334/100),100),MOD($AR334,100)),""),INT($AR334)),IFERROR(DATE(--LEFT(LEFT(SUBSTITUTE(SUBSTITUTE(SUBSTITUTE(SUBSTITUTE(TRIM($AR334),"-",""),".",""),"/","")," ",""),8),4),--MID(LEFT(SUBSTITUTE(SUBSTITUTE(SUBSTITUTE(SUBSTITUTE(TRIM($AR334),"-",""),".",""),"/","")," ",""),8),5,2),--MID(LEFT(SUBSTITUTE(SUBSTITUTE(SUBSTITUTE(SUBSTITUTE(TRIM($AR334),"-",""),".",""),"/","")," ",""),8),7,2)),"")))</f>
        <v/>
      </c>
      <c r="AT334" s="23">
        <f>IF($AS334="","",IF($F$6="",0,IF(ISNUMBER(INDEX($A:$AP,ROW(),$F$6)),INDEX($A:$AP,ROW(),$F$6),IFERROR(--SUBSTITUTE(SUBSTITUTE(TRIM(INDEX($A:$AP,ROW(),$F$6)),",",""),"원",""),0))))</f>
        <v/>
      </c>
      <c r="AU334" s="23">
        <f>IF($AS334="","",IF($G$6="",0,IF(ISNUMBER(INDEX($A:$AP,ROW(),$G$6)),INDEX($A:$AP,ROW(),$G$6),IFERROR(--SUBSTITUTE(SUBSTITUTE(TRIM(INDEX($A:$AP,ROW(),$G$6)),",",""),"원",""),0))))</f>
        <v/>
      </c>
      <c r="AV334" s="23">
        <f>IF($AS334="","",IF($H$6="",$AT334+$AU334,IF($H$6="",0,IF(ISNUMBER(INDEX($A:$AP,ROW(),$H$6)),INDEX($A:$AP,ROW(),$H$6),IFERROR(--SUBSTITUTE(SUBSTITUTE(TRIM(INDEX($A:$AP,ROW(),$H$6)),",",""),"원",""),0)))))</f>
        <v/>
      </c>
      <c r="AW334" s="2">
        <f>IF(OR($AS334="",$C$6=""),"",TRIM(INDEX($A:$AP,ROW(),$C$6)&amp;""))</f>
        <v/>
      </c>
      <c r="AX334" s="2">
        <f>IF($AS334="","",IF($AZ334&lt;&gt;"",SUBSTITUTE(SUBSTITUTE($AZ334,"-","")," ",""),$AY334))</f>
        <v/>
      </c>
      <c r="AY334" s="2">
        <f>IF(OR($AS334="",$E$6=""),"",TRIM(INDEX($A:$AP,ROW(),$E$6)&amp;""))</f>
        <v/>
      </c>
      <c r="AZ334" s="2">
        <f>IF(OR($AS334="",$D$6=""),"",TRIM(INDEX($A:$AP,ROW(),$D$6)&amp;""))</f>
        <v/>
      </c>
      <c r="BA334" s="2">
        <f>IF($AS334="","",IF(AND($AS334&gt;=설정!$B$10,$AS334&lt;=설정!$B$11),"포함","기간 밖"))</f>
        <v/>
      </c>
      <c r="BB334" s="2">
        <f>IF($AS334="","",IF(OR($AT334&lt;0,AND($I$6&lt;&gt;"",ISNUMBER(FIND("수정",INDEX($A:$AP,ROW(),IF($I$6="",1,$I$6))&amp;"")))),"수정","일반"))</f>
        <v/>
      </c>
      <c r="BC334" s="2">
        <f>IF($AS334="","",MID(IF($BA334="기간 밖"," / 기간 밖(신고기간 아님)","")&amp;IF(AND($AW334&lt;&gt;"",COUNTIF($AW$8:$AW$1007,$AW334)&gt;1)," / 승인번호 중복(두 번 붙여넣기?)","")&amp;IF(ABS($AU334-ROUND($AT334*0.1,0))&gt;설정!$B$8,IF($AU334=0," / 세액 0원(영세율·면세 여부 확인)"," / 세액이 공급가액 10%와 다름"),"")&amp;IF($BB334="수정"," / 수정세금계산서(합계에서 자동 가감)",""),4,200))</f>
        <v/>
      </c>
      <c r="BD334" s="2">
        <f>IF($BA334&lt;&gt;"포함","",IF(COUNTIFS($AX$8:$AX334,$AX334,$BA$8:$BA334,"포함")=1,MAX($BD$7:BD333)+1,""))</f>
        <v/>
      </c>
      <c r="BE334" s="2">
        <f>IF($BC334="","",MAX($BE$7:BE333)+1)</f>
        <v/>
      </c>
    </row>
    <row r="335">
      <c r="AR335" s="2">
        <f>IF(OR($A$5="",$B$6="",ROW()&lt;$A$5),"",IF(INDEX($A:$AP,ROW(),$B$6)="","",INDEX($A:$AP,ROW(),$B$6)))</f>
        <v/>
      </c>
      <c r="AS335" s="22">
        <f>IF($AR335="","",IF(ISNUMBER($AR335),IF($AR335&gt;=10000000,IFERROR(DATE(INT($AR335/10000),MOD(INT($AR335/100),100),MOD($AR335,100)),""),INT($AR335)),IFERROR(DATE(--LEFT(LEFT(SUBSTITUTE(SUBSTITUTE(SUBSTITUTE(SUBSTITUTE(TRIM($AR335),"-",""),".",""),"/","")," ",""),8),4),--MID(LEFT(SUBSTITUTE(SUBSTITUTE(SUBSTITUTE(SUBSTITUTE(TRIM($AR335),"-",""),".",""),"/","")," ",""),8),5,2),--MID(LEFT(SUBSTITUTE(SUBSTITUTE(SUBSTITUTE(SUBSTITUTE(TRIM($AR335),"-",""),".",""),"/","")," ",""),8),7,2)),"")))</f>
        <v/>
      </c>
      <c r="AT335" s="23">
        <f>IF($AS335="","",IF($F$6="",0,IF(ISNUMBER(INDEX($A:$AP,ROW(),$F$6)),INDEX($A:$AP,ROW(),$F$6),IFERROR(--SUBSTITUTE(SUBSTITUTE(TRIM(INDEX($A:$AP,ROW(),$F$6)),",",""),"원",""),0))))</f>
        <v/>
      </c>
      <c r="AU335" s="23">
        <f>IF($AS335="","",IF($G$6="",0,IF(ISNUMBER(INDEX($A:$AP,ROW(),$G$6)),INDEX($A:$AP,ROW(),$G$6),IFERROR(--SUBSTITUTE(SUBSTITUTE(TRIM(INDEX($A:$AP,ROW(),$G$6)),",",""),"원",""),0))))</f>
        <v/>
      </c>
      <c r="AV335" s="23">
        <f>IF($AS335="","",IF($H$6="",$AT335+$AU335,IF($H$6="",0,IF(ISNUMBER(INDEX($A:$AP,ROW(),$H$6)),INDEX($A:$AP,ROW(),$H$6),IFERROR(--SUBSTITUTE(SUBSTITUTE(TRIM(INDEX($A:$AP,ROW(),$H$6)),",",""),"원",""),0)))))</f>
        <v/>
      </c>
      <c r="AW335" s="2">
        <f>IF(OR($AS335="",$C$6=""),"",TRIM(INDEX($A:$AP,ROW(),$C$6)&amp;""))</f>
        <v/>
      </c>
      <c r="AX335" s="2">
        <f>IF($AS335="","",IF($AZ335&lt;&gt;"",SUBSTITUTE(SUBSTITUTE($AZ335,"-","")," ",""),$AY335))</f>
        <v/>
      </c>
      <c r="AY335" s="2">
        <f>IF(OR($AS335="",$E$6=""),"",TRIM(INDEX($A:$AP,ROW(),$E$6)&amp;""))</f>
        <v/>
      </c>
      <c r="AZ335" s="2">
        <f>IF(OR($AS335="",$D$6=""),"",TRIM(INDEX($A:$AP,ROW(),$D$6)&amp;""))</f>
        <v/>
      </c>
      <c r="BA335" s="2">
        <f>IF($AS335="","",IF(AND($AS335&gt;=설정!$B$10,$AS335&lt;=설정!$B$11),"포함","기간 밖"))</f>
        <v/>
      </c>
      <c r="BB335" s="2">
        <f>IF($AS335="","",IF(OR($AT335&lt;0,AND($I$6&lt;&gt;"",ISNUMBER(FIND("수정",INDEX($A:$AP,ROW(),IF($I$6="",1,$I$6))&amp;"")))),"수정","일반"))</f>
        <v/>
      </c>
      <c r="BC335" s="2">
        <f>IF($AS335="","",MID(IF($BA335="기간 밖"," / 기간 밖(신고기간 아님)","")&amp;IF(AND($AW335&lt;&gt;"",COUNTIF($AW$8:$AW$1007,$AW335)&gt;1)," / 승인번호 중복(두 번 붙여넣기?)","")&amp;IF(ABS($AU335-ROUND($AT335*0.1,0))&gt;설정!$B$8,IF($AU335=0," / 세액 0원(영세율·면세 여부 확인)"," / 세액이 공급가액 10%와 다름"),"")&amp;IF($BB335="수정"," / 수정세금계산서(합계에서 자동 가감)",""),4,200))</f>
        <v/>
      </c>
      <c r="BD335" s="2">
        <f>IF($BA335&lt;&gt;"포함","",IF(COUNTIFS($AX$8:$AX335,$AX335,$BA$8:$BA335,"포함")=1,MAX($BD$7:BD334)+1,""))</f>
        <v/>
      </c>
      <c r="BE335" s="2">
        <f>IF($BC335="","",MAX($BE$7:BE334)+1)</f>
        <v/>
      </c>
    </row>
    <row r="336">
      <c r="AR336" s="2">
        <f>IF(OR($A$5="",$B$6="",ROW()&lt;$A$5),"",IF(INDEX($A:$AP,ROW(),$B$6)="","",INDEX($A:$AP,ROW(),$B$6)))</f>
        <v/>
      </c>
      <c r="AS336" s="22">
        <f>IF($AR336="","",IF(ISNUMBER($AR336),IF($AR336&gt;=10000000,IFERROR(DATE(INT($AR336/10000),MOD(INT($AR336/100),100),MOD($AR336,100)),""),INT($AR336)),IFERROR(DATE(--LEFT(LEFT(SUBSTITUTE(SUBSTITUTE(SUBSTITUTE(SUBSTITUTE(TRIM($AR336),"-",""),".",""),"/","")," ",""),8),4),--MID(LEFT(SUBSTITUTE(SUBSTITUTE(SUBSTITUTE(SUBSTITUTE(TRIM($AR336),"-",""),".",""),"/","")," ",""),8),5,2),--MID(LEFT(SUBSTITUTE(SUBSTITUTE(SUBSTITUTE(SUBSTITUTE(TRIM($AR336),"-",""),".",""),"/","")," ",""),8),7,2)),"")))</f>
        <v/>
      </c>
      <c r="AT336" s="23">
        <f>IF($AS336="","",IF($F$6="",0,IF(ISNUMBER(INDEX($A:$AP,ROW(),$F$6)),INDEX($A:$AP,ROW(),$F$6),IFERROR(--SUBSTITUTE(SUBSTITUTE(TRIM(INDEX($A:$AP,ROW(),$F$6)),",",""),"원",""),0))))</f>
        <v/>
      </c>
      <c r="AU336" s="23">
        <f>IF($AS336="","",IF($G$6="",0,IF(ISNUMBER(INDEX($A:$AP,ROW(),$G$6)),INDEX($A:$AP,ROW(),$G$6),IFERROR(--SUBSTITUTE(SUBSTITUTE(TRIM(INDEX($A:$AP,ROW(),$G$6)),",",""),"원",""),0))))</f>
        <v/>
      </c>
      <c r="AV336" s="23">
        <f>IF($AS336="","",IF($H$6="",$AT336+$AU336,IF($H$6="",0,IF(ISNUMBER(INDEX($A:$AP,ROW(),$H$6)),INDEX($A:$AP,ROW(),$H$6),IFERROR(--SUBSTITUTE(SUBSTITUTE(TRIM(INDEX($A:$AP,ROW(),$H$6)),",",""),"원",""),0)))))</f>
        <v/>
      </c>
      <c r="AW336" s="2">
        <f>IF(OR($AS336="",$C$6=""),"",TRIM(INDEX($A:$AP,ROW(),$C$6)&amp;""))</f>
        <v/>
      </c>
      <c r="AX336" s="2">
        <f>IF($AS336="","",IF($AZ336&lt;&gt;"",SUBSTITUTE(SUBSTITUTE($AZ336,"-","")," ",""),$AY336))</f>
        <v/>
      </c>
      <c r="AY336" s="2">
        <f>IF(OR($AS336="",$E$6=""),"",TRIM(INDEX($A:$AP,ROW(),$E$6)&amp;""))</f>
        <v/>
      </c>
      <c r="AZ336" s="2">
        <f>IF(OR($AS336="",$D$6=""),"",TRIM(INDEX($A:$AP,ROW(),$D$6)&amp;""))</f>
        <v/>
      </c>
      <c r="BA336" s="2">
        <f>IF($AS336="","",IF(AND($AS336&gt;=설정!$B$10,$AS336&lt;=설정!$B$11),"포함","기간 밖"))</f>
        <v/>
      </c>
      <c r="BB336" s="2">
        <f>IF($AS336="","",IF(OR($AT336&lt;0,AND($I$6&lt;&gt;"",ISNUMBER(FIND("수정",INDEX($A:$AP,ROW(),IF($I$6="",1,$I$6))&amp;"")))),"수정","일반"))</f>
        <v/>
      </c>
      <c r="BC336" s="2">
        <f>IF($AS336="","",MID(IF($BA336="기간 밖"," / 기간 밖(신고기간 아님)","")&amp;IF(AND($AW336&lt;&gt;"",COUNTIF($AW$8:$AW$1007,$AW336)&gt;1)," / 승인번호 중복(두 번 붙여넣기?)","")&amp;IF(ABS($AU336-ROUND($AT336*0.1,0))&gt;설정!$B$8,IF($AU336=0," / 세액 0원(영세율·면세 여부 확인)"," / 세액이 공급가액 10%와 다름"),"")&amp;IF($BB336="수정"," / 수정세금계산서(합계에서 자동 가감)",""),4,200))</f>
        <v/>
      </c>
      <c r="BD336" s="2">
        <f>IF($BA336&lt;&gt;"포함","",IF(COUNTIFS($AX$8:$AX336,$AX336,$BA$8:$BA336,"포함")=1,MAX($BD$7:BD335)+1,""))</f>
        <v/>
      </c>
      <c r="BE336" s="2">
        <f>IF($BC336="","",MAX($BE$7:BE335)+1)</f>
        <v/>
      </c>
    </row>
    <row r="337">
      <c r="AR337" s="2">
        <f>IF(OR($A$5="",$B$6="",ROW()&lt;$A$5),"",IF(INDEX($A:$AP,ROW(),$B$6)="","",INDEX($A:$AP,ROW(),$B$6)))</f>
        <v/>
      </c>
      <c r="AS337" s="22">
        <f>IF($AR337="","",IF(ISNUMBER($AR337),IF($AR337&gt;=10000000,IFERROR(DATE(INT($AR337/10000),MOD(INT($AR337/100),100),MOD($AR337,100)),""),INT($AR337)),IFERROR(DATE(--LEFT(LEFT(SUBSTITUTE(SUBSTITUTE(SUBSTITUTE(SUBSTITUTE(TRIM($AR337),"-",""),".",""),"/","")," ",""),8),4),--MID(LEFT(SUBSTITUTE(SUBSTITUTE(SUBSTITUTE(SUBSTITUTE(TRIM($AR337),"-",""),".",""),"/","")," ",""),8),5,2),--MID(LEFT(SUBSTITUTE(SUBSTITUTE(SUBSTITUTE(SUBSTITUTE(TRIM($AR337),"-",""),".",""),"/","")," ",""),8),7,2)),"")))</f>
        <v/>
      </c>
      <c r="AT337" s="23">
        <f>IF($AS337="","",IF($F$6="",0,IF(ISNUMBER(INDEX($A:$AP,ROW(),$F$6)),INDEX($A:$AP,ROW(),$F$6),IFERROR(--SUBSTITUTE(SUBSTITUTE(TRIM(INDEX($A:$AP,ROW(),$F$6)),",",""),"원",""),0))))</f>
        <v/>
      </c>
      <c r="AU337" s="23">
        <f>IF($AS337="","",IF($G$6="",0,IF(ISNUMBER(INDEX($A:$AP,ROW(),$G$6)),INDEX($A:$AP,ROW(),$G$6),IFERROR(--SUBSTITUTE(SUBSTITUTE(TRIM(INDEX($A:$AP,ROW(),$G$6)),",",""),"원",""),0))))</f>
        <v/>
      </c>
      <c r="AV337" s="23">
        <f>IF($AS337="","",IF($H$6="",$AT337+$AU337,IF($H$6="",0,IF(ISNUMBER(INDEX($A:$AP,ROW(),$H$6)),INDEX($A:$AP,ROW(),$H$6),IFERROR(--SUBSTITUTE(SUBSTITUTE(TRIM(INDEX($A:$AP,ROW(),$H$6)),",",""),"원",""),0)))))</f>
        <v/>
      </c>
      <c r="AW337" s="2">
        <f>IF(OR($AS337="",$C$6=""),"",TRIM(INDEX($A:$AP,ROW(),$C$6)&amp;""))</f>
        <v/>
      </c>
      <c r="AX337" s="2">
        <f>IF($AS337="","",IF($AZ337&lt;&gt;"",SUBSTITUTE(SUBSTITUTE($AZ337,"-","")," ",""),$AY337))</f>
        <v/>
      </c>
      <c r="AY337" s="2">
        <f>IF(OR($AS337="",$E$6=""),"",TRIM(INDEX($A:$AP,ROW(),$E$6)&amp;""))</f>
        <v/>
      </c>
      <c r="AZ337" s="2">
        <f>IF(OR($AS337="",$D$6=""),"",TRIM(INDEX($A:$AP,ROW(),$D$6)&amp;""))</f>
        <v/>
      </c>
      <c r="BA337" s="2">
        <f>IF($AS337="","",IF(AND($AS337&gt;=설정!$B$10,$AS337&lt;=설정!$B$11),"포함","기간 밖"))</f>
        <v/>
      </c>
      <c r="BB337" s="2">
        <f>IF($AS337="","",IF(OR($AT337&lt;0,AND($I$6&lt;&gt;"",ISNUMBER(FIND("수정",INDEX($A:$AP,ROW(),IF($I$6="",1,$I$6))&amp;"")))),"수정","일반"))</f>
        <v/>
      </c>
      <c r="BC337" s="2">
        <f>IF($AS337="","",MID(IF($BA337="기간 밖"," / 기간 밖(신고기간 아님)","")&amp;IF(AND($AW337&lt;&gt;"",COUNTIF($AW$8:$AW$1007,$AW337)&gt;1)," / 승인번호 중복(두 번 붙여넣기?)","")&amp;IF(ABS($AU337-ROUND($AT337*0.1,0))&gt;설정!$B$8,IF($AU337=0," / 세액 0원(영세율·면세 여부 확인)"," / 세액이 공급가액 10%와 다름"),"")&amp;IF($BB337="수정"," / 수정세금계산서(합계에서 자동 가감)",""),4,200))</f>
        <v/>
      </c>
      <c r="BD337" s="2">
        <f>IF($BA337&lt;&gt;"포함","",IF(COUNTIFS($AX$8:$AX337,$AX337,$BA$8:$BA337,"포함")=1,MAX($BD$7:BD336)+1,""))</f>
        <v/>
      </c>
      <c r="BE337" s="2">
        <f>IF($BC337="","",MAX($BE$7:BE336)+1)</f>
        <v/>
      </c>
    </row>
    <row r="338">
      <c r="AR338" s="2">
        <f>IF(OR($A$5="",$B$6="",ROW()&lt;$A$5),"",IF(INDEX($A:$AP,ROW(),$B$6)="","",INDEX($A:$AP,ROW(),$B$6)))</f>
        <v/>
      </c>
      <c r="AS338" s="22">
        <f>IF($AR338="","",IF(ISNUMBER($AR338),IF($AR338&gt;=10000000,IFERROR(DATE(INT($AR338/10000),MOD(INT($AR338/100),100),MOD($AR338,100)),""),INT($AR338)),IFERROR(DATE(--LEFT(LEFT(SUBSTITUTE(SUBSTITUTE(SUBSTITUTE(SUBSTITUTE(TRIM($AR338),"-",""),".",""),"/","")," ",""),8),4),--MID(LEFT(SUBSTITUTE(SUBSTITUTE(SUBSTITUTE(SUBSTITUTE(TRIM($AR338),"-",""),".",""),"/","")," ",""),8),5,2),--MID(LEFT(SUBSTITUTE(SUBSTITUTE(SUBSTITUTE(SUBSTITUTE(TRIM($AR338),"-",""),".",""),"/","")," ",""),8),7,2)),"")))</f>
        <v/>
      </c>
      <c r="AT338" s="23">
        <f>IF($AS338="","",IF($F$6="",0,IF(ISNUMBER(INDEX($A:$AP,ROW(),$F$6)),INDEX($A:$AP,ROW(),$F$6),IFERROR(--SUBSTITUTE(SUBSTITUTE(TRIM(INDEX($A:$AP,ROW(),$F$6)),",",""),"원",""),0))))</f>
        <v/>
      </c>
      <c r="AU338" s="23">
        <f>IF($AS338="","",IF($G$6="",0,IF(ISNUMBER(INDEX($A:$AP,ROW(),$G$6)),INDEX($A:$AP,ROW(),$G$6),IFERROR(--SUBSTITUTE(SUBSTITUTE(TRIM(INDEX($A:$AP,ROW(),$G$6)),",",""),"원",""),0))))</f>
        <v/>
      </c>
      <c r="AV338" s="23">
        <f>IF($AS338="","",IF($H$6="",$AT338+$AU338,IF($H$6="",0,IF(ISNUMBER(INDEX($A:$AP,ROW(),$H$6)),INDEX($A:$AP,ROW(),$H$6),IFERROR(--SUBSTITUTE(SUBSTITUTE(TRIM(INDEX($A:$AP,ROW(),$H$6)),",",""),"원",""),0)))))</f>
        <v/>
      </c>
      <c r="AW338" s="2">
        <f>IF(OR($AS338="",$C$6=""),"",TRIM(INDEX($A:$AP,ROW(),$C$6)&amp;""))</f>
        <v/>
      </c>
      <c r="AX338" s="2">
        <f>IF($AS338="","",IF($AZ338&lt;&gt;"",SUBSTITUTE(SUBSTITUTE($AZ338,"-","")," ",""),$AY338))</f>
        <v/>
      </c>
      <c r="AY338" s="2">
        <f>IF(OR($AS338="",$E$6=""),"",TRIM(INDEX($A:$AP,ROW(),$E$6)&amp;""))</f>
        <v/>
      </c>
      <c r="AZ338" s="2">
        <f>IF(OR($AS338="",$D$6=""),"",TRIM(INDEX($A:$AP,ROW(),$D$6)&amp;""))</f>
        <v/>
      </c>
      <c r="BA338" s="2">
        <f>IF($AS338="","",IF(AND($AS338&gt;=설정!$B$10,$AS338&lt;=설정!$B$11),"포함","기간 밖"))</f>
        <v/>
      </c>
      <c r="BB338" s="2">
        <f>IF($AS338="","",IF(OR($AT338&lt;0,AND($I$6&lt;&gt;"",ISNUMBER(FIND("수정",INDEX($A:$AP,ROW(),IF($I$6="",1,$I$6))&amp;"")))),"수정","일반"))</f>
        <v/>
      </c>
      <c r="BC338" s="2">
        <f>IF($AS338="","",MID(IF($BA338="기간 밖"," / 기간 밖(신고기간 아님)","")&amp;IF(AND($AW338&lt;&gt;"",COUNTIF($AW$8:$AW$1007,$AW338)&gt;1)," / 승인번호 중복(두 번 붙여넣기?)","")&amp;IF(ABS($AU338-ROUND($AT338*0.1,0))&gt;설정!$B$8,IF($AU338=0," / 세액 0원(영세율·면세 여부 확인)"," / 세액이 공급가액 10%와 다름"),"")&amp;IF($BB338="수정"," / 수정세금계산서(합계에서 자동 가감)",""),4,200))</f>
        <v/>
      </c>
      <c r="BD338" s="2">
        <f>IF($BA338&lt;&gt;"포함","",IF(COUNTIFS($AX$8:$AX338,$AX338,$BA$8:$BA338,"포함")=1,MAX($BD$7:BD337)+1,""))</f>
        <v/>
      </c>
      <c r="BE338" s="2">
        <f>IF($BC338="","",MAX($BE$7:BE337)+1)</f>
        <v/>
      </c>
    </row>
    <row r="339">
      <c r="AR339" s="2">
        <f>IF(OR($A$5="",$B$6="",ROW()&lt;$A$5),"",IF(INDEX($A:$AP,ROW(),$B$6)="","",INDEX($A:$AP,ROW(),$B$6)))</f>
        <v/>
      </c>
      <c r="AS339" s="22">
        <f>IF($AR339="","",IF(ISNUMBER($AR339),IF($AR339&gt;=10000000,IFERROR(DATE(INT($AR339/10000),MOD(INT($AR339/100),100),MOD($AR339,100)),""),INT($AR339)),IFERROR(DATE(--LEFT(LEFT(SUBSTITUTE(SUBSTITUTE(SUBSTITUTE(SUBSTITUTE(TRIM($AR339),"-",""),".",""),"/","")," ",""),8),4),--MID(LEFT(SUBSTITUTE(SUBSTITUTE(SUBSTITUTE(SUBSTITUTE(TRIM($AR339),"-",""),".",""),"/","")," ",""),8),5,2),--MID(LEFT(SUBSTITUTE(SUBSTITUTE(SUBSTITUTE(SUBSTITUTE(TRIM($AR339),"-",""),".",""),"/","")," ",""),8),7,2)),"")))</f>
        <v/>
      </c>
      <c r="AT339" s="23">
        <f>IF($AS339="","",IF($F$6="",0,IF(ISNUMBER(INDEX($A:$AP,ROW(),$F$6)),INDEX($A:$AP,ROW(),$F$6),IFERROR(--SUBSTITUTE(SUBSTITUTE(TRIM(INDEX($A:$AP,ROW(),$F$6)),",",""),"원",""),0))))</f>
        <v/>
      </c>
      <c r="AU339" s="23">
        <f>IF($AS339="","",IF($G$6="",0,IF(ISNUMBER(INDEX($A:$AP,ROW(),$G$6)),INDEX($A:$AP,ROW(),$G$6),IFERROR(--SUBSTITUTE(SUBSTITUTE(TRIM(INDEX($A:$AP,ROW(),$G$6)),",",""),"원",""),0))))</f>
        <v/>
      </c>
      <c r="AV339" s="23">
        <f>IF($AS339="","",IF($H$6="",$AT339+$AU339,IF($H$6="",0,IF(ISNUMBER(INDEX($A:$AP,ROW(),$H$6)),INDEX($A:$AP,ROW(),$H$6),IFERROR(--SUBSTITUTE(SUBSTITUTE(TRIM(INDEX($A:$AP,ROW(),$H$6)),",",""),"원",""),0)))))</f>
        <v/>
      </c>
      <c r="AW339" s="2">
        <f>IF(OR($AS339="",$C$6=""),"",TRIM(INDEX($A:$AP,ROW(),$C$6)&amp;""))</f>
        <v/>
      </c>
      <c r="AX339" s="2">
        <f>IF($AS339="","",IF($AZ339&lt;&gt;"",SUBSTITUTE(SUBSTITUTE($AZ339,"-","")," ",""),$AY339))</f>
        <v/>
      </c>
      <c r="AY339" s="2">
        <f>IF(OR($AS339="",$E$6=""),"",TRIM(INDEX($A:$AP,ROW(),$E$6)&amp;""))</f>
        <v/>
      </c>
      <c r="AZ339" s="2">
        <f>IF(OR($AS339="",$D$6=""),"",TRIM(INDEX($A:$AP,ROW(),$D$6)&amp;""))</f>
        <v/>
      </c>
      <c r="BA339" s="2">
        <f>IF($AS339="","",IF(AND($AS339&gt;=설정!$B$10,$AS339&lt;=설정!$B$11),"포함","기간 밖"))</f>
        <v/>
      </c>
      <c r="BB339" s="2">
        <f>IF($AS339="","",IF(OR($AT339&lt;0,AND($I$6&lt;&gt;"",ISNUMBER(FIND("수정",INDEX($A:$AP,ROW(),IF($I$6="",1,$I$6))&amp;"")))),"수정","일반"))</f>
        <v/>
      </c>
      <c r="BC339" s="2">
        <f>IF($AS339="","",MID(IF($BA339="기간 밖"," / 기간 밖(신고기간 아님)","")&amp;IF(AND($AW339&lt;&gt;"",COUNTIF($AW$8:$AW$1007,$AW339)&gt;1)," / 승인번호 중복(두 번 붙여넣기?)","")&amp;IF(ABS($AU339-ROUND($AT339*0.1,0))&gt;설정!$B$8,IF($AU339=0," / 세액 0원(영세율·면세 여부 확인)"," / 세액이 공급가액 10%와 다름"),"")&amp;IF($BB339="수정"," / 수정세금계산서(합계에서 자동 가감)",""),4,200))</f>
        <v/>
      </c>
      <c r="BD339" s="2">
        <f>IF($BA339&lt;&gt;"포함","",IF(COUNTIFS($AX$8:$AX339,$AX339,$BA$8:$BA339,"포함")=1,MAX($BD$7:BD338)+1,""))</f>
        <v/>
      </c>
      <c r="BE339" s="2">
        <f>IF($BC339="","",MAX($BE$7:BE338)+1)</f>
        <v/>
      </c>
    </row>
    <row r="340">
      <c r="AR340" s="2">
        <f>IF(OR($A$5="",$B$6="",ROW()&lt;$A$5),"",IF(INDEX($A:$AP,ROW(),$B$6)="","",INDEX($A:$AP,ROW(),$B$6)))</f>
        <v/>
      </c>
      <c r="AS340" s="22">
        <f>IF($AR340="","",IF(ISNUMBER($AR340),IF($AR340&gt;=10000000,IFERROR(DATE(INT($AR340/10000),MOD(INT($AR340/100),100),MOD($AR340,100)),""),INT($AR340)),IFERROR(DATE(--LEFT(LEFT(SUBSTITUTE(SUBSTITUTE(SUBSTITUTE(SUBSTITUTE(TRIM($AR340),"-",""),".",""),"/","")," ",""),8),4),--MID(LEFT(SUBSTITUTE(SUBSTITUTE(SUBSTITUTE(SUBSTITUTE(TRIM($AR340),"-",""),".",""),"/","")," ",""),8),5,2),--MID(LEFT(SUBSTITUTE(SUBSTITUTE(SUBSTITUTE(SUBSTITUTE(TRIM($AR340),"-",""),".",""),"/","")," ",""),8),7,2)),"")))</f>
        <v/>
      </c>
      <c r="AT340" s="23">
        <f>IF($AS340="","",IF($F$6="",0,IF(ISNUMBER(INDEX($A:$AP,ROW(),$F$6)),INDEX($A:$AP,ROW(),$F$6),IFERROR(--SUBSTITUTE(SUBSTITUTE(TRIM(INDEX($A:$AP,ROW(),$F$6)),",",""),"원",""),0))))</f>
        <v/>
      </c>
      <c r="AU340" s="23">
        <f>IF($AS340="","",IF($G$6="",0,IF(ISNUMBER(INDEX($A:$AP,ROW(),$G$6)),INDEX($A:$AP,ROW(),$G$6),IFERROR(--SUBSTITUTE(SUBSTITUTE(TRIM(INDEX($A:$AP,ROW(),$G$6)),",",""),"원",""),0))))</f>
        <v/>
      </c>
      <c r="AV340" s="23">
        <f>IF($AS340="","",IF($H$6="",$AT340+$AU340,IF($H$6="",0,IF(ISNUMBER(INDEX($A:$AP,ROW(),$H$6)),INDEX($A:$AP,ROW(),$H$6),IFERROR(--SUBSTITUTE(SUBSTITUTE(TRIM(INDEX($A:$AP,ROW(),$H$6)),",",""),"원",""),0)))))</f>
        <v/>
      </c>
      <c r="AW340" s="2">
        <f>IF(OR($AS340="",$C$6=""),"",TRIM(INDEX($A:$AP,ROW(),$C$6)&amp;""))</f>
        <v/>
      </c>
      <c r="AX340" s="2">
        <f>IF($AS340="","",IF($AZ340&lt;&gt;"",SUBSTITUTE(SUBSTITUTE($AZ340,"-","")," ",""),$AY340))</f>
        <v/>
      </c>
      <c r="AY340" s="2">
        <f>IF(OR($AS340="",$E$6=""),"",TRIM(INDEX($A:$AP,ROW(),$E$6)&amp;""))</f>
        <v/>
      </c>
      <c r="AZ340" s="2">
        <f>IF(OR($AS340="",$D$6=""),"",TRIM(INDEX($A:$AP,ROW(),$D$6)&amp;""))</f>
        <v/>
      </c>
      <c r="BA340" s="2">
        <f>IF($AS340="","",IF(AND($AS340&gt;=설정!$B$10,$AS340&lt;=설정!$B$11),"포함","기간 밖"))</f>
        <v/>
      </c>
      <c r="BB340" s="2">
        <f>IF($AS340="","",IF(OR($AT340&lt;0,AND($I$6&lt;&gt;"",ISNUMBER(FIND("수정",INDEX($A:$AP,ROW(),IF($I$6="",1,$I$6))&amp;"")))),"수정","일반"))</f>
        <v/>
      </c>
      <c r="BC340" s="2">
        <f>IF($AS340="","",MID(IF($BA340="기간 밖"," / 기간 밖(신고기간 아님)","")&amp;IF(AND($AW340&lt;&gt;"",COUNTIF($AW$8:$AW$1007,$AW340)&gt;1)," / 승인번호 중복(두 번 붙여넣기?)","")&amp;IF(ABS($AU340-ROUND($AT340*0.1,0))&gt;설정!$B$8,IF($AU340=0," / 세액 0원(영세율·면세 여부 확인)"," / 세액이 공급가액 10%와 다름"),"")&amp;IF($BB340="수정"," / 수정세금계산서(합계에서 자동 가감)",""),4,200))</f>
        <v/>
      </c>
      <c r="BD340" s="2">
        <f>IF($BA340&lt;&gt;"포함","",IF(COUNTIFS($AX$8:$AX340,$AX340,$BA$8:$BA340,"포함")=1,MAX($BD$7:BD339)+1,""))</f>
        <v/>
      </c>
      <c r="BE340" s="2">
        <f>IF($BC340="","",MAX($BE$7:BE339)+1)</f>
        <v/>
      </c>
    </row>
    <row r="341">
      <c r="AR341" s="2">
        <f>IF(OR($A$5="",$B$6="",ROW()&lt;$A$5),"",IF(INDEX($A:$AP,ROW(),$B$6)="","",INDEX($A:$AP,ROW(),$B$6)))</f>
        <v/>
      </c>
      <c r="AS341" s="22">
        <f>IF($AR341="","",IF(ISNUMBER($AR341),IF($AR341&gt;=10000000,IFERROR(DATE(INT($AR341/10000),MOD(INT($AR341/100),100),MOD($AR341,100)),""),INT($AR341)),IFERROR(DATE(--LEFT(LEFT(SUBSTITUTE(SUBSTITUTE(SUBSTITUTE(SUBSTITUTE(TRIM($AR341),"-",""),".",""),"/","")," ",""),8),4),--MID(LEFT(SUBSTITUTE(SUBSTITUTE(SUBSTITUTE(SUBSTITUTE(TRIM($AR341),"-",""),".",""),"/","")," ",""),8),5,2),--MID(LEFT(SUBSTITUTE(SUBSTITUTE(SUBSTITUTE(SUBSTITUTE(TRIM($AR341),"-",""),".",""),"/","")," ",""),8),7,2)),"")))</f>
        <v/>
      </c>
      <c r="AT341" s="23">
        <f>IF($AS341="","",IF($F$6="",0,IF(ISNUMBER(INDEX($A:$AP,ROW(),$F$6)),INDEX($A:$AP,ROW(),$F$6),IFERROR(--SUBSTITUTE(SUBSTITUTE(TRIM(INDEX($A:$AP,ROW(),$F$6)),",",""),"원",""),0))))</f>
        <v/>
      </c>
      <c r="AU341" s="23">
        <f>IF($AS341="","",IF($G$6="",0,IF(ISNUMBER(INDEX($A:$AP,ROW(),$G$6)),INDEX($A:$AP,ROW(),$G$6),IFERROR(--SUBSTITUTE(SUBSTITUTE(TRIM(INDEX($A:$AP,ROW(),$G$6)),",",""),"원",""),0))))</f>
        <v/>
      </c>
      <c r="AV341" s="23">
        <f>IF($AS341="","",IF($H$6="",$AT341+$AU341,IF($H$6="",0,IF(ISNUMBER(INDEX($A:$AP,ROW(),$H$6)),INDEX($A:$AP,ROW(),$H$6),IFERROR(--SUBSTITUTE(SUBSTITUTE(TRIM(INDEX($A:$AP,ROW(),$H$6)),",",""),"원",""),0)))))</f>
        <v/>
      </c>
      <c r="AW341" s="2">
        <f>IF(OR($AS341="",$C$6=""),"",TRIM(INDEX($A:$AP,ROW(),$C$6)&amp;""))</f>
        <v/>
      </c>
      <c r="AX341" s="2">
        <f>IF($AS341="","",IF($AZ341&lt;&gt;"",SUBSTITUTE(SUBSTITUTE($AZ341,"-","")," ",""),$AY341))</f>
        <v/>
      </c>
      <c r="AY341" s="2">
        <f>IF(OR($AS341="",$E$6=""),"",TRIM(INDEX($A:$AP,ROW(),$E$6)&amp;""))</f>
        <v/>
      </c>
      <c r="AZ341" s="2">
        <f>IF(OR($AS341="",$D$6=""),"",TRIM(INDEX($A:$AP,ROW(),$D$6)&amp;""))</f>
        <v/>
      </c>
      <c r="BA341" s="2">
        <f>IF($AS341="","",IF(AND($AS341&gt;=설정!$B$10,$AS341&lt;=설정!$B$11),"포함","기간 밖"))</f>
        <v/>
      </c>
      <c r="BB341" s="2">
        <f>IF($AS341="","",IF(OR($AT341&lt;0,AND($I$6&lt;&gt;"",ISNUMBER(FIND("수정",INDEX($A:$AP,ROW(),IF($I$6="",1,$I$6))&amp;"")))),"수정","일반"))</f>
        <v/>
      </c>
      <c r="BC341" s="2">
        <f>IF($AS341="","",MID(IF($BA341="기간 밖"," / 기간 밖(신고기간 아님)","")&amp;IF(AND($AW341&lt;&gt;"",COUNTIF($AW$8:$AW$1007,$AW341)&gt;1)," / 승인번호 중복(두 번 붙여넣기?)","")&amp;IF(ABS($AU341-ROUND($AT341*0.1,0))&gt;설정!$B$8,IF($AU341=0," / 세액 0원(영세율·면세 여부 확인)"," / 세액이 공급가액 10%와 다름"),"")&amp;IF($BB341="수정"," / 수정세금계산서(합계에서 자동 가감)",""),4,200))</f>
        <v/>
      </c>
      <c r="BD341" s="2">
        <f>IF($BA341&lt;&gt;"포함","",IF(COUNTIFS($AX$8:$AX341,$AX341,$BA$8:$BA341,"포함")=1,MAX($BD$7:BD340)+1,""))</f>
        <v/>
      </c>
      <c r="BE341" s="2">
        <f>IF($BC341="","",MAX($BE$7:BE340)+1)</f>
        <v/>
      </c>
    </row>
    <row r="342">
      <c r="AR342" s="2">
        <f>IF(OR($A$5="",$B$6="",ROW()&lt;$A$5),"",IF(INDEX($A:$AP,ROW(),$B$6)="","",INDEX($A:$AP,ROW(),$B$6)))</f>
        <v/>
      </c>
      <c r="AS342" s="22">
        <f>IF($AR342="","",IF(ISNUMBER($AR342),IF($AR342&gt;=10000000,IFERROR(DATE(INT($AR342/10000),MOD(INT($AR342/100),100),MOD($AR342,100)),""),INT($AR342)),IFERROR(DATE(--LEFT(LEFT(SUBSTITUTE(SUBSTITUTE(SUBSTITUTE(SUBSTITUTE(TRIM($AR342),"-",""),".",""),"/","")," ",""),8),4),--MID(LEFT(SUBSTITUTE(SUBSTITUTE(SUBSTITUTE(SUBSTITUTE(TRIM($AR342),"-",""),".",""),"/","")," ",""),8),5,2),--MID(LEFT(SUBSTITUTE(SUBSTITUTE(SUBSTITUTE(SUBSTITUTE(TRIM($AR342),"-",""),".",""),"/","")," ",""),8),7,2)),"")))</f>
        <v/>
      </c>
      <c r="AT342" s="23">
        <f>IF($AS342="","",IF($F$6="",0,IF(ISNUMBER(INDEX($A:$AP,ROW(),$F$6)),INDEX($A:$AP,ROW(),$F$6),IFERROR(--SUBSTITUTE(SUBSTITUTE(TRIM(INDEX($A:$AP,ROW(),$F$6)),",",""),"원",""),0))))</f>
        <v/>
      </c>
      <c r="AU342" s="23">
        <f>IF($AS342="","",IF($G$6="",0,IF(ISNUMBER(INDEX($A:$AP,ROW(),$G$6)),INDEX($A:$AP,ROW(),$G$6),IFERROR(--SUBSTITUTE(SUBSTITUTE(TRIM(INDEX($A:$AP,ROW(),$G$6)),",",""),"원",""),0))))</f>
        <v/>
      </c>
      <c r="AV342" s="23">
        <f>IF($AS342="","",IF($H$6="",$AT342+$AU342,IF($H$6="",0,IF(ISNUMBER(INDEX($A:$AP,ROW(),$H$6)),INDEX($A:$AP,ROW(),$H$6),IFERROR(--SUBSTITUTE(SUBSTITUTE(TRIM(INDEX($A:$AP,ROW(),$H$6)),",",""),"원",""),0)))))</f>
        <v/>
      </c>
      <c r="AW342" s="2">
        <f>IF(OR($AS342="",$C$6=""),"",TRIM(INDEX($A:$AP,ROW(),$C$6)&amp;""))</f>
        <v/>
      </c>
      <c r="AX342" s="2">
        <f>IF($AS342="","",IF($AZ342&lt;&gt;"",SUBSTITUTE(SUBSTITUTE($AZ342,"-","")," ",""),$AY342))</f>
        <v/>
      </c>
      <c r="AY342" s="2">
        <f>IF(OR($AS342="",$E$6=""),"",TRIM(INDEX($A:$AP,ROW(),$E$6)&amp;""))</f>
        <v/>
      </c>
      <c r="AZ342" s="2">
        <f>IF(OR($AS342="",$D$6=""),"",TRIM(INDEX($A:$AP,ROW(),$D$6)&amp;""))</f>
        <v/>
      </c>
      <c r="BA342" s="2">
        <f>IF($AS342="","",IF(AND($AS342&gt;=설정!$B$10,$AS342&lt;=설정!$B$11),"포함","기간 밖"))</f>
        <v/>
      </c>
      <c r="BB342" s="2">
        <f>IF($AS342="","",IF(OR($AT342&lt;0,AND($I$6&lt;&gt;"",ISNUMBER(FIND("수정",INDEX($A:$AP,ROW(),IF($I$6="",1,$I$6))&amp;"")))),"수정","일반"))</f>
        <v/>
      </c>
      <c r="BC342" s="2">
        <f>IF($AS342="","",MID(IF($BA342="기간 밖"," / 기간 밖(신고기간 아님)","")&amp;IF(AND($AW342&lt;&gt;"",COUNTIF($AW$8:$AW$1007,$AW342)&gt;1)," / 승인번호 중복(두 번 붙여넣기?)","")&amp;IF(ABS($AU342-ROUND($AT342*0.1,0))&gt;설정!$B$8,IF($AU342=0," / 세액 0원(영세율·면세 여부 확인)"," / 세액이 공급가액 10%와 다름"),"")&amp;IF($BB342="수정"," / 수정세금계산서(합계에서 자동 가감)",""),4,200))</f>
        <v/>
      </c>
      <c r="BD342" s="2">
        <f>IF($BA342&lt;&gt;"포함","",IF(COUNTIFS($AX$8:$AX342,$AX342,$BA$8:$BA342,"포함")=1,MAX($BD$7:BD341)+1,""))</f>
        <v/>
      </c>
      <c r="BE342" s="2">
        <f>IF($BC342="","",MAX($BE$7:BE341)+1)</f>
        <v/>
      </c>
    </row>
    <row r="343">
      <c r="AR343" s="2">
        <f>IF(OR($A$5="",$B$6="",ROW()&lt;$A$5),"",IF(INDEX($A:$AP,ROW(),$B$6)="","",INDEX($A:$AP,ROW(),$B$6)))</f>
        <v/>
      </c>
      <c r="AS343" s="22">
        <f>IF($AR343="","",IF(ISNUMBER($AR343),IF($AR343&gt;=10000000,IFERROR(DATE(INT($AR343/10000),MOD(INT($AR343/100),100),MOD($AR343,100)),""),INT($AR343)),IFERROR(DATE(--LEFT(LEFT(SUBSTITUTE(SUBSTITUTE(SUBSTITUTE(SUBSTITUTE(TRIM($AR343),"-",""),".",""),"/","")," ",""),8),4),--MID(LEFT(SUBSTITUTE(SUBSTITUTE(SUBSTITUTE(SUBSTITUTE(TRIM($AR343),"-",""),".",""),"/","")," ",""),8),5,2),--MID(LEFT(SUBSTITUTE(SUBSTITUTE(SUBSTITUTE(SUBSTITUTE(TRIM($AR343),"-",""),".",""),"/","")," ",""),8),7,2)),"")))</f>
        <v/>
      </c>
      <c r="AT343" s="23">
        <f>IF($AS343="","",IF($F$6="",0,IF(ISNUMBER(INDEX($A:$AP,ROW(),$F$6)),INDEX($A:$AP,ROW(),$F$6),IFERROR(--SUBSTITUTE(SUBSTITUTE(TRIM(INDEX($A:$AP,ROW(),$F$6)),",",""),"원",""),0))))</f>
        <v/>
      </c>
      <c r="AU343" s="23">
        <f>IF($AS343="","",IF($G$6="",0,IF(ISNUMBER(INDEX($A:$AP,ROW(),$G$6)),INDEX($A:$AP,ROW(),$G$6),IFERROR(--SUBSTITUTE(SUBSTITUTE(TRIM(INDEX($A:$AP,ROW(),$G$6)),",",""),"원",""),0))))</f>
        <v/>
      </c>
      <c r="AV343" s="23">
        <f>IF($AS343="","",IF($H$6="",$AT343+$AU343,IF($H$6="",0,IF(ISNUMBER(INDEX($A:$AP,ROW(),$H$6)),INDEX($A:$AP,ROW(),$H$6),IFERROR(--SUBSTITUTE(SUBSTITUTE(TRIM(INDEX($A:$AP,ROW(),$H$6)),",",""),"원",""),0)))))</f>
        <v/>
      </c>
      <c r="AW343" s="2">
        <f>IF(OR($AS343="",$C$6=""),"",TRIM(INDEX($A:$AP,ROW(),$C$6)&amp;""))</f>
        <v/>
      </c>
      <c r="AX343" s="2">
        <f>IF($AS343="","",IF($AZ343&lt;&gt;"",SUBSTITUTE(SUBSTITUTE($AZ343,"-","")," ",""),$AY343))</f>
        <v/>
      </c>
      <c r="AY343" s="2">
        <f>IF(OR($AS343="",$E$6=""),"",TRIM(INDEX($A:$AP,ROW(),$E$6)&amp;""))</f>
        <v/>
      </c>
      <c r="AZ343" s="2">
        <f>IF(OR($AS343="",$D$6=""),"",TRIM(INDEX($A:$AP,ROW(),$D$6)&amp;""))</f>
        <v/>
      </c>
      <c r="BA343" s="2">
        <f>IF($AS343="","",IF(AND($AS343&gt;=설정!$B$10,$AS343&lt;=설정!$B$11),"포함","기간 밖"))</f>
        <v/>
      </c>
      <c r="BB343" s="2">
        <f>IF($AS343="","",IF(OR($AT343&lt;0,AND($I$6&lt;&gt;"",ISNUMBER(FIND("수정",INDEX($A:$AP,ROW(),IF($I$6="",1,$I$6))&amp;"")))),"수정","일반"))</f>
        <v/>
      </c>
      <c r="BC343" s="2">
        <f>IF($AS343="","",MID(IF($BA343="기간 밖"," / 기간 밖(신고기간 아님)","")&amp;IF(AND($AW343&lt;&gt;"",COUNTIF($AW$8:$AW$1007,$AW343)&gt;1)," / 승인번호 중복(두 번 붙여넣기?)","")&amp;IF(ABS($AU343-ROUND($AT343*0.1,0))&gt;설정!$B$8,IF($AU343=0," / 세액 0원(영세율·면세 여부 확인)"," / 세액이 공급가액 10%와 다름"),"")&amp;IF($BB343="수정"," / 수정세금계산서(합계에서 자동 가감)",""),4,200))</f>
        <v/>
      </c>
      <c r="BD343" s="2">
        <f>IF($BA343&lt;&gt;"포함","",IF(COUNTIFS($AX$8:$AX343,$AX343,$BA$8:$BA343,"포함")=1,MAX($BD$7:BD342)+1,""))</f>
        <v/>
      </c>
      <c r="BE343" s="2">
        <f>IF($BC343="","",MAX($BE$7:BE342)+1)</f>
        <v/>
      </c>
    </row>
    <row r="344">
      <c r="AR344" s="2">
        <f>IF(OR($A$5="",$B$6="",ROW()&lt;$A$5),"",IF(INDEX($A:$AP,ROW(),$B$6)="","",INDEX($A:$AP,ROW(),$B$6)))</f>
        <v/>
      </c>
      <c r="AS344" s="22">
        <f>IF($AR344="","",IF(ISNUMBER($AR344),IF($AR344&gt;=10000000,IFERROR(DATE(INT($AR344/10000),MOD(INT($AR344/100),100),MOD($AR344,100)),""),INT($AR344)),IFERROR(DATE(--LEFT(LEFT(SUBSTITUTE(SUBSTITUTE(SUBSTITUTE(SUBSTITUTE(TRIM($AR344),"-",""),".",""),"/","")," ",""),8),4),--MID(LEFT(SUBSTITUTE(SUBSTITUTE(SUBSTITUTE(SUBSTITUTE(TRIM($AR344),"-",""),".",""),"/","")," ",""),8),5,2),--MID(LEFT(SUBSTITUTE(SUBSTITUTE(SUBSTITUTE(SUBSTITUTE(TRIM($AR344),"-",""),".",""),"/","")," ",""),8),7,2)),"")))</f>
        <v/>
      </c>
      <c r="AT344" s="23">
        <f>IF($AS344="","",IF($F$6="",0,IF(ISNUMBER(INDEX($A:$AP,ROW(),$F$6)),INDEX($A:$AP,ROW(),$F$6),IFERROR(--SUBSTITUTE(SUBSTITUTE(TRIM(INDEX($A:$AP,ROW(),$F$6)),",",""),"원",""),0))))</f>
        <v/>
      </c>
      <c r="AU344" s="23">
        <f>IF($AS344="","",IF($G$6="",0,IF(ISNUMBER(INDEX($A:$AP,ROW(),$G$6)),INDEX($A:$AP,ROW(),$G$6),IFERROR(--SUBSTITUTE(SUBSTITUTE(TRIM(INDEX($A:$AP,ROW(),$G$6)),",",""),"원",""),0))))</f>
        <v/>
      </c>
      <c r="AV344" s="23">
        <f>IF($AS344="","",IF($H$6="",$AT344+$AU344,IF($H$6="",0,IF(ISNUMBER(INDEX($A:$AP,ROW(),$H$6)),INDEX($A:$AP,ROW(),$H$6),IFERROR(--SUBSTITUTE(SUBSTITUTE(TRIM(INDEX($A:$AP,ROW(),$H$6)),",",""),"원",""),0)))))</f>
        <v/>
      </c>
      <c r="AW344" s="2">
        <f>IF(OR($AS344="",$C$6=""),"",TRIM(INDEX($A:$AP,ROW(),$C$6)&amp;""))</f>
        <v/>
      </c>
      <c r="AX344" s="2">
        <f>IF($AS344="","",IF($AZ344&lt;&gt;"",SUBSTITUTE(SUBSTITUTE($AZ344,"-","")," ",""),$AY344))</f>
        <v/>
      </c>
      <c r="AY344" s="2">
        <f>IF(OR($AS344="",$E$6=""),"",TRIM(INDEX($A:$AP,ROW(),$E$6)&amp;""))</f>
        <v/>
      </c>
      <c r="AZ344" s="2">
        <f>IF(OR($AS344="",$D$6=""),"",TRIM(INDEX($A:$AP,ROW(),$D$6)&amp;""))</f>
        <v/>
      </c>
      <c r="BA344" s="2">
        <f>IF($AS344="","",IF(AND($AS344&gt;=설정!$B$10,$AS344&lt;=설정!$B$11),"포함","기간 밖"))</f>
        <v/>
      </c>
      <c r="BB344" s="2">
        <f>IF($AS344="","",IF(OR($AT344&lt;0,AND($I$6&lt;&gt;"",ISNUMBER(FIND("수정",INDEX($A:$AP,ROW(),IF($I$6="",1,$I$6))&amp;"")))),"수정","일반"))</f>
        <v/>
      </c>
      <c r="BC344" s="2">
        <f>IF($AS344="","",MID(IF($BA344="기간 밖"," / 기간 밖(신고기간 아님)","")&amp;IF(AND($AW344&lt;&gt;"",COUNTIF($AW$8:$AW$1007,$AW344)&gt;1)," / 승인번호 중복(두 번 붙여넣기?)","")&amp;IF(ABS($AU344-ROUND($AT344*0.1,0))&gt;설정!$B$8,IF($AU344=0," / 세액 0원(영세율·면세 여부 확인)"," / 세액이 공급가액 10%와 다름"),"")&amp;IF($BB344="수정"," / 수정세금계산서(합계에서 자동 가감)",""),4,200))</f>
        <v/>
      </c>
      <c r="BD344" s="2">
        <f>IF($BA344&lt;&gt;"포함","",IF(COUNTIFS($AX$8:$AX344,$AX344,$BA$8:$BA344,"포함")=1,MAX($BD$7:BD343)+1,""))</f>
        <v/>
      </c>
      <c r="BE344" s="2">
        <f>IF($BC344="","",MAX($BE$7:BE343)+1)</f>
        <v/>
      </c>
    </row>
    <row r="345">
      <c r="AR345" s="2">
        <f>IF(OR($A$5="",$B$6="",ROW()&lt;$A$5),"",IF(INDEX($A:$AP,ROW(),$B$6)="","",INDEX($A:$AP,ROW(),$B$6)))</f>
        <v/>
      </c>
      <c r="AS345" s="22">
        <f>IF($AR345="","",IF(ISNUMBER($AR345),IF($AR345&gt;=10000000,IFERROR(DATE(INT($AR345/10000),MOD(INT($AR345/100),100),MOD($AR345,100)),""),INT($AR345)),IFERROR(DATE(--LEFT(LEFT(SUBSTITUTE(SUBSTITUTE(SUBSTITUTE(SUBSTITUTE(TRIM($AR345),"-",""),".",""),"/","")," ",""),8),4),--MID(LEFT(SUBSTITUTE(SUBSTITUTE(SUBSTITUTE(SUBSTITUTE(TRIM($AR345),"-",""),".",""),"/","")," ",""),8),5,2),--MID(LEFT(SUBSTITUTE(SUBSTITUTE(SUBSTITUTE(SUBSTITUTE(TRIM($AR345),"-",""),".",""),"/","")," ",""),8),7,2)),"")))</f>
        <v/>
      </c>
      <c r="AT345" s="23">
        <f>IF($AS345="","",IF($F$6="",0,IF(ISNUMBER(INDEX($A:$AP,ROW(),$F$6)),INDEX($A:$AP,ROW(),$F$6),IFERROR(--SUBSTITUTE(SUBSTITUTE(TRIM(INDEX($A:$AP,ROW(),$F$6)),",",""),"원",""),0))))</f>
        <v/>
      </c>
      <c r="AU345" s="23">
        <f>IF($AS345="","",IF($G$6="",0,IF(ISNUMBER(INDEX($A:$AP,ROW(),$G$6)),INDEX($A:$AP,ROW(),$G$6),IFERROR(--SUBSTITUTE(SUBSTITUTE(TRIM(INDEX($A:$AP,ROW(),$G$6)),",",""),"원",""),0))))</f>
        <v/>
      </c>
      <c r="AV345" s="23">
        <f>IF($AS345="","",IF($H$6="",$AT345+$AU345,IF($H$6="",0,IF(ISNUMBER(INDEX($A:$AP,ROW(),$H$6)),INDEX($A:$AP,ROW(),$H$6),IFERROR(--SUBSTITUTE(SUBSTITUTE(TRIM(INDEX($A:$AP,ROW(),$H$6)),",",""),"원",""),0)))))</f>
        <v/>
      </c>
      <c r="AW345" s="2">
        <f>IF(OR($AS345="",$C$6=""),"",TRIM(INDEX($A:$AP,ROW(),$C$6)&amp;""))</f>
        <v/>
      </c>
      <c r="AX345" s="2">
        <f>IF($AS345="","",IF($AZ345&lt;&gt;"",SUBSTITUTE(SUBSTITUTE($AZ345,"-","")," ",""),$AY345))</f>
        <v/>
      </c>
      <c r="AY345" s="2">
        <f>IF(OR($AS345="",$E$6=""),"",TRIM(INDEX($A:$AP,ROW(),$E$6)&amp;""))</f>
        <v/>
      </c>
      <c r="AZ345" s="2">
        <f>IF(OR($AS345="",$D$6=""),"",TRIM(INDEX($A:$AP,ROW(),$D$6)&amp;""))</f>
        <v/>
      </c>
      <c r="BA345" s="2">
        <f>IF($AS345="","",IF(AND($AS345&gt;=설정!$B$10,$AS345&lt;=설정!$B$11),"포함","기간 밖"))</f>
        <v/>
      </c>
      <c r="BB345" s="2">
        <f>IF($AS345="","",IF(OR($AT345&lt;0,AND($I$6&lt;&gt;"",ISNUMBER(FIND("수정",INDEX($A:$AP,ROW(),IF($I$6="",1,$I$6))&amp;"")))),"수정","일반"))</f>
        <v/>
      </c>
      <c r="BC345" s="2">
        <f>IF($AS345="","",MID(IF($BA345="기간 밖"," / 기간 밖(신고기간 아님)","")&amp;IF(AND($AW345&lt;&gt;"",COUNTIF($AW$8:$AW$1007,$AW345)&gt;1)," / 승인번호 중복(두 번 붙여넣기?)","")&amp;IF(ABS($AU345-ROUND($AT345*0.1,0))&gt;설정!$B$8,IF($AU345=0," / 세액 0원(영세율·면세 여부 확인)"," / 세액이 공급가액 10%와 다름"),"")&amp;IF($BB345="수정"," / 수정세금계산서(합계에서 자동 가감)",""),4,200))</f>
        <v/>
      </c>
      <c r="BD345" s="2">
        <f>IF($BA345&lt;&gt;"포함","",IF(COUNTIFS($AX$8:$AX345,$AX345,$BA$8:$BA345,"포함")=1,MAX($BD$7:BD344)+1,""))</f>
        <v/>
      </c>
      <c r="BE345" s="2">
        <f>IF($BC345="","",MAX($BE$7:BE344)+1)</f>
        <v/>
      </c>
    </row>
    <row r="346">
      <c r="AR346" s="2">
        <f>IF(OR($A$5="",$B$6="",ROW()&lt;$A$5),"",IF(INDEX($A:$AP,ROW(),$B$6)="","",INDEX($A:$AP,ROW(),$B$6)))</f>
        <v/>
      </c>
      <c r="AS346" s="22">
        <f>IF($AR346="","",IF(ISNUMBER($AR346),IF($AR346&gt;=10000000,IFERROR(DATE(INT($AR346/10000),MOD(INT($AR346/100),100),MOD($AR346,100)),""),INT($AR346)),IFERROR(DATE(--LEFT(LEFT(SUBSTITUTE(SUBSTITUTE(SUBSTITUTE(SUBSTITUTE(TRIM($AR346),"-",""),".",""),"/","")," ",""),8),4),--MID(LEFT(SUBSTITUTE(SUBSTITUTE(SUBSTITUTE(SUBSTITUTE(TRIM($AR346),"-",""),".",""),"/","")," ",""),8),5,2),--MID(LEFT(SUBSTITUTE(SUBSTITUTE(SUBSTITUTE(SUBSTITUTE(TRIM($AR346),"-",""),".",""),"/","")," ",""),8),7,2)),"")))</f>
        <v/>
      </c>
      <c r="AT346" s="23">
        <f>IF($AS346="","",IF($F$6="",0,IF(ISNUMBER(INDEX($A:$AP,ROW(),$F$6)),INDEX($A:$AP,ROW(),$F$6),IFERROR(--SUBSTITUTE(SUBSTITUTE(TRIM(INDEX($A:$AP,ROW(),$F$6)),",",""),"원",""),0))))</f>
        <v/>
      </c>
      <c r="AU346" s="23">
        <f>IF($AS346="","",IF($G$6="",0,IF(ISNUMBER(INDEX($A:$AP,ROW(),$G$6)),INDEX($A:$AP,ROW(),$G$6),IFERROR(--SUBSTITUTE(SUBSTITUTE(TRIM(INDEX($A:$AP,ROW(),$G$6)),",",""),"원",""),0))))</f>
        <v/>
      </c>
      <c r="AV346" s="23">
        <f>IF($AS346="","",IF($H$6="",$AT346+$AU346,IF($H$6="",0,IF(ISNUMBER(INDEX($A:$AP,ROW(),$H$6)),INDEX($A:$AP,ROW(),$H$6),IFERROR(--SUBSTITUTE(SUBSTITUTE(TRIM(INDEX($A:$AP,ROW(),$H$6)),",",""),"원",""),0)))))</f>
        <v/>
      </c>
      <c r="AW346" s="2">
        <f>IF(OR($AS346="",$C$6=""),"",TRIM(INDEX($A:$AP,ROW(),$C$6)&amp;""))</f>
        <v/>
      </c>
      <c r="AX346" s="2">
        <f>IF($AS346="","",IF($AZ346&lt;&gt;"",SUBSTITUTE(SUBSTITUTE($AZ346,"-","")," ",""),$AY346))</f>
        <v/>
      </c>
      <c r="AY346" s="2">
        <f>IF(OR($AS346="",$E$6=""),"",TRIM(INDEX($A:$AP,ROW(),$E$6)&amp;""))</f>
        <v/>
      </c>
      <c r="AZ346" s="2">
        <f>IF(OR($AS346="",$D$6=""),"",TRIM(INDEX($A:$AP,ROW(),$D$6)&amp;""))</f>
        <v/>
      </c>
      <c r="BA346" s="2">
        <f>IF($AS346="","",IF(AND($AS346&gt;=설정!$B$10,$AS346&lt;=설정!$B$11),"포함","기간 밖"))</f>
        <v/>
      </c>
      <c r="BB346" s="2">
        <f>IF($AS346="","",IF(OR($AT346&lt;0,AND($I$6&lt;&gt;"",ISNUMBER(FIND("수정",INDEX($A:$AP,ROW(),IF($I$6="",1,$I$6))&amp;"")))),"수정","일반"))</f>
        <v/>
      </c>
      <c r="BC346" s="2">
        <f>IF($AS346="","",MID(IF($BA346="기간 밖"," / 기간 밖(신고기간 아님)","")&amp;IF(AND($AW346&lt;&gt;"",COUNTIF($AW$8:$AW$1007,$AW346)&gt;1)," / 승인번호 중복(두 번 붙여넣기?)","")&amp;IF(ABS($AU346-ROUND($AT346*0.1,0))&gt;설정!$B$8,IF($AU346=0," / 세액 0원(영세율·면세 여부 확인)"," / 세액이 공급가액 10%와 다름"),"")&amp;IF($BB346="수정"," / 수정세금계산서(합계에서 자동 가감)",""),4,200))</f>
        <v/>
      </c>
      <c r="BD346" s="2">
        <f>IF($BA346&lt;&gt;"포함","",IF(COUNTIFS($AX$8:$AX346,$AX346,$BA$8:$BA346,"포함")=1,MAX($BD$7:BD345)+1,""))</f>
        <v/>
      </c>
      <c r="BE346" s="2">
        <f>IF($BC346="","",MAX($BE$7:BE345)+1)</f>
        <v/>
      </c>
    </row>
    <row r="347">
      <c r="AR347" s="2">
        <f>IF(OR($A$5="",$B$6="",ROW()&lt;$A$5),"",IF(INDEX($A:$AP,ROW(),$B$6)="","",INDEX($A:$AP,ROW(),$B$6)))</f>
        <v/>
      </c>
      <c r="AS347" s="22">
        <f>IF($AR347="","",IF(ISNUMBER($AR347),IF($AR347&gt;=10000000,IFERROR(DATE(INT($AR347/10000),MOD(INT($AR347/100),100),MOD($AR347,100)),""),INT($AR347)),IFERROR(DATE(--LEFT(LEFT(SUBSTITUTE(SUBSTITUTE(SUBSTITUTE(SUBSTITUTE(TRIM($AR347),"-",""),".",""),"/","")," ",""),8),4),--MID(LEFT(SUBSTITUTE(SUBSTITUTE(SUBSTITUTE(SUBSTITUTE(TRIM($AR347),"-",""),".",""),"/","")," ",""),8),5,2),--MID(LEFT(SUBSTITUTE(SUBSTITUTE(SUBSTITUTE(SUBSTITUTE(TRIM($AR347),"-",""),".",""),"/","")," ",""),8),7,2)),"")))</f>
        <v/>
      </c>
      <c r="AT347" s="23">
        <f>IF($AS347="","",IF($F$6="",0,IF(ISNUMBER(INDEX($A:$AP,ROW(),$F$6)),INDEX($A:$AP,ROW(),$F$6),IFERROR(--SUBSTITUTE(SUBSTITUTE(TRIM(INDEX($A:$AP,ROW(),$F$6)),",",""),"원",""),0))))</f>
        <v/>
      </c>
      <c r="AU347" s="23">
        <f>IF($AS347="","",IF($G$6="",0,IF(ISNUMBER(INDEX($A:$AP,ROW(),$G$6)),INDEX($A:$AP,ROW(),$G$6),IFERROR(--SUBSTITUTE(SUBSTITUTE(TRIM(INDEX($A:$AP,ROW(),$G$6)),",",""),"원",""),0))))</f>
        <v/>
      </c>
      <c r="AV347" s="23">
        <f>IF($AS347="","",IF($H$6="",$AT347+$AU347,IF($H$6="",0,IF(ISNUMBER(INDEX($A:$AP,ROW(),$H$6)),INDEX($A:$AP,ROW(),$H$6),IFERROR(--SUBSTITUTE(SUBSTITUTE(TRIM(INDEX($A:$AP,ROW(),$H$6)),",",""),"원",""),0)))))</f>
        <v/>
      </c>
      <c r="AW347" s="2">
        <f>IF(OR($AS347="",$C$6=""),"",TRIM(INDEX($A:$AP,ROW(),$C$6)&amp;""))</f>
        <v/>
      </c>
      <c r="AX347" s="2">
        <f>IF($AS347="","",IF($AZ347&lt;&gt;"",SUBSTITUTE(SUBSTITUTE($AZ347,"-","")," ",""),$AY347))</f>
        <v/>
      </c>
      <c r="AY347" s="2">
        <f>IF(OR($AS347="",$E$6=""),"",TRIM(INDEX($A:$AP,ROW(),$E$6)&amp;""))</f>
        <v/>
      </c>
      <c r="AZ347" s="2">
        <f>IF(OR($AS347="",$D$6=""),"",TRIM(INDEX($A:$AP,ROW(),$D$6)&amp;""))</f>
        <v/>
      </c>
      <c r="BA347" s="2">
        <f>IF($AS347="","",IF(AND($AS347&gt;=설정!$B$10,$AS347&lt;=설정!$B$11),"포함","기간 밖"))</f>
        <v/>
      </c>
      <c r="BB347" s="2">
        <f>IF($AS347="","",IF(OR($AT347&lt;0,AND($I$6&lt;&gt;"",ISNUMBER(FIND("수정",INDEX($A:$AP,ROW(),IF($I$6="",1,$I$6))&amp;"")))),"수정","일반"))</f>
        <v/>
      </c>
      <c r="BC347" s="2">
        <f>IF($AS347="","",MID(IF($BA347="기간 밖"," / 기간 밖(신고기간 아님)","")&amp;IF(AND($AW347&lt;&gt;"",COUNTIF($AW$8:$AW$1007,$AW347)&gt;1)," / 승인번호 중복(두 번 붙여넣기?)","")&amp;IF(ABS($AU347-ROUND($AT347*0.1,0))&gt;설정!$B$8,IF($AU347=0," / 세액 0원(영세율·면세 여부 확인)"," / 세액이 공급가액 10%와 다름"),"")&amp;IF($BB347="수정"," / 수정세금계산서(합계에서 자동 가감)",""),4,200))</f>
        <v/>
      </c>
      <c r="BD347" s="2">
        <f>IF($BA347&lt;&gt;"포함","",IF(COUNTIFS($AX$8:$AX347,$AX347,$BA$8:$BA347,"포함")=1,MAX($BD$7:BD346)+1,""))</f>
        <v/>
      </c>
      <c r="BE347" s="2">
        <f>IF($BC347="","",MAX($BE$7:BE346)+1)</f>
        <v/>
      </c>
    </row>
    <row r="348">
      <c r="AR348" s="2">
        <f>IF(OR($A$5="",$B$6="",ROW()&lt;$A$5),"",IF(INDEX($A:$AP,ROW(),$B$6)="","",INDEX($A:$AP,ROW(),$B$6)))</f>
        <v/>
      </c>
      <c r="AS348" s="22">
        <f>IF($AR348="","",IF(ISNUMBER($AR348),IF($AR348&gt;=10000000,IFERROR(DATE(INT($AR348/10000),MOD(INT($AR348/100),100),MOD($AR348,100)),""),INT($AR348)),IFERROR(DATE(--LEFT(LEFT(SUBSTITUTE(SUBSTITUTE(SUBSTITUTE(SUBSTITUTE(TRIM($AR348),"-",""),".",""),"/","")," ",""),8),4),--MID(LEFT(SUBSTITUTE(SUBSTITUTE(SUBSTITUTE(SUBSTITUTE(TRIM($AR348),"-",""),".",""),"/","")," ",""),8),5,2),--MID(LEFT(SUBSTITUTE(SUBSTITUTE(SUBSTITUTE(SUBSTITUTE(TRIM($AR348),"-",""),".",""),"/","")," ",""),8),7,2)),"")))</f>
        <v/>
      </c>
      <c r="AT348" s="23">
        <f>IF($AS348="","",IF($F$6="",0,IF(ISNUMBER(INDEX($A:$AP,ROW(),$F$6)),INDEX($A:$AP,ROW(),$F$6),IFERROR(--SUBSTITUTE(SUBSTITUTE(TRIM(INDEX($A:$AP,ROW(),$F$6)),",",""),"원",""),0))))</f>
        <v/>
      </c>
      <c r="AU348" s="23">
        <f>IF($AS348="","",IF($G$6="",0,IF(ISNUMBER(INDEX($A:$AP,ROW(),$G$6)),INDEX($A:$AP,ROW(),$G$6),IFERROR(--SUBSTITUTE(SUBSTITUTE(TRIM(INDEX($A:$AP,ROW(),$G$6)),",",""),"원",""),0))))</f>
        <v/>
      </c>
      <c r="AV348" s="23">
        <f>IF($AS348="","",IF($H$6="",$AT348+$AU348,IF($H$6="",0,IF(ISNUMBER(INDEX($A:$AP,ROW(),$H$6)),INDEX($A:$AP,ROW(),$H$6),IFERROR(--SUBSTITUTE(SUBSTITUTE(TRIM(INDEX($A:$AP,ROW(),$H$6)),",",""),"원",""),0)))))</f>
        <v/>
      </c>
      <c r="AW348" s="2">
        <f>IF(OR($AS348="",$C$6=""),"",TRIM(INDEX($A:$AP,ROW(),$C$6)&amp;""))</f>
        <v/>
      </c>
      <c r="AX348" s="2">
        <f>IF($AS348="","",IF($AZ348&lt;&gt;"",SUBSTITUTE(SUBSTITUTE($AZ348,"-","")," ",""),$AY348))</f>
        <v/>
      </c>
      <c r="AY348" s="2">
        <f>IF(OR($AS348="",$E$6=""),"",TRIM(INDEX($A:$AP,ROW(),$E$6)&amp;""))</f>
        <v/>
      </c>
      <c r="AZ348" s="2">
        <f>IF(OR($AS348="",$D$6=""),"",TRIM(INDEX($A:$AP,ROW(),$D$6)&amp;""))</f>
        <v/>
      </c>
      <c r="BA348" s="2">
        <f>IF($AS348="","",IF(AND($AS348&gt;=설정!$B$10,$AS348&lt;=설정!$B$11),"포함","기간 밖"))</f>
        <v/>
      </c>
      <c r="BB348" s="2">
        <f>IF($AS348="","",IF(OR($AT348&lt;0,AND($I$6&lt;&gt;"",ISNUMBER(FIND("수정",INDEX($A:$AP,ROW(),IF($I$6="",1,$I$6))&amp;"")))),"수정","일반"))</f>
        <v/>
      </c>
      <c r="BC348" s="2">
        <f>IF($AS348="","",MID(IF($BA348="기간 밖"," / 기간 밖(신고기간 아님)","")&amp;IF(AND($AW348&lt;&gt;"",COUNTIF($AW$8:$AW$1007,$AW348)&gt;1)," / 승인번호 중복(두 번 붙여넣기?)","")&amp;IF(ABS($AU348-ROUND($AT348*0.1,0))&gt;설정!$B$8,IF($AU348=0," / 세액 0원(영세율·면세 여부 확인)"," / 세액이 공급가액 10%와 다름"),"")&amp;IF($BB348="수정"," / 수정세금계산서(합계에서 자동 가감)",""),4,200))</f>
        <v/>
      </c>
      <c r="BD348" s="2">
        <f>IF($BA348&lt;&gt;"포함","",IF(COUNTIFS($AX$8:$AX348,$AX348,$BA$8:$BA348,"포함")=1,MAX($BD$7:BD347)+1,""))</f>
        <v/>
      </c>
      <c r="BE348" s="2">
        <f>IF($BC348="","",MAX($BE$7:BE347)+1)</f>
        <v/>
      </c>
    </row>
    <row r="349">
      <c r="AR349" s="2">
        <f>IF(OR($A$5="",$B$6="",ROW()&lt;$A$5),"",IF(INDEX($A:$AP,ROW(),$B$6)="","",INDEX($A:$AP,ROW(),$B$6)))</f>
        <v/>
      </c>
      <c r="AS349" s="22">
        <f>IF($AR349="","",IF(ISNUMBER($AR349),IF($AR349&gt;=10000000,IFERROR(DATE(INT($AR349/10000),MOD(INT($AR349/100),100),MOD($AR349,100)),""),INT($AR349)),IFERROR(DATE(--LEFT(LEFT(SUBSTITUTE(SUBSTITUTE(SUBSTITUTE(SUBSTITUTE(TRIM($AR349),"-",""),".",""),"/","")," ",""),8),4),--MID(LEFT(SUBSTITUTE(SUBSTITUTE(SUBSTITUTE(SUBSTITUTE(TRIM($AR349),"-",""),".",""),"/","")," ",""),8),5,2),--MID(LEFT(SUBSTITUTE(SUBSTITUTE(SUBSTITUTE(SUBSTITUTE(TRIM($AR349),"-",""),".",""),"/","")," ",""),8),7,2)),"")))</f>
        <v/>
      </c>
      <c r="AT349" s="23">
        <f>IF($AS349="","",IF($F$6="",0,IF(ISNUMBER(INDEX($A:$AP,ROW(),$F$6)),INDEX($A:$AP,ROW(),$F$6),IFERROR(--SUBSTITUTE(SUBSTITUTE(TRIM(INDEX($A:$AP,ROW(),$F$6)),",",""),"원",""),0))))</f>
        <v/>
      </c>
      <c r="AU349" s="23">
        <f>IF($AS349="","",IF($G$6="",0,IF(ISNUMBER(INDEX($A:$AP,ROW(),$G$6)),INDEX($A:$AP,ROW(),$G$6),IFERROR(--SUBSTITUTE(SUBSTITUTE(TRIM(INDEX($A:$AP,ROW(),$G$6)),",",""),"원",""),0))))</f>
        <v/>
      </c>
      <c r="AV349" s="23">
        <f>IF($AS349="","",IF($H$6="",$AT349+$AU349,IF($H$6="",0,IF(ISNUMBER(INDEX($A:$AP,ROW(),$H$6)),INDEX($A:$AP,ROW(),$H$6),IFERROR(--SUBSTITUTE(SUBSTITUTE(TRIM(INDEX($A:$AP,ROW(),$H$6)),",",""),"원",""),0)))))</f>
        <v/>
      </c>
      <c r="AW349" s="2">
        <f>IF(OR($AS349="",$C$6=""),"",TRIM(INDEX($A:$AP,ROW(),$C$6)&amp;""))</f>
        <v/>
      </c>
      <c r="AX349" s="2">
        <f>IF($AS349="","",IF($AZ349&lt;&gt;"",SUBSTITUTE(SUBSTITUTE($AZ349,"-","")," ",""),$AY349))</f>
        <v/>
      </c>
      <c r="AY349" s="2">
        <f>IF(OR($AS349="",$E$6=""),"",TRIM(INDEX($A:$AP,ROW(),$E$6)&amp;""))</f>
        <v/>
      </c>
      <c r="AZ349" s="2">
        <f>IF(OR($AS349="",$D$6=""),"",TRIM(INDEX($A:$AP,ROW(),$D$6)&amp;""))</f>
        <v/>
      </c>
      <c r="BA349" s="2">
        <f>IF($AS349="","",IF(AND($AS349&gt;=설정!$B$10,$AS349&lt;=설정!$B$11),"포함","기간 밖"))</f>
        <v/>
      </c>
      <c r="BB349" s="2">
        <f>IF($AS349="","",IF(OR($AT349&lt;0,AND($I$6&lt;&gt;"",ISNUMBER(FIND("수정",INDEX($A:$AP,ROW(),IF($I$6="",1,$I$6))&amp;"")))),"수정","일반"))</f>
        <v/>
      </c>
      <c r="BC349" s="2">
        <f>IF($AS349="","",MID(IF($BA349="기간 밖"," / 기간 밖(신고기간 아님)","")&amp;IF(AND($AW349&lt;&gt;"",COUNTIF($AW$8:$AW$1007,$AW349)&gt;1)," / 승인번호 중복(두 번 붙여넣기?)","")&amp;IF(ABS($AU349-ROUND($AT349*0.1,0))&gt;설정!$B$8,IF($AU349=0," / 세액 0원(영세율·면세 여부 확인)"," / 세액이 공급가액 10%와 다름"),"")&amp;IF($BB349="수정"," / 수정세금계산서(합계에서 자동 가감)",""),4,200))</f>
        <v/>
      </c>
      <c r="BD349" s="2">
        <f>IF($BA349&lt;&gt;"포함","",IF(COUNTIFS($AX$8:$AX349,$AX349,$BA$8:$BA349,"포함")=1,MAX($BD$7:BD348)+1,""))</f>
        <v/>
      </c>
      <c r="BE349" s="2">
        <f>IF($BC349="","",MAX($BE$7:BE348)+1)</f>
        <v/>
      </c>
    </row>
    <row r="350">
      <c r="AR350" s="2">
        <f>IF(OR($A$5="",$B$6="",ROW()&lt;$A$5),"",IF(INDEX($A:$AP,ROW(),$B$6)="","",INDEX($A:$AP,ROW(),$B$6)))</f>
        <v/>
      </c>
      <c r="AS350" s="22">
        <f>IF($AR350="","",IF(ISNUMBER($AR350),IF($AR350&gt;=10000000,IFERROR(DATE(INT($AR350/10000),MOD(INT($AR350/100),100),MOD($AR350,100)),""),INT($AR350)),IFERROR(DATE(--LEFT(LEFT(SUBSTITUTE(SUBSTITUTE(SUBSTITUTE(SUBSTITUTE(TRIM($AR350),"-",""),".",""),"/","")," ",""),8),4),--MID(LEFT(SUBSTITUTE(SUBSTITUTE(SUBSTITUTE(SUBSTITUTE(TRIM($AR350),"-",""),".",""),"/","")," ",""),8),5,2),--MID(LEFT(SUBSTITUTE(SUBSTITUTE(SUBSTITUTE(SUBSTITUTE(TRIM($AR350),"-",""),".",""),"/","")," ",""),8),7,2)),"")))</f>
        <v/>
      </c>
      <c r="AT350" s="23">
        <f>IF($AS350="","",IF($F$6="",0,IF(ISNUMBER(INDEX($A:$AP,ROW(),$F$6)),INDEX($A:$AP,ROW(),$F$6),IFERROR(--SUBSTITUTE(SUBSTITUTE(TRIM(INDEX($A:$AP,ROW(),$F$6)),",",""),"원",""),0))))</f>
        <v/>
      </c>
      <c r="AU350" s="23">
        <f>IF($AS350="","",IF($G$6="",0,IF(ISNUMBER(INDEX($A:$AP,ROW(),$G$6)),INDEX($A:$AP,ROW(),$G$6),IFERROR(--SUBSTITUTE(SUBSTITUTE(TRIM(INDEX($A:$AP,ROW(),$G$6)),",",""),"원",""),0))))</f>
        <v/>
      </c>
      <c r="AV350" s="23">
        <f>IF($AS350="","",IF($H$6="",$AT350+$AU350,IF($H$6="",0,IF(ISNUMBER(INDEX($A:$AP,ROW(),$H$6)),INDEX($A:$AP,ROW(),$H$6),IFERROR(--SUBSTITUTE(SUBSTITUTE(TRIM(INDEX($A:$AP,ROW(),$H$6)),",",""),"원",""),0)))))</f>
        <v/>
      </c>
      <c r="AW350" s="2">
        <f>IF(OR($AS350="",$C$6=""),"",TRIM(INDEX($A:$AP,ROW(),$C$6)&amp;""))</f>
        <v/>
      </c>
      <c r="AX350" s="2">
        <f>IF($AS350="","",IF($AZ350&lt;&gt;"",SUBSTITUTE(SUBSTITUTE($AZ350,"-","")," ",""),$AY350))</f>
        <v/>
      </c>
      <c r="AY350" s="2">
        <f>IF(OR($AS350="",$E$6=""),"",TRIM(INDEX($A:$AP,ROW(),$E$6)&amp;""))</f>
        <v/>
      </c>
      <c r="AZ350" s="2">
        <f>IF(OR($AS350="",$D$6=""),"",TRIM(INDEX($A:$AP,ROW(),$D$6)&amp;""))</f>
        <v/>
      </c>
      <c r="BA350" s="2">
        <f>IF($AS350="","",IF(AND($AS350&gt;=설정!$B$10,$AS350&lt;=설정!$B$11),"포함","기간 밖"))</f>
        <v/>
      </c>
      <c r="BB350" s="2">
        <f>IF($AS350="","",IF(OR($AT350&lt;0,AND($I$6&lt;&gt;"",ISNUMBER(FIND("수정",INDEX($A:$AP,ROW(),IF($I$6="",1,$I$6))&amp;"")))),"수정","일반"))</f>
        <v/>
      </c>
      <c r="BC350" s="2">
        <f>IF($AS350="","",MID(IF($BA350="기간 밖"," / 기간 밖(신고기간 아님)","")&amp;IF(AND($AW350&lt;&gt;"",COUNTIF($AW$8:$AW$1007,$AW350)&gt;1)," / 승인번호 중복(두 번 붙여넣기?)","")&amp;IF(ABS($AU350-ROUND($AT350*0.1,0))&gt;설정!$B$8,IF($AU350=0," / 세액 0원(영세율·면세 여부 확인)"," / 세액이 공급가액 10%와 다름"),"")&amp;IF($BB350="수정"," / 수정세금계산서(합계에서 자동 가감)",""),4,200))</f>
        <v/>
      </c>
      <c r="BD350" s="2">
        <f>IF($BA350&lt;&gt;"포함","",IF(COUNTIFS($AX$8:$AX350,$AX350,$BA$8:$BA350,"포함")=1,MAX($BD$7:BD349)+1,""))</f>
        <v/>
      </c>
      <c r="BE350" s="2">
        <f>IF($BC350="","",MAX($BE$7:BE349)+1)</f>
        <v/>
      </c>
    </row>
    <row r="351">
      <c r="AR351" s="2">
        <f>IF(OR($A$5="",$B$6="",ROW()&lt;$A$5),"",IF(INDEX($A:$AP,ROW(),$B$6)="","",INDEX($A:$AP,ROW(),$B$6)))</f>
        <v/>
      </c>
      <c r="AS351" s="22">
        <f>IF($AR351="","",IF(ISNUMBER($AR351),IF($AR351&gt;=10000000,IFERROR(DATE(INT($AR351/10000),MOD(INT($AR351/100),100),MOD($AR351,100)),""),INT($AR351)),IFERROR(DATE(--LEFT(LEFT(SUBSTITUTE(SUBSTITUTE(SUBSTITUTE(SUBSTITUTE(TRIM($AR351),"-",""),".",""),"/","")," ",""),8),4),--MID(LEFT(SUBSTITUTE(SUBSTITUTE(SUBSTITUTE(SUBSTITUTE(TRIM($AR351),"-",""),".",""),"/","")," ",""),8),5,2),--MID(LEFT(SUBSTITUTE(SUBSTITUTE(SUBSTITUTE(SUBSTITUTE(TRIM($AR351),"-",""),".",""),"/","")," ",""),8),7,2)),"")))</f>
        <v/>
      </c>
      <c r="AT351" s="23">
        <f>IF($AS351="","",IF($F$6="",0,IF(ISNUMBER(INDEX($A:$AP,ROW(),$F$6)),INDEX($A:$AP,ROW(),$F$6),IFERROR(--SUBSTITUTE(SUBSTITUTE(TRIM(INDEX($A:$AP,ROW(),$F$6)),",",""),"원",""),0))))</f>
        <v/>
      </c>
      <c r="AU351" s="23">
        <f>IF($AS351="","",IF($G$6="",0,IF(ISNUMBER(INDEX($A:$AP,ROW(),$G$6)),INDEX($A:$AP,ROW(),$G$6),IFERROR(--SUBSTITUTE(SUBSTITUTE(TRIM(INDEX($A:$AP,ROW(),$G$6)),",",""),"원",""),0))))</f>
        <v/>
      </c>
      <c r="AV351" s="23">
        <f>IF($AS351="","",IF($H$6="",$AT351+$AU351,IF($H$6="",0,IF(ISNUMBER(INDEX($A:$AP,ROW(),$H$6)),INDEX($A:$AP,ROW(),$H$6),IFERROR(--SUBSTITUTE(SUBSTITUTE(TRIM(INDEX($A:$AP,ROW(),$H$6)),",",""),"원",""),0)))))</f>
        <v/>
      </c>
      <c r="AW351" s="2">
        <f>IF(OR($AS351="",$C$6=""),"",TRIM(INDEX($A:$AP,ROW(),$C$6)&amp;""))</f>
        <v/>
      </c>
      <c r="AX351" s="2">
        <f>IF($AS351="","",IF($AZ351&lt;&gt;"",SUBSTITUTE(SUBSTITUTE($AZ351,"-","")," ",""),$AY351))</f>
        <v/>
      </c>
      <c r="AY351" s="2">
        <f>IF(OR($AS351="",$E$6=""),"",TRIM(INDEX($A:$AP,ROW(),$E$6)&amp;""))</f>
        <v/>
      </c>
      <c r="AZ351" s="2">
        <f>IF(OR($AS351="",$D$6=""),"",TRIM(INDEX($A:$AP,ROW(),$D$6)&amp;""))</f>
        <v/>
      </c>
      <c r="BA351" s="2">
        <f>IF($AS351="","",IF(AND($AS351&gt;=설정!$B$10,$AS351&lt;=설정!$B$11),"포함","기간 밖"))</f>
        <v/>
      </c>
      <c r="BB351" s="2">
        <f>IF($AS351="","",IF(OR($AT351&lt;0,AND($I$6&lt;&gt;"",ISNUMBER(FIND("수정",INDEX($A:$AP,ROW(),IF($I$6="",1,$I$6))&amp;"")))),"수정","일반"))</f>
        <v/>
      </c>
      <c r="BC351" s="2">
        <f>IF($AS351="","",MID(IF($BA351="기간 밖"," / 기간 밖(신고기간 아님)","")&amp;IF(AND($AW351&lt;&gt;"",COUNTIF($AW$8:$AW$1007,$AW351)&gt;1)," / 승인번호 중복(두 번 붙여넣기?)","")&amp;IF(ABS($AU351-ROUND($AT351*0.1,0))&gt;설정!$B$8,IF($AU351=0," / 세액 0원(영세율·면세 여부 확인)"," / 세액이 공급가액 10%와 다름"),"")&amp;IF($BB351="수정"," / 수정세금계산서(합계에서 자동 가감)",""),4,200))</f>
        <v/>
      </c>
      <c r="BD351" s="2">
        <f>IF($BA351&lt;&gt;"포함","",IF(COUNTIFS($AX$8:$AX351,$AX351,$BA$8:$BA351,"포함")=1,MAX($BD$7:BD350)+1,""))</f>
        <v/>
      </c>
      <c r="BE351" s="2">
        <f>IF($BC351="","",MAX($BE$7:BE350)+1)</f>
        <v/>
      </c>
    </row>
    <row r="352">
      <c r="AR352" s="2">
        <f>IF(OR($A$5="",$B$6="",ROW()&lt;$A$5),"",IF(INDEX($A:$AP,ROW(),$B$6)="","",INDEX($A:$AP,ROW(),$B$6)))</f>
        <v/>
      </c>
      <c r="AS352" s="22">
        <f>IF($AR352="","",IF(ISNUMBER($AR352),IF($AR352&gt;=10000000,IFERROR(DATE(INT($AR352/10000),MOD(INT($AR352/100),100),MOD($AR352,100)),""),INT($AR352)),IFERROR(DATE(--LEFT(LEFT(SUBSTITUTE(SUBSTITUTE(SUBSTITUTE(SUBSTITUTE(TRIM($AR352),"-",""),".",""),"/","")," ",""),8),4),--MID(LEFT(SUBSTITUTE(SUBSTITUTE(SUBSTITUTE(SUBSTITUTE(TRIM($AR352),"-",""),".",""),"/","")," ",""),8),5,2),--MID(LEFT(SUBSTITUTE(SUBSTITUTE(SUBSTITUTE(SUBSTITUTE(TRIM($AR352),"-",""),".",""),"/","")," ",""),8),7,2)),"")))</f>
        <v/>
      </c>
      <c r="AT352" s="23">
        <f>IF($AS352="","",IF($F$6="",0,IF(ISNUMBER(INDEX($A:$AP,ROW(),$F$6)),INDEX($A:$AP,ROW(),$F$6),IFERROR(--SUBSTITUTE(SUBSTITUTE(TRIM(INDEX($A:$AP,ROW(),$F$6)),",",""),"원",""),0))))</f>
        <v/>
      </c>
      <c r="AU352" s="23">
        <f>IF($AS352="","",IF($G$6="",0,IF(ISNUMBER(INDEX($A:$AP,ROW(),$G$6)),INDEX($A:$AP,ROW(),$G$6),IFERROR(--SUBSTITUTE(SUBSTITUTE(TRIM(INDEX($A:$AP,ROW(),$G$6)),",",""),"원",""),0))))</f>
        <v/>
      </c>
      <c r="AV352" s="23">
        <f>IF($AS352="","",IF($H$6="",$AT352+$AU352,IF($H$6="",0,IF(ISNUMBER(INDEX($A:$AP,ROW(),$H$6)),INDEX($A:$AP,ROW(),$H$6),IFERROR(--SUBSTITUTE(SUBSTITUTE(TRIM(INDEX($A:$AP,ROW(),$H$6)),",",""),"원",""),0)))))</f>
        <v/>
      </c>
      <c r="AW352" s="2">
        <f>IF(OR($AS352="",$C$6=""),"",TRIM(INDEX($A:$AP,ROW(),$C$6)&amp;""))</f>
        <v/>
      </c>
      <c r="AX352" s="2">
        <f>IF($AS352="","",IF($AZ352&lt;&gt;"",SUBSTITUTE(SUBSTITUTE($AZ352,"-","")," ",""),$AY352))</f>
        <v/>
      </c>
      <c r="AY352" s="2">
        <f>IF(OR($AS352="",$E$6=""),"",TRIM(INDEX($A:$AP,ROW(),$E$6)&amp;""))</f>
        <v/>
      </c>
      <c r="AZ352" s="2">
        <f>IF(OR($AS352="",$D$6=""),"",TRIM(INDEX($A:$AP,ROW(),$D$6)&amp;""))</f>
        <v/>
      </c>
      <c r="BA352" s="2">
        <f>IF($AS352="","",IF(AND($AS352&gt;=설정!$B$10,$AS352&lt;=설정!$B$11),"포함","기간 밖"))</f>
        <v/>
      </c>
      <c r="BB352" s="2">
        <f>IF($AS352="","",IF(OR($AT352&lt;0,AND($I$6&lt;&gt;"",ISNUMBER(FIND("수정",INDEX($A:$AP,ROW(),IF($I$6="",1,$I$6))&amp;"")))),"수정","일반"))</f>
        <v/>
      </c>
      <c r="BC352" s="2">
        <f>IF($AS352="","",MID(IF($BA352="기간 밖"," / 기간 밖(신고기간 아님)","")&amp;IF(AND($AW352&lt;&gt;"",COUNTIF($AW$8:$AW$1007,$AW352)&gt;1)," / 승인번호 중복(두 번 붙여넣기?)","")&amp;IF(ABS($AU352-ROUND($AT352*0.1,0))&gt;설정!$B$8,IF($AU352=0," / 세액 0원(영세율·면세 여부 확인)"," / 세액이 공급가액 10%와 다름"),"")&amp;IF($BB352="수정"," / 수정세금계산서(합계에서 자동 가감)",""),4,200))</f>
        <v/>
      </c>
      <c r="BD352" s="2">
        <f>IF($BA352&lt;&gt;"포함","",IF(COUNTIFS($AX$8:$AX352,$AX352,$BA$8:$BA352,"포함")=1,MAX($BD$7:BD351)+1,""))</f>
        <v/>
      </c>
      <c r="BE352" s="2">
        <f>IF($BC352="","",MAX($BE$7:BE351)+1)</f>
        <v/>
      </c>
    </row>
    <row r="353">
      <c r="AR353" s="2">
        <f>IF(OR($A$5="",$B$6="",ROW()&lt;$A$5),"",IF(INDEX($A:$AP,ROW(),$B$6)="","",INDEX($A:$AP,ROW(),$B$6)))</f>
        <v/>
      </c>
      <c r="AS353" s="22">
        <f>IF($AR353="","",IF(ISNUMBER($AR353),IF($AR353&gt;=10000000,IFERROR(DATE(INT($AR353/10000),MOD(INT($AR353/100),100),MOD($AR353,100)),""),INT($AR353)),IFERROR(DATE(--LEFT(LEFT(SUBSTITUTE(SUBSTITUTE(SUBSTITUTE(SUBSTITUTE(TRIM($AR353),"-",""),".",""),"/","")," ",""),8),4),--MID(LEFT(SUBSTITUTE(SUBSTITUTE(SUBSTITUTE(SUBSTITUTE(TRIM($AR353),"-",""),".",""),"/","")," ",""),8),5,2),--MID(LEFT(SUBSTITUTE(SUBSTITUTE(SUBSTITUTE(SUBSTITUTE(TRIM($AR353),"-",""),".",""),"/","")," ",""),8),7,2)),"")))</f>
        <v/>
      </c>
      <c r="AT353" s="23">
        <f>IF($AS353="","",IF($F$6="",0,IF(ISNUMBER(INDEX($A:$AP,ROW(),$F$6)),INDEX($A:$AP,ROW(),$F$6),IFERROR(--SUBSTITUTE(SUBSTITUTE(TRIM(INDEX($A:$AP,ROW(),$F$6)),",",""),"원",""),0))))</f>
        <v/>
      </c>
      <c r="AU353" s="23">
        <f>IF($AS353="","",IF($G$6="",0,IF(ISNUMBER(INDEX($A:$AP,ROW(),$G$6)),INDEX($A:$AP,ROW(),$G$6),IFERROR(--SUBSTITUTE(SUBSTITUTE(TRIM(INDEX($A:$AP,ROW(),$G$6)),",",""),"원",""),0))))</f>
        <v/>
      </c>
      <c r="AV353" s="23">
        <f>IF($AS353="","",IF($H$6="",$AT353+$AU353,IF($H$6="",0,IF(ISNUMBER(INDEX($A:$AP,ROW(),$H$6)),INDEX($A:$AP,ROW(),$H$6),IFERROR(--SUBSTITUTE(SUBSTITUTE(TRIM(INDEX($A:$AP,ROW(),$H$6)),",",""),"원",""),0)))))</f>
        <v/>
      </c>
      <c r="AW353" s="2">
        <f>IF(OR($AS353="",$C$6=""),"",TRIM(INDEX($A:$AP,ROW(),$C$6)&amp;""))</f>
        <v/>
      </c>
      <c r="AX353" s="2">
        <f>IF($AS353="","",IF($AZ353&lt;&gt;"",SUBSTITUTE(SUBSTITUTE($AZ353,"-","")," ",""),$AY353))</f>
        <v/>
      </c>
      <c r="AY353" s="2">
        <f>IF(OR($AS353="",$E$6=""),"",TRIM(INDEX($A:$AP,ROW(),$E$6)&amp;""))</f>
        <v/>
      </c>
      <c r="AZ353" s="2">
        <f>IF(OR($AS353="",$D$6=""),"",TRIM(INDEX($A:$AP,ROW(),$D$6)&amp;""))</f>
        <v/>
      </c>
      <c r="BA353" s="2">
        <f>IF($AS353="","",IF(AND($AS353&gt;=설정!$B$10,$AS353&lt;=설정!$B$11),"포함","기간 밖"))</f>
        <v/>
      </c>
      <c r="BB353" s="2">
        <f>IF($AS353="","",IF(OR($AT353&lt;0,AND($I$6&lt;&gt;"",ISNUMBER(FIND("수정",INDEX($A:$AP,ROW(),IF($I$6="",1,$I$6))&amp;"")))),"수정","일반"))</f>
        <v/>
      </c>
      <c r="BC353" s="2">
        <f>IF($AS353="","",MID(IF($BA353="기간 밖"," / 기간 밖(신고기간 아님)","")&amp;IF(AND($AW353&lt;&gt;"",COUNTIF($AW$8:$AW$1007,$AW353)&gt;1)," / 승인번호 중복(두 번 붙여넣기?)","")&amp;IF(ABS($AU353-ROUND($AT353*0.1,0))&gt;설정!$B$8,IF($AU353=0," / 세액 0원(영세율·면세 여부 확인)"," / 세액이 공급가액 10%와 다름"),"")&amp;IF($BB353="수정"," / 수정세금계산서(합계에서 자동 가감)",""),4,200))</f>
        <v/>
      </c>
      <c r="BD353" s="2">
        <f>IF($BA353&lt;&gt;"포함","",IF(COUNTIFS($AX$8:$AX353,$AX353,$BA$8:$BA353,"포함")=1,MAX($BD$7:BD352)+1,""))</f>
        <v/>
      </c>
      <c r="BE353" s="2">
        <f>IF($BC353="","",MAX($BE$7:BE352)+1)</f>
        <v/>
      </c>
    </row>
    <row r="354">
      <c r="AR354" s="2">
        <f>IF(OR($A$5="",$B$6="",ROW()&lt;$A$5),"",IF(INDEX($A:$AP,ROW(),$B$6)="","",INDEX($A:$AP,ROW(),$B$6)))</f>
        <v/>
      </c>
      <c r="AS354" s="22">
        <f>IF($AR354="","",IF(ISNUMBER($AR354),IF($AR354&gt;=10000000,IFERROR(DATE(INT($AR354/10000),MOD(INT($AR354/100),100),MOD($AR354,100)),""),INT($AR354)),IFERROR(DATE(--LEFT(LEFT(SUBSTITUTE(SUBSTITUTE(SUBSTITUTE(SUBSTITUTE(TRIM($AR354),"-",""),".",""),"/","")," ",""),8),4),--MID(LEFT(SUBSTITUTE(SUBSTITUTE(SUBSTITUTE(SUBSTITUTE(TRIM($AR354),"-",""),".",""),"/","")," ",""),8),5,2),--MID(LEFT(SUBSTITUTE(SUBSTITUTE(SUBSTITUTE(SUBSTITUTE(TRIM($AR354),"-",""),".",""),"/","")," ",""),8),7,2)),"")))</f>
        <v/>
      </c>
      <c r="AT354" s="23">
        <f>IF($AS354="","",IF($F$6="",0,IF(ISNUMBER(INDEX($A:$AP,ROW(),$F$6)),INDEX($A:$AP,ROW(),$F$6),IFERROR(--SUBSTITUTE(SUBSTITUTE(TRIM(INDEX($A:$AP,ROW(),$F$6)),",",""),"원",""),0))))</f>
        <v/>
      </c>
      <c r="AU354" s="23">
        <f>IF($AS354="","",IF($G$6="",0,IF(ISNUMBER(INDEX($A:$AP,ROW(),$G$6)),INDEX($A:$AP,ROW(),$G$6),IFERROR(--SUBSTITUTE(SUBSTITUTE(TRIM(INDEX($A:$AP,ROW(),$G$6)),",",""),"원",""),0))))</f>
        <v/>
      </c>
      <c r="AV354" s="23">
        <f>IF($AS354="","",IF($H$6="",$AT354+$AU354,IF($H$6="",0,IF(ISNUMBER(INDEX($A:$AP,ROW(),$H$6)),INDEX($A:$AP,ROW(),$H$6),IFERROR(--SUBSTITUTE(SUBSTITUTE(TRIM(INDEX($A:$AP,ROW(),$H$6)),",",""),"원",""),0)))))</f>
        <v/>
      </c>
      <c r="AW354" s="2">
        <f>IF(OR($AS354="",$C$6=""),"",TRIM(INDEX($A:$AP,ROW(),$C$6)&amp;""))</f>
        <v/>
      </c>
      <c r="AX354" s="2">
        <f>IF($AS354="","",IF($AZ354&lt;&gt;"",SUBSTITUTE(SUBSTITUTE($AZ354,"-","")," ",""),$AY354))</f>
        <v/>
      </c>
      <c r="AY354" s="2">
        <f>IF(OR($AS354="",$E$6=""),"",TRIM(INDEX($A:$AP,ROW(),$E$6)&amp;""))</f>
        <v/>
      </c>
      <c r="AZ354" s="2">
        <f>IF(OR($AS354="",$D$6=""),"",TRIM(INDEX($A:$AP,ROW(),$D$6)&amp;""))</f>
        <v/>
      </c>
      <c r="BA354" s="2">
        <f>IF($AS354="","",IF(AND($AS354&gt;=설정!$B$10,$AS354&lt;=설정!$B$11),"포함","기간 밖"))</f>
        <v/>
      </c>
      <c r="BB354" s="2">
        <f>IF($AS354="","",IF(OR($AT354&lt;0,AND($I$6&lt;&gt;"",ISNUMBER(FIND("수정",INDEX($A:$AP,ROW(),IF($I$6="",1,$I$6))&amp;"")))),"수정","일반"))</f>
        <v/>
      </c>
      <c r="BC354" s="2">
        <f>IF($AS354="","",MID(IF($BA354="기간 밖"," / 기간 밖(신고기간 아님)","")&amp;IF(AND($AW354&lt;&gt;"",COUNTIF($AW$8:$AW$1007,$AW354)&gt;1)," / 승인번호 중복(두 번 붙여넣기?)","")&amp;IF(ABS($AU354-ROUND($AT354*0.1,0))&gt;설정!$B$8,IF($AU354=0," / 세액 0원(영세율·면세 여부 확인)"," / 세액이 공급가액 10%와 다름"),"")&amp;IF($BB354="수정"," / 수정세금계산서(합계에서 자동 가감)",""),4,200))</f>
        <v/>
      </c>
      <c r="BD354" s="2">
        <f>IF($BA354&lt;&gt;"포함","",IF(COUNTIFS($AX$8:$AX354,$AX354,$BA$8:$BA354,"포함")=1,MAX($BD$7:BD353)+1,""))</f>
        <v/>
      </c>
      <c r="BE354" s="2">
        <f>IF($BC354="","",MAX($BE$7:BE353)+1)</f>
        <v/>
      </c>
    </row>
    <row r="355">
      <c r="AR355" s="2">
        <f>IF(OR($A$5="",$B$6="",ROW()&lt;$A$5),"",IF(INDEX($A:$AP,ROW(),$B$6)="","",INDEX($A:$AP,ROW(),$B$6)))</f>
        <v/>
      </c>
      <c r="AS355" s="22">
        <f>IF($AR355="","",IF(ISNUMBER($AR355),IF($AR355&gt;=10000000,IFERROR(DATE(INT($AR355/10000),MOD(INT($AR355/100),100),MOD($AR355,100)),""),INT($AR355)),IFERROR(DATE(--LEFT(LEFT(SUBSTITUTE(SUBSTITUTE(SUBSTITUTE(SUBSTITUTE(TRIM($AR355),"-",""),".",""),"/","")," ",""),8),4),--MID(LEFT(SUBSTITUTE(SUBSTITUTE(SUBSTITUTE(SUBSTITUTE(TRIM($AR355),"-",""),".",""),"/","")," ",""),8),5,2),--MID(LEFT(SUBSTITUTE(SUBSTITUTE(SUBSTITUTE(SUBSTITUTE(TRIM($AR355),"-",""),".",""),"/","")," ",""),8),7,2)),"")))</f>
        <v/>
      </c>
      <c r="AT355" s="23">
        <f>IF($AS355="","",IF($F$6="",0,IF(ISNUMBER(INDEX($A:$AP,ROW(),$F$6)),INDEX($A:$AP,ROW(),$F$6),IFERROR(--SUBSTITUTE(SUBSTITUTE(TRIM(INDEX($A:$AP,ROW(),$F$6)),",",""),"원",""),0))))</f>
        <v/>
      </c>
      <c r="AU355" s="23">
        <f>IF($AS355="","",IF($G$6="",0,IF(ISNUMBER(INDEX($A:$AP,ROW(),$G$6)),INDEX($A:$AP,ROW(),$G$6),IFERROR(--SUBSTITUTE(SUBSTITUTE(TRIM(INDEX($A:$AP,ROW(),$G$6)),",",""),"원",""),0))))</f>
        <v/>
      </c>
      <c r="AV355" s="23">
        <f>IF($AS355="","",IF($H$6="",$AT355+$AU355,IF($H$6="",0,IF(ISNUMBER(INDEX($A:$AP,ROW(),$H$6)),INDEX($A:$AP,ROW(),$H$6),IFERROR(--SUBSTITUTE(SUBSTITUTE(TRIM(INDEX($A:$AP,ROW(),$H$6)),",",""),"원",""),0)))))</f>
        <v/>
      </c>
      <c r="AW355" s="2">
        <f>IF(OR($AS355="",$C$6=""),"",TRIM(INDEX($A:$AP,ROW(),$C$6)&amp;""))</f>
        <v/>
      </c>
      <c r="AX355" s="2">
        <f>IF($AS355="","",IF($AZ355&lt;&gt;"",SUBSTITUTE(SUBSTITUTE($AZ355,"-","")," ",""),$AY355))</f>
        <v/>
      </c>
      <c r="AY355" s="2">
        <f>IF(OR($AS355="",$E$6=""),"",TRIM(INDEX($A:$AP,ROW(),$E$6)&amp;""))</f>
        <v/>
      </c>
      <c r="AZ355" s="2">
        <f>IF(OR($AS355="",$D$6=""),"",TRIM(INDEX($A:$AP,ROW(),$D$6)&amp;""))</f>
        <v/>
      </c>
      <c r="BA355" s="2">
        <f>IF($AS355="","",IF(AND($AS355&gt;=설정!$B$10,$AS355&lt;=설정!$B$11),"포함","기간 밖"))</f>
        <v/>
      </c>
      <c r="BB355" s="2">
        <f>IF($AS355="","",IF(OR($AT355&lt;0,AND($I$6&lt;&gt;"",ISNUMBER(FIND("수정",INDEX($A:$AP,ROW(),IF($I$6="",1,$I$6))&amp;"")))),"수정","일반"))</f>
        <v/>
      </c>
      <c r="BC355" s="2">
        <f>IF($AS355="","",MID(IF($BA355="기간 밖"," / 기간 밖(신고기간 아님)","")&amp;IF(AND($AW355&lt;&gt;"",COUNTIF($AW$8:$AW$1007,$AW355)&gt;1)," / 승인번호 중복(두 번 붙여넣기?)","")&amp;IF(ABS($AU355-ROUND($AT355*0.1,0))&gt;설정!$B$8,IF($AU355=0," / 세액 0원(영세율·면세 여부 확인)"," / 세액이 공급가액 10%와 다름"),"")&amp;IF($BB355="수정"," / 수정세금계산서(합계에서 자동 가감)",""),4,200))</f>
        <v/>
      </c>
      <c r="BD355" s="2">
        <f>IF($BA355&lt;&gt;"포함","",IF(COUNTIFS($AX$8:$AX355,$AX355,$BA$8:$BA355,"포함")=1,MAX($BD$7:BD354)+1,""))</f>
        <v/>
      </c>
      <c r="BE355" s="2">
        <f>IF($BC355="","",MAX($BE$7:BE354)+1)</f>
        <v/>
      </c>
    </row>
    <row r="356">
      <c r="AR356" s="2">
        <f>IF(OR($A$5="",$B$6="",ROW()&lt;$A$5),"",IF(INDEX($A:$AP,ROW(),$B$6)="","",INDEX($A:$AP,ROW(),$B$6)))</f>
        <v/>
      </c>
      <c r="AS356" s="22">
        <f>IF($AR356="","",IF(ISNUMBER($AR356),IF($AR356&gt;=10000000,IFERROR(DATE(INT($AR356/10000),MOD(INT($AR356/100),100),MOD($AR356,100)),""),INT($AR356)),IFERROR(DATE(--LEFT(LEFT(SUBSTITUTE(SUBSTITUTE(SUBSTITUTE(SUBSTITUTE(TRIM($AR356),"-",""),".",""),"/","")," ",""),8),4),--MID(LEFT(SUBSTITUTE(SUBSTITUTE(SUBSTITUTE(SUBSTITUTE(TRIM($AR356),"-",""),".",""),"/","")," ",""),8),5,2),--MID(LEFT(SUBSTITUTE(SUBSTITUTE(SUBSTITUTE(SUBSTITUTE(TRIM($AR356),"-",""),".",""),"/","")," ",""),8),7,2)),"")))</f>
        <v/>
      </c>
      <c r="AT356" s="23">
        <f>IF($AS356="","",IF($F$6="",0,IF(ISNUMBER(INDEX($A:$AP,ROW(),$F$6)),INDEX($A:$AP,ROW(),$F$6),IFERROR(--SUBSTITUTE(SUBSTITUTE(TRIM(INDEX($A:$AP,ROW(),$F$6)),",",""),"원",""),0))))</f>
        <v/>
      </c>
      <c r="AU356" s="23">
        <f>IF($AS356="","",IF($G$6="",0,IF(ISNUMBER(INDEX($A:$AP,ROW(),$G$6)),INDEX($A:$AP,ROW(),$G$6),IFERROR(--SUBSTITUTE(SUBSTITUTE(TRIM(INDEX($A:$AP,ROW(),$G$6)),",",""),"원",""),0))))</f>
        <v/>
      </c>
      <c r="AV356" s="23">
        <f>IF($AS356="","",IF($H$6="",$AT356+$AU356,IF($H$6="",0,IF(ISNUMBER(INDEX($A:$AP,ROW(),$H$6)),INDEX($A:$AP,ROW(),$H$6),IFERROR(--SUBSTITUTE(SUBSTITUTE(TRIM(INDEX($A:$AP,ROW(),$H$6)),",",""),"원",""),0)))))</f>
        <v/>
      </c>
      <c r="AW356" s="2">
        <f>IF(OR($AS356="",$C$6=""),"",TRIM(INDEX($A:$AP,ROW(),$C$6)&amp;""))</f>
        <v/>
      </c>
      <c r="AX356" s="2">
        <f>IF($AS356="","",IF($AZ356&lt;&gt;"",SUBSTITUTE(SUBSTITUTE($AZ356,"-","")," ",""),$AY356))</f>
        <v/>
      </c>
      <c r="AY356" s="2">
        <f>IF(OR($AS356="",$E$6=""),"",TRIM(INDEX($A:$AP,ROW(),$E$6)&amp;""))</f>
        <v/>
      </c>
      <c r="AZ356" s="2">
        <f>IF(OR($AS356="",$D$6=""),"",TRIM(INDEX($A:$AP,ROW(),$D$6)&amp;""))</f>
        <v/>
      </c>
      <c r="BA356" s="2">
        <f>IF($AS356="","",IF(AND($AS356&gt;=설정!$B$10,$AS356&lt;=설정!$B$11),"포함","기간 밖"))</f>
        <v/>
      </c>
      <c r="BB356" s="2">
        <f>IF($AS356="","",IF(OR($AT356&lt;0,AND($I$6&lt;&gt;"",ISNUMBER(FIND("수정",INDEX($A:$AP,ROW(),IF($I$6="",1,$I$6))&amp;"")))),"수정","일반"))</f>
        <v/>
      </c>
      <c r="BC356" s="2">
        <f>IF($AS356="","",MID(IF($BA356="기간 밖"," / 기간 밖(신고기간 아님)","")&amp;IF(AND($AW356&lt;&gt;"",COUNTIF($AW$8:$AW$1007,$AW356)&gt;1)," / 승인번호 중복(두 번 붙여넣기?)","")&amp;IF(ABS($AU356-ROUND($AT356*0.1,0))&gt;설정!$B$8,IF($AU356=0," / 세액 0원(영세율·면세 여부 확인)"," / 세액이 공급가액 10%와 다름"),"")&amp;IF($BB356="수정"," / 수정세금계산서(합계에서 자동 가감)",""),4,200))</f>
        <v/>
      </c>
      <c r="BD356" s="2">
        <f>IF($BA356&lt;&gt;"포함","",IF(COUNTIFS($AX$8:$AX356,$AX356,$BA$8:$BA356,"포함")=1,MAX($BD$7:BD355)+1,""))</f>
        <v/>
      </c>
      <c r="BE356" s="2">
        <f>IF($BC356="","",MAX($BE$7:BE355)+1)</f>
        <v/>
      </c>
    </row>
    <row r="357">
      <c r="AR357" s="2">
        <f>IF(OR($A$5="",$B$6="",ROW()&lt;$A$5),"",IF(INDEX($A:$AP,ROW(),$B$6)="","",INDEX($A:$AP,ROW(),$B$6)))</f>
        <v/>
      </c>
      <c r="AS357" s="22">
        <f>IF($AR357="","",IF(ISNUMBER($AR357),IF($AR357&gt;=10000000,IFERROR(DATE(INT($AR357/10000),MOD(INT($AR357/100),100),MOD($AR357,100)),""),INT($AR357)),IFERROR(DATE(--LEFT(LEFT(SUBSTITUTE(SUBSTITUTE(SUBSTITUTE(SUBSTITUTE(TRIM($AR357),"-",""),".",""),"/","")," ",""),8),4),--MID(LEFT(SUBSTITUTE(SUBSTITUTE(SUBSTITUTE(SUBSTITUTE(TRIM($AR357),"-",""),".",""),"/","")," ",""),8),5,2),--MID(LEFT(SUBSTITUTE(SUBSTITUTE(SUBSTITUTE(SUBSTITUTE(TRIM($AR357),"-",""),".",""),"/","")," ",""),8),7,2)),"")))</f>
        <v/>
      </c>
      <c r="AT357" s="23">
        <f>IF($AS357="","",IF($F$6="",0,IF(ISNUMBER(INDEX($A:$AP,ROW(),$F$6)),INDEX($A:$AP,ROW(),$F$6),IFERROR(--SUBSTITUTE(SUBSTITUTE(TRIM(INDEX($A:$AP,ROW(),$F$6)),",",""),"원",""),0))))</f>
        <v/>
      </c>
      <c r="AU357" s="23">
        <f>IF($AS357="","",IF($G$6="",0,IF(ISNUMBER(INDEX($A:$AP,ROW(),$G$6)),INDEX($A:$AP,ROW(),$G$6),IFERROR(--SUBSTITUTE(SUBSTITUTE(TRIM(INDEX($A:$AP,ROW(),$G$6)),",",""),"원",""),0))))</f>
        <v/>
      </c>
      <c r="AV357" s="23">
        <f>IF($AS357="","",IF($H$6="",$AT357+$AU357,IF($H$6="",0,IF(ISNUMBER(INDEX($A:$AP,ROW(),$H$6)),INDEX($A:$AP,ROW(),$H$6),IFERROR(--SUBSTITUTE(SUBSTITUTE(TRIM(INDEX($A:$AP,ROW(),$H$6)),",",""),"원",""),0)))))</f>
        <v/>
      </c>
      <c r="AW357" s="2">
        <f>IF(OR($AS357="",$C$6=""),"",TRIM(INDEX($A:$AP,ROW(),$C$6)&amp;""))</f>
        <v/>
      </c>
      <c r="AX357" s="2">
        <f>IF($AS357="","",IF($AZ357&lt;&gt;"",SUBSTITUTE(SUBSTITUTE($AZ357,"-","")," ",""),$AY357))</f>
        <v/>
      </c>
      <c r="AY357" s="2">
        <f>IF(OR($AS357="",$E$6=""),"",TRIM(INDEX($A:$AP,ROW(),$E$6)&amp;""))</f>
        <v/>
      </c>
      <c r="AZ357" s="2">
        <f>IF(OR($AS357="",$D$6=""),"",TRIM(INDEX($A:$AP,ROW(),$D$6)&amp;""))</f>
        <v/>
      </c>
      <c r="BA357" s="2">
        <f>IF($AS357="","",IF(AND($AS357&gt;=설정!$B$10,$AS357&lt;=설정!$B$11),"포함","기간 밖"))</f>
        <v/>
      </c>
      <c r="BB357" s="2">
        <f>IF($AS357="","",IF(OR($AT357&lt;0,AND($I$6&lt;&gt;"",ISNUMBER(FIND("수정",INDEX($A:$AP,ROW(),IF($I$6="",1,$I$6))&amp;"")))),"수정","일반"))</f>
        <v/>
      </c>
      <c r="BC357" s="2">
        <f>IF($AS357="","",MID(IF($BA357="기간 밖"," / 기간 밖(신고기간 아님)","")&amp;IF(AND($AW357&lt;&gt;"",COUNTIF($AW$8:$AW$1007,$AW357)&gt;1)," / 승인번호 중복(두 번 붙여넣기?)","")&amp;IF(ABS($AU357-ROUND($AT357*0.1,0))&gt;설정!$B$8,IF($AU357=0," / 세액 0원(영세율·면세 여부 확인)"," / 세액이 공급가액 10%와 다름"),"")&amp;IF($BB357="수정"," / 수정세금계산서(합계에서 자동 가감)",""),4,200))</f>
        <v/>
      </c>
      <c r="BD357" s="2">
        <f>IF($BA357&lt;&gt;"포함","",IF(COUNTIFS($AX$8:$AX357,$AX357,$BA$8:$BA357,"포함")=1,MAX($BD$7:BD356)+1,""))</f>
        <v/>
      </c>
      <c r="BE357" s="2">
        <f>IF($BC357="","",MAX($BE$7:BE356)+1)</f>
        <v/>
      </c>
    </row>
    <row r="358">
      <c r="AR358" s="2">
        <f>IF(OR($A$5="",$B$6="",ROW()&lt;$A$5),"",IF(INDEX($A:$AP,ROW(),$B$6)="","",INDEX($A:$AP,ROW(),$B$6)))</f>
        <v/>
      </c>
      <c r="AS358" s="22">
        <f>IF($AR358="","",IF(ISNUMBER($AR358),IF($AR358&gt;=10000000,IFERROR(DATE(INT($AR358/10000),MOD(INT($AR358/100),100),MOD($AR358,100)),""),INT($AR358)),IFERROR(DATE(--LEFT(LEFT(SUBSTITUTE(SUBSTITUTE(SUBSTITUTE(SUBSTITUTE(TRIM($AR358),"-",""),".",""),"/","")," ",""),8),4),--MID(LEFT(SUBSTITUTE(SUBSTITUTE(SUBSTITUTE(SUBSTITUTE(TRIM($AR358),"-",""),".",""),"/","")," ",""),8),5,2),--MID(LEFT(SUBSTITUTE(SUBSTITUTE(SUBSTITUTE(SUBSTITUTE(TRIM($AR358),"-",""),".",""),"/","")," ",""),8),7,2)),"")))</f>
        <v/>
      </c>
      <c r="AT358" s="23">
        <f>IF($AS358="","",IF($F$6="",0,IF(ISNUMBER(INDEX($A:$AP,ROW(),$F$6)),INDEX($A:$AP,ROW(),$F$6),IFERROR(--SUBSTITUTE(SUBSTITUTE(TRIM(INDEX($A:$AP,ROW(),$F$6)),",",""),"원",""),0))))</f>
        <v/>
      </c>
      <c r="AU358" s="23">
        <f>IF($AS358="","",IF($G$6="",0,IF(ISNUMBER(INDEX($A:$AP,ROW(),$G$6)),INDEX($A:$AP,ROW(),$G$6),IFERROR(--SUBSTITUTE(SUBSTITUTE(TRIM(INDEX($A:$AP,ROW(),$G$6)),",",""),"원",""),0))))</f>
        <v/>
      </c>
      <c r="AV358" s="23">
        <f>IF($AS358="","",IF($H$6="",$AT358+$AU358,IF($H$6="",0,IF(ISNUMBER(INDEX($A:$AP,ROW(),$H$6)),INDEX($A:$AP,ROW(),$H$6),IFERROR(--SUBSTITUTE(SUBSTITUTE(TRIM(INDEX($A:$AP,ROW(),$H$6)),",",""),"원",""),0)))))</f>
        <v/>
      </c>
      <c r="AW358" s="2">
        <f>IF(OR($AS358="",$C$6=""),"",TRIM(INDEX($A:$AP,ROW(),$C$6)&amp;""))</f>
        <v/>
      </c>
      <c r="AX358" s="2">
        <f>IF($AS358="","",IF($AZ358&lt;&gt;"",SUBSTITUTE(SUBSTITUTE($AZ358,"-","")," ",""),$AY358))</f>
        <v/>
      </c>
      <c r="AY358" s="2">
        <f>IF(OR($AS358="",$E$6=""),"",TRIM(INDEX($A:$AP,ROW(),$E$6)&amp;""))</f>
        <v/>
      </c>
      <c r="AZ358" s="2">
        <f>IF(OR($AS358="",$D$6=""),"",TRIM(INDEX($A:$AP,ROW(),$D$6)&amp;""))</f>
        <v/>
      </c>
      <c r="BA358" s="2">
        <f>IF($AS358="","",IF(AND($AS358&gt;=설정!$B$10,$AS358&lt;=설정!$B$11),"포함","기간 밖"))</f>
        <v/>
      </c>
      <c r="BB358" s="2">
        <f>IF($AS358="","",IF(OR($AT358&lt;0,AND($I$6&lt;&gt;"",ISNUMBER(FIND("수정",INDEX($A:$AP,ROW(),IF($I$6="",1,$I$6))&amp;"")))),"수정","일반"))</f>
        <v/>
      </c>
      <c r="BC358" s="2">
        <f>IF($AS358="","",MID(IF($BA358="기간 밖"," / 기간 밖(신고기간 아님)","")&amp;IF(AND($AW358&lt;&gt;"",COUNTIF($AW$8:$AW$1007,$AW358)&gt;1)," / 승인번호 중복(두 번 붙여넣기?)","")&amp;IF(ABS($AU358-ROUND($AT358*0.1,0))&gt;설정!$B$8,IF($AU358=0," / 세액 0원(영세율·면세 여부 확인)"," / 세액이 공급가액 10%와 다름"),"")&amp;IF($BB358="수정"," / 수정세금계산서(합계에서 자동 가감)",""),4,200))</f>
        <v/>
      </c>
      <c r="BD358" s="2">
        <f>IF($BA358&lt;&gt;"포함","",IF(COUNTIFS($AX$8:$AX358,$AX358,$BA$8:$BA358,"포함")=1,MAX($BD$7:BD357)+1,""))</f>
        <v/>
      </c>
      <c r="BE358" s="2">
        <f>IF($BC358="","",MAX($BE$7:BE357)+1)</f>
        <v/>
      </c>
    </row>
    <row r="359">
      <c r="AR359" s="2">
        <f>IF(OR($A$5="",$B$6="",ROW()&lt;$A$5),"",IF(INDEX($A:$AP,ROW(),$B$6)="","",INDEX($A:$AP,ROW(),$B$6)))</f>
        <v/>
      </c>
      <c r="AS359" s="22">
        <f>IF($AR359="","",IF(ISNUMBER($AR359),IF($AR359&gt;=10000000,IFERROR(DATE(INT($AR359/10000),MOD(INT($AR359/100),100),MOD($AR359,100)),""),INT($AR359)),IFERROR(DATE(--LEFT(LEFT(SUBSTITUTE(SUBSTITUTE(SUBSTITUTE(SUBSTITUTE(TRIM($AR359),"-",""),".",""),"/","")," ",""),8),4),--MID(LEFT(SUBSTITUTE(SUBSTITUTE(SUBSTITUTE(SUBSTITUTE(TRIM($AR359),"-",""),".",""),"/","")," ",""),8),5,2),--MID(LEFT(SUBSTITUTE(SUBSTITUTE(SUBSTITUTE(SUBSTITUTE(TRIM($AR359),"-",""),".",""),"/","")," ",""),8),7,2)),"")))</f>
        <v/>
      </c>
      <c r="AT359" s="23">
        <f>IF($AS359="","",IF($F$6="",0,IF(ISNUMBER(INDEX($A:$AP,ROW(),$F$6)),INDEX($A:$AP,ROW(),$F$6),IFERROR(--SUBSTITUTE(SUBSTITUTE(TRIM(INDEX($A:$AP,ROW(),$F$6)),",",""),"원",""),0))))</f>
        <v/>
      </c>
      <c r="AU359" s="23">
        <f>IF($AS359="","",IF($G$6="",0,IF(ISNUMBER(INDEX($A:$AP,ROW(),$G$6)),INDEX($A:$AP,ROW(),$G$6),IFERROR(--SUBSTITUTE(SUBSTITUTE(TRIM(INDEX($A:$AP,ROW(),$G$6)),",",""),"원",""),0))))</f>
        <v/>
      </c>
      <c r="AV359" s="23">
        <f>IF($AS359="","",IF($H$6="",$AT359+$AU359,IF($H$6="",0,IF(ISNUMBER(INDEX($A:$AP,ROW(),$H$6)),INDEX($A:$AP,ROW(),$H$6),IFERROR(--SUBSTITUTE(SUBSTITUTE(TRIM(INDEX($A:$AP,ROW(),$H$6)),",",""),"원",""),0)))))</f>
        <v/>
      </c>
      <c r="AW359" s="2">
        <f>IF(OR($AS359="",$C$6=""),"",TRIM(INDEX($A:$AP,ROW(),$C$6)&amp;""))</f>
        <v/>
      </c>
      <c r="AX359" s="2">
        <f>IF($AS359="","",IF($AZ359&lt;&gt;"",SUBSTITUTE(SUBSTITUTE($AZ359,"-","")," ",""),$AY359))</f>
        <v/>
      </c>
      <c r="AY359" s="2">
        <f>IF(OR($AS359="",$E$6=""),"",TRIM(INDEX($A:$AP,ROW(),$E$6)&amp;""))</f>
        <v/>
      </c>
      <c r="AZ359" s="2">
        <f>IF(OR($AS359="",$D$6=""),"",TRIM(INDEX($A:$AP,ROW(),$D$6)&amp;""))</f>
        <v/>
      </c>
      <c r="BA359" s="2">
        <f>IF($AS359="","",IF(AND($AS359&gt;=설정!$B$10,$AS359&lt;=설정!$B$11),"포함","기간 밖"))</f>
        <v/>
      </c>
      <c r="BB359" s="2">
        <f>IF($AS359="","",IF(OR($AT359&lt;0,AND($I$6&lt;&gt;"",ISNUMBER(FIND("수정",INDEX($A:$AP,ROW(),IF($I$6="",1,$I$6))&amp;"")))),"수정","일반"))</f>
        <v/>
      </c>
      <c r="BC359" s="2">
        <f>IF($AS359="","",MID(IF($BA359="기간 밖"," / 기간 밖(신고기간 아님)","")&amp;IF(AND($AW359&lt;&gt;"",COUNTIF($AW$8:$AW$1007,$AW359)&gt;1)," / 승인번호 중복(두 번 붙여넣기?)","")&amp;IF(ABS($AU359-ROUND($AT359*0.1,0))&gt;설정!$B$8,IF($AU359=0," / 세액 0원(영세율·면세 여부 확인)"," / 세액이 공급가액 10%와 다름"),"")&amp;IF($BB359="수정"," / 수정세금계산서(합계에서 자동 가감)",""),4,200))</f>
        <v/>
      </c>
      <c r="BD359" s="2">
        <f>IF($BA359&lt;&gt;"포함","",IF(COUNTIFS($AX$8:$AX359,$AX359,$BA$8:$BA359,"포함")=1,MAX($BD$7:BD358)+1,""))</f>
        <v/>
      </c>
      <c r="BE359" s="2">
        <f>IF($BC359="","",MAX($BE$7:BE358)+1)</f>
        <v/>
      </c>
    </row>
    <row r="360">
      <c r="AR360" s="2">
        <f>IF(OR($A$5="",$B$6="",ROW()&lt;$A$5),"",IF(INDEX($A:$AP,ROW(),$B$6)="","",INDEX($A:$AP,ROW(),$B$6)))</f>
        <v/>
      </c>
      <c r="AS360" s="22">
        <f>IF($AR360="","",IF(ISNUMBER($AR360),IF($AR360&gt;=10000000,IFERROR(DATE(INT($AR360/10000),MOD(INT($AR360/100),100),MOD($AR360,100)),""),INT($AR360)),IFERROR(DATE(--LEFT(LEFT(SUBSTITUTE(SUBSTITUTE(SUBSTITUTE(SUBSTITUTE(TRIM($AR360),"-",""),".",""),"/","")," ",""),8),4),--MID(LEFT(SUBSTITUTE(SUBSTITUTE(SUBSTITUTE(SUBSTITUTE(TRIM($AR360),"-",""),".",""),"/","")," ",""),8),5,2),--MID(LEFT(SUBSTITUTE(SUBSTITUTE(SUBSTITUTE(SUBSTITUTE(TRIM($AR360),"-",""),".",""),"/","")," ",""),8),7,2)),"")))</f>
        <v/>
      </c>
      <c r="AT360" s="23">
        <f>IF($AS360="","",IF($F$6="",0,IF(ISNUMBER(INDEX($A:$AP,ROW(),$F$6)),INDEX($A:$AP,ROW(),$F$6),IFERROR(--SUBSTITUTE(SUBSTITUTE(TRIM(INDEX($A:$AP,ROW(),$F$6)),",",""),"원",""),0))))</f>
        <v/>
      </c>
      <c r="AU360" s="23">
        <f>IF($AS360="","",IF($G$6="",0,IF(ISNUMBER(INDEX($A:$AP,ROW(),$G$6)),INDEX($A:$AP,ROW(),$G$6),IFERROR(--SUBSTITUTE(SUBSTITUTE(TRIM(INDEX($A:$AP,ROW(),$G$6)),",",""),"원",""),0))))</f>
        <v/>
      </c>
      <c r="AV360" s="23">
        <f>IF($AS360="","",IF($H$6="",$AT360+$AU360,IF($H$6="",0,IF(ISNUMBER(INDEX($A:$AP,ROW(),$H$6)),INDEX($A:$AP,ROW(),$H$6),IFERROR(--SUBSTITUTE(SUBSTITUTE(TRIM(INDEX($A:$AP,ROW(),$H$6)),",",""),"원",""),0)))))</f>
        <v/>
      </c>
      <c r="AW360" s="2">
        <f>IF(OR($AS360="",$C$6=""),"",TRIM(INDEX($A:$AP,ROW(),$C$6)&amp;""))</f>
        <v/>
      </c>
      <c r="AX360" s="2">
        <f>IF($AS360="","",IF($AZ360&lt;&gt;"",SUBSTITUTE(SUBSTITUTE($AZ360,"-","")," ",""),$AY360))</f>
        <v/>
      </c>
      <c r="AY360" s="2">
        <f>IF(OR($AS360="",$E$6=""),"",TRIM(INDEX($A:$AP,ROW(),$E$6)&amp;""))</f>
        <v/>
      </c>
      <c r="AZ360" s="2">
        <f>IF(OR($AS360="",$D$6=""),"",TRIM(INDEX($A:$AP,ROW(),$D$6)&amp;""))</f>
        <v/>
      </c>
      <c r="BA360" s="2">
        <f>IF($AS360="","",IF(AND($AS360&gt;=설정!$B$10,$AS360&lt;=설정!$B$11),"포함","기간 밖"))</f>
        <v/>
      </c>
      <c r="BB360" s="2">
        <f>IF($AS360="","",IF(OR($AT360&lt;0,AND($I$6&lt;&gt;"",ISNUMBER(FIND("수정",INDEX($A:$AP,ROW(),IF($I$6="",1,$I$6))&amp;"")))),"수정","일반"))</f>
        <v/>
      </c>
      <c r="BC360" s="2">
        <f>IF($AS360="","",MID(IF($BA360="기간 밖"," / 기간 밖(신고기간 아님)","")&amp;IF(AND($AW360&lt;&gt;"",COUNTIF($AW$8:$AW$1007,$AW360)&gt;1)," / 승인번호 중복(두 번 붙여넣기?)","")&amp;IF(ABS($AU360-ROUND($AT360*0.1,0))&gt;설정!$B$8,IF($AU360=0," / 세액 0원(영세율·면세 여부 확인)"," / 세액이 공급가액 10%와 다름"),"")&amp;IF($BB360="수정"," / 수정세금계산서(합계에서 자동 가감)",""),4,200))</f>
        <v/>
      </c>
      <c r="BD360" s="2">
        <f>IF($BA360&lt;&gt;"포함","",IF(COUNTIFS($AX$8:$AX360,$AX360,$BA$8:$BA360,"포함")=1,MAX($BD$7:BD359)+1,""))</f>
        <v/>
      </c>
      <c r="BE360" s="2">
        <f>IF($BC360="","",MAX($BE$7:BE359)+1)</f>
        <v/>
      </c>
    </row>
    <row r="361">
      <c r="AR361" s="2">
        <f>IF(OR($A$5="",$B$6="",ROW()&lt;$A$5),"",IF(INDEX($A:$AP,ROW(),$B$6)="","",INDEX($A:$AP,ROW(),$B$6)))</f>
        <v/>
      </c>
      <c r="AS361" s="22">
        <f>IF($AR361="","",IF(ISNUMBER($AR361),IF($AR361&gt;=10000000,IFERROR(DATE(INT($AR361/10000),MOD(INT($AR361/100),100),MOD($AR361,100)),""),INT($AR361)),IFERROR(DATE(--LEFT(LEFT(SUBSTITUTE(SUBSTITUTE(SUBSTITUTE(SUBSTITUTE(TRIM($AR361),"-",""),".",""),"/","")," ",""),8),4),--MID(LEFT(SUBSTITUTE(SUBSTITUTE(SUBSTITUTE(SUBSTITUTE(TRIM($AR361),"-",""),".",""),"/","")," ",""),8),5,2),--MID(LEFT(SUBSTITUTE(SUBSTITUTE(SUBSTITUTE(SUBSTITUTE(TRIM($AR361),"-",""),".",""),"/","")," ",""),8),7,2)),"")))</f>
        <v/>
      </c>
      <c r="AT361" s="23">
        <f>IF($AS361="","",IF($F$6="",0,IF(ISNUMBER(INDEX($A:$AP,ROW(),$F$6)),INDEX($A:$AP,ROW(),$F$6),IFERROR(--SUBSTITUTE(SUBSTITUTE(TRIM(INDEX($A:$AP,ROW(),$F$6)),",",""),"원",""),0))))</f>
        <v/>
      </c>
      <c r="AU361" s="23">
        <f>IF($AS361="","",IF($G$6="",0,IF(ISNUMBER(INDEX($A:$AP,ROW(),$G$6)),INDEX($A:$AP,ROW(),$G$6),IFERROR(--SUBSTITUTE(SUBSTITUTE(TRIM(INDEX($A:$AP,ROW(),$G$6)),",",""),"원",""),0))))</f>
        <v/>
      </c>
      <c r="AV361" s="23">
        <f>IF($AS361="","",IF($H$6="",$AT361+$AU361,IF($H$6="",0,IF(ISNUMBER(INDEX($A:$AP,ROW(),$H$6)),INDEX($A:$AP,ROW(),$H$6),IFERROR(--SUBSTITUTE(SUBSTITUTE(TRIM(INDEX($A:$AP,ROW(),$H$6)),",",""),"원",""),0)))))</f>
        <v/>
      </c>
      <c r="AW361" s="2">
        <f>IF(OR($AS361="",$C$6=""),"",TRIM(INDEX($A:$AP,ROW(),$C$6)&amp;""))</f>
        <v/>
      </c>
      <c r="AX361" s="2">
        <f>IF($AS361="","",IF($AZ361&lt;&gt;"",SUBSTITUTE(SUBSTITUTE($AZ361,"-","")," ",""),$AY361))</f>
        <v/>
      </c>
      <c r="AY361" s="2">
        <f>IF(OR($AS361="",$E$6=""),"",TRIM(INDEX($A:$AP,ROW(),$E$6)&amp;""))</f>
        <v/>
      </c>
      <c r="AZ361" s="2">
        <f>IF(OR($AS361="",$D$6=""),"",TRIM(INDEX($A:$AP,ROW(),$D$6)&amp;""))</f>
        <v/>
      </c>
      <c r="BA361" s="2">
        <f>IF($AS361="","",IF(AND($AS361&gt;=설정!$B$10,$AS361&lt;=설정!$B$11),"포함","기간 밖"))</f>
        <v/>
      </c>
      <c r="BB361" s="2">
        <f>IF($AS361="","",IF(OR($AT361&lt;0,AND($I$6&lt;&gt;"",ISNUMBER(FIND("수정",INDEX($A:$AP,ROW(),IF($I$6="",1,$I$6))&amp;"")))),"수정","일반"))</f>
        <v/>
      </c>
      <c r="BC361" s="2">
        <f>IF($AS361="","",MID(IF($BA361="기간 밖"," / 기간 밖(신고기간 아님)","")&amp;IF(AND($AW361&lt;&gt;"",COUNTIF($AW$8:$AW$1007,$AW361)&gt;1)," / 승인번호 중복(두 번 붙여넣기?)","")&amp;IF(ABS($AU361-ROUND($AT361*0.1,0))&gt;설정!$B$8,IF($AU361=0," / 세액 0원(영세율·면세 여부 확인)"," / 세액이 공급가액 10%와 다름"),"")&amp;IF($BB361="수정"," / 수정세금계산서(합계에서 자동 가감)",""),4,200))</f>
        <v/>
      </c>
      <c r="BD361" s="2">
        <f>IF($BA361&lt;&gt;"포함","",IF(COUNTIFS($AX$8:$AX361,$AX361,$BA$8:$BA361,"포함")=1,MAX($BD$7:BD360)+1,""))</f>
        <v/>
      </c>
      <c r="BE361" s="2">
        <f>IF($BC361="","",MAX($BE$7:BE360)+1)</f>
        <v/>
      </c>
    </row>
    <row r="362">
      <c r="AR362" s="2">
        <f>IF(OR($A$5="",$B$6="",ROW()&lt;$A$5),"",IF(INDEX($A:$AP,ROW(),$B$6)="","",INDEX($A:$AP,ROW(),$B$6)))</f>
        <v/>
      </c>
      <c r="AS362" s="22">
        <f>IF($AR362="","",IF(ISNUMBER($AR362),IF($AR362&gt;=10000000,IFERROR(DATE(INT($AR362/10000),MOD(INT($AR362/100),100),MOD($AR362,100)),""),INT($AR362)),IFERROR(DATE(--LEFT(LEFT(SUBSTITUTE(SUBSTITUTE(SUBSTITUTE(SUBSTITUTE(TRIM($AR362),"-",""),".",""),"/","")," ",""),8),4),--MID(LEFT(SUBSTITUTE(SUBSTITUTE(SUBSTITUTE(SUBSTITUTE(TRIM($AR362),"-",""),".",""),"/","")," ",""),8),5,2),--MID(LEFT(SUBSTITUTE(SUBSTITUTE(SUBSTITUTE(SUBSTITUTE(TRIM($AR362),"-",""),".",""),"/","")," ",""),8),7,2)),"")))</f>
        <v/>
      </c>
      <c r="AT362" s="23">
        <f>IF($AS362="","",IF($F$6="",0,IF(ISNUMBER(INDEX($A:$AP,ROW(),$F$6)),INDEX($A:$AP,ROW(),$F$6),IFERROR(--SUBSTITUTE(SUBSTITUTE(TRIM(INDEX($A:$AP,ROW(),$F$6)),",",""),"원",""),0))))</f>
        <v/>
      </c>
      <c r="AU362" s="23">
        <f>IF($AS362="","",IF($G$6="",0,IF(ISNUMBER(INDEX($A:$AP,ROW(),$G$6)),INDEX($A:$AP,ROW(),$G$6),IFERROR(--SUBSTITUTE(SUBSTITUTE(TRIM(INDEX($A:$AP,ROW(),$G$6)),",",""),"원",""),0))))</f>
        <v/>
      </c>
      <c r="AV362" s="23">
        <f>IF($AS362="","",IF($H$6="",$AT362+$AU362,IF($H$6="",0,IF(ISNUMBER(INDEX($A:$AP,ROW(),$H$6)),INDEX($A:$AP,ROW(),$H$6),IFERROR(--SUBSTITUTE(SUBSTITUTE(TRIM(INDEX($A:$AP,ROW(),$H$6)),",",""),"원",""),0)))))</f>
        <v/>
      </c>
      <c r="AW362" s="2">
        <f>IF(OR($AS362="",$C$6=""),"",TRIM(INDEX($A:$AP,ROW(),$C$6)&amp;""))</f>
        <v/>
      </c>
      <c r="AX362" s="2">
        <f>IF($AS362="","",IF($AZ362&lt;&gt;"",SUBSTITUTE(SUBSTITUTE($AZ362,"-","")," ",""),$AY362))</f>
        <v/>
      </c>
      <c r="AY362" s="2">
        <f>IF(OR($AS362="",$E$6=""),"",TRIM(INDEX($A:$AP,ROW(),$E$6)&amp;""))</f>
        <v/>
      </c>
      <c r="AZ362" s="2">
        <f>IF(OR($AS362="",$D$6=""),"",TRIM(INDEX($A:$AP,ROW(),$D$6)&amp;""))</f>
        <v/>
      </c>
      <c r="BA362" s="2">
        <f>IF($AS362="","",IF(AND($AS362&gt;=설정!$B$10,$AS362&lt;=설정!$B$11),"포함","기간 밖"))</f>
        <v/>
      </c>
      <c r="BB362" s="2">
        <f>IF($AS362="","",IF(OR($AT362&lt;0,AND($I$6&lt;&gt;"",ISNUMBER(FIND("수정",INDEX($A:$AP,ROW(),IF($I$6="",1,$I$6))&amp;"")))),"수정","일반"))</f>
        <v/>
      </c>
      <c r="BC362" s="2">
        <f>IF($AS362="","",MID(IF($BA362="기간 밖"," / 기간 밖(신고기간 아님)","")&amp;IF(AND($AW362&lt;&gt;"",COUNTIF($AW$8:$AW$1007,$AW362)&gt;1)," / 승인번호 중복(두 번 붙여넣기?)","")&amp;IF(ABS($AU362-ROUND($AT362*0.1,0))&gt;설정!$B$8,IF($AU362=0," / 세액 0원(영세율·면세 여부 확인)"," / 세액이 공급가액 10%와 다름"),"")&amp;IF($BB362="수정"," / 수정세금계산서(합계에서 자동 가감)",""),4,200))</f>
        <v/>
      </c>
      <c r="BD362" s="2">
        <f>IF($BA362&lt;&gt;"포함","",IF(COUNTIFS($AX$8:$AX362,$AX362,$BA$8:$BA362,"포함")=1,MAX($BD$7:BD361)+1,""))</f>
        <v/>
      </c>
      <c r="BE362" s="2">
        <f>IF($BC362="","",MAX($BE$7:BE361)+1)</f>
        <v/>
      </c>
    </row>
    <row r="363">
      <c r="AR363" s="2">
        <f>IF(OR($A$5="",$B$6="",ROW()&lt;$A$5),"",IF(INDEX($A:$AP,ROW(),$B$6)="","",INDEX($A:$AP,ROW(),$B$6)))</f>
        <v/>
      </c>
      <c r="AS363" s="22">
        <f>IF($AR363="","",IF(ISNUMBER($AR363),IF($AR363&gt;=10000000,IFERROR(DATE(INT($AR363/10000),MOD(INT($AR363/100),100),MOD($AR363,100)),""),INT($AR363)),IFERROR(DATE(--LEFT(LEFT(SUBSTITUTE(SUBSTITUTE(SUBSTITUTE(SUBSTITUTE(TRIM($AR363),"-",""),".",""),"/","")," ",""),8),4),--MID(LEFT(SUBSTITUTE(SUBSTITUTE(SUBSTITUTE(SUBSTITUTE(TRIM($AR363),"-",""),".",""),"/","")," ",""),8),5,2),--MID(LEFT(SUBSTITUTE(SUBSTITUTE(SUBSTITUTE(SUBSTITUTE(TRIM($AR363),"-",""),".",""),"/","")," ",""),8),7,2)),"")))</f>
        <v/>
      </c>
      <c r="AT363" s="23">
        <f>IF($AS363="","",IF($F$6="",0,IF(ISNUMBER(INDEX($A:$AP,ROW(),$F$6)),INDEX($A:$AP,ROW(),$F$6),IFERROR(--SUBSTITUTE(SUBSTITUTE(TRIM(INDEX($A:$AP,ROW(),$F$6)),",",""),"원",""),0))))</f>
        <v/>
      </c>
      <c r="AU363" s="23">
        <f>IF($AS363="","",IF($G$6="",0,IF(ISNUMBER(INDEX($A:$AP,ROW(),$G$6)),INDEX($A:$AP,ROW(),$G$6),IFERROR(--SUBSTITUTE(SUBSTITUTE(TRIM(INDEX($A:$AP,ROW(),$G$6)),",",""),"원",""),0))))</f>
        <v/>
      </c>
      <c r="AV363" s="23">
        <f>IF($AS363="","",IF($H$6="",$AT363+$AU363,IF($H$6="",0,IF(ISNUMBER(INDEX($A:$AP,ROW(),$H$6)),INDEX($A:$AP,ROW(),$H$6),IFERROR(--SUBSTITUTE(SUBSTITUTE(TRIM(INDEX($A:$AP,ROW(),$H$6)),",",""),"원",""),0)))))</f>
        <v/>
      </c>
      <c r="AW363" s="2">
        <f>IF(OR($AS363="",$C$6=""),"",TRIM(INDEX($A:$AP,ROW(),$C$6)&amp;""))</f>
        <v/>
      </c>
      <c r="AX363" s="2">
        <f>IF($AS363="","",IF($AZ363&lt;&gt;"",SUBSTITUTE(SUBSTITUTE($AZ363,"-","")," ",""),$AY363))</f>
        <v/>
      </c>
      <c r="AY363" s="2">
        <f>IF(OR($AS363="",$E$6=""),"",TRIM(INDEX($A:$AP,ROW(),$E$6)&amp;""))</f>
        <v/>
      </c>
      <c r="AZ363" s="2">
        <f>IF(OR($AS363="",$D$6=""),"",TRIM(INDEX($A:$AP,ROW(),$D$6)&amp;""))</f>
        <v/>
      </c>
      <c r="BA363" s="2">
        <f>IF($AS363="","",IF(AND($AS363&gt;=설정!$B$10,$AS363&lt;=설정!$B$11),"포함","기간 밖"))</f>
        <v/>
      </c>
      <c r="BB363" s="2">
        <f>IF($AS363="","",IF(OR($AT363&lt;0,AND($I$6&lt;&gt;"",ISNUMBER(FIND("수정",INDEX($A:$AP,ROW(),IF($I$6="",1,$I$6))&amp;"")))),"수정","일반"))</f>
        <v/>
      </c>
      <c r="BC363" s="2">
        <f>IF($AS363="","",MID(IF($BA363="기간 밖"," / 기간 밖(신고기간 아님)","")&amp;IF(AND($AW363&lt;&gt;"",COUNTIF($AW$8:$AW$1007,$AW363)&gt;1)," / 승인번호 중복(두 번 붙여넣기?)","")&amp;IF(ABS($AU363-ROUND($AT363*0.1,0))&gt;설정!$B$8,IF($AU363=0," / 세액 0원(영세율·면세 여부 확인)"," / 세액이 공급가액 10%와 다름"),"")&amp;IF($BB363="수정"," / 수정세금계산서(합계에서 자동 가감)",""),4,200))</f>
        <v/>
      </c>
      <c r="BD363" s="2">
        <f>IF($BA363&lt;&gt;"포함","",IF(COUNTIFS($AX$8:$AX363,$AX363,$BA$8:$BA363,"포함")=1,MAX($BD$7:BD362)+1,""))</f>
        <v/>
      </c>
      <c r="BE363" s="2">
        <f>IF($BC363="","",MAX($BE$7:BE362)+1)</f>
        <v/>
      </c>
    </row>
    <row r="364">
      <c r="AR364" s="2">
        <f>IF(OR($A$5="",$B$6="",ROW()&lt;$A$5),"",IF(INDEX($A:$AP,ROW(),$B$6)="","",INDEX($A:$AP,ROW(),$B$6)))</f>
        <v/>
      </c>
      <c r="AS364" s="22">
        <f>IF($AR364="","",IF(ISNUMBER($AR364),IF($AR364&gt;=10000000,IFERROR(DATE(INT($AR364/10000),MOD(INT($AR364/100),100),MOD($AR364,100)),""),INT($AR364)),IFERROR(DATE(--LEFT(LEFT(SUBSTITUTE(SUBSTITUTE(SUBSTITUTE(SUBSTITUTE(TRIM($AR364),"-",""),".",""),"/","")," ",""),8),4),--MID(LEFT(SUBSTITUTE(SUBSTITUTE(SUBSTITUTE(SUBSTITUTE(TRIM($AR364),"-",""),".",""),"/","")," ",""),8),5,2),--MID(LEFT(SUBSTITUTE(SUBSTITUTE(SUBSTITUTE(SUBSTITUTE(TRIM($AR364),"-",""),".",""),"/","")," ",""),8),7,2)),"")))</f>
        <v/>
      </c>
      <c r="AT364" s="23">
        <f>IF($AS364="","",IF($F$6="",0,IF(ISNUMBER(INDEX($A:$AP,ROW(),$F$6)),INDEX($A:$AP,ROW(),$F$6),IFERROR(--SUBSTITUTE(SUBSTITUTE(TRIM(INDEX($A:$AP,ROW(),$F$6)),",",""),"원",""),0))))</f>
        <v/>
      </c>
      <c r="AU364" s="23">
        <f>IF($AS364="","",IF($G$6="",0,IF(ISNUMBER(INDEX($A:$AP,ROW(),$G$6)),INDEX($A:$AP,ROW(),$G$6),IFERROR(--SUBSTITUTE(SUBSTITUTE(TRIM(INDEX($A:$AP,ROW(),$G$6)),",",""),"원",""),0))))</f>
        <v/>
      </c>
      <c r="AV364" s="23">
        <f>IF($AS364="","",IF($H$6="",$AT364+$AU364,IF($H$6="",0,IF(ISNUMBER(INDEX($A:$AP,ROW(),$H$6)),INDEX($A:$AP,ROW(),$H$6),IFERROR(--SUBSTITUTE(SUBSTITUTE(TRIM(INDEX($A:$AP,ROW(),$H$6)),",",""),"원",""),0)))))</f>
        <v/>
      </c>
      <c r="AW364" s="2">
        <f>IF(OR($AS364="",$C$6=""),"",TRIM(INDEX($A:$AP,ROW(),$C$6)&amp;""))</f>
        <v/>
      </c>
      <c r="AX364" s="2">
        <f>IF($AS364="","",IF($AZ364&lt;&gt;"",SUBSTITUTE(SUBSTITUTE($AZ364,"-","")," ",""),$AY364))</f>
        <v/>
      </c>
      <c r="AY364" s="2">
        <f>IF(OR($AS364="",$E$6=""),"",TRIM(INDEX($A:$AP,ROW(),$E$6)&amp;""))</f>
        <v/>
      </c>
      <c r="AZ364" s="2">
        <f>IF(OR($AS364="",$D$6=""),"",TRIM(INDEX($A:$AP,ROW(),$D$6)&amp;""))</f>
        <v/>
      </c>
      <c r="BA364" s="2">
        <f>IF($AS364="","",IF(AND($AS364&gt;=설정!$B$10,$AS364&lt;=설정!$B$11),"포함","기간 밖"))</f>
        <v/>
      </c>
      <c r="BB364" s="2">
        <f>IF($AS364="","",IF(OR($AT364&lt;0,AND($I$6&lt;&gt;"",ISNUMBER(FIND("수정",INDEX($A:$AP,ROW(),IF($I$6="",1,$I$6))&amp;"")))),"수정","일반"))</f>
        <v/>
      </c>
      <c r="BC364" s="2">
        <f>IF($AS364="","",MID(IF($BA364="기간 밖"," / 기간 밖(신고기간 아님)","")&amp;IF(AND($AW364&lt;&gt;"",COUNTIF($AW$8:$AW$1007,$AW364)&gt;1)," / 승인번호 중복(두 번 붙여넣기?)","")&amp;IF(ABS($AU364-ROUND($AT364*0.1,0))&gt;설정!$B$8,IF($AU364=0," / 세액 0원(영세율·면세 여부 확인)"," / 세액이 공급가액 10%와 다름"),"")&amp;IF($BB364="수정"," / 수정세금계산서(합계에서 자동 가감)",""),4,200))</f>
        <v/>
      </c>
      <c r="BD364" s="2">
        <f>IF($BA364&lt;&gt;"포함","",IF(COUNTIFS($AX$8:$AX364,$AX364,$BA$8:$BA364,"포함")=1,MAX($BD$7:BD363)+1,""))</f>
        <v/>
      </c>
      <c r="BE364" s="2">
        <f>IF($BC364="","",MAX($BE$7:BE363)+1)</f>
        <v/>
      </c>
    </row>
    <row r="365">
      <c r="AR365" s="2">
        <f>IF(OR($A$5="",$B$6="",ROW()&lt;$A$5),"",IF(INDEX($A:$AP,ROW(),$B$6)="","",INDEX($A:$AP,ROW(),$B$6)))</f>
        <v/>
      </c>
      <c r="AS365" s="22">
        <f>IF($AR365="","",IF(ISNUMBER($AR365),IF($AR365&gt;=10000000,IFERROR(DATE(INT($AR365/10000),MOD(INT($AR365/100),100),MOD($AR365,100)),""),INT($AR365)),IFERROR(DATE(--LEFT(LEFT(SUBSTITUTE(SUBSTITUTE(SUBSTITUTE(SUBSTITUTE(TRIM($AR365),"-",""),".",""),"/","")," ",""),8),4),--MID(LEFT(SUBSTITUTE(SUBSTITUTE(SUBSTITUTE(SUBSTITUTE(TRIM($AR365),"-",""),".",""),"/","")," ",""),8),5,2),--MID(LEFT(SUBSTITUTE(SUBSTITUTE(SUBSTITUTE(SUBSTITUTE(TRIM($AR365),"-",""),".",""),"/","")," ",""),8),7,2)),"")))</f>
        <v/>
      </c>
      <c r="AT365" s="23">
        <f>IF($AS365="","",IF($F$6="",0,IF(ISNUMBER(INDEX($A:$AP,ROW(),$F$6)),INDEX($A:$AP,ROW(),$F$6),IFERROR(--SUBSTITUTE(SUBSTITUTE(TRIM(INDEX($A:$AP,ROW(),$F$6)),",",""),"원",""),0))))</f>
        <v/>
      </c>
      <c r="AU365" s="23">
        <f>IF($AS365="","",IF($G$6="",0,IF(ISNUMBER(INDEX($A:$AP,ROW(),$G$6)),INDEX($A:$AP,ROW(),$G$6),IFERROR(--SUBSTITUTE(SUBSTITUTE(TRIM(INDEX($A:$AP,ROW(),$G$6)),",",""),"원",""),0))))</f>
        <v/>
      </c>
      <c r="AV365" s="23">
        <f>IF($AS365="","",IF($H$6="",$AT365+$AU365,IF($H$6="",0,IF(ISNUMBER(INDEX($A:$AP,ROW(),$H$6)),INDEX($A:$AP,ROW(),$H$6),IFERROR(--SUBSTITUTE(SUBSTITUTE(TRIM(INDEX($A:$AP,ROW(),$H$6)),",",""),"원",""),0)))))</f>
        <v/>
      </c>
      <c r="AW365" s="2">
        <f>IF(OR($AS365="",$C$6=""),"",TRIM(INDEX($A:$AP,ROW(),$C$6)&amp;""))</f>
        <v/>
      </c>
      <c r="AX365" s="2">
        <f>IF($AS365="","",IF($AZ365&lt;&gt;"",SUBSTITUTE(SUBSTITUTE($AZ365,"-","")," ",""),$AY365))</f>
        <v/>
      </c>
      <c r="AY365" s="2">
        <f>IF(OR($AS365="",$E$6=""),"",TRIM(INDEX($A:$AP,ROW(),$E$6)&amp;""))</f>
        <v/>
      </c>
      <c r="AZ365" s="2">
        <f>IF(OR($AS365="",$D$6=""),"",TRIM(INDEX($A:$AP,ROW(),$D$6)&amp;""))</f>
        <v/>
      </c>
      <c r="BA365" s="2">
        <f>IF($AS365="","",IF(AND($AS365&gt;=설정!$B$10,$AS365&lt;=설정!$B$11),"포함","기간 밖"))</f>
        <v/>
      </c>
      <c r="BB365" s="2">
        <f>IF($AS365="","",IF(OR($AT365&lt;0,AND($I$6&lt;&gt;"",ISNUMBER(FIND("수정",INDEX($A:$AP,ROW(),IF($I$6="",1,$I$6))&amp;"")))),"수정","일반"))</f>
        <v/>
      </c>
      <c r="BC365" s="2">
        <f>IF($AS365="","",MID(IF($BA365="기간 밖"," / 기간 밖(신고기간 아님)","")&amp;IF(AND($AW365&lt;&gt;"",COUNTIF($AW$8:$AW$1007,$AW365)&gt;1)," / 승인번호 중복(두 번 붙여넣기?)","")&amp;IF(ABS($AU365-ROUND($AT365*0.1,0))&gt;설정!$B$8,IF($AU365=0," / 세액 0원(영세율·면세 여부 확인)"," / 세액이 공급가액 10%와 다름"),"")&amp;IF($BB365="수정"," / 수정세금계산서(합계에서 자동 가감)",""),4,200))</f>
        <v/>
      </c>
      <c r="BD365" s="2">
        <f>IF($BA365&lt;&gt;"포함","",IF(COUNTIFS($AX$8:$AX365,$AX365,$BA$8:$BA365,"포함")=1,MAX($BD$7:BD364)+1,""))</f>
        <v/>
      </c>
      <c r="BE365" s="2">
        <f>IF($BC365="","",MAX($BE$7:BE364)+1)</f>
        <v/>
      </c>
    </row>
    <row r="366">
      <c r="AR366" s="2">
        <f>IF(OR($A$5="",$B$6="",ROW()&lt;$A$5),"",IF(INDEX($A:$AP,ROW(),$B$6)="","",INDEX($A:$AP,ROW(),$B$6)))</f>
        <v/>
      </c>
      <c r="AS366" s="22">
        <f>IF($AR366="","",IF(ISNUMBER($AR366),IF($AR366&gt;=10000000,IFERROR(DATE(INT($AR366/10000),MOD(INT($AR366/100),100),MOD($AR366,100)),""),INT($AR366)),IFERROR(DATE(--LEFT(LEFT(SUBSTITUTE(SUBSTITUTE(SUBSTITUTE(SUBSTITUTE(TRIM($AR366),"-",""),".",""),"/","")," ",""),8),4),--MID(LEFT(SUBSTITUTE(SUBSTITUTE(SUBSTITUTE(SUBSTITUTE(TRIM($AR366),"-",""),".",""),"/","")," ",""),8),5,2),--MID(LEFT(SUBSTITUTE(SUBSTITUTE(SUBSTITUTE(SUBSTITUTE(TRIM($AR366),"-",""),".",""),"/","")," ",""),8),7,2)),"")))</f>
        <v/>
      </c>
      <c r="AT366" s="23">
        <f>IF($AS366="","",IF($F$6="",0,IF(ISNUMBER(INDEX($A:$AP,ROW(),$F$6)),INDEX($A:$AP,ROW(),$F$6),IFERROR(--SUBSTITUTE(SUBSTITUTE(TRIM(INDEX($A:$AP,ROW(),$F$6)),",",""),"원",""),0))))</f>
        <v/>
      </c>
      <c r="AU366" s="23">
        <f>IF($AS366="","",IF($G$6="",0,IF(ISNUMBER(INDEX($A:$AP,ROW(),$G$6)),INDEX($A:$AP,ROW(),$G$6),IFERROR(--SUBSTITUTE(SUBSTITUTE(TRIM(INDEX($A:$AP,ROW(),$G$6)),",",""),"원",""),0))))</f>
        <v/>
      </c>
      <c r="AV366" s="23">
        <f>IF($AS366="","",IF($H$6="",$AT366+$AU366,IF($H$6="",0,IF(ISNUMBER(INDEX($A:$AP,ROW(),$H$6)),INDEX($A:$AP,ROW(),$H$6),IFERROR(--SUBSTITUTE(SUBSTITUTE(TRIM(INDEX($A:$AP,ROW(),$H$6)),",",""),"원",""),0)))))</f>
        <v/>
      </c>
      <c r="AW366" s="2">
        <f>IF(OR($AS366="",$C$6=""),"",TRIM(INDEX($A:$AP,ROW(),$C$6)&amp;""))</f>
        <v/>
      </c>
      <c r="AX366" s="2">
        <f>IF($AS366="","",IF($AZ366&lt;&gt;"",SUBSTITUTE(SUBSTITUTE($AZ366,"-","")," ",""),$AY366))</f>
        <v/>
      </c>
      <c r="AY366" s="2">
        <f>IF(OR($AS366="",$E$6=""),"",TRIM(INDEX($A:$AP,ROW(),$E$6)&amp;""))</f>
        <v/>
      </c>
      <c r="AZ366" s="2">
        <f>IF(OR($AS366="",$D$6=""),"",TRIM(INDEX($A:$AP,ROW(),$D$6)&amp;""))</f>
        <v/>
      </c>
      <c r="BA366" s="2">
        <f>IF($AS366="","",IF(AND($AS366&gt;=설정!$B$10,$AS366&lt;=설정!$B$11),"포함","기간 밖"))</f>
        <v/>
      </c>
      <c r="BB366" s="2">
        <f>IF($AS366="","",IF(OR($AT366&lt;0,AND($I$6&lt;&gt;"",ISNUMBER(FIND("수정",INDEX($A:$AP,ROW(),IF($I$6="",1,$I$6))&amp;"")))),"수정","일반"))</f>
        <v/>
      </c>
      <c r="BC366" s="2">
        <f>IF($AS366="","",MID(IF($BA366="기간 밖"," / 기간 밖(신고기간 아님)","")&amp;IF(AND($AW366&lt;&gt;"",COUNTIF($AW$8:$AW$1007,$AW366)&gt;1)," / 승인번호 중복(두 번 붙여넣기?)","")&amp;IF(ABS($AU366-ROUND($AT366*0.1,0))&gt;설정!$B$8,IF($AU366=0," / 세액 0원(영세율·면세 여부 확인)"," / 세액이 공급가액 10%와 다름"),"")&amp;IF($BB366="수정"," / 수정세금계산서(합계에서 자동 가감)",""),4,200))</f>
        <v/>
      </c>
      <c r="BD366" s="2">
        <f>IF($BA366&lt;&gt;"포함","",IF(COUNTIFS($AX$8:$AX366,$AX366,$BA$8:$BA366,"포함")=1,MAX($BD$7:BD365)+1,""))</f>
        <v/>
      </c>
      <c r="BE366" s="2">
        <f>IF($BC366="","",MAX($BE$7:BE365)+1)</f>
        <v/>
      </c>
    </row>
    <row r="367">
      <c r="AR367" s="2">
        <f>IF(OR($A$5="",$B$6="",ROW()&lt;$A$5),"",IF(INDEX($A:$AP,ROW(),$B$6)="","",INDEX($A:$AP,ROW(),$B$6)))</f>
        <v/>
      </c>
      <c r="AS367" s="22">
        <f>IF($AR367="","",IF(ISNUMBER($AR367),IF($AR367&gt;=10000000,IFERROR(DATE(INT($AR367/10000),MOD(INT($AR367/100),100),MOD($AR367,100)),""),INT($AR367)),IFERROR(DATE(--LEFT(LEFT(SUBSTITUTE(SUBSTITUTE(SUBSTITUTE(SUBSTITUTE(TRIM($AR367),"-",""),".",""),"/","")," ",""),8),4),--MID(LEFT(SUBSTITUTE(SUBSTITUTE(SUBSTITUTE(SUBSTITUTE(TRIM($AR367),"-",""),".",""),"/","")," ",""),8),5,2),--MID(LEFT(SUBSTITUTE(SUBSTITUTE(SUBSTITUTE(SUBSTITUTE(TRIM($AR367),"-",""),".",""),"/","")," ",""),8),7,2)),"")))</f>
        <v/>
      </c>
      <c r="AT367" s="23">
        <f>IF($AS367="","",IF($F$6="",0,IF(ISNUMBER(INDEX($A:$AP,ROW(),$F$6)),INDEX($A:$AP,ROW(),$F$6),IFERROR(--SUBSTITUTE(SUBSTITUTE(TRIM(INDEX($A:$AP,ROW(),$F$6)),",",""),"원",""),0))))</f>
        <v/>
      </c>
      <c r="AU367" s="23">
        <f>IF($AS367="","",IF($G$6="",0,IF(ISNUMBER(INDEX($A:$AP,ROW(),$G$6)),INDEX($A:$AP,ROW(),$G$6),IFERROR(--SUBSTITUTE(SUBSTITUTE(TRIM(INDEX($A:$AP,ROW(),$G$6)),",",""),"원",""),0))))</f>
        <v/>
      </c>
      <c r="AV367" s="23">
        <f>IF($AS367="","",IF($H$6="",$AT367+$AU367,IF($H$6="",0,IF(ISNUMBER(INDEX($A:$AP,ROW(),$H$6)),INDEX($A:$AP,ROW(),$H$6),IFERROR(--SUBSTITUTE(SUBSTITUTE(TRIM(INDEX($A:$AP,ROW(),$H$6)),",",""),"원",""),0)))))</f>
        <v/>
      </c>
      <c r="AW367" s="2">
        <f>IF(OR($AS367="",$C$6=""),"",TRIM(INDEX($A:$AP,ROW(),$C$6)&amp;""))</f>
        <v/>
      </c>
      <c r="AX367" s="2">
        <f>IF($AS367="","",IF($AZ367&lt;&gt;"",SUBSTITUTE(SUBSTITUTE($AZ367,"-","")," ",""),$AY367))</f>
        <v/>
      </c>
      <c r="AY367" s="2">
        <f>IF(OR($AS367="",$E$6=""),"",TRIM(INDEX($A:$AP,ROW(),$E$6)&amp;""))</f>
        <v/>
      </c>
      <c r="AZ367" s="2">
        <f>IF(OR($AS367="",$D$6=""),"",TRIM(INDEX($A:$AP,ROW(),$D$6)&amp;""))</f>
        <v/>
      </c>
      <c r="BA367" s="2">
        <f>IF($AS367="","",IF(AND($AS367&gt;=설정!$B$10,$AS367&lt;=설정!$B$11),"포함","기간 밖"))</f>
        <v/>
      </c>
      <c r="BB367" s="2">
        <f>IF($AS367="","",IF(OR($AT367&lt;0,AND($I$6&lt;&gt;"",ISNUMBER(FIND("수정",INDEX($A:$AP,ROW(),IF($I$6="",1,$I$6))&amp;"")))),"수정","일반"))</f>
        <v/>
      </c>
      <c r="BC367" s="2">
        <f>IF($AS367="","",MID(IF($BA367="기간 밖"," / 기간 밖(신고기간 아님)","")&amp;IF(AND($AW367&lt;&gt;"",COUNTIF($AW$8:$AW$1007,$AW367)&gt;1)," / 승인번호 중복(두 번 붙여넣기?)","")&amp;IF(ABS($AU367-ROUND($AT367*0.1,0))&gt;설정!$B$8,IF($AU367=0," / 세액 0원(영세율·면세 여부 확인)"," / 세액이 공급가액 10%와 다름"),"")&amp;IF($BB367="수정"," / 수정세금계산서(합계에서 자동 가감)",""),4,200))</f>
        <v/>
      </c>
      <c r="BD367" s="2">
        <f>IF($BA367&lt;&gt;"포함","",IF(COUNTIFS($AX$8:$AX367,$AX367,$BA$8:$BA367,"포함")=1,MAX($BD$7:BD366)+1,""))</f>
        <v/>
      </c>
      <c r="BE367" s="2">
        <f>IF($BC367="","",MAX($BE$7:BE366)+1)</f>
        <v/>
      </c>
    </row>
    <row r="368">
      <c r="AR368" s="2">
        <f>IF(OR($A$5="",$B$6="",ROW()&lt;$A$5),"",IF(INDEX($A:$AP,ROW(),$B$6)="","",INDEX($A:$AP,ROW(),$B$6)))</f>
        <v/>
      </c>
      <c r="AS368" s="22">
        <f>IF($AR368="","",IF(ISNUMBER($AR368),IF($AR368&gt;=10000000,IFERROR(DATE(INT($AR368/10000),MOD(INT($AR368/100),100),MOD($AR368,100)),""),INT($AR368)),IFERROR(DATE(--LEFT(LEFT(SUBSTITUTE(SUBSTITUTE(SUBSTITUTE(SUBSTITUTE(TRIM($AR368),"-",""),".",""),"/","")," ",""),8),4),--MID(LEFT(SUBSTITUTE(SUBSTITUTE(SUBSTITUTE(SUBSTITUTE(TRIM($AR368),"-",""),".",""),"/","")," ",""),8),5,2),--MID(LEFT(SUBSTITUTE(SUBSTITUTE(SUBSTITUTE(SUBSTITUTE(TRIM($AR368),"-",""),".",""),"/","")," ",""),8),7,2)),"")))</f>
        <v/>
      </c>
      <c r="AT368" s="23">
        <f>IF($AS368="","",IF($F$6="",0,IF(ISNUMBER(INDEX($A:$AP,ROW(),$F$6)),INDEX($A:$AP,ROW(),$F$6),IFERROR(--SUBSTITUTE(SUBSTITUTE(TRIM(INDEX($A:$AP,ROW(),$F$6)),",",""),"원",""),0))))</f>
        <v/>
      </c>
      <c r="AU368" s="23">
        <f>IF($AS368="","",IF($G$6="",0,IF(ISNUMBER(INDEX($A:$AP,ROW(),$G$6)),INDEX($A:$AP,ROW(),$G$6),IFERROR(--SUBSTITUTE(SUBSTITUTE(TRIM(INDEX($A:$AP,ROW(),$G$6)),",",""),"원",""),0))))</f>
        <v/>
      </c>
      <c r="AV368" s="23">
        <f>IF($AS368="","",IF($H$6="",$AT368+$AU368,IF($H$6="",0,IF(ISNUMBER(INDEX($A:$AP,ROW(),$H$6)),INDEX($A:$AP,ROW(),$H$6),IFERROR(--SUBSTITUTE(SUBSTITUTE(TRIM(INDEX($A:$AP,ROW(),$H$6)),",",""),"원",""),0)))))</f>
        <v/>
      </c>
      <c r="AW368" s="2">
        <f>IF(OR($AS368="",$C$6=""),"",TRIM(INDEX($A:$AP,ROW(),$C$6)&amp;""))</f>
        <v/>
      </c>
      <c r="AX368" s="2">
        <f>IF($AS368="","",IF($AZ368&lt;&gt;"",SUBSTITUTE(SUBSTITUTE($AZ368,"-","")," ",""),$AY368))</f>
        <v/>
      </c>
      <c r="AY368" s="2">
        <f>IF(OR($AS368="",$E$6=""),"",TRIM(INDEX($A:$AP,ROW(),$E$6)&amp;""))</f>
        <v/>
      </c>
      <c r="AZ368" s="2">
        <f>IF(OR($AS368="",$D$6=""),"",TRIM(INDEX($A:$AP,ROW(),$D$6)&amp;""))</f>
        <v/>
      </c>
      <c r="BA368" s="2">
        <f>IF($AS368="","",IF(AND($AS368&gt;=설정!$B$10,$AS368&lt;=설정!$B$11),"포함","기간 밖"))</f>
        <v/>
      </c>
      <c r="BB368" s="2">
        <f>IF($AS368="","",IF(OR($AT368&lt;0,AND($I$6&lt;&gt;"",ISNUMBER(FIND("수정",INDEX($A:$AP,ROW(),IF($I$6="",1,$I$6))&amp;"")))),"수정","일반"))</f>
        <v/>
      </c>
      <c r="BC368" s="2">
        <f>IF($AS368="","",MID(IF($BA368="기간 밖"," / 기간 밖(신고기간 아님)","")&amp;IF(AND($AW368&lt;&gt;"",COUNTIF($AW$8:$AW$1007,$AW368)&gt;1)," / 승인번호 중복(두 번 붙여넣기?)","")&amp;IF(ABS($AU368-ROUND($AT368*0.1,0))&gt;설정!$B$8,IF($AU368=0," / 세액 0원(영세율·면세 여부 확인)"," / 세액이 공급가액 10%와 다름"),"")&amp;IF($BB368="수정"," / 수정세금계산서(합계에서 자동 가감)",""),4,200))</f>
        <v/>
      </c>
      <c r="BD368" s="2">
        <f>IF($BA368&lt;&gt;"포함","",IF(COUNTIFS($AX$8:$AX368,$AX368,$BA$8:$BA368,"포함")=1,MAX($BD$7:BD367)+1,""))</f>
        <v/>
      </c>
      <c r="BE368" s="2">
        <f>IF($BC368="","",MAX($BE$7:BE367)+1)</f>
        <v/>
      </c>
    </row>
    <row r="369">
      <c r="AR369" s="2">
        <f>IF(OR($A$5="",$B$6="",ROW()&lt;$A$5),"",IF(INDEX($A:$AP,ROW(),$B$6)="","",INDEX($A:$AP,ROW(),$B$6)))</f>
        <v/>
      </c>
      <c r="AS369" s="22">
        <f>IF($AR369="","",IF(ISNUMBER($AR369),IF($AR369&gt;=10000000,IFERROR(DATE(INT($AR369/10000),MOD(INT($AR369/100),100),MOD($AR369,100)),""),INT($AR369)),IFERROR(DATE(--LEFT(LEFT(SUBSTITUTE(SUBSTITUTE(SUBSTITUTE(SUBSTITUTE(TRIM($AR369),"-",""),".",""),"/","")," ",""),8),4),--MID(LEFT(SUBSTITUTE(SUBSTITUTE(SUBSTITUTE(SUBSTITUTE(TRIM($AR369),"-",""),".",""),"/","")," ",""),8),5,2),--MID(LEFT(SUBSTITUTE(SUBSTITUTE(SUBSTITUTE(SUBSTITUTE(TRIM($AR369),"-",""),".",""),"/","")," ",""),8),7,2)),"")))</f>
        <v/>
      </c>
      <c r="AT369" s="23">
        <f>IF($AS369="","",IF($F$6="",0,IF(ISNUMBER(INDEX($A:$AP,ROW(),$F$6)),INDEX($A:$AP,ROW(),$F$6),IFERROR(--SUBSTITUTE(SUBSTITUTE(TRIM(INDEX($A:$AP,ROW(),$F$6)),",",""),"원",""),0))))</f>
        <v/>
      </c>
      <c r="AU369" s="23">
        <f>IF($AS369="","",IF($G$6="",0,IF(ISNUMBER(INDEX($A:$AP,ROW(),$G$6)),INDEX($A:$AP,ROW(),$G$6),IFERROR(--SUBSTITUTE(SUBSTITUTE(TRIM(INDEX($A:$AP,ROW(),$G$6)),",",""),"원",""),0))))</f>
        <v/>
      </c>
      <c r="AV369" s="23">
        <f>IF($AS369="","",IF($H$6="",$AT369+$AU369,IF($H$6="",0,IF(ISNUMBER(INDEX($A:$AP,ROW(),$H$6)),INDEX($A:$AP,ROW(),$H$6),IFERROR(--SUBSTITUTE(SUBSTITUTE(TRIM(INDEX($A:$AP,ROW(),$H$6)),",",""),"원",""),0)))))</f>
        <v/>
      </c>
      <c r="AW369" s="2">
        <f>IF(OR($AS369="",$C$6=""),"",TRIM(INDEX($A:$AP,ROW(),$C$6)&amp;""))</f>
        <v/>
      </c>
      <c r="AX369" s="2">
        <f>IF($AS369="","",IF($AZ369&lt;&gt;"",SUBSTITUTE(SUBSTITUTE($AZ369,"-","")," ",""),$AY369))</f>
        <v/>
      </c>
      <c r="AY369" s="2">
        <f>IF(OR($AS369="",$E$6=""),"",TRIM(INDEX($A:$AP,ROW(),$E$6)&amp;""))</f>
        <v/>
      </c>
      <c r="AZ369" s="2">
        <f>IF(OR($AS369="",$D$6=""),"",TRIM(INDEX($A:$AP,ROW(),$D$6)&amp;""))</f>
        <v/>
      </c>
      <c r="BA369" s="2">
        <f>IF($AS369="","",IF(AND($AS369&gt;=설정!$B$10,$AS369&lt;=설정!$B$11),"포함","기간 밖"))</f>
        <v/>
      </c>
      <c r="BB369" s="2">
        <f>IF($AS369="","",IF(OR($AT369&lt;0,AND($I$6&lt;&gt;"",ISNUMBER(FIND("수정",INDEX($A:$AP,ROW(),IF($I$6="",1,$I$6))&amp;"")))),"수정","일반"))</f>
        <v/>
      </c>
      <c r="BC369" s="2">
        <f>IF($AS369="","",MID(IF($BA369="기간 밖"," / 기간 밖(신고기간 아님)","")&amp;IF(AND($AW369&lt;&gt;"",COUNTIF($AW$8:$AW$1007,$AW369)&gt;1)," / 승인번호 중복(두 번 붙여넣기?)","")&amp;IF(ABS($AU369-ROUND($AT369*0.1,0))&gt;설정!$B$8,IF($AU369=0," / 세액 0원(영세율·면세 여부 확인)"," / 세액이 공급가액 10%와 다름"),"")&amp;IF($BB369="수정"," / 수정세금계산서(합계에서 자동 가감)",""),4,200))</f>
        <v/>
      </c>
      <c r="BD369" s="2">
        <f>IF($BA369&lt;&gt;"포함","",IF(COUNTIFS($AX$8:$AX369,$AX369,$BA$8:$BA369,"포함")=1,MAX($BD$7:BD368)+1,""))</f>
        <v/>
      </c>
      <c r="BE369" s="2">
        <f>IF($BC369="","",MAX($BE$7:BE368)+1)</f>
        <v/>
      </c>
    </row>
    <row r="370">
      <c r="AR370" s="2">
        <f>IF(OR($A$5="",$B$6="",ROW()&lt;$A$5),"",IF(INDEX($A:$AP,ROW(),$B$6)="","",INDEX($A:$AP,ROW(),$B$6)))</f>
        <v/>
      </c>
      <c r="AS370" s="22">
        <f>IF($AR370="","",IF(ISNUMBER($AR370),IF($AR370&gt;=10000000,IFERROR(DATE(INT($AR370/10000),MOD(INT($AR370/100),100),MOD($AR370,100)),""),INT($AR370)),IFERROR(DATE(--LEFT(LEFT(SUBSTITUTE(SUBSTITUTE(SUBSTITUTE(SUBSTITUTE(TRIM($AR370),"-",""),".",""),"/","")," ",""),8),4),--MID(LEFT(SUBSTITUTE(SUBSTITUTE(SUBSTITUTE(SUBSTITUTE(TRIM($AR370),"-",""),".",""),"/","")," ",""),8),5,2),--MID(LEFT(SUBSTITUTE(SUBSTITUTE(SUBSTITUTE(SUBSTITUTE(TRIM($AR370),"-",""),".",""),"/","")," ",""),8),7,2)),"")))</f>
        <v/>
      </c>
      <c r="AT370" s="23">
        <f>IF($AS370="","",IF($F$6="",0,IF(ISNUMBER(INDEX($A:$AP,ROW(),$F$6)),INDEX($A:$AP,ROW(),$F$6),IFERROR(--SUBSTITUTE(SUBSTITUTE(TRIM(INDEX($A:$AP,ROW(),$F$6)),",",""),"원",""),0))))</f>
        <v/>
      </c>
      <c r="AU370" s="23">
        <f>IF($AS370="","",IF($G$6="",0,IF(ISNUMBER(INDEX($A:$AP,ROW(),$G$6)),INDEX($A:$AP,ROW(),$G$6),IFERROR(--SUBSTITUTE(SUBSTITUTE(TRIM(INDEX($A:$AP,ROW(),$G$6)),",",""),"원",""),0))))</f>
        <v/>
      </c>
      <c r="AV370" s="23">
        <f>IF($AS370="","",IF($H$6="",$AT370+$AU370,IF($H$6="",0,IF(ISNUMBER(INDEX($A:$AP,ROW(),$H$6)),INDEX($A:$AP,ROW(),$H$6),IFERROR(--SUBSTITUTE(SUBSTITUTE(TRIM(INDEX($A:$AP,ROW(),$H$6)),",",""),"원",""),0)))))</f>
        <v/>
      </c>
      <c r="AW370" s="2">
        <f>IF(OR($AS370="",$C$6=""),"",TRIM(INDEX($A:$AP,ROW(),$C$6)&amp;""))</f>
        <v/>
      </c>
      <c r="AX370" s="2">
        <f>IF($AS370="","",IF($AZ370&lt;&gt;"",SUBSTITUTE(SUBSTITUTE($AZ370,"-","")," ",""),$AY370))</f>
        <v/>
      </c>
      <c r="AY370" s="2">
        <f>IF(OR($AS370="",$E$6=""),"",TRIM(INDEX($A:$AP,ROW(),$E$6)&amp;""))</f>
        <v/>
      </c>
      <c r="AZ370" s="2">
        <f>IF(OR($AS370="",$D$6=""),"",TRIM(INDEX($A:$AP,ROW(),$D$6)&amp;""))</f>
        <v/>
      </c>
      <c r="BA370" s="2">
        <f>IF($AS370="","",IF(AND($AS370&gt;=설정!$B$10,$AS370&lt;=설정!$B$11),"포함","기간 밖"))</f>
        <v/>
      </c>
      <c r="BB370" s="2">
        <f>IF($AS370="","",IF(OR($AT370&lt;0,AND($I$6&lt;&gt;"",ISNUMBER(FIND("수정",INDEX($A:$AP,ROW(),IF($I$6="",1,$I$6))&amp;"")))),"수정","일반"))</f>
        <v/>
      </c>
      <c r="BC370" s="2">
        <f>IF($AS370="","",MID(IF($BA370="기간 밖"," / 기간 밖(신고기간 아님)","")&amp;IF(AND($AW370&lt;&gt;"",COUNTIF($AW$8:$AW$1007,$AW370)&gt;1)," / 승인번호 중복(두 번 붙여넣기?)","")&amp;IF(ABS($AU370-ROUND($AT370*0.1,0))&gt;설정!$B$8,IF($AU370=0," / 세액 0원(영세율·면세 여부 확인)"," / 세액이 공급가액 10%와 다름"),"")&amp;IF($BB370="수정"," / 수정세금계산서(합계에서 자동 가감)",""),4,200))</f>
        <v/>
      </c>
      <c r="BD370" s="2">
        <f>IF($BA370&lt;&gt;"포함","",IF(COUNTIFS($AX$8:$AX370,$AX370,$BA$8:$BA370,"포함")=1,MAX($BD$7:BD369)+1,""))</f>
        <v/>
      </c>
      <c r="BE370" s="2">
        <f>IF($BC370="","",MAX($BE$7:BE369)+1)</f>
        <v/>
      </c>
    </row>
    <row r="371">
      <c r="AR371" s="2">
        <f>IF(OR($A$5="",$B$6="",ROW()&lt;$A$5),"",IF(INDEX($A:$AP,ROW(),$B$6)="","",INDEX($A:$AP,ROW(),$B$6)))</f>
        <v/>
      </c>
      <c r="AS371" s="22">
        <f>IF($AR371="","",IF(ISNUMBER($AR371),IF($AR371&gt;=10000000,IFERROR(DATE(INT($AR371/10000),MOD(INT($AR371/100),100),MOD($AR371,100)),""),INT($AR371)),IFERROR(DATE(--LEFT(LEFT(SUBSTITUTE(SUBSTITUTE(SUBSTITUTE(SUBSTITUTE(TRIM($AR371),"-",""),".",""),"/","")," ",""),8),4),--MID(LEFT(SUBSTITUTE(SUBSTITUTE(SUBSTITUTE(SUBSTITUTE(TRIM($AR371),"-",""),".",""),"/","")," ",""),8),5,2),--MID(LEFT(SUBSTITUTE(SUBSTITUTE(SUBSTITUTE(SUBSTITUTE(TRIM($AR371),"-",""),".",""),"/","")," ",""),8),7,2)),"")))</f>
        <v/>
      </c>
      <c r="AT371" s="23">
        <f>IF($AS371="","",IF($F$6="",0,IF(ISNUMBER(INDEX($A:$AP,ROW(),$F$6)),INDEX($A:$AP,ROW(),$F$6),IFERROR(--SUBSTITUTE(SUBSTITUTE(TRIM(INDEX($A:$AP,ROW(),$F$6)),",",""),"원",""),0))))</f>
        <v/>
      </c>
      <c r="AU371" s="23">
        <f>IF($AS371="","",IF($G$6="",0,IF(ISNUMBER(INDEX($A:$AP,ROW(),$G$6)),INDEX($A:$AP,ROW(),$G$6),IFERROR(--SUBSTITUTE(SUBSTITUTE(TRIM(INDEX($A:$AP,ROW(),$G$6)),",",""),"원",""),0))))</f>
        <v/>
      </c>
      <c r="AV371" s="23">
        <f>IF($AS371="","",IF($H$6="",$AT371+$AU371,IF($H$6="",0,IF(ISNUMBER(INDEX($A:$AP,ROW(),$H$6)),INDEX($A:$AP,ROW(),$H$6),IFERROR(--SUBSTITUTE(SUBSTITUTE(TRIM(INDEX($A:$AP,ROW(),$H$6)),",",""),"원",""),0)))))</f>
        <v/>
      </c>
      <c r="AW371" s="2">
        <f>IF(OR($AS371="",$C$6=""),"",TRIM(INDEX($A:$AP,ROW(),$C$6)&amp;""))</f>
        <v/>
      </c>
      <c r="AX371" s="2">
        <f>IF($AS371="","",IF($AZ371&lt;&gt;"",SUBSTITUTE(SUBSTITUTE($AZ371,"-","")," ",""),$AY371))</f>
        <v/>
      </c>
      <c r="AY371" s="2">
        <f>IF(OR($AS371="",$E$6=""),"",TRIM(INDEX($A:$AP,ROW(),$E$6)&amp;""))</f>
        <v/>
      </c>
      <c r="AZ371" s="2">
        <f>IF(OR($AS371="",$D$6=""),"",TRIM(INDEX($A:$AP,ROW(),$D$6)&amp;""))</f>
        <v/>
      </c>
      <c r="BA371" s="2">
        <f>IF($AS371="","",IF(AND($AS371&gt;=설정!$B$10,$AS371&lt;=설정!$B$11),"포함","기간 밖"))</f>
        <v/>
      </c>
      <c r="BB371" s="2">
        <f>IF($AS371="","",IF(OR($AT371&lt;0,AND($I$6&lt;&gt;"",ISNUMBER(FIND("수정",INDEX($A:$AP,ROW(),IF($I$6="",1,$I$6))&amp;"")))),"수정","일반"))</f>
        <v/>
      </c>
      <c r="BC371" s="2">
        <f>IF($AS371="","",MID(IF($BA371="기간 밖"," / 기간 밖(신고기간 아님)","")&amp;IF(AND($AW371&lt;&gt;"",COUNTIF($AW$8:$AW$1007,$AW371)&gt;1)," / 승인번호 중복(두 번 붙여넣기?)","")&amp;IF(ABS($AU371-ROUND($AT371*0.1,0))&gt;설정!$B$8,IF($AU371=0," / 세액 0원(영세율·면세 여부 확인)"," / 세액이 공급가액 10%와 다름"),"")&amp;IF($BB371="수정"," / 수정세금계산서(합계에서 자동 가감)",""),4,200))</f>
        <v/>
      </c>
      <c r="BD371" s="2">
        <f>IF($BA371&lt;&gt;"포함","",IF(COUNTIFS($AX$8:$AX371,$AX371,$BA$8:$BA371,"포함")=1,MAX($BD$7:BD370)+1,""))</f>
        <v/>
      </c>
      <c r="BE371" s="2">
        <f>IF($BC371="","",MAX($BE$7:BE370)+1)</f>
        <v/>
      </c>
    </row>
    <row r="372">
      <c r="AR372" s="2">
        <f>IF(OR($A$5="",$B$6="",ROW()&lt;$A$5),"",IF(INDEX($A:$AP,ROW(),$B$6)="","",INDEX($A:$AP,ROW(),$B$6)))</f>
        <v/>
      </c>
      <c r="AS372" s="22">
        <f>IF($AR372="","",IF(ISNUMBER($AR372),IF($AR372&gt;=10000000,IFERROR(DATE(INT($AR372/10000),MOD(INT($AR372/100),100),MOD($AR372,100)),""),INT($AR372)),IFERROR(DATE(--LEFT(LEFT(SUBSTITUTE(SUBSTITUTE(SUBSTITUTE(SUBSTITUTE(TRIM($AR372),"-",""),".",""),"/","")," ",""),8),4),--MID(LEFT(SUBSTITUTE(SUBSTITUTE(SUBSTITUTE(SUBSTITUTE(TRIM($AR372),"-",""),".",""),"/","")," ",""),8),5,2),--MID(LEFT(SUBSTITUTE(SUBSTITUTE(SUBSTITUTE(SUBSTITUTE(TRIM($AR372),"-",""),".",""),"/","")," ",""),8),7,2)),"")))</f>
        <v/>
      </c>
      <c r="AT372" s="23">
        <f>IF($AS372="","",IF($F$6="",0,IF(ISNUMBER(INDEX($A:$AP,ROW(),$F$6)),INDEX($A:$AP,ROW(),$F$6),IFERROR(--SUBSTITUTE(SUBSTITUTE(TRIM(INDEX($A:$AP,ROW(),$F$6)),",",""),"원",""),0))))</f>
        <v/>
      </c>
      <c r="AU372" s="23">
        <f>IF($AS372="","",IF($G$6="",0,IF(ISNUMBER(INDEX($A:$AP,ROW(),$G$6)),INDEX($A:$AP,ROW(),$G$6),IFERROR(--SUBSTITUTE(SUBSTITUTE(TRIM(INDEX($A:$AP,ROW(),$G$6)),",",""),"원",""),0))))</f>
        <v/>
      </c>
      <c r="AV372" s="23">
        <f>IF($AS372="","",IF($H$6="",$AT372+$AU372,IF($H$6="",0,IF(ISNUMBER(INDEX($A:$AP,ROW(),$H$6)),INDEX($A:$AP,ROW(),$H$6),IFERROR(--SUBSTITUTE(SUBSTITUTE(TRIM(INDEX($A:$AP,ROW(),$H$6)),",",""),"원",""),0)))))</f>
        <v/>
      </c>
      <c r="AW372" s="2">
        <f>IF(OR($AS372="",$C$6=""),"",TRIM(INDEX($A:$AP,ROW(),$C$6)&amp;""))</f>
        <v/>
      </c>
      <c r="AX372" s="2">
        <f>IF($AS372="","",IF($AZ372&lt;&gt;"",SUBSTITUTE(SUBSTITUTE($AZ372,"-","")," ",""),$AY372))</f>
        <v/>
      </c>
      <c r="AY372" s="2">
        <f>IF(OR($AS372="",$E$6=""),"",TRIM(INDEX($A:$AP,ROW(),$E$6)&amp;""))</f>
        <v/>
      </c>
      <c r="AZ372" s="2">
        <f>IF(OR($AS372="",$D$6=""),"",TRIM(INDEX($A:$AP,ROW(),$D$6)&amp;""))</f>
        <v/>
      </c>
      <c r="BA372" s="2">
        <f>IF($AS372="","",IF(AND($AS372&gt;=설정!$B$10,$AS372&lt;=설정!$B$11),"포함","기간 밖"))</f>
        <v/>
      </c>
      <c r="BB372" s="2">
        <f>IF($AS372="","",IF(OR($AT372&lt;0,AND($I$6&lt;&gt;"",ISNUMBER(FIND("수정",INDEX($A:$AP,ROW(),IF($I$6="",1,$I$6))&amp;"")))),"수정","일반"))</f>
        <v/>
      </c>
      <c r="BC372" s="2">
        <f>IF($AS372="","",MID(IF($BA372="기간 밖"," / 기간 밖(신고기간 아님)","")&amp;IF(AND($AW372&lt;&gt;"",COUNTIF($AW$8:$AW$1007,$AW372)&gt;1)," / 승인번호 중복(두 번 붙여넣기?)","")&amp;IF(ABS($AU372-ROUND($AT372*0.1,0))&gt;설정!$B$8,IF($AU372=0," / 세액 0원(영세율·면세 여부 확인)"," / 세액이 공급가액 10%와 다름"),"")&amp;IF($BB372="수정"," / 수정세금계산서(합계에서 자동 가감)",""),4,200))</f>
        <v/>
      </c>
      <c r="BD372" s="2">
        <f>IF($BA372&lt;&gt;"포함","",IF(COUNTIFS($AX$8:$AX372,$AX372,$BA$8:$BA372,"포함")=1,MAX($BD$7:BD371)+1,""))</f>
        <v/>
      </c>
      <c r="BE372" s="2">
        <f>IF($BC372="","",MAX($BE$7:BE371)+1)</f>
        <v/>
      </c>
    </row>
    <row r="373">
      <c r="AR373" s="2">
        <f>IF(OR($A$5="",$B$6="",ROW()&lt;$A$5),"",IF(INDEX($A:$AP,ROW(),$B$6)="","",INDEX($A:$AP,ROW(),$B$6)))</f>
        <v/>
      </c>
      <c r="AS373" s="22">
        <f>IF($AR373="","",IF(ISNUMBER($AR373),IF($AR373&gt;=10000000,IFERROR(DATE(INT($AR373/10000),MOD(INT($AR373/100),100),MOD($AR373,100)),""),INT($AR373)),IFERROR(DATE(--LEFT(LEFT(SUBSTITUTE(SUBSTITUTE(SUBSTITUTE(SUBSTITUTE(TRIM($AR373),"-",""),".",""),"/","")," ",""),8),4),--MID(LEFT(SUBSTITUTE(SUBSTITUTE(SUBSTITUTE(SUBSTITUTE(TRIM($AR373),"-",""),".",""),"/","")," ",""),8),5,2),--MID(LEFT(SUBSTITUTE(SUBSTITUTE(SUBSTITUTE(SUBSTITUTE(TRIM($AR373),"-",""),".",""),"/","")," ",""),8),7,2)),"")))</f>
        <v/>
      </c>
      <c r="AT373" s="23">
        <f>IF($AS373="","",IF($F$6="",0,IF(ISNUMBER(INDEX($A:$AP,ROW(),$F$6)),INDEX($A:$AP,ROW(),$F$6),IFERROR(--SUBSTITUTE(SUBSTITUTE(TRIM(INDEX($A:$AP,ROW(),$F$6)),",",""),"원",""),0))))</f>
        <v/>
      </c>
      <c r="AU373" s="23">
        <f>IF($AS373="","",IF($G$6="",0,IF(ISNUMBER(INDEX($A:$AP,ROW(),$G$6)),INDEX($A:$AP,ROW(),$G$6),IFERROR(--SUBSTITUTE(SUBSTITUTE(TRIM(INDEX($A:$AP,ROW(),$G$6)),",",""),"원",""),0))))</f>
        <v/>
      </c>
      <c r="AV373" s="23">
        <f>IF($AS373="","",IF($H$6="",$AT373+$AU373,IF($H$6="",0,IF(ISNUMBER(INDEX($A:$AP,ROW(),$H$6)),INDEX($A:$AP,ROW(),$H$6),IFERROR(--SUBSTITUTE(SUBSTITUTE(TRIM(INDEX($A:$AP,ROW(),$H$6)),",",""),"원",""),0)))))</f>
        <v/>
      </c>
      <c r="AW373" s="2">
        <f>IF(OR($AS373="",$C$6=""),"",TRIM(INDEX($A:$AP,ROW(),$C$6)&amp;""))</f>
        <v/>
      </c>
      <c r="AX373" s="2">
        <f>IF($AS373="","",IF($AZ373&lt;&gt;"",SUBSTITUTE(SUBSTITUTE($AZ373,"-","")," ",""),$AY373))</f>
        <v/>
      </c>
      <c r="AY373" s="2">
        <f>IF(OR($AS373="",$E$6=""),"",TRIM(INDEX($A:$AP,ROW(),$E$6)&amp;""))</f>
        <v/>
      </c>
      <c r="AZ373" s="2">
        <f>IF(OR($AS373="",$D$6=""),"",TRIM(INDEX($A:$AP,ROW(),$D$6)&amp;""))</f>
        <v/>
      </c>
      <c r="BA373" s="2">
        <f>IF($AS373="","",IF(AND($AS373&gt;=설정!$B$10,$AS373&lt;=설정!$B$11),"포함","기간 밖"))</f>
        <v/>
      </c>
      <c r="BB373" s="2">
        <f>IF($AS373="","",IF(OR($AT373&lt;0,AND($I$6&lt;&gt;"",ISNUMBER(FIND("수정",INDEX($A:$AP,ROW(),IF($I$6="",1,$I$6))&amp;"")))),"수정","일반"))</f>
        <v/>
      </c>
      <c r="BC373" s="2">
        <f>IF($AS373="","",MID(IF($BA373="기간 밖"," / 기간 밖(신고기간 아님)","")&amp;IF(AND($AW373&lt;&gt;"",COUNTIF($AW$8:$AW$1007,$AW373)&gt;1)," / 승인번호 중복(두 번 붙여넣기?)","")&amp;IF(ABS($AU373-ROUND($AT373*0.1,0))&gt;설정!$B$8,IF($AU373=0," / 세액 0원(영세율·면세 여부 확인)"," / 세액이 공급가액 10%와 다름"),"")&amp;IF($BB373="수정"," / 수정세금계산서(합계에서 자동 가감)",""),4,200))</f>
        <v/>
      </c>
      <c r="BD373" s="2">
        <f>IF($BA373&lt;&gt;"포함","",IF(COUNTIFS($AX$8:$AX373,$AX373,$BA$8:$BA373,"포함")=1,MAX($BD$7:BD372)+1,""))</f>
        <v/>
      </c>
      <c r="BE373" s="2">
        <f>IF($BC373="","",MAX($BE$7:BE372)+1)</f>
        <v/>
      </c>
    </row>
    <row r="374">
      <c r="AR374" s="2">
        <f>IF(OR($A$5="",$B$6="",ROW()&lt;$A$5),"",IF(INDEX($A:$AP,ROW(),$B$6)="","",INDEX($A:$AP,ROW(),$B$6)))</f>
        <v/>
      </c>
      <c r="AS374" s="22">
        <f>IF($AR374="","",IF(ISNUMBER($AR374),IF($AR374&gt;=10000000,IFERROR(DATE(INT($AR374/10000),MOD(INT($AR374/100),100),MOD($AR374,100)),""),INT($AR374)),IFERROR(DATE(--LEFT(LEFT(SUBSTITUTE(SUBSTITUTE(SUBSTITUTE(SUBSTITUTE(TRIM($AR374),"-",""),".",""),"/","")," ",""),8),4),--MID(LEFT(SUBSTITUTE(SUBSTITUTE(SUBSTITUTE(SUBSTITUTE(TRIM($AR374),"-",""),".",""),"/","")," ",""),8),5,2),--MID(LEFT(SUBSTITUTE(SUBSTITUTE(SUBSTITUTE(SUBSTITUTE(TRIM($AR374),"-",""),".",""),"/","")," ",""),8),7,2)),"")))</f>
        <v/>
      </c>
      <c r="AT374" s="23">
        <f>IF($AS374="","",IF($F$6="",0,IF(ISNUMBER(INDEX($A:$AP,ROW(),$F$6)),INDEX($A:$AP,ROW(),$F$6),IFERROR(--SUBSTITUTE(SUBSTITUTE(TRIM(INDEX($A:$AP,ROW(),$F$6)),",",""),"원",""),0))))</f>
        <v/>
      </c>
      <c r="AU374" s="23">
        <f>IF($AS374="","",IF($G$6="",0,IF(ISNUMBER(INDEX($A:$AP,ROW(),$G$6)),INDEX($A:$AP,ROW(),$G$6),IFERROR(--SUBSTITUTE(SUBSTITUTE(TRIM(INDEX($A:$AP,ROW(),$G$6)),",",""),"원",""),0))))</f>
        <v/>
      </c>
      <c r="AV374" s="23">
        <f>IF($AS374="","",IF($H$6="",$AT374+$AU374,IF($H$6="",0,IF(ISNUMBER(INDEX($A:$AP,ROW(),$H$6)),INDEX($A:$AP,ROW(),$H$6),IFERROR(--SUBSTITUTE(SUBSTITUTE(TRIM(INDEX($A:$AP,ROW(),$H$6)),",",""),"원",""),0)))))</f>
        <v/>
      </c>
      <c r="AW374" s="2">
        <f>IF(OR($AS374="",$C$6=""),"",TRIM(INDEX($A:$AP,ROW(),$C$6)&amp;""))</f>
        <v/>
      </c>
      <c r="AX374" s="2">
        <f>IF($AS374="","",IF($AZ374&lt;&gt;"",SUBSTITUTE(SUBSTITUTE($AZ374,"-","")," ",""),$AY374))</f>
        <v/>
      </c>
      <c r="AY374" s="2">
        <f>IF(OR($AS374="",$E$6=""),"",TRIM(INDEX($A:$AP,ROW(),$E$6)&amp;""))</f>
        <v/>
      </c>
      <c r="AZ374" s="2">
        <f>IF(OR($AS374="",$D$6=""),"",TRIM(INDEX($A:$AP,ROW(),$D$6)&amp;""))</f>
        <v/>
      </c>
      <c r="BA374" s="2">
        <f>IF($AS374="","",IF(AND($AS374&gt;=설정!$B$10,$AS374&lt;=설정!$B$11),"포함","기간 밖"))</f>
        <v/>
      </c>
      <c r="BB374" s="2">
        <f>IF($AS374="","",IF(OR($AT374&lt;0,AND($I$6&lt;&gt;"",ISNUMBER(FIND("수정",INDEX($A:$AP,ROW(),IF($I$6="",1,$I$6))&amp;"")))),"수정","일반"))</f>
        <v/>
      </c>
      <c r="BC374" s="2">
        <f>IF($AS374="","",MID(IF($BA374="기간 밖"," / 기간 밖(신고기간 아님)","")&amp;IF(AND($AW374&lt;&gt;"",COUNTIF($AW$8:$AW$1007,$AW374)&gt;1)," / 승인번호 중복(두 번 붙여넣기?)","")&amp;IF(ABS($AU374-ROUND($AT374*0.1,0))&gt;설정!$B$8,IF($AU374=0," / 세액 0원(영세율·면세 여부 확인)"," / 세액이 공급가액 10%와 다름"),"")&amp;IF($BB374="수정"," / 수정세금계산서(합계에서 자동 가감)",""),4,200))</f>
        <v/>
      </c>
      <c r="BD374" s="2">
        <f>IF($BA374&lt;&gt;"포함","",IF(COUNTIFS($AX$8:$AX374,$AX374,$BA$8:$BA374,"포함")=1,MAX($BD$7:BD373)+1,""))</f>
        <v/>
      </c>
      <c r="BE374" s="2">
        <f>IF($BC374="","",MAX($BE$7:BE373)+1)</f>
        <v/>
      </c>
    </row>
    <row r="375">
      <c r="AR375" s="2">
        <f>IF(OR($A$5="",$B$6="",ROW()&lt;$A$5),"",IF(INDEX($A:$AP,ROW(),$B$6)="","",INDEX($A:$AP,ROW(),$B$6)))</f>
        <v/>
      </c>
      <c r="AS375" s="22">
        <f>IF($AR375="","",IF(ISNUMBER($AR375),IF($AR375&gt;=10000000,IFERROR(DATE(INT($AR375/10000),MOD(INT($AR375/100),100),MOD($AR375,100)),""),INT($AR375)),IFERROR(DATE(--LEFT(LEFT(SUBSTITUTE(SUBSTITUTE(SUBSTITUTE(SUBSTITUTE(TRIM($AR375),"-",""),".",""),"/","")," ",""),8),4),--MID(LEFT(SUBSTITUTE(SUBSTITUTE(SUBSTITUTE(SUBSTITUTE(TRIM($AR375),"-",""),".",""),"/","")," ",""),8),5,2),--MID(LEFT(SUBSTITUTE(SUBSTITUTE(SUBSTITUTE(SUBSTITUTE(TRIM($AR375),"-",""),".",""),"/","")," ",""),8),7,2)),"")))</f>
        <v/>
      </c>
      <c r="AT375" s="23">
        <f>IF($AS375="","",IF($F$6="",0,IF(ISNUMBER(INDEX($A:$AP,ROW(),$F$6)),INDEX($A:$AP,ROW(),$F$6),IFERROR(--SUBSTITUTE(SUBSTITUTE(TRIM(INDEX($A:$AP,ROW(),$F$6)),",",""),"원",""),0))))</f>
        <v/>
      </c>
      <c r="AU375" s="23">
        <f>IF($AS375="","",IF($G$6="",0,IF(ISNUMBER(INDEX($A:$AP,ROW(),$G$6)),INDEX($A:$AP,ROW(),$G$6),IFERROR(--SUBSTITUTE(SUBSTITUTE(TRIM(INDEX($A:$AP,ROW(),$G$6)),",",""),"원",""),0))))</f>
        <v/>
      </c>
      <c r="AV375" s="23">
        <f>IF($AS375="","",IF($H$6="",$AT375+$AU375,IF($H$6="",0,IF(ISNUMBER(INDEX($A:$AP,ROW(),$H$6)),INDEX($A:$AP,ROW(),$H$6),IFERROR(--SUBSTITUTE(SUBSTITUTE(TRIM(INDEX($A:$AP,ROW(),$H$6)),",",""),"원",""),0)))))</f>
        <v/>
      </c>
      <c r="AW375" s="2">
        <f>IF(OR($AS375="",$C$6=""),"",TRIM(INDEX($A:$AP,ROW(),$C$6)&amp;""))</f>
        <v/>
      </c>
      <c r="AX375" s="2">
        <f>IF($AS375="","",IF($AZ375&lt;&gt;"",SUBSTITUTE(SUBSTITUTE($AZ375,"-","")," ",""),$AY375))</f>
        <v/>
      </c>
      <c r="AY375" s="2">
        <f>IF(OR($AS375="",$E$6=""),"",TRIM(INDEX($A:$AP,ROW(),$E$6)&amp;""))</f>
        <v/>
      </c>
      <c r="AZ375" s="2">
        <f>IF(OR($AS375="",$D$6=""),"",TRIM(INDEX($A:$AP,ROW(),$D$6)&amp;""))</f>
        <v/>
      </c>
      <c r="BA375" s="2">
        <f>IF($AS375="","",IF(AND($AS375&gt;=설정!$B$10,$AS375&lt;=설정!$B$11),"포함","기간 밖"))</f>
        <v/>
      </c>
      <c r="BB375" s="2">
        <f>IF($AS375="","",IF(OR($AT375&lt;0,AND($I$6&lt;&gt;"",ISNUMBER(FIND("수정",INDEX($A:$AP,ROW(),IF($I$6="",1,$I$6))&amp;"")))),"수정","일반"))</f>
        <v/>
      </c>
      <c r="BC375" s="2">
        <f>IF($AS375="","",MID(IF($BA375="기간 밖"," / 기간 밖(신고기간 아님)","")&amp;IF(AND($AW375&lt;&gt;"",COUNTIF($AW$8:$AW$1007,$AW375)&gt;1)," / 승인번호 중복(두 번 붙여넣기?)","")&amp;IF(ABS($AU375-ROUND($AT375*0.1,0))&gt;설정!$B$8,IF($AU375=0," / 세액 0원(영세율·면세 여부 확인)"," / 세액이 공급가액 10%와 다름"),"")&amp;IF($BB375="수정"," / 수정세금계산서(합계에서 자동 가감)",""),4,200))</f>
        <v/>
      </c>
      <c r="BD375" s="2">
        <f>IF($BA375&lt;&gt;"포함","",IF(COUNTIFS($AX$8:$AX375,$AX375,$BA$8:$BA375,"포함")=1,MAX($BD$7:BD374)+1,""))</f>
        <v/>
      </c>
      <c r="BE375" s="2">
        <f>IF($BC375="","",MAX($BE$7:BE374)+1)</f>
        <v/>
      </c>
    </row>
    <row r="376">
      <c r="AR376" s="2">
        <f>IF(OR($A$5="",$B$6="",ROW()&lt;$A$5),"",IF(INDEX($A:$AP,ROW(),$B$6)="","",INDEX($A:$AP,ROW(),$B$6)))</f>
        <v/>
      </c>
      <c r="AS376" s="22">
        <f>IF($AR376="","",IF(ISNUMBER($AR376),IF($AR376&gt;=10000000,IFERROR(DATE(INT($AR376/10000),MOD(INT($AR376/100),100),MOD($AR376,100)),""),INT($AR376)),IFERROR(DATE(--LEFT(LEFT(SUBSTITUTE(SUBSTITUTE(SUBSTITUTE(SUBSTITUTE(TRIM($AR376),"-",""),".",""),"/","")," ",""),8),4),--MID(LEFT(SUBSTITUTE(SUBSTITUTE(SUBSTITUTE(SUBSTITUTE(TRIM($AR376),"-",""),".",""),"/","")," ",""),8),5,2),--MID(LEFT(SUBSTITUTE(SUBSTITUTE(SUBSTITUTE(SUBSTITUTE(TRIM($AR376),"-",""),".",""),"/","")," ",""),8),7,2)),"")))</f>
        <v/>
      </c>
      <c r="AT376" s="23">
        <f>IF($AS376="","",IF($F$6="",0,IF(ISNUMBER(INDEX($A:$AP,ROW(),$F$6)),INDEX($A:$AP,ROW(),$F$6),IFERROR(--SUBSTITUTE(SUBSTITUTE(TRIM(INDEX($A:$AP,ROW(),$F$6)),",",""),"원",""),0))))</f>
        <v/>
      </c>
      <c r="AU376" s="23">
        <f>IF($AS376="","",IF($G$6="",0,IF(ISNUMBER(INDEX($A:$AP,ROW(),$G$6)),INDEX($A:$AP,ROW(),$G$6),IFERROR(--SUBSTITUTE(SUBSTITUTE(TRIM(INDEX($A:$AP,ROW(),$G$6)),",",""),"원",""),0))))</f>
        <v/>
      </c>
      <c r="AV376" s="23">
        <f>IF($AS376="","",IF($H$6="",$AT376+$AU376,IF($H$6="",0,IF(ISNUMBER(INDEX($A:$AP,ROW(),$H$6)),INDEX($A:$AP,ROW(),$H$6),IFERROR(--SUBSTITUTE(SUBSTITUTE(TRIM(INDEX($A:$AP,ROW(),$H$6)),",",""),"원",""),0)))))</f>
        <v/>
      </c>
      <c r="AW376" s="2">
        <f>IF(OR($AS376="",$C$6=""),"",TRIM(INDEX($A:$AP,ROW(),$C$6)&amp;""))</f>
        <v/>
      </c>
      <c r="AX376" s="2">
        <f>IF($AS376="","",IF($AZ376&lt;&gt;"",SUBSTITUTE(SUBSTITUTE($AZ376,"-","")," ",""),$AY376))</f>
        <v/>
      </c>
      <c r="AY376" s="2">
        <f>IF(OR($AS376="",$E$6=""),"",TRIM(INDEX($A:$AP,ROW(),$E$6)&amp;""))</f>
        <v/>
      </c>
      <c r="AZ376" s="2">
        <f>IF(OR($AS376="",$D$6=""),"",TRIM(INDEX($A:$AP,ROW(),$D$6)&amp;""))</f>
        <v/>
      </c>
      <c r="BA376" s="2">
        <f>IF($AS376="","",IF(AND($AS376&gt;=설정!$B$10,$AS376&lt;=설정!$B$11),"포함","기간 밖"))</f>
        <v/>
      </c>
      <c r="BB376" s="2">
        <f>IF($AS376="","",IF(OR($AT376&lt;0,AND($I$6&lt;&gt;"",ISNUMBER(FIND("수정",INDEX($A:$AP,ROW(),IF($I$6="",1,$I$6))&amp;"")))),"수정","일반"))</f>
        <v/>
      </c>
      <c r="BC376" s="2">
        <f>IF($AS376="","",MID(IF($BA376="기간 밖"," / 기간 밖(신고기간 아님)","")&amp;IF(AND($AW376&lt;&gt;"",COUNTIF($AW$8:$AW$1007,$AW376)&gt;1)," / 승인번호 중복(두 번 붙여넣기?)","")&amp;IF(ABS($AU376-ROUND($AT376*0.1,0))&gt;설정!$B$8,IF($AU376=0," / 세액 0원(영세율·면세 여부 확인)"," / 세액이 공급가액 10%와 다름"),"")&amp;IF($BB376="수정"," / 수정세금계산서(합계에서 자동 가감)",""),4,200))</f>
        <v/>
      </c>
      <c r="BD376" s="2">
        <f>IF($BA376&lt;&gt;"포함","",IF(COUNTIFS($AX$8:$AX376,$AX376,$BA$8:$BA376,"포함")=1,MAX($BD$7:BD375)+1,""))</f>
        <v/>
      </c>
      <c r="BE376" s="2">
        <f>IF($BC376="","",MAX($BE$7:BE375)+1)</f>
        <v/>
      </c>
    </row>
    <row r="377">
      <c r="AR377" s="2">
        <f>IF(OR($A$5="",$B$6="",ROW()&lt;$A$5),"",IF(INDEX($A:$AP,ROW(),$B$6)="","",INDEX($A:$AP,ROW(),$B$6)))</f>
        <v/>
      </c>
      <c r="AS377" s="22">
        <f>IF($AR377="","",IF(ISNUMBER($AR377),IF($AR377&gt;=10000000,IFERROR(DATE(INT($AR377/10000),MOD(INT($AR377/100),100),MOD($AR377,100)),""),INT($AR377)),IFERROR(DATE(--LEFT(LEFT(SUBSTITUTE(SUBSTITUTE(SUBSTITUTE(SUBSTITUTE(TRIM($AR377),"-",""),".",""),"/","")," ",""),8),4),--MID(LEFT(SUBSTITUTE(SUBSTITUTE(SUBSTITUTE(SUBSTITUTE(TRIM($AR377),"-",""),".",""),"/","")," ",""),8),5,2),--MID(LEFT(SUBSTITUTE(SUBSTITUTE(SUBSTITUTE(SUBSTITUTE(TRIM($AR377),"-",""),".",""),"/","")," ",""),8),7,2)),"")))</f>
        <v/>
      </c>
      <c r="AT377" s="23">
        <f>IF($AS377="","",IF($F$6="",0,IF(ISNUMBER(INDEX($A:$AP,ROW(),$F$6)),INDEX($A:$AP,ROW(),$F$6),IFERROR(--SUBSTITUTE(SUBSTITUTE(TRIM(INDEX($A:$AP,ROW(),$F$6)),",",""),"원",""),0))))</f>
        <v/>
      </c>
      <c r="AU377" s="23">
        <f>IF($AS377="","",IF($G$6="",0,IF(ISNUMBER(INDEX($A:$AP,ROW(),$G$6)),INDEX($A:$AP,ROW(),$G$6),IFERROR(--SUBSTITUTE(SUBSTITUTE(TRIM(INDEX($A:$AP,ROW(),$G$6)),",",""),"원",""),0))))</f>
        <v/>
      </c>
      <c r="AV377" s="23">
        <f>IF($AS377="","",IF($H$6="",$AT377+$AU377,IF($H$6="",0,IF(ISNUMBER(INDEX($A:$AP,ROW(),$H$6)),INDEX($A:$AP,ROW(),$H$6),IFERROR(--SUBSTITUTE(SUBSTITUTE(TRIM(INDEX($A:$AP,ROW(),$H$6)),",",""),"원",""),0)))))</f>
        <v/>
      </c>
      <c r="AW377" s="2">
        <f>IF(OR($AS377="",$C$6=""),"",TRIM(INDEX($A:$AP,ROW(),$C$6)&amp;""))</f>
        <v/>
      </c>
      <c r="AX377" s="2">
        <f>IF($AS377="","",IF($AZ377&lt;&gt;"",SUBSTITUTE(SUBSTITUTE($AZ377,"-","")," ",""),$AY377))</f>
        <v/>
      </c>
      <c r="AY377" s="2">
        <f>IF(OR($AS377="",$E$6=""),"",TRIM(INDEX($A:$AP,ROW(),$E$6)&amp;""))</f>
        <v/>
      </c>
      <c r="AZ377" s="2">
        <f>IF(OR($AS377="",$D$6=""),"",TRIM(INDEX($A:$AP,ROW(),$D$6)&amp;""))</f>
        <v/>
      </c>
      <c r="BA377" s="2">
        <f>IF($AS377="","",IF(AND($AS377&gt;=설정!$B$10,$AS377&lt;=설정!$B$11),"포함","기간 밖"))</f>
        <v/>
      </c>
      <c r="BB377" s="2">
        <f>IF($AS377="","",IF(OR($AT377&lt;0,AND($I$6&lt;&gt;"",ISNUMBER(FIND("수정",INDEX($A:$AP,ROW(),IF($I$6="",1,$I$6))&amp;"")))),"수정","일반"))</f>
        <v/>
      </c>
      <c r="BC377" s="2">
        <f>IF($AS377="","",MID(IF($BA377="기간 밖"," / 기간 밖(신고기간 아님)","")&amp;IF(AND($AW377&lt;&gt;"",COUNTIF($AW$8:$AW$1007,$AW377)&gt;1)," / 승인번호 중복(두 번 붙여넣기?)","")&amp;IF(ABS($AU377-ROUND($AT377*0.1,0))&gt;설정!$B$8,IF($AU377=0," / 세액 0원(영세율·면세 여부 확인)"," / 세액이 공급가액 10%와 다름"),"")&amp;IF($BB377="수정"," / 수정세금계산서(합계에서 자동 가감)",""),4,200))</f>
        <v/>
      </c>
      <c r="BD377" s="2">
        <f>IF($BA377&lt;&gt;"포함","",IF(COUNTIFS($AX$8:$AX377,$AX377,$BA$8:$BA377,"포함")=1,MAX($BD$7:BD376)+1,""))</f>
        <v/>
      </c>
      <c r="BE377" s="2">
        <f>IF($BC377="","",MAX($BE$7:BE376)+1)</f>
        <v/>
      </c>
    </row>
    <row r="378">
      <c r="AR378" s="2">
        <f>IF(OR($A$5="",$B$6="",ROW()&lt;$A$5),"",IF(INDEX($A:$AP,ROW(),$B$6)="","",INDEX($A:$AP,ROW(),$B$6)))</f>
        <v/>
      </c>
      <c r="AS378" s="22">
        <f>IF($AR378="","",IF(ISNUMBER($AR378),IF($AR378&gt;=10000000,IFERROR(DATE(INT($AR378/10000),MOD(INT($AR378/100),100),MOD($AR378,100)),""),INT($AR378)),IFERROR(DATE(--LEFT(LEFT(SUBSTITUTE(SUBSTITUTE(SUBSTITUTE(SUBSTITUTE(TRIM($AR378),"-",""),".",""),"/","")," ",""),8),4),--MID(LEFT(SUBSTITUTE(SUBSTITUTE(SUBSTITUTE(SUBSTITUTE(TRIM($AR378),"-",""),".",""),"/","")," ",""),8),5,2),--MID(LEFT(SUBSTITUTE(SUBSTITUTE(SUBSTITUTE(SUBSTITUTE(TRIM($AR378),"-",""),".",""),"/","")," ",""),8),7,2)),"")))</f>
        <v/>
      </c>
      <c r="AT378" s="23">
        <f>IF($AS378="","",IF($F$6="",0,IF(ISNUMBER(INDEX($A:$AP,ROW(),$F$6)),INDEX($A:$AP,ROW(),$F$6),IFERROR(--SUBSTITUTE(SUBSTITUTE(TRIM(INDEX($A:$AP,ROW(),$F$6)),",",""),"원",""),0))))</f>
        <v/>
      </c>
      <c r="AU378" s="23">
        <f>IF($AS378="","",IF($G$6="",0,IF(ISNUMBER(INDEX($A:$AP,ROW(),$G$6)),INDEX($A:$AP,ROW(),$G$6),IFERROR(--SUBSTITUTE(SUBSTITUTE(TRIM(INDEX($A:$AP,ROW(),$G$6)),",",""),"원",""),0))))</f>
        <v/>
      </c>
      <c r="AV378" s="23">
        <f>IF($AS378="","",IF($H$6="",$AT378+$AU378,IF($H$6="",0,IF(ISNUMBER(INDEX($A:$AP,ROW(),$H$6)),INDEX($A:$AP,ROW(),$H$6),IFERROR(--SUBSTITUTE(SUBSTITUTE(TRIM(INDEX($A:$AP,ROW(),$H$6)),",",""),"원",""),0)))))</f>
        <v/>
      </c>
      <c r="AW378" s="2">
        <f>IF(OR($AS378="",$C$6=""),"",TRIM(INDEX($A:$AP,ROW(),$C$6)&amp;""))</f>
        <v/>
      </c>
      <c r="AX378" s="2">
        <f>IF($AS378="","",IF($AZ378&lt;&gt;"",SUBSTITUTE(SUBSTITUTE($AZ378,"-","")," ",""),$AY378))</f>
        <v/>
      </c>
      <c r="AY378" s="2">
        <f>IF(OR($AS378="",$E$6=""),"",TRIM(INDEX($A:$AP,ROW(),$E$6)&amp;""))</f>
        <v/>
      </c>
      <c r="AZ378" s="2">
        <f>IF(OR($AS378="",$D$6=""),"",TRIM(INDEX($A:$AP,ROW(),$D$6)&amp;""))</f>
        <v/>
      </c>
      <c r="BA378" s="2">
        <f>IF($AS378="","",IF(AND($AS378&gt;=설정!$B$10,$AS378&lt;=설정!$B$11),"포함","기간 밖"))</f>
        <v/>
      </c>
      <c r="BB378" s="2">
        <f>IF($AS378="","",IF(OR($AT378&lt;0,AND($I$6&lt;&gt;"",ISNUMBER(FIND("수정",INDEX($A:$AP,ROW(),IF($I$6="",1,$I$6))&amp;"")))),"수정","일반"))</f>
        <v/>
      </c>
      <c r="BC378" s="2">
        <f>IF($AS378="","",MID(IF($BA378="기간 밖"," / 기간 밖(신고기간 아님)","")&amp;IF(AND($AW378&lt;&gt;"",COUNTIF($AW$8:$AW$1007,$AW378)&gt;1)," / 승인번호 중복(두 번 붙여넣기?)","")&amp;IF(ABS($AU378-ROUND($AT378*0.1,0))&gt;설정!$B$8,IF($AU378=0," / 세액 0원(영세율·면세 여부 확인)"," / 세액이 공급가액 10%와 다름"),"")&amp;IF($BB378="수정"," / 수정세금계산서(합계에서 자동 가감)",""),4,200))</f>
        <v/>
      </c>
      <c r="BD378" s="2">
        <f>IF($BA378&lt;&gt;"포함","",IF(COUNTIFS($AX$8:$AX378,$AX378,$BA$8:$BA378,"포함")=1,MAX($BD$7:BD377)+1,""))</f>
        <v/>
      </c>
      <c r="BE378" s="2">
        <f>IF($BC378="","",MAX($BE$7:BE377)+1)</f>
        <v/>
      </c>
    </row>
    <row r="379">
      <c r="AR379" s="2">
        <f>IF(OR($A$5="",$B$6="",ROW()&lt;$A$5),"",IF(INDEX($A:$AP,ROW(),$B$6)="","",INDEX($A:$AP,ROW(),$B$6)))</f>
        <v/>
      </c>
      <c r="AS379" s="22">
        <f>IF($AR379="","",IF(ISNUMBER($AR379),IF($AR379&gt;=10000000,IFERROR(DATE(INT($AR379/10000),MOD(INT($AR379/100),100),MOD($AR379,100)),""),INT($AR379)),IFERROR(DATE(--LEFT(LEFT(SUBSTITUTE(SUBSTITUTE(SUBSTITUTE(SUBSTITUTE(TRIM($AR379),"-",""),".",""),"/","")," ",""),8),4),--MID(LEFT(SUBSTITUTE(SUBSTITUTE(SUBSTITUTE(SUBSTITUTE(TRIM($AR379),"-",""),".",""),"/","")," ",""),8),5,2),--MID(LEFT(SUBSTITUTE(SUBSTITUTE(SUBSTITUTE(SUBSTITUTE(TRIM($AR379),"-",""),".",""),"/","")," ",""),8),7,2)),"")))</f>
        <v/>
      </c>
      <c r="AT379" s="23">
        <f>IF($AS379="","",IF($F$6="",0,IF(ISNUMBER(INDEX($A:$AP,ROW(),$F$6)),INDEX($A:$AP,ROW(),$F$6),IFERROR(--SUBSTITUTE(SUBSTITUTE(TRIM(INDEX($A:$AP,ROW(),$F$6)),",",""),"원",""),0))))</f>
        <v/>
      </c>
      <c r="AU379" s="23">
        <f>IF($AS379="","",IF($G$6="",0,IF(ISNUMBER(INDEX($A:$AP,ROW(),$G$6)),INDEX($A:$AP,ROW(),$G$6),IFERROR(--SUBSTITUTE(SUBSTITUTE(TRIM(INDEX($A:$AP,ROW(),$G$6)),",",""),"원",""),0))))</f>
        <v/>
      </c>
      <c r="AV379" s="23">
        <f>IF($AS379="","",IF($H$6="",$AT379+$AU379,IF($H$6="",0,IF(ISNUMBER(INDEX($A:$AP,ROW(),$H$6)),INDEX($A:$AP,ROW(),$H$6),IFERROR(--SUBSTITUTE(SUBSTITUTE(TRIM(INDEX($A:$AP,ROW(),$H$6)),",",""),"원",""),0)))))</f>
        <v/>
      </c>
      <c r="AW379" s="2">
        <f>IF(OR($AS379="",$C$6=""),"",TRIM(INDEX($A:$AP,ROW(),$C$6)&amp;""))</f>
        <v/>
      </c>
      <c r="AX379" s="2">
        <f>IF($AS379="","",IF($AZ379&lt;&gt;"",SUBSTITUTE(SUBSTITUTE($AZ379,"-","")," ",""),$AY379))</f>
        <v/>
      </c>
      <c r="AY379" s="2">
        <f>IF(OR($AS379="",$E$6=""),"",TRIM(INDEX($A:$AP,ROW(),$E$6)&amp;""))</f>
        <v/>
      </c>
      <c r="AZ379" s="2">
        <f>IF(OR($AS379="",$D$6=""),"",TRIM(INDEX($A:$AP,ROW(),$D$6)&amp;""))</f>
        <v/>
      </c>
      <c r="BA379" s="2">
        <f>IF($AS379="","",IF(AND($AS379&gt;=설정!$B$10,$AS379&lt;=설정!$B$11),"포함","기간 밖"))</f>
        <v/>
      </c>
      <c r="BB379" s="2">
        <f>IF($AS379="","",IF(OR($AT379&lt;0,AND($I$6&lt;&gt;"",ISNUMBER(FIND("수정",INDEX($A:$AP,ROW(),IF($I$6="",1,$I$6))&amp;"")))),"수정","일반"))</f>
        <v/>
      </c>
      <c r="BC379" s="2">
        <f>IF($AS379="","",MID(IF($BA379="기간 밖"," / 기간 밖(신고기간 아님)","")&amp;IF(AND($AW379&lt;&gt;"",COUNTIF($AW$8:$AW$1007,$AW379)&gt;1)," / 승인번호 중복(두 번 붙여넣기?)","")&amp;IF(ABS($AU379-ROUND($AT379*0.1,0))&gt;설정!$B$8,IF($AU379=0," / 세액 0원(영세율·면세 여부 확인)"," / 세액이 공급가액 10%와 다름"),"")&amp;IF($BB379="수정"," / 수정세금계산서(합계에서 자동 가감)",""),4,200))</f>
        <v/>
      </c>
      <c r="BD379" s="2">
        <f>IF($BA379&lt;&gt;"포함","",IF(COUNTIFS($AX$8:$AX379,$AX379,$BA$8:$BA379,"포함")=1,MAX($BD$7:BD378)+1,""))</f>
        <v/>
      </c>
      <c r="BE379" s="2">
        <f>IF($BC379="","",MAX($BE$7:BE378)+1)</f>
        <v/>
      </c>
    </row>
    <row r="380">
      <c r="AR380" s="2">
        <f>IF(OR($A$5="",$B$6="",ROW()&lt;$A$5),"",IF(INDEX($A:$AP,ROW(),$B$6)="","",INDEX($A:$AP,ROW(),$B$6)))</f>
        <v/>
      </c>
      <c r="AS380" s="22">
        <f>IF($AR380="","",IF(ISNUMBER($AR380),IF($AR380&gt;=10000000,IFERROR(DATE(INT($AR380/10000),MOD(INT($AR380/100),100),MOD($AR380,100)),""),INT($AR380)),IFERROR(DATE(--LEFT(LEFT(SUBSTITUTE(SUBSTITUTE(SUBSTITUTE(SUBSTITUTE(TRIM($AR380),"-",""),".",""),"/","")," ",""),8),4),--MID(LEFT(SUBSTITUTE(SUBSTITUTE(SUBSTITUTE(SUBSTITUTE(TRIM($AR380),"-",""),".",""),"/","")," ",""),8),5,2),--MID(LEFT(SUBSTITUTE(SUBSTITUTE(SUBSTITUTE(SUBSTITUTE(TRIM($AR380),"-",""),".",""),"/","")," ",""),8),7,2)),"")))</f>
        <v/>
      </c>
      <c r="AT380" s="23">
        <f>IF($AS380="","",IF($F$6="",0,IF(ISNUMBER(INDEX($A:$AP,ROW(),$F$6)),INDEX($A:$AP,ROW(),$F$6),IFERROR(--SUBSTITUTE(SUBSTITUTE(TRIM(INDEX($A:$AP,ROW(),$F$6)),",",""),"원",""),0))))</f>
        <v/>
      </c>
      <c r="AU380" s="23">
        <f>IF($AS380="","",IF($G$6="",0,IF(ISNUMBER(INDEX($A:$AP,ROW(),$G$6)),INDEX($A:$AP,ROW(),$G$6),IFERROR(--SUBSTITUTE(SUBSTITUTE(TRIM(INDEX($A:$AP,ROW(),$G$6)),",",""),"원",""),0))))</f>
        <v/>
      </c>
      <c r="AV380" s="23">
        <f>IF($AS380="","",IF($H$6="",$AT380+$AU380,IF($H$6="",0,IF(ISNUMBER(INDEX($A:$AP,ROW(),$H$6)),INDEX($A:$AP,ROW(),$H$6),IFERROR(--SUBSTITUTE(SUBSTITUTE(TRIM(INDEX($A:$AP,ROW(),$H$6)),",",""),"원",""),0)))))</f>
        <v/>
      </c>
      <c r="AW380" s="2">
        <f>IF(OR($AS380="",$C$6=""),"",TRIM(INDEX($A:$AP,ROW(),$C$6)&amp;""))</f>
        <v/>
      </c>
      <c r="AX380" s="2">
        <f>IF($AS380="","",IF($AZ380&lt;&gt;"",SUBSTITUTE(SUBSTITUTE($AZ380,"-","")," ",""),$AY380))</f>
        <v/>
      </c>
      <c r="AY380" s="2">
        <f>IF(OR($AS380="",$E$6=""),"",TRIM(INDEX($A:$AP,ROW(),$E$6)&amp;""))</f>
        <v/>
      </c>
      <c r="AZ380" s="2">
        <f>IF(OR($AS380="",$D$6=""),"",TRIM(INDEX($A:$AP,ROW(),$D$6)&amp;""))</f>
        <v/>
      </c>
      <c r="BA380" s="2">
        <f>IF($AS380="","",IF(AND($AS380&gt;=설정!$B$10,$AS380&lt;=설정!$B$11),"포함","기간 밖"))</f>
        <v/>
      </c>
      <c r="BB380" s="2">
        <f>IF($AS380="","",IF(OR($AT380&lt;0,AND($I$6&lt;&gt;"",ISNUMBER(FIND("수정",INDEX($A:$AP,ROW(),IF($I$6="",1,$I$6))&amp;"")))),"수정","일반"))</f>
        <v/>
      </c>
      <c r="BC380" s="2">
        <f>IF($AS380="","",MID(IF($BA380="기간 밖"," / 기간 밖(신고기간 아님)","")&amp;IF(AND($AW380&lt;&gt;"",COUNTIF($AW$8:$AW$1007,$AW380)&gt;1)," / 승인번호 중복(두 번 붙여넣기?)","")&amp;IF(ABS($AU380-ROUND($AT380*0.1,0))&gt;설정!$B$8,IF($AU380=0," / 세액 0원(영세율·면세 여부 확인)"," / 세액이 공급가액 10%와 다름"),"")&amp;IF($BB380="수정"," / 수정세금계산서(합계에서 자동 가감)",""),4,200))</f>
        <v/>
      </c>
      <c r="BD380" s="2">
        <f>IF($BA380&lt;&gt;"포함","",IF(COUNTIFS($AX$8:$AX380,$AX380,$BA$8:$BA380,"포함")=1,MAX($BD$7:BD379)+1,""))</f>
        <v/>
      </c>
      <c r="BE380" s="2">
        <f>IF($BC380="","",MAX($BE$7:BE379)+1)</f>
        <v/>
      </c>
    </row>
    <row r="381">
      <c r="AR381" s="2">
        <f>IF(OR($A$5="",$B$6="",ROW()&lt;$A$5),"",IF(INDEX($A:$AP,ROW(),$B$6)="","",INDEX($A:$AP,ROW(),$B$6)))</f>
        <v/>
      </c>
      <c r="AS381" s="22">
        <f>IF($AR381="","",IF(ISNUMBER($AR381),IF($AR381&gt;=10000000,IFERROR(DATE(INT($AR381/10000),MOD(INT($AR381/100),100),MOD($AR381,100)),""),INT($AR381)),IFERROR(DATE(--LEFT(LEFT(SUBSTITUTE(SUBSTITUTE(SUBSTITUTE(SUBSTITUTE(TRIM($AR381),"-",""),".",""),"/","")," ",""),8),4),--MID(LEFT(SUBSTITUTE(SUBSTITUTE(SUBSTITUTE(SUBSTITUTE(TRIM($AR381),"-",""),".",""),"/","")," ",""),8),5,2),--MID(LEFT(SUBSTITUTE(SUBSTITUTE(SUBSTITUTE(SUBSTITUTE(TRIM($AR381),"-",""),".",""),"/","")," ",""),8),7,2)),"")))</f>
        <v/>
      </c>
      <c r="AT381" s="23">
        <f>IF($AS381="","",IF($F$6="",0,IF(ISNUMBER(INDEX($A:$AP,ROW(),$F$6)),INDEX($A:$AP,ROW(),$F$6),IFERROR(--SUBSTITUTE(SUBSTITUTE(TRIM(INDEX($A:$AP,ROW(),$F$6)),",",""),"원",""),0))))</f>
        <v/>
      </c>
      <c r="AU381" s="23">
        <f>IF($AS381="","",IF($G$6="",0,IF(ISNUMBER(INDEX($A:$AP,ROW(),$G$6)),INDEX($A:$AP,ROW(),$G$6),IFERROR(--SUBSTITUTE(SUBSTITUTE(TRIM(INDEX($A:$AP,ROW(),$G$6)),",",""),"원",""),0))))</f>
        <v/>
      </c>
      <c r="AV381" s="23">
        <f>IF($AS381="","",IF($H$6="",$AT381+$AU381,IF($H$6="",0,IF(ISNUMBER(INDEX($A:$AP,ROW(),$H$6)),INDEX($A:$AP,ROW(),$H$6),IFERROR(--SUBSTITUTE(SUBSTITUTE(TRIM(INDEX($A:$AP,ROW(),$H$6)),",",""),"원",""),0)))))</f>
        <v/>
      </c>
      <c r="AW381" s="2">
        <f>IF(OR($AS381="",$C$6=""),"",TRIM(INDEX($A:$AP,ROW(),$C$6)&amp;""))</f>
        <v/>
      </c>
      <c r="AX381" s="2">
        <f>IF($AS381="","",IF($AZ381&lt;&gt;"",SUBSTITUTE(SUBSTITUTE($AZ381,"-","")," ",""),$AY381))</f>
        <v/>
      </c>
      <c r="AY381" s="2">
        <f>IF(OR($AS381="",$E$6=""),"",TRIM(INDEX($A:$AP,ROW(),$E$6)&amp;""))</f>
        <v/>
      </c>
      <c r="AZ381" s="2">
        <f>IF(OR($AS381="",$D$6=""),"",TRIM(INDEX($A:$AP,ROW(),$D$6)&amp;""))</f>
        <v/>
      </c>
      <c r="BA381" s="2">
        <f>IF($AS381="","",IF(AND($AS381&gt;=설정!$B$10,$AS381&lt;=설정!$B$11),"포함","기간 밖"))</f>
        <v/>
      </c>
      <c r="BB381" s="2">
        <f>IF($AS381="","",IF(OR($AT381&lt;0,AND($I$6&lt;&gt;"",ISNUMBER(FIND("수정",INDEX($A:$AP,ROW(),IF($I$6="",1,$I$6))&amp;"")))),"수정","일반"))</f>
        <v/>
      </c>
      <c r="BC381" s="2">
        <f>IF($AS381="","",MID(IF($BA381="기간 밖"," / 기간 밖(신고기간 아님)","")&amp;IF(AND($AW381&lt;&gt;"",COUNTIF($AW$8:$AW$1007,$AW381)&gt;1)," / 승인번호 중복(두 번 붙여넣기?)","")&amp;IF(ABS($AU381-ROUND($AT381*0.1,0))&gt;설정!$B$8,IF($AU381=0," / 세액 0원(영세율·면세 여부 확인)"," / 세액이 공급가액 10%와 다름"),"")&amp;IF($BB381="수정"," / 수정세금계산서(합계에서 자동 가감)",""),4,200))</f>
        <v/>
      </c>
      <c r="BD381" s="2">
        <f>IF($BA381&lt;&gt;"포함","",IF(COUNTIFS($AX$8:$AX381,$AX381,$BA$8:$BA381,"포함")=1,MAX($BD$7:BD380)+1,""))</f>
        <v/>
      </c>
      <c r="BE381" s="2">
        <f>IF($BC381="","",MAX($BE$7:BE380)+1)</f>
        <v/>
      </c>
    </row>
    <row r="382">
      <c r="AR382" s="2">
        <f>IF(OR($A$5="",$B$6="",ROW()&lt;$A$5),"",IF(INDEX($A:$AP,ROW(),$B$6)="","",INDEX($A:$AP,ROW(),$B$6)))</f>
        <v/>
      </c>
      <c r="AS382" s="22">
        <f>IF($AR382="","",IF(ISNUMBER($AR382),IF($AR382&gt;=10000000,IFERROR(DATE(INT($AR382/10000),MOD(INT($AR382/100),100),MOD($AR382,100)),""),INT($AR382)),IFERROR(DATE(--LEFT(LEFT(SUBSTITUTE(SUBSTITUTE(SUBSTITUTE(SUBSTITUTE(TRIM($AR382),"-",""),".",""),"/","")," ",""),8),4),--MID(LEFT(SUBSTITUTE(SUBSTITUTE(SUBSTITUTE(SUBSTITUTE(TRIM($AR382),"-",""),".",""),"/","")," ",""),8),5,2),--MID(LEFT(SUBSTITUTE(SUBSTITUTE(SUBSTITUTE(SUBSTITUTE(TRIM($AR382),"-",""),".",""),"/","")," ",""),8),7,2)),"")))</f>
        <v/>
      </c>
      <c r="AT382" s="23">
        <f>IF($AS382="","",IF($F$6="",0,IF(ISNUMBER(INDEX($A:$AP,ROW(),$F$6)),INDEX($A:$AP,ROW(),$F$6),IFERROR(--SUBSTITUTE(SUBSTITUTE(TRIM(INDEX($A:$AP,ROW(),$F$6)),",",""),"원",""),0))))</f>
        <v/>
      </c>
      <c r="AU382" s="23">
        <f>IF($AS382="","",IF($G$6="",0,IF(ISNUMBER(INDEX($A:$AP,ROW(),$G$6)),INDEX($A:$AP,ROW(),$G$6),IFERROR(--SUBSTITUTE(SUBSTITUTE(TRIM(INDEX($A:$AP,ROW(),$G$6)),",",""),"원",""),0))))</f>
        <v/>
      </c>
      <c r="AV382" s="23">
        <f>IF($AS382="","",IF($H$6="",$AT382+$AU382,IF($H$6="",0,IF(ISNUMBER(INDEX($A:$AP,ROW(),$H$6)),INDEX($A:$AP,ROW(),$H$6),IFERROR(--SUBSTITUTE(SUBSTITUTE(TRIM(INDEX($A:$AP,ROW(),$H$6)),",",""),"원",""),0)))))</f>
        <v/>
      </c>
      <c r="AW382" s="2">
        <f>IF(OR($AS382="",$C$6=""),"",TRIM(INDEX($A:$AP,ROW(),$C$6)&amp;""))</f>
        <v/>
      </c>
      <c r="AX382" s="2">
        <f>IF($AS382="","",IF($AZ382&lt;&gt;"",SUBSTITUTE(SUBSTITUTE($AZ382,"-","")," ",""),$AY382))</f>
        <v/>
      </c>
      <c r="AY382" s="2">
        <f>IF(OR($AS382="",$E$6=""),"",TRIM(INDEX($A:$AP,ROW(),$E$6)&amp;""))</f>
        <v/>
      </c>
      <c r="AZ382" s="2">
        <f>IF(OR($AS382="",$D$6=""),"",TRIM(INDEX($A:$AP,ROW(),$D$6)&amp;""))</f>
        <v/>
      </c>
      <c r="BA382" s="2">
        <f>IF($AS382="","",IF(AND($AS382&gt;=설정!$B$10,$AS382&lt;=설정!$B$11),"포함","기간 밖"))</f>
        <v/>
      </c>
      <c r="BB382" s="2">
        <f>IF($AS382="","",IF(OR($AT382&lt;0,AND($I$6&lt;&gt;"",ISNUMBER(FIND("수정",INDEX($A:$AP,ROW(),IF($I$6="",1,$I$6))&amp;"")))),"수정","일반"))</f>
        <v/>
      </c>
      <c r="BC382" s="2">
        <f>IF($AS382="","",MID(IF($BA382="기간 밖"," / 기간 밖(신고기간 아님)","")&amp;IF(AND($AW382&lt;&gt;"",COUNTIF($AW$8:$AW$1007,$AW382)&gt;1)," / 승인번호 중복(두 번 붙여넣기?)","")&amp;IF(ABS($AU382-ROUND($AT382*0.1,0))&gt;설정!$B$8,IF($AU382=0," / 세액 0원(영세율·면세 여부 확인)"," / 세액이 공급가액 10%와 다름"),"")&amp;IF($BB382="수정"," / 수정세금계산서(합계에서 자동 가감)",""),4,200))</f>
        <v/>
      </c>
      <c r="BD382" s="2">
        <f>IF($BA382&lt;&gt;"포함","",IF(COUNTIFS($AX$8:$AX382,$AX382,$BA$8:$BA382,"포함")=1,MAX($BD$7:BD381)+1,""))</f>
        <v/>
      </c>
      <c r="BE382" s="2">
        <f>IF($BC382="","",MAX($BE$7:BE381)+1)</f>
        <v/>
      </c>
    </row>
    <row r="383">
      <c r="AR383" s="2">
        <f>IF(OR($A$5="",$B$6="",ROW()&lt;$A$5),"",IF(INDEX($A:$AP,ROW(),$B$6)="","",INDEX($A:$AP,ROW(),$B$6)))</f>
        <v/>
      </c>
      <c r="AS383" s="22">
        <f>IF($AR383="","",IF(ISNUMBER($AR383),IF($AR383&gt;=10000000,IFERROR(DATE(INT($AR383/10000),MOD(INT($AR383/100),100),MOD($AR383,100)),""),INT($AR383)),IFERROR(DATE(--LEFT(LEFT(SUBSTITUTE(SUBSTITUTE(SUBSTITUTE(SUBSTITUTE(TRIM($AR383),"-",""),".",""),"/","")," ",""),8),4),--MID(LEFT(SUBSTITUTE(SUBSTITUTE(SUBSTITUTE(SUBSTITUTE(TRIM($AR383),"-",""),".",""),"/","")," ",""),8),5,2),--MID(LEFT(SUBSTITUTE(SUBSTITUTE(SUBSTITUTE(SUBSTITUTE(TRIM($AR383),"-",""),".",""),"/","")," ",""),8),7,2)),"")))</f>
        <v/>
      </c>
      <c r="AT383" s="23">
        <f>IF($AS383="","",IF($F$6="",0,IF(ISNUMBER(INDEX($A:$AP,ROW(),$F$6)),INDEX($A:$AP,ROW(),$F$6),IFERROR(--SUBSTITUTE(SUBSTITUTE(TRIM(INDEX($A:$AP,ROW(),$F$6)),",",""),"원",""),0))))</f>
        <v/>
      </c>
      <c r="AU383" s="23">
        <f>IF($AS383="","",IF($G$6="",0,IF(ISNUMBER(INDEX($A:$AP,ROW(),$G$6)),INDEX($A:$AP,ROW(),$G$6),IFERROR(--SUBSTITUTE(SUBSTITUTE(TRIM(INDEX($A:$AP,ROW(),$G$6)),",",""),"원",""),0))))</f>
        <v/>
      </c>
      <c r="AV383" s="23">
        <f>IF($AS383="","",IF($H$6="",$AT383+$AU383,IF($H$6="",0,IF(ISNUMBER(INDEX($A:$AP,ROW(),$H$6)),INDEX($A:$AP,ROW(),$H$6),IFERROR(--SUBSTITUTE(SUBSTITUTE(TRIM(INDEX($A:$AP,ROW(),$H$6)),",",""),"원",""),0)))))</f>
        <v/>
      </c>
      <c r="AW383" s="2">
        <f>IF(OR($AS383="",$C$6=""),"",TRIM(INDEX($A:$AP,ROW(),$C$6)&amp;""))</f>
        <v/>
      </c>
      <c r="AX383" s="2">
        <f>IF($AS383="","",IF($AZ383&lt;&gt;"",SUBSTITUTE(SUBSTITUTE($AZ383,"-","")," ",""),$AY383))</f>
        <v/>
      </c>
      <c r="AY383" s="2">
        <f>IF(OR($AS383="",$E$6=""),"",TRIM(INDEX($A:$AP,ROW(),$E$6)&amp;""))</f>
        <v/>
      </c>
      <c r="AZ383" s="2">
        <f>IF(OR($AS383="",$D$6=""),"",TRIM(INDEX($A:$AP,ROW(),$D$6)&amp;""))</f>
        <v/>
      </c>
      <c r="BA383" s="2">
        <f>IF($AS383="","",IF(AND($AS383&gt;=설정!$B$10,$AS383&lt;=설정!$B$11),"포함","기간 밖"))</f>
        <v/>
      </c>
      <c r="BB383" s="2">
        <f>IF($AS383="","",IF(OR($AT383&lt;0,AND($I$6&lt;&gt;"",ISNUMBER(FIND("수정",INDEX($A:$AP,ROW(),IF($I$6="",1,$I$6))&amp;"")))),"수정","일반"))</f>
        <v/>
      </c>
      <c r="BC383" s="2">
        <f>IF($AS383="","",MID(IF($BA383="기간 밖"," / 기간 밖(신고기간 아님)","")&amp;IF(AND($AW383&lt;&gt;"",COUNTIF($AW$8:$AW$1007,$AW383)&gt;1)," / 승인번호 중복(두 번 붙여넣기?)","")&amp;IF(ABS($AU383-ROUND($AT383*0.1,0))&gt;설정!$B$8,IF($AU383=0," / 세액 0원(영세율·면세 여부 확인)"," / 세액이 공급가액 10%와 다름"),"")&amp;IF($BB383="수정"," / 수정세금계산서(합계에서 자동 가감)",""),4,200))</f>
        <v/>
      </c>
      <c r="BD383" s="2">
        <f>IF($BA383&lt;&gt;"포함","",IF(COUNTIFS($AX$8:$AX383,$AX383,$BA$8:$BA383,"포함")=1,MAX($BD$7:BD382)+1,""))</f>
        <v/>
      </c>
      <c r="BE383" s="2">
        <f>IF($BC383="","",MAX($BE$7:BE382)+1)</f>
        <v/>
      </c>
    </row>
    <row r="384">
      <c r="AR384" s="2">
        <f>IF(OR($A$5="",$B$6="",ROW()&lt;$A$5),"",IF(INDEX($A:$AP,ROW(),$B$6)="","",INDEX($A:$AP,ROW(),$B$6)))</f>
        <v/>
      </c>
      <c r="AS384" s="22">
        <f>IF($AR384="","",IF(ISNUMBER($AR384),IF($AR384&gt;=10000000,IFERROR(DATE(INT($AR384/10000),MOD(INT($AR384/100),100),MOD($AR384,100)),""),INT($AR384)),IFERROR(DATE(--LEFT(LEFT(SUBSTITUTE(SUBSTITUTE(SUBSTITUTE(SUBSTITUTE(TRIM($AR384),"-",""),".",""),"/","")," ",""),8),4),--MID(LEFT(SUBSTITUTE(SUBSTITUTE(SUBSTITUTE(SUBSTITUTE(TRIM($AR384),"-",""),".",""),"/","")," ",""),8),5,2),--MID(LEFT(SUBSTITUTE(SUBSTITUTE(SUBSTITUTE(SUBSTITUTE(TRIM($AR384),"-",""),".",""),"/","")," ",""),8),7,2)),"")))</f>
        <v/>
      </c>
      <c r="AT384" s="23">
        <f>IF($AS384="","",IF($F$6="",0,IF(ISNUMBER(INDEX($A:$AP,ROW(),$F$6)),INDEX($A:$AP,ROW(),$F$6),IFERROR(--SUBSTITUTE(SUBSTITUTE(TRIM(INDEX($A:$AP,ROW(),$F$6)),",",""),"원",""),0))))</f>
        <v/>
      </c>
      <c r="AU384" s="23">
        <f>IF($AS384="","",IF($G$6="",0,IF(ISNUMBER(INDEX($A:$AP,ROW(),$G$6)),INDEX($A:$AP,ROW(),$G$6),IFERROR(--SUBSTITUTE(SUBSTITUTE(TRIM(INDEX($A:$AP,ROW(),$G$6)),",",""),"원",""),0))))</f>
        <v/>
      </c>
      <c r="AV384" s="23">
        <f>IF($AS384="","",IF($H$6="",$AT384+$AU384,IF($H$6="",0,IF(ISNUMBER(INDEX($A:$AP,ROW(),$H$6)),INDEX($A:$AP,ROW(),$H$6),IFERROR(--SUBSTITUTE(SUBSTITUTE(TRIM(INDEX($A:$AP,ROW(),$H$6)),",",""),"원",""),0)))))</f>
        <v/>
      </c>
      <c r="AW384" s="2">
        <f>IF(OR($AS384="",$C$6=""),"",TRIM(INDEX($A:$AP,ROW(),$C$6)&amp;""))</f>
        <v/>
      </c>
      <c r="AX384" s="2">
        <f>IF($AS384="","",IF($AZ384&lt;&gt;"",SUBSTITUTE(SUBSTITUTE($AZ384,"-","")," ",""),$AY384))</f>
        <v/>
      </c>
      <c r="AY384" s="2">
        <f>IF(OR($AS384="",$E$6=""),"",TRIM(INDEX($A:$AP,ROW(),$E$6)&amp;""))</f>
        <v/>
      </c>
      <c r="AZ384" s="2">
        <f>IF(OR($AS384="",$D$6=""),"",TRIM(INDEX($A:$AP,ROW(),$D$6)&amp;""))</f>
        <v/>
      </c>
      <c r="BA384" s="2">
        <f>IF($AS384="","",IF(AND($AS384&gt;=설정!$B$10,$AS384&lt;=설정!$B$11),"포함","기간 밖"))</f>
        <v/>
      </c>
      <c r="BB384" s="2">
        <f>IF($AS384="","",IF(OR($AT384&lt;0,AND($I$6&lt;&gt;"",ISNUMBER(FIND("수정",INDEX($A:$AP,ROW(),IF($I$6="",1,$I$6))&amp;"")))),"수정","일반"))</f>
        <v/>
      </c>
      <c r="BC384" s="2">
        <f>IF($AS384="","",MID(IF($BA384="기간 밖"," / 기간 밖(신고기간 아님)","")&amp;IF(AND($AW384&lt;&gt;"",COUNTIF($AW$8:$AW$1007,$AW384)&gt;1)," / 승인번호 중복(두 번 붙여넣기?)","")&amp;IF(ABS($AU384-ROUND($AT384*0.1,0))&gt;설정!$B$8,IF($AU384=0," / 세액 0원(영세율·면세 여부 확인)"," / 세액이 공급가액 10%와 다름"),"")&amp;IF($BB384="수정"," / 수정세금계산서(합계에서 자동 가감)",""),4,200))</f>
        <v/>
      </c>
      <c r="BD384" s="2">
        <f>IF($BA384&lt;&gt;"포함","",IF(COUNTIFS($AX$8:$AX384,$AX384,$BA$8:$BA384,"포함")=1,MAX($BD$7:BD383)+1,""))</f>
        <v/>
      </c>
      <c r="BE384" s="2">
        <f>IF($BC384="","",MAX($BE$7:BE383)+1)</f>
        <v/>
      </c>
    </row>
    <row r="385">
      <c r="AR385" s="2">
        <f>IF(OR($A$5="",$B$6="",ROW()&lt;$A$5),"",IF(INDEX($A:$AP,ROW(),$B$6)="","",INDEX($A:$AP,ROW(),$B$6)))</f>
        <v/>
      </c>
      <c r="AS385" s="22">
        <f>IF($AR385="","",IF(ISNUMBER($AR385),IF($AR385&gt;=10000000,IFERROR(DATE(INT($AR385/10000),MOD(INT($AR385/100),100),MOD($AR385,100)),""),INT($AR385)),IFERROR(DATE(--LEFT(LEFT(SUBSTITUTE(SUBSTITUTE(SUBSTITUTE(SUBSTITUTE(TRIM($AR385),"-",""),".",""),"/","")," ",""),8),4),--MID(LEFT(SUBSTITUTE(SUBSTITUTE(SUBSTITUTE(SUBSTITUTE(TRIM($AR385),"-",""),".",""),"/","")," ",""),8),5,2),--MID(LEFT(SUBSTITUTE(SUBSTITUTE(SUBSTITUTE(SUBSTITUTE(TRIM($AR385),"-",""),".",""),"/","")," ",""),8),7,2)),"")))</f>
        <v/>
      </c>
      <c r="AT385" s="23">
        <f>IF($AS385="","",IF($F$6="",0,IF(ISNUMBER(INDEX($A:$AP,ROW(),$F$6)),INDEX($A:$AP,ROW(),$F$6),IFERROR(--SUBSTITUTE(SUBSTITUTE(TRIM(INDEX($A:$AP,ROW(),$F$6)),",",""),"원",""),0))))</f>
        <v/>
      </c>
      <c r="AU385" s="23">
        <f>IF($AS385="","",IF($G$6="",0,IF(ISNUMBER(INDEX($A:$AP,ROW(),$G$6)),INDEX($A:$AP,ROW(),$G$6),IFERROR(--SUBSTITUTE(SUBSTITUTE(TRIM(INDEX($A:$AP,ROW(),$G$6)),",",""),"원",""),0))))</f>
        <v/>
      </c>
      <c r="AV385" s="23">
        <f>IF($AS385="","",IF($H$6="",$AT385+$AU385,IF($H$6="",0,IF(ISNUMBER(INDEX($A:$AP,ROW(),$H$6)),INDEX($A:$AP,ROW(),$H$6),IFERROR(--SUBSTITUTE(SUBSTITUTE(TRIM(INDEX($A:$AP,ROW(),$H$6)),",",""),"원",""),0)))))</f>
        <v/>
      </c>
      <c r="AW385" s="2">
        <f>IF(OR($AS385="",$C$6=""),"",TRIM(INDEX($A:$AP,ROW(),$C$6)&amp;""))</f>
        <v/>
      </c>
      <c r="AX385" s="2">
        <f>IF($AS385="","",IF($AZ385&lt;&gt;"",SUBSTITUTE(SUBSTITUTE($AZ385,"-","")," ",""),$AY385))</f>
        <v/>
      </c>
      <c r="AY385" s="2">
        <f>IF(OR($AS385="",$E$6=""),"",TRIM(INDEX($A:$AP,ROW(),$E$6)&amp;""))</f>
        <v/>
      </c>
      <c r="AZ385" s="2">
        <f>IF(OR($AS385="",$D$6=""),"",TRIM(INDEX($A:$AP,ROW(),$D$6)&amp;""))</f>
        <v/>
      </c>
      <c r="BA385" s="2">
        <f>IF($AS385="","",IF(AND($AS385&gt;=설정!$B$10,$AS385&lt;=설정!$B$11),"포함","기간 밖"))</f>
        <v/>
      </c>
      <c r="BB385" s="2">
        <f>IF($AS385="","",IF(OR($AT385&lt;0,AND($I$6&lt;&gt;"",ISNUMBER(FIND("수정",INDEX($A:$AP,ROW(),IF($I$6="",1,$I$6))&amp;"")))),"수정","일반"))</f>
        <v/>
      </c>
      <c r="BC385" s="2">
        <f>IF($AS385="","",MID(IF($BA385="기간 밖"," / 기간 밖(신고기간 아님)","")&amp;IF(AND($AW385&lt;&gt;"",COUNTIF($AW$8:$AW$1007,$AW385)&gt;1)," / 승인번호 중복(두 번 붙여넣기?)","")&amp;IF(ABS($AU385-ROUND($AT385*0.1,0))&gt;설정!$B$8,IF($AU385=0," / 세액 0원(영세율·면세 여부 확인)"," / 세액이 공급가액 10%와 다름"),"")&amp;IF($BB385="수정"," / 수정세금계산서(합계에서 자동 가감)",""),4,200))</f>
        <v/>
      </c>
      <c r="BD385" s="2">
        <f>IF($BA385&lt;&gt;"포함","",IF(COUNTIFS($AX$8:$AX385,$AX385,$BA$8:$BA385,"포함")=1,MAX($BD$7:BD384)+1,""))</f>
        <v/>
      </c>
      <c r="BE385" s="2">
        <f>IF($BC385="","",MAX($BE$7:BE384)+1)</f>
        <v/>
      </c>
    </row>
    <row r="386">
      <c r="AR386" s="2">
        <f>IF(OR($A$5="",$B$6="",ROW()&lt;$A$5),"",IF(INDEX($A:$AP,ROW(),$B$6)="","",INDEX($A:$AP,ROW(),$B$6)))</f>
        <v/>
      </c>
      <c r="AS386" s="22">
        <f>IF($AR386="","",IF(ISNUMBER($AR386),IF($AR386&gt;=10000000,IFERROR(DATE(INT($AR386/10000),MOD(INT($AR386/100),100),MOD($AR386,100)),""),INT($AR386)),IFERROR(DATE(--LEFT(LEFT(SUBSTITUTE(SUBSTITUTE(SUBSTITUTE(SUBSTITUTE(TRIM($AR386),"-",""),".",""),"/","")," ",""),8),4),--MID(LEFT(SUBSTITUTE(SUBSTITUTE(SUBSTITUTE(SUBSTITUTE(TRIM($AR386),"-",""),".",""),"/","")," ",""),8),5,2),--MID(LEFT(SUBSTITUTE(SUBSTITUTE(SUBSTITUTE(SUBSTITUTE(TRIM($AR386),"-",""),".",""),"/","")," ",""),8),7,2)),"")))</f>
        <v/>
      </c>
      <c r="AT386" s="23">
        <f>IF($AS386="","",IF($F$6="",0,IF(ISNUMBER(INDEX($A:$AP,ROW(),$F$6)),INDEX($A:$AP,ROW(),$F$6),IFERROR(--SUBSTITUTE(SUBSTITUTE(TRIM(INDEX($A:$AP,ROW(),$F$6)),",",""),"원",""),0))))</f>
        <v/>
      </c>
      <c r="AU386" s="23">
        <f>IF($AS386="","",IF($G$6="",0,IF(ISNUMBER(INDEX($A:$AP,ROW(),$G$6)),INDEX($A:$AP,ROW(),$G$6),IFERROR(--SUBSTITUTE(SUBSTITUTE(TRIM(INDEX($A:$AP,ROW(),$G$6)),",",""),"원",""),0))))</f>
        <v/>
      </c>
      <c r="AV386" s="23">
        <f>IF($AS386="","",IF($H$6="",$AT386+$AU386,IF($H$6="",0,IF(ISNUMBER(INDEX($A:$AP,ROW(),$H$6)),INDEX($A:$AP,ROW(),$H$6),IFERROR(--SUBSTITUTE(SUBSTITUTE(TRIM(INDEX($A:$AP,ROW(),$H$6)),",",""),"원",""),0)))))</f>
        <v/>
      </c>
      <c r="AW386" s="2">
        <f>IF(OR($AS386="",$C$6=""),"",TRIM(INDEX($A:$AP,ROW(),$C$6)&amp;""))</f>
        <v/>
      </c>
      <c r="AX386" s="2">
        <f>IF($AS386="","",IF($AZ386&lt;&gt;"",SUBSTITUTE(SUBSTITUTE($AZ386,"-","")," ",""),$AY386))</f>
        <v/>
      </c>
      <c r="AY386" s="2">
        <f>IF(OR($AS386="",$E$6=""),"",TRIM(INDEX($A:$AP,ROW(),$E$6)&amp;""))</f>
        <v/>
      </c>
      <c r="AZ386" s="2">
        <f>IF(OR($AS386="",$D$6=""),"",TRIM(INDEX($A:$AP,ROW(),$D$6)&amp;""))</f>
        <v/>
      </c>
      <c r="BA386" s="2">
        <f>IF($AS386="","",IF(AND($AS386&gt;=설정!$B$10,$AS386&lt;=설정!$B$11),"포함","기간 밖"))</f>
        <v/>
      </c>
      <c r="BB386" s="2">
        <f>IF($AS386="","",IF(OR($AT386&lt;0,AND($I$6&lt;&gt;"",ISNUMBER(FIND("수정",INDEX($A:$AP,ROW(),IF($I$6="",1,$I$6))&amp;"")))),"수정","일반"))</f>
        <v/>
      </c>
      <c r="BC386" s="2">
        <f>IF($AS386="","",MID(IF($BA386="기간 밖"," / 기간 밖(신고기간 아님)","")&amp;IF(AND($AW386&lt;&gt;"",COUNTIF($AW$8:$AW$1007,$AW386)&gt;1)," / 승인번호 중복(두 번 붙여넣기?)","")&amp;IF(ABS($AU386-ROUND($AT386*0.1,0))&gt;설정!$B$8,IF($AU386=0," / 세액 0원(영세율·면세 여부 확인)"," / 세액이 공급가액 10%와 다름"),"")&amp;IF($BB386="수정"," / 수정세금계산서(합계에서 자동 가감)",""),4,200))</f>
        <v/>
      </c>
      <c r="BD386" s="2">
        <f>IF($BA386&lt;&gt;"포함","",IF(COUNTIFS($AX$8:$AX386,$AX386,$BA$8:$BA386,"포함")=1,MAX($BD$7:BD385)+1,""))</f>
        <v/>
      </c>
      <c r="BE386" s="2">
        <f>IF($BC386="","",MAX($BE$7:BE385)+1)</f>
        <v/>
      </c>
    </row>
    <row r="387">
      <c r="AR387" s="2">
        <f>IF(OR($A$5="",$B$6="",ROW()&lt;$A$5),"",IF(INDEX($A:$AP,ROW(),$B$6)="","",INDEX($A:$AP,ROW(),$B$6)))</f>
        <v/>
      </c>
      <c r="AS387" s="22">
        <f>IF($AR387="","",IF(ISNUMBER($AR387),IF($AR387&gt;=10000000,IFERROR(DATE(INT($AR387/10000),MOD(INT($AR387/100),100),MOD($AR387,100)),""),INT($AR387)),IFERROR(DATE(--LEFT(LEFT(SUBSTITUTE(SUBSTITUTE(SUBSTITUTE(SUBSTITUTE(TRIM($AR387),"-",""),".",""),"/","")," ",""),8),4),--MID(LEFT(SUBSTITUTE(SUBSTITUTE(SUBSTITUTE(SUBSTITUTE(TRIM($AR387),"-",""),".",""),"/","")," ",""),8),5,2),--MID(LEFT(SUBSTITUTE(SUBSTITUTE(SUBSTITUTE(SUBSTITUTE(TRIM($AR387),"-",""),".",""),"/","")," ",""),8),7,2)),"")))</f>
        <v/>
      </c>
      <c r="AT387" s="23">
        <f>IF($AS387="","",IF($F$6="",0,IF(ISNUMBER(INDEX($A:$AP,ROW(),$F$6)),INDEX($A:$AP,ROW(),$F$6),IFERROR(--SUBSTITUTE(SUBSTITUTE(TRIM(INDEX($A:$AP,ROW(),$F$6)),",",""),"원",""),0))))</f>
        <v/>
      </c>
      <c r="AU387" s="23">
        <f>IF($AS387="","",IF($G$6="",0,IF(ISNUMBER(INDEX($A:$AP,ROW(),$G$6)),INDEX($A:$AP,ROW(),$G$6),IFERROR(--SUBSTITUTE(SUBSTITUTE(TRIM(INDEX($A:$AP,ROW(),$G$6)),",",""),"원",""),0))))</f>
        <v/>
      </c>
      <c r="AV387" s="23">
        <f>IF($AS387="","",IF($H$6="",$AT387+$AU387,IF($H$6="",0,IF(ISNUMBER(INDEX($A:$AP,ROW(),$H$6)),INDEX($A:$AP,ROW(),$H$6),IFERROR(--SUBSTITUTE(SUBSTITUTE(TRIM(INDEX($A:$AP,ROW(),$H$6)),",",""),"원",""),0)))))</f>
        <v/>
      </c>
      <c r="AW387" s="2">
        <f>IF(OR($AS387="",$C$6=""),"",TRIM(INDEX($A:$AP,ROW(),$C$6)&amp;""))</f>
        <v/>
      </c>
      <c r="AX387" s="2">
        <f>IF($AS387="","",IF($AZ387&lt;&gt;"",SUBSTITUTE(SUBSTITUTE($AZ387,"-","")," ",""),$AY387))</f>
        <v/>
      </c>
      <c r="AY387" s="2">
        <f>IF(OR($AS387="",$E$6=""),"",TRIM(INDEX($A:$AP,ROW(),$E$6)&amp;""))</f>
        <v/>
      </c>
      <c r="AZ387" s="2">
        <f>IF(OR($AS387="",$D$6=""),"",TRIM(INDEX($A:$AP,ROW(),$D$6)&amp;""))</f>
        <v/>
      </c>
      <c r="BA387" s="2">
        <f>IF($AS387="","",IF(AND($AS387&gt;=설정!$B$10,$AS387&lt;=설정!$B$11),"포함","기간 밖"))</f>
        <v/>
      </c>
      <c r="BB387" s="2">
        <f>IF($AS387="","",IF(OR($AT387&lt;0,AND($I$6&lt;&gt;"",ISNUMBER(FIND("수정",INDEX($A:$AP,ROW(),IF($I$6="",1,$I$6))&amp;"")))),"수정","일반"))</f>
        <v/>
      </c>
      <c r="BC387" s="2">
        <f>IF($AS387="","",MID(IF($BA387="기간 밖"," / 기간 밖(신고기간 아님)","")&amp;IF(AND($AW387&lt;&gt;"",COUNTIF($AW$8:$AW$1007,$AW387)&gt;1)," / 승인번호 중복(두 번 붙여넣기?)","")&amp;IF(ABS($AU387-ROUND($AT387*0.1,0))&gt;설정!$B$8,IF($AU387=0," / 세액 0원(영세율·면세 여부 확인)"," / 세액이 공급가액 10%와 다름"),"")&amp;IF($BB387="수정"," / 수정세금계산서(합계에서 자동 가감)",""),4,200))</f>
        <v/>
      </c>
      <c r="BD387" s="2">
        <f>IF($BA387&lt;&gt;"포함","",IF(COUNTIFS($AX$8:$AX387,$AX387,$BA$8:$BA387,"포함")=1,MAX($BD$7:BD386)+1,""))</f>
        <v/>
      </c>
      <c r="BE387" s="2">
        <f>IF($BC387="","",MAX($BE$7:BE386)+1)</f>
        <v/>
      </c>
    </row>
    <row r="388">
      <c r="AR388" s="2">
        <f>IF(OR($A$5="",$B$6="",ROW()&lt;$A$5),"",IF(INDEX($A:$AP,ROW(),$B$6)="","",INDEX($A:$AP,ROW(),$B$6)))</f>
        <v/>
      </c>
      <c r="AS388" s="22">
        <f>IF($AR388="","",IF(ISNUMBER($AR388),IF($AR388&gt;=10000000,IFERROR(DATE(INT($AR388/10000),MOD(INT($AR388/100),100),MOD($AR388,100)),""),INT($AR388)),IFERROR(DATE(--LEFT(LEFT(SUBSTITUTE(SUBSTITUTE(SUBSTITUTE(SUBSTITUTE(TRIM($AR388),"-",""),".",""),"/","")," ",""),8),4),--MID(LEFT(SUBSTITUTE(SUBSTITUTE(SUBSTITUTE(SUBSTITUTE(TRIM($AR388),"-",""),".",""),"/","")," ",""),8),5,2),--MID(LEFT(SUBSTITUTE(SUBSTITUTE(SUBSTITUTE(SUBSTITUTE(TRIM($AR388),"-",""),".",""),"/","")," ",""),8),7,2)),"")))</f>
        <v/>
      </c>
      <c r="AT388" s="23">
        <f>IF($AS388="","",IF($F$6="",0,IF(ISNUMBER(INDEX($A:$AP,ROW(),$F$6)),INDEX($A:$AP,ROW(),$F$6),IFERROR(--SUBSTITUTE(SUBSTITUTE(TRIM(INDEX($A:$AP,ROW(),$F$6)),",",""),"원",""),0))))</f>
        <v/>
      </c>
      <c r="AU388" s="23">
        <f>IF($AS388="","",IF($G$6="",0,IF(ISNUMBER(INDEX($A:$AP,ROW(),$G$6)),INDEX($A:$AP,ROW(),$G$6),IFERROR(--SUBSTITUTE(SUBSTITUTE(TRIM(INDEX($A:$AP,ROW(),$G$6)),",",""),"원",""),0))))</f>
        <v/>
      </c>
      <c r="AV388" s="23">
        <f>IF($AS388="","",IF($H$6="",$AT388+$AU388,IF($H$6="",0,IF(ISNUMBER(INDEX($A:$AP,ROW(),$H$6)),INDEX($A:$AP,ROW(),$H$6),IFERROR(--SUBSTITUTE(SUBSTITUTE(TRIM(INDEX($A:$AP,ROW(),$H$6)),",",""),"원",""),0)))))</f>
        <v/>
      </c>
      <c r="AW388" s="2">
        <f>IF(OR($AS388="",$C$6=""),"",TRIM(INDEX($A:$AP,ROW(),$C$6)&amp;""))</f>
        <v/>
      </c>
      <c r="AX388" s="2">
        <f>IF($AS388="","",IF($AZ388&lt;&gt;"",SUBSTITUTE(SUBSTITUTE($AZ388,"-","")," ",""),$AY388))</f>
        <v/>
      </c>
      <c r="AY388" s="2">
        <f>IF(OR($AS388="",$E$6=""),"",TRIM(INDEX($A:$AP,ROW(),$E$6)&amp;""))</f>
        <v/>
      </c>
      <c r="AZ388" s="2">
        <f>IF(OR($AS388="",$D$6=""),"",TRIM(INDEX($A:$AP,ROW(),$D$6)&amp;""))</f>
        <v/>
      </c>
      <c r="BA388" s="2">
        <f>IF($AS388="","",IF(AND($AS388&gt;=설정!$B$10,$AS388&lt;=설정!$B$11),"포함","기간 밖"))</f>
        <v/>
      </c>
      <c r="BB388" s="2">
        <f>IF($AS388="","",IF(OR($AT388&lt;0,AND($I$6&lt;&gt;"",ISNUMBER(FIND("수정",INDEX($A:$AP,ROW(),IF($I$6="",1,$I$6))&amp;"")))),"수정","일반"))</f>
        <v/>
      </c>
      <c r="BC388" s="2">
        <f>IF($AS388="","",MID(IF($BA388="기간 밖"," / 기간 밖(신고기간 아님)","")&amp;IF(AND($AW388&lt;&gt;"",COUNTIF($AW$8:$AW$1007,$AW388)&gt;1)," / 승인번호 중복(두 번 붙여넣기?)","")&amp;IF(ABS($AU388-ROUND($AT388*0.1,0))&gt;설정!$B$8,IF($AU388=0," / 세액 0원(영세율·면세 여부 확인)"," / 세액이 공급가액 10%와 다름"),"")&amp;IF($BB388="수정"," / 수정세금계산서(합계에서 자동 가감)",""),4,200))</f>
        <v/>
      </c>
      <c r="BD388" s="2">
        <f>IF($BA388&lt;&gt;"포함","",IF(COUNTIFS($AX$8:$AX388,$AX388,$BA$8:$BA388,"포함")=1,MAX($BD$7:BD387)+1,""))</f>
        <v/>
      </c>
      <c r="BE388" s="2">
        <f>IF($BC388="","",MAX($BE$7:BE387)+1)</f>
        <v/>
      </c>
    </row>
    <row r="389">
      <c r="AR389" s="2">
        <f>IF(OR($A$5="",$B$6="",ROW()&lt;$A$5),"",IF(INDEX($A:$AP,ROW(),$B$6)="","",INDEX($A:$AP,ROW(),$B$6)))</f>
        <v/>
      </c>
      <c r="AS389" s="22">
        <f>IF($AR389="","",IF(ISNUMBER($AR389),IF($AR389&gt;=10000000,IFERROR(DATE(INT($AR389/10000),MOD(INT($AR389/100),100),MOD($AR389,100)),""),INT($AR389)),IFERROR(DATE(--LEFT(LEFT(SUBSTITUTE(SUBSTITUTE(SUBSTITUTE(SUBSTITUTE(TRIM($AR389),"-",""),".",""),"/","")," ",""),8),4),--MID(LEFT(SUBSTITUTE(SUBSTITUTE(SUBSTITUTE(SUBSTITUTE(TRIM($AR389),"-",""),".",""),"/","")," ",""),8),5,2),--MID(LEFT(SUBSTITUTE(SUBSTITUTE(SUBSTITUTE(SUBSTITUTE(TRIM($AR389),"-",""),".",""),"/","")," ",""),8),7,2)),"")))</f>
        <v/>
      </c>
      <c r="AT389" s="23">
        <f>IF($AS389="","",IF($F$6="",0,IF(ISNUMBER(INDEX($A:$AP,ROW(),$F$6)),INDEX($A:$AP,ROW(),$F$6),IFERROR(--SUBSTITUTE(SUBSTITUTE(TRIM(INDEX($A:$AP,ROW(),$F$6)),",",""),"원",""),0))))</f>
        <v/>
      </c>
      <c r="AU389" s="23">
        <f>IF($AS389="","",IF($G$6="",0,IF(ISNUMBER(INDEX($A:$AP,ROW(),$G$6)),INDEX($A:$AP,ROW(),$G$6),IFERROR(--SUBSTITUTE(SUBSTITUTE(TRIM(INDEX($A:$AP,ROW(),$G$6)),",",""),"원",""),0))))</f>
        <v/>
      </c>
      <c r="AV389" s="23">
        <f>IF($AS389="","",IF($H$6="",$AT389+$AU389,IF($H$6="",0,IF(ISNUMBER(INDEX($A:$AP,ROW(),$H$6)),INDEX($A:$AP,ROW(),$H$6),IFERROR(--SUBSTITUTE(SUBSTITUTE(TRIM(INDEX($A:$AP,ROW(),$H$6)),",",""),"원",""),0)))))</f>
        <v/>
      </c>
      <c r="AW389" s="2">
        <f>IF(OR($AS389="",$C$6=""),"",TRIM(INDEX($A:$AP,ROW(),$C$6)&amp;""))</f>
        <v/>
      </c>
      <c r="AX389" s="2">
        <f>IF($AS389="","",IF($AZ389&lt;&gt;"",SUBSTITUTE(SUBSTITUTE($AZ389,"-","")," ",""),$AY389))</f>
        <v/>
      </c>
      <c r="AY389" s="2">
        <f>IF(OR($AS389="",$E$6=""),"",TRIM(INDEX($A:$AP,ROW(),$E$6)&amp;""))</f>
        <v/>
      </c>
      <c r="AZ389" s="2">
        <f>IF(OR($AS389="",$D$6=""),"",TRIM(INDEX($A:$AP,ROW(),$D$6)&amp;""))</f>
        <v/>
      </c>
      <c r="BA389" s="2">
        <f>IF($AS389="","",IF(AND($AS389&gt;=설정!$B$10,$AS389&lt;=설정!$B$11),"포함","기간 밖"))</f>
        <v/>
      </c>
      <c r="BB389" s="2">
        <f>IF($AS389="","",IF(OR($AT389&lt;0,AND($I$6&lt;&gt;"",ISNUMBER(FIND("수정",INDEX($A:$AP,ROW(),IF($I$6="",1,$I$6))&amp;"")))),"수정","일반"))</f>
        <v/>
      </c>
      <c r="BC389" s="2">
        <f>IF($AS389="","",MID(IF($BA389="기간 밖"," / 기간 밖(신고기간 아님)","")&amp;IF(AND($AW389&lt;&gt;"",COUNTIF($AW$8:$AW$1007,$AW389)&gt;1)," / 승인번호 중복(두 번 붙여넣기?)","")&amp;IF(ABS($AU389-ROUND($AT389*0.1,0))&gt;설정!$B$8,IF($AU389=0," / 세액 0원(영세율·면세 여부 확인)"," / 세액이 공급가액 10%와 다름"),"")&amp;IF($BB389="수정"," / 수정세금계산서(합계에서 자동 가감)",""),4,200))</f>
        <v/>
      </c>
      <c r="BD389" s="2">
        <f>IF($BA389&lt;&gt;"포함","",IF(COUNTIFS($AX$8:$AX389,$AX389,$BA$8:$BA389,"포함")=1,MAX($BD$7:BD388)+1,""))</f>
        <v/>
      </c>
      <c r="BE389" s="2">
        <f>IF($BC389="","",MAX($BE$7:BE388)+1)</f>
        <v/>
      </c>
    </row>
    <row r="390">
      <c r="AR390" s="2">
        <f>IF(OR($A$5="",$B$6="",ROW()&lt;$A$5),"",IF(INDEX($A:$AP,ROW(),$B$6)="","",INDEX($A:$AP,ROW(),$B$6)))</f>
        <v/>
      </c>
      <c r="AS390" s="22">
        <f>IF($AR390="","",IF(ISNUMBER($AR390),IF($AR390&gt;=10000000,IFERROR(DATE(INT($AR390/10000),MOD(INT($AR390/100),100),MOD($AR390,100)),""),INT($AR390)),IFERROR(DATE(--LEFT(LEFT(SUBSTITUTE(SUBSTITUTE(SUBSTITUTE(SUBSTITUTE(TRIM($AR390),"-",""),".",""),"/","")," ",""),8),4),--MID(LEFT(SUBSTITUTE(SUBSTITUTE(SUBSTITUTE(SUBSTITUTE(TRIM($AR390),"-",""),".",""),"/","")," ",""),8),5,2),--MID(LEFT(SUBSTITUTE(SUBSTITUTE(SUBSTITUTE(SUBSTITUTE(TRIM($AR390),"-",""),".",""),"/","")," ",""),8),7,2)),"")))</f>
        <v/>
      </c>
      <c r="AT390" s="23">
        <f>IF($AS390="","",IF($F$6="",0,IF(ISNUMBER(INDEX($A:$AP,ROW(),$F$6)),INDEX($A:$AP,ROW(),$F$6),IFERROR(--SUBSTITUTE(SUBSTITUTE(TRIM(INDEX($A:$AP,ROW(),$F$6)),",",""),"원",""),0))))</f>
        <v/>
      </c>
      <c r="AU390" s="23">
        <f>IF($AS390="","",IF($G$6="",0,IF(ISNUMBER(INDEX($A:$AP,ROW(),$G$6)),INDEX($A:$AP,ROW(),$G$6),IFERROR(--SUBSTITUTE(SUBSTITUTE(TRIM(INDEX($A:$AP,ROW(),$G$6)),",",""),"원",""),0))))</f>
        <v/>
      </c>
      <c r="AV390" s="23">
        <f>IF($AS390="","",IF($H$6="",$AT390+$AU390,IF($H$6="",0,IF(ISNUMBER(INDEX($A:$AP,ROW(),$H$6)),INDEX($A:$AP,ROW(),$H$6),IFERROR(--SUBSTITUTE(SUBSTITUTE(TRIM(INDEX($A:$AP,ROW(),$H$6)),",",""),"원",""),0)))))</f>
        <v/>
      </c>
      <c r="AW390" s="2">
        <f>IF(OR($AS390="",$C$6=""),"",TRIM(INDEX($A:$AP,ROW(),$C$6)&amp;""))</f>
        <v/>
      </c>
      <c r="AX390" s="2">
        <f>IF($AS390="","",IF($AZ390&lt;&gt;"",SUBSTITUTE(SUBSTITUTE($AZ390,"-","")," ",""),$AY390))</f>
        <v/>
      </c>
      <c r="AY390" s="2">
        <f>IF(OR($AS390="",$E$6=""),"",TRIM(INDEX($A:$AP,ROW(),$E$6)&amp;""))</f>
        <v/>
      </c>
      <c r="AZ390" s="2">
        <f>IF(OR($AS390="",$D$6=""),"",TRIM(INDEX($A:$AP,ROW(),$D$6)&amp;""))</f>
        <v/>
      </c>
      <c r="BA390" s="2">
        <f>IF($AS390="","",IF(AND($AS390&gt;=설정!$B$10,$AS390&lt;=설정!$B$11),"포함","기간 밖"))</f>
        <v/>
      </c>
      <c r="BB390" s="2">
        <f>IF($AS390="","",IF(OR($AT390&lt;0,AND($I$6&lt;&gt;"",ISNUMBER(FIND("수정",INDEX($A:$AP,ROW(),IF($I$6="",1,$I$6))&amp;"")))),"수정","일반"))</f>
        <v/>
      </c>
      <c r="BC390" s="2">
        <f>IF($AS390="","",MID(IF($BA390="기간 밖"," / 기간 밖(신고기간 아님)","")&amp;IF(AND($AW390&lt;&gt;"",COUNTIF($AW$8:$AW$1007,$AW390)&gt;1)," / 승인번호 중복(두 번 붙여넣기?)","")&amp;IF(ABS($AU390-ROUND($AT390*0.1,0))&gt;설정!$B$8,IF($AU390=0," / 세액 0원(영세율·면세 여부 확인)"," / 세액이 공급가액 10%와 다름"),"")&amp;IF($BB390="수정"," / 수정세금계산서(합계에서 자동 가감)",""),4,200))</f>
        <v/>
      </c>
      <c r="BD390" s="2">
        <f>IF($BA390&lt;&gt;"포함","",IF(COUNTIFS($AX$8:$AX390,$AX390,$BA$8:$BA390,"포함")=1,MAX($BD$7:BD389)+1,""))</f>
        <v/>
      </c>
      <c r="BE390" s="2">
        <f>IF($BC390="","",MAX($BE$7:BE389)+1)</f>
        <v/>
      </c>
    </row>
    <row r="391">
      <c r="AR391" s="2">
        <f>IF(OR($A$5="",$B$6="",ROW()&lt;$A$5),"",IF(INDEX($A:$AP,ROW(),$B$6)="","",INDEX($A:$AP,ROW(),$B$6)))</f>
        <v/>
      </c>
      <c r="AS391" s="22">
        <f>IF($AR391="","",IF(ISNUMBER($AR391),IF($AR391&gt;=10000000,IFERROR(DATE(INT($AR391/10000),MOD(INT($AR391/100),100),MOD($AR391,100)),""),INT($AR391)),IFERROR(DATE(--LEFT(LEFT(SUBSTITUTE(SUBSTITUTE(SUBSTITUTE(SUBSTITUTE(TRIM($AR391),"-",""),".",""),"/","")," ",""),8),4),--MID(LEFT(SUBSTITUTE(SUBSTITUTE(SUBSTITUTE(SUBSTITUTE(TRIM($AR391),"-",""),".",""),"/","")," ",""),8),5,2),--MID(LEFT(SUBSTITUTE(SUBSTITUTE(SUBSTITUTE(SUBSTITUTE(TRIM($AR391),"-",""),".",""),"/","")," ",""),8),7,2)),"")))</f>
        <v/>
      </c>
      <c r="AT391" s="23">
        <f>IF($AS391="","",IF($F$6="",0,IF(ISNUMBER(INDEX($A:$AP,ROW(),$F$6)),INDEX($A:$AP,ROW(),$F$6),IFERROR(--SUBSTITUTE(SUBSTITUTE(TRIM(INDEX($A:$AP,ROW(),$F$6)),",",""),"원",""),0))))</f>
        <v/>
      </c>
      <c r="AU391" s="23">
        <f>IF($AS391="","",IF($G$6="",0,IF(ISNUMBER(INDEX($A:$AP,ROW(),$G$6)),INDEX($A:$AP,ROW(),$G$6),IFERROR(--SUBSTITUTE(SUBSTITUTE(TRIM(INDEX($A:$AP,ROW(),$G$6)),",",""),"원",""),0))))</f>
        <v/>
      </c>
      <c r="AV391" s="23">
        <f>IF($AS391="","",IF($H$6="",$AT391+$AU391,IF($H$6="",0,IF(ISNUMBER(INDEX($A:$AP,ROW(),$H$6)),INDEX($A:$AP,ROW(),$H$6),IFERROR(--SUBSTITUTE(SUBSTITUTE(TRIM(INDEX($A:$AP,ROW(),$H$6)),",",""),"원",""),0)))))</f>
        <v/>
      </c>
      <c r="AW391" s="2">
        <f>IF(OR($AS391="",$C$6=""),"",TRIM(INDEX($A:$AP,ROW(),$C$6)&amp;""))</f>
        <v/>
      </c>
      <c r="AX391" s="2">
        <f>IF($AS391="","",IF($AZ391&lt;&gt;"",SUBSTITUTE(SUBSTITUTE($AZ391,"-","")," ",""),$AY391))</f>
        <v/>
      </c>
      <c r="AY391" s="2">
        <f>IF(OR($AS391="",$E$6=""),"",TRIM(INDEX($A:$AP,ROW(),$E$6)&amp;""))</f>
        <v/>
      </c>
      <c r="AZ391" s="2">
        <f>IF(OR($AS391="",$D$6=""),"",TRIM(INDEX($A:$AP,ROW(),$D$6)&amp;""))</f>
        <v/>
      </c>
      <c r="BA391" s="2">
        <f>IF($AS391="","",IF(AND($AS391&gt;=설정!$B$10,$AS391&lt;=설정!$B$11),"포함","기간 밖"))</f>
        <v/>
      </c>
      <c r="BB391" s="2">
        <f>IF($AS391="","",IF(OR($AT391&lt;0,AND($I$6&lt;&gt;"",ISNUMBER(FIND("수정",INDEX($A:$AP,ROW(),IF($I$6="",1,$I$6))&amp;"")))),"수정","일반"))</f>
        <v/>
      </c>
      <c r="BC391" s="2">
        <f>IF($AS391="","",MID(IF($BA391="기간 밖"," / 기간 밖(신고기간 아님)","")&amp;IF(AND($AW391&lt;&gt;"",COUNTIF($AW$8:$AW$1007,$AW391)&gt;1)," / 승인번호 중복(두 번 붙여넣기?)","")&amp;IF(ABS($AU391-ROUND($AT391*0.1,0))&gt;설정!$B$8,IF($AU391=0," / 세액 0원(영세율·면세 여부 확인)"," / 세액이 공급가액 10%와 다름"),"")&amp;IF($BB391="수정"," / 수정세금계산서(합계에서 자동 가감)",""),4,200))</f>
        <v/>
      </c>
      <c r="BD391" s="2">
        <f>IF($BA391&lt;&gt;"포함","",IF(COUNTIFS($AX$8:$AX391,$AX391,$BA$8:$BA391,"포함")=1,MAX($BD$7:BD390)+1,""))</f>
        <v/>
      </c>
      <c r="BE391" s="2">
        <f>IF($BC391="","",MAX($BE$7:BE390)+1)</f>
        <v/>
      </c>
    </row>
    <row r="392">
      <c r="AR392" s="2">
        <f>IF(OR($A$5="",$B$6="",ROW()&lt;$A$5),"",IF(INDEX($A:$AP,ROW(),$B$6)="","",INDEX($A:$AP,ROW(),$B$6)))</f>
        <v/>
      </c>
      <c r="AS392" s="22">
        <f>IF($AR392="","",IF(ISNUMBER($AR392),IF($AR392&gt;=10000000,IFERROR(DATE(INT($AR392/10000),MOD(INT($AR392/100),100),MOD($AR392,100)),""),INT($AR392)),IFERROR(DATE(--LEFT(LEFT(SUBSTITUTE(SUBSTITUTE(SUBSTITUTE(SUBSTITUTE(TRIM($AR392),"-",""),".",""),"/","")," ",""),8),4),--MID(LEFT(SUBSTITUTE(SUBSTITUTE(SUBSTITUTE(SUBSTITUTE(TRIM($AR392),"-",""),".",""),"/","")," ",""),8),5,2),--MID(LEFT(SUBSTITUTE(SUBSTITUTE(SUBSTITUTE(SUBSTITUTE(TRIM($AR392),"-",""),".",""),"/","")," ",""),8),7,2)),"")))</f>
        <v/>
      </c>
      <c r="AT392" s="23">
        <f>IF($AS392="","",IF($F$6="",0,IF(ISNUMBER(INDEX($A:$AP,ROW(),$F$6)),INDEX($A:$AP,ROW(),$F$6),IFERROR(--SUBSTITUTE(SUBSTITUTE(TRIM(INDEX($A:$AP,ROW(),$F$6)),",",""),"원",""),0))))</f>
        <v/>
      </c>
      <c r="AU392" s="23">
        <f>IF($AS392="","",IF($G$6="",0,IF(ISNUMBER(INDEX($A:$AP,ROW(),$G$6)),INDEX($A:$AP,ROW(),$G$6),IFERROR(--SUBSTITUTE(SUBSTITUTE(TRIM(INDEX($A:$AP,ROW(),$G$6)),",",""),"원",""),0))))</f>
        <v/>
      </c>
      <c r="AV392" s="23">
        <f>IF($AS392="","",IF($H$6="",$AT392+$AU392,IF($H$6="",0,IF(ISNUMBER(INDEX($A:$AP,ROW(),$H$6)),INDEX($A:$AP,ROW(),$H$6),IFERROR(--SUBSTITUTE(SUBSTITUTE(TRIM(INDEX($A:$AP,ROW(),$H$6)),",",""),"원",""),0)))))</f>
        <v/>
      </c>
      <c r="AW392" s="2">
        <f>IF(OR($AS392="",$C$6=""),"",TRIM(INDEX($A:$AP,ROW(),$C$6)&amp;""))</f>
        <v/>
      </c>
      <c r="AX392" s="2">
        <f>IF($AS392="","",IF($AZ392&lt;&gt;"",SUBSTITUTE(SUBSTITUTE($AZ392,"-","")," ",""),$AY392))</f>
        <v/>
      </c>
      <c r="AY392" s="2">
        <f>IF(OR($AS392="",$E$6=""),"",TRIM(INDEX($A:$AP,ROW(),$E$6)&amp;""))</f>
        <v/>
      </c>
      <c r="AZ392" s="2">
        <f>IF(OR($AS392="",$D$6=""),"",TRIM(INDEX($A:$AP,ROW(),$D$6)&amp;""))</f>
        <v/>
      </c>
      <c r="BA392" s="2">
        <f>IF($AS392="","",IF(AND($AS392&gt;=설정!$B$10,$AS392&lt;=설정!$B$11),"포함","기간 밖"))</f>
        <v/>
      </c>
      <c r="BB392" s="2">
        <f>IF($AS392="","",IF(OR($AT392&lt;0,AND($I$6&lt;&gt;"",ISNUMBER(FIND("수정",INDEX($A:$AP,ROW(),IF($I$6="",1,$I$6))&amp;"")))),"수정","일반"))</f>
        <v/>
      </c>
      <c r="BC392" s="2">
        <f>IF($AS392="","",MID(IF($BA392="기간 밖"," / 기간 밖(신고기간 아님)","")&amp;IF(AND($AW392&lt;&gt;"",COUNTIF($AW$8:$AW$1007,$AW392)&gt;1)," / 승인번호 중복(두 번 붙여넣기?)","")&amp;IF(ABS($AU392-ROUND($AT392*0.1,0))&gt;설정!$B$8,IF($AU392=0," / 세액 0원(영세율·면세 여부 확인)"," / 세액이 공급가액 10%와 다름"),"")&amp;IF($BB392="수정"," / 수정세금계산서(합계에서 자동 가감)",""),4,200))</f>
        <v/>
      </c>
      <c r="BD392" s="2">
        <f>IF($BA392&lt;&gt;"포함","",IF(COUNTIFS($AX$8:$AX392,$AX392,$BA$8:$BA392,"포함")=1,MAX($BD$7:BD391)+1,""))</f>
        <v/>
      </c>
      <c r="BE392" s="2">
        <f>IF($BC392="","",MAX($BE$7:BE391)+1)</f>
        <v/>
      </c>
    </row>
    <row r="393">
      <c r="AR393" s="2">
        <f>IF(OR($A$5="",$B$6="",ROW()&lt;$A$5),"",IF(INDEX($A:$AP,ROW(),$B$6)="","",INDEX($A:$AP,ROW(),$B$6)))</f>
        <v/>
      </c>
      <c r="AS393" s="22">
        <f>IF($AR393="","",IF(ISNUMBER($AR393),IF($AR393&gt;=10000000,IFERROR(DATE(INT($AR393/10000),MOD(INT($AR393/100),100),MOD($AR393,100)),""),INT($AR393)),IFERROR(DATE(--LEFT(LEFT(SUBSTITUTE(SUBSTITUTE(SUBSTITUTE(SUBSTITUTE(TRIM($AR393),"-",""),".",""),"/","")," ",""),8),4),--MID(LEFT(SUBSTITUTE(SUBSTITUTE(SUBSTITUTE(SUBSTITUTE(TRIM($AR393),"-",""),".",""),"/","")," ",""),8),5,2),--MID(LEFT(SUBSTITUTE(SUBSTITUTE(SUBSTITUTE(SUBSTITUTE(TRIM($AR393),"-",""),".",""),"/","")," ",""),8),7,2)),"")))</f>
        <v/>
      </c>
      <c r="AT393" s="23">
        <f>IF($AS393="","",IF($F$6="",0,IF(ISNUMBER(INDEX($A:$AP,ROW(),$F$6)),INDEX($A:$AP,ROW(),$F$6),IFERROR(--SUBSTITUTE(SUBSTITUTE(TRIM(INDEX($A:$AP,ROW(),$F$6)),",",""),"원",""),0))))</f>
        <v/>
      </c>
      <c r="AU393" s="23">
        <f>IF($AS393="","",IF($G$6="",0,IF(ISNUMBER(INDEX($A:$AP,ROW(),$G$6)),INDEX($A:$AP,ROW(),$G$6),IFERROR(--SUBSTITUTE(SUBSTITUTE(TRIM(INDEX($A:$AP,ROW(),$G$6)),",",""),"원",""),0))))</f>
        <v/>
      </c>
      <c r="AV393" s="23">
        <f>IF($AS393="","",IF($H$6="",$AT393+$AU393,IF($H$6="",0,IF(ISNUMBER(INDEX($A:$AP,ROW(),$H$6)),INDEX($A:$AP,ROW(),$H$6),IFERROR(--SUBSTITUTE(SUBSTITUTE(TRIM(INDEX($A:$AP,ROW(),$H$6)),",",""),"원",""),0)))))</f>
        <v/>
      </c>
      <c r="AW393" s="2">
        <f>IF(OR($AS393="",$C$6=""),"",TRIM(INDEX($A:$AP,ROW(),$C$6)&amp;""))</f>
        <v/>
      </c>
      <c r="AX393" s="2">
        <f>IF($AS393="","",IF($AZ393&lt;&gt;"",SUBSTITUTE(SUBSTITUTE($AZ393,"-","")," ",""),$AY393))</f>
        <v/>
      </c>
      <c r="AY393" s="2">
        <f>IF(OR($AS393="",$E$6=""),"",TRIM(INDEX($A:$AP,ROW(),$E$6)&amp;""))</f>
        <v/>
      </c>
      <c r="AZ393" s="2">
        <f>IF(OR($AS393="",$D$6=""),"",TRIM(INDEX($A:$AP,ROW(),$D$6)&amp;""))</f>
        <v/>
      </c>
      <c r="BA393" s="2">
        <f>IF($AS393="","",IF(AND($AS393&gt;=설정!$B$10,$AS393&lt;=설정!$B$11),"포함","기간 밖"))</f>
        <v/>
      </c>
      <c r="BB393" s="2">
        <f>IF($AS393="","",IF(OR($AT393&lt;0,AND($I$6&lt;&gt;"",ISNUMBER(FIND("수정",INDEX($A:$AP,ROW(),IF($I$6="",1,$I$6))&amp;"")))),"수정","일반"))</f>
        <v/>
      </c>
      <c r="BC393" s="2">
        <f>IF($AS393="","",MID(IF($BA393="기간 밖"," / 기간 밖(신고기간 아님)","")&amp;IF(AND($AW393&lt;&gt;"",COUNTIF($AW$8:$AW$1007,$AW393)&gt;1)," / 승인번호 중복(두 번 붙여넣기?)","")&amp;IF(ABS($AU393-ROUND($AT393*0.1,0))&gt;설정!$B$8,IF($AU393=0," / 세액 0원(영세율·면세 여부 확인)"," / 세액이 공급가액 10%와 다름"),"")&amp;IF($BB393="수정"," / 수정세금계산서(합계에서 자동 가감)",""),4,200))</f>
        <v/>
      </c>
      <c r="BD393" s="2">
        <f>IF($BA393&lt;&gt;"포함","",IF(COUNTIFS($AX$8:$AX393,$AX393,$BA$8:$BA393,"포함")=1,MAX($BD$7:BD392)+1,""))</f>
        <v/>
      </c>
      <c r="BE393" s="2">
        <f>IF($BC393="","",MAX($BE$7:BE392)+1)</f>
        <v/>
      </c>
    </row>
    <row r="394">
      <c r="AR394" s="2">
        <f>IF(OR($A$5="",$B$6="",ROW()&lt;$A$5),"",IF(INDEX($A:$AP,ROW(),$B$6)="","",INDEX($A:$AP,ROW(),$B$6)))</f>
        <v/>
      </c>
      <c r="AS394" s="22">
        <f>IF($AR394="","",IF(ISNUMBER($AR394),IF($AR394&gt;=10000000,IFERROR(DATE(INT($AR394/10000),MOD(INT($AR394/100),100),MOD($AR394,100)),""),INT($AR394)),IFERROR(DATE(--LEFT(LEFT(SUBSTITUTE(SUBSTITUTE(SUBSTITUTE(SUBSTITUTE(TRIM($AR394),"-",""),".",""),"/","")," ",""),8),4),--MID(LEFT(SUBSTITUTE(SUBSTITUTE(SUBSTITUTE(SUBSTITUTE(TRIM($AR394),"-",""),".",""),"/","")," ",""),8),5,2),--MID(LEFT(SUBSTITUTE(SUBSTITUTE(SUBSTITUTE(SUBSTITUTE(TRIM($AR394),"-",""),".",""),"/","")," ",""),8),7,2)),"")))</f>
        <v/>
      </c>
      <c r="AT394" s="23">
        <f>IF($AS394="","",IF($F$6="",0,IF(ISNUMBER(INDEX($A:$AP,ROW(),$F$6)),INDEX($A:$AP,ROW(),$F$6),IFERROR(--SUBSTITUTE(SUBSTITUTE(TRIM(INDEX($A:$AP,ROW(),$F$6)),",",""),"원",""),0))))</f>
        <v/>
      </c>
      <c r="AU394" s="23">
        <f>IF($AS394="","",IF($G$6="",0,IF(ISNUMBER(INDEX($A:$AP,ROW(),$G$6)),INDEX($A:$AP,ROW(),$G$6),IFERROR(--SUBSTITUTE(SUBSTITUTE(TRIM(INDEX($A:$AP,ROW(),$G$6)),",",""),"원",""),0))))</f>
        <v/>
      </c>
      <c r="AV394" s="23">
        <f>IF($AS394="","",IF($H$6="",$AT394+$AU394,IF($H$6="",0,IF(ISNUMBER(INDEX($A:$AP,ROW(),$H$6)),INDEX($A:$AP,ROW(),$H$6),IFERROR(--SUBSTITUTE(SUBSTITUTE(TRIM(INDEX($A:$AP,ROW(),$H$6)),",",""),"원",""),0)))))</f>
        <v/>
      </c>
      <c r="AW394" s="2">
        <f>IF(OR($AS394="",$C$6=""),"",TRIM(INDEX($A:$AP,ROW(),$C$6)&amp;""))</f>
        <v/>
      </c>
      <c r="AX394" s="2">
        <f>IF($AS394="","",IF($AZ394&lt;&gt;"",SUBSTITUTE(SUBSTITUTE($AZ394,"-","")," ",""),$AY394))</f>
        <v/>
      </c>
      <c r="AY394" s="2">
        <f>IF(OR($AS394="",$E$6=""),"",TRIM(INDEX($A:$AP,ROW(),$E$6)&amp;""))</f>
        <v/>
      </c>
      <c r="AZ394" s="2">
        <f>IF(OR($AS394="",$D$6=""),"",TRIM(INDEX($A:$AP,ROW(),$D$6)&amp;""))</f>
        <v/>
      </c>
      <c r="BA394" s="2">
        <f>IF($AS394="","",IF(AND($AS394&gt;=설정!$B$10,$AS394&lt;=설정!$B$11),"포함","기간 밖"))</f>
        <v/>
      </c>
      <c r="BB394" s="2">
        <f>IF($AS394="","",IF(OR($AT394&lt;0,AND($I$6&lt;&gt;"",ISNUMBER(FIND("수정",INDEX($A:$AP,ROW(),IF($I$6="",1,$I$6))&amp;"")))),"수정","일반"))</f>
        <v/>
      </c>
      <c r="BC394" s="2">
        <f>IF($AS394="","",MID(IF($BA394="기간 밖"," / 기간 밖(신고기간 아님)","")&amp;IF(AND($AW394&lt;&gt;"",COUNTIF($AW$8:$AW$1007,$AW394)&gt;1)," / 승인번호 중복(두 번 붙여넣기?)","")&amp;IF(ABS($AU394-ROUND($AT394*0.1,0))&gt;설정!$B$8,IF($AU394=0," / 세액 0원(영세율·면세 여부 확인)"," / 세액이 공급가액 10%와 다름"),"")&amp;IF($BB394="수정"," / 수정세금계산서(합계에서 자동 가감)",""),4,200))</f>
        <v/>
      </c>
      <c r="BD394" s="2">
        <f>IF($BA394&lt;&gt;"포함","",IF(COUNTIFS($AX$8:$AX394,$AX394,$BA$8:$BA394,"포함")=1,MAX($BD$7:BD393)+1,""))</f>
        <v/>
      </c>
      <c r="BE394" s="2">
        <f>IF($BC394="","",MAX($BE$7:BE393)+1)</f>
        <v/>
      </c>
    </row>
    <row r="395">
      <c r="AR395" s="2">
        <f>IF(OR($A$5="",$B$6="",ROW()&lt;$A$5),"",IF(INDEX($A:$AP,ROW(),$B$6)="","",INDEX($A:$AP,ROW(),$B$6)))</f>
        <v/>
      </c>
      <c r="AS395" s="22">
        <f>IF($AR395="","",IF(ISNUMBER($AR395),IF($AR395&gt;=10000000,IFERROR(DATE(INT($AR395/10000),MOD(INT($AR395/100),100),MOD($AR395,100)),""),INT($AR395)),IFERROR(DATE(--LEFT(LEFT(SUBSTITUTE(SUBSTITUTE(SUBSTITUTE(SUBSTITUTE(TRIM($AR395),"-",""),".",""),"/","")," ",""),8),4),--MID(LEFT(SUBSTITUTE(SUBSTITUTE(SUBSTITUTE(SUBSTITUTE(TRIM($AR395),"-",""),".",""),"/","")," ",""),8),5,2),--MID(LEFT(SUBSTITUTE(SUBSTITUTE(SUBSTITUTE(SUBSTITUTE(TRIM($AR395),"-",""),".",""),"/","")," ",""),8),7,2)),"")))</f>
        <v/>
      </c>
      <c r="AT395" s="23">
        <f>IF($AS395="","",IF($F$6="",0,IF(ISNUMBER(INDEX($A:$AP,ROW(),$F$6)),INDEX($A:$AP,ROW(),$F$6),IFERROR(--SUBSTITUTE(SUBSTITUTE(TRIM(INDEX($A:$AP,ROW(),$F$6)),",",""),"원",""),0))))</f>
        <v/>
      </c>
      <c r="AU395" s="23">
        <f>IF($AS395="","",IF($G$6="",0,IF(ISNUMBER(INDEX($A:$AP,ROW(),$G$6)),INDEX($A:$AP,ROW(),$G$6),IFERROR(--SUBSTITUTE(SUBSTITUTE(TRIM(INDEX($A:$AP,ROW(),$G$6)),",",""),"원",""),0))))</f>
        <v/>
      </c>
      <c r="AV395" s="23">
        <f>IF($AS395="","",IF($H$6="",$AT395+$AU395,IF($H$6="",0,IF(ISNUMBER(INDEX($A:$AP,ROW(),$H$6)),INDEX($A:$AP,ROW(),$H$6),IFERROR(--SUBSTITUTE(SUBSTITUTE(TRIM(INDEX($A:$AP,ROW(),$H$6)),",",""),"원",""),0)))))</f>
        <v/>
      </c>
      <c r="AW395" s="2">
        <f>IF(OR($AS395="",$C$6=""),"",TRIM(INDEX($A:$AP,ROW(),$C$6)&amp;""))</f>
        <v/>
      </c>
      <c r="AX395" s="2">
        <f>IF($AS395="","",IF($AZ395&lt;&gt;"",SUBSTITUTE(SUBSTITUTE($AZ395,"-","")," ",""),$AY395))</f>
        <v/>
      </c>
      <c r="AY395" s="2">
        <f>IF(OR($AS395="",$E$6=""),"",TRIM(INDEX($A:$AP,ROW(),$E$6)&amp;""))</f>
        <v/>
      </c>
      <c r="AZ395" s="2">
        <f>IF(OR($AS395="",$D$6=""),"",TRIM(INDEX($A:$AP,ROW(),$D$6)&amp;""))</f>
        <v/>
      </c>
      <c r="BA395" s="2">
        <f>IF($AS395="","",IF(AND($AS395&gt;=설정!$B$10,$AS395&lt;=설정!$B$11),"포함","기간 밖"))</f>
        <v/>
      </c>
      <c r="BB395" s="2">
        <f>IF($AS395="","",IF(OR($AT395&lt;0,AND($I$6&lt;&gt;"",ISNUMBER(FIND("수정",INDEX($A:$AP,ROW(),IF($I$6="",1,$I$6))&amp;"")))),"수정","일반"))</f>
        <v/>
      </c>
      <c r="BC395" s="2">
        <f>IF($AS395="","",MID(IF($BA395="기간 밖"," / 기간 밖(신고기간 아님)","")&amp;IF(AND($AW395&lt;&gt;"",COUNTIF($AW$8:$AW$1007,$AW395)&gt;1)," / 승인번호 중복(두 번 붙여넣기?)","")&amp;IF(ABS($AU395-ROUND($AT395*0.1,0))&gt;설정!$B$8,IF($AU395=0," / 세액 0원(영세율·면세 여부 확인)"," / 세액이 공급가액 10%와 다름"),"")&amp;IF($BB395="수정"," / 수정세금계산서(합계에서 자동 가감)",""),4,200))</f>
        <v/>
      </c>
      <c r="BD395" s="2">
        <f>IF($BA395&lt;&gt;"포함","",IF(COUNTIFS($AX$8:$AX395,$AX395,$BA$8:$BA395,"포함")=1,MAX($BD$7:BD394)+1,""))</f>
        <v/>
      </c>
      <c r="BE395" s="2">
        <f>IF($BC395="","",MAX($BE$7:BE394)+1)</f>
        <v/>
      </c>
    </row>
    <row r="396">
      <c r="AR396" s="2">
        <f>IF(OR($A$5="",$B$6="",ROW()&lt;$A$5),"",IF(INDEX($A:$AP,ROW(),$B$6)="","",INDEX($A:$AP,ROW(),$B$6)))</f>
        <v/>
      </c>
      <c r="AS396" s="22">
        <f>IF($AR396="","",IF(ISNUMBER($AR396),IF($AR396&gt;=10000000,IFERROR(DATE(INT($AR396/10000),MOD(INT($AR396/100),100),MOD($AR396,100)),""),INT($AR396)),IFERROR(DATE(--LEFT(LEFT(SUBSTITUTE(SUBSTITUTE(SUBSTITUTE(SUBSTITUTE(TRIM($AR396),"-",""),".",""),"/","")," ",""),8),4),--MID(LEFT(SUBSTITUTE(SUBSTITUTE(SUBSTITUTE(SUBSTITUTE(TRIM($AR396),"-",""),".",""),"/","")," ",""),8),5,2),--MID(LEFT(SUBSTITUTE(SUBSTITUTE(SUBSTITUTE(SUBSTITUTE(TRIM($AR396),"-",""),".",""),"/","")," ",""),8),7,2)),"")))</f>
        <v/>
      </c>
      <c r="AT396" s="23">
        <f>IF($AS396="","",IF($F$6="",0,IF(ISNUMBER(INDEX($A:$AP,ROW(),$F$6)),INDEX($A:$AP,ROW(),$F$6),IFERROR(--SUBSTITUTE(SUBSTITUTE(TRIM(INDEX($A:$AP,ROW(),$F$6)),",",""),"원",""),0))))</f>
        <v/>
      </c>
      <c r="AU396" s="23">
        <f>IF($AS396="","",IF($G$6="",0,IF(ISNUMBER(INDEX($A:$AP,ROW(),$G$6)),INDEX($A:$AP,ROW(),$G$6),IFERROR(--SUBSTITUTE(SUBSTITUTE(TRIM(INDEX($A:$AP,ROW(),$G$6)),",",""),"원",""),0))))</f>
        <v/>
      </c>
      <c r="AV396" s="23">
        <f>IF($AS396="","",IF($H$6="",$AT396+$AU396,IF($H$6="",0,IF(ISNUMBER(INDEX($A:$AP,ROW(),$H$6)),INDEX($A:$AP,ROW(),$H$6),IFERROR(--SUBSTITUTE(SUBSTITUTE(TRIM(INDEX($A:$AP,ROW(),$H$6)),",",""),"원",""),0)))))</f>
        <v/>
      </c>
      <c r="AW396" s="2">
        <f>IF(OR($AS396="",$C$6=""),"",TRIM(INDEX($A:$AP,ROW(),$C$6)&amp;""))</f>
        <v/>
      </c>
      <c r="AX396" s="2">
        <f>IF($AS396="","",IF($AZ396&lt;&gt;"",SUBSTITUTE(SUBSTITUTE($AZ396,"-","")," ",""),$AY396))</f>
        <v/>
      </c>
      <c r="AY396" s="2">
        <f>IF(OR($AS396="",$E$6=""),"",TRIM(INDEX($A:$AP,ROW(),$E$6)&amp;""))</f>
        <v/>
      </c>
      <c r="AZ396" s="2">
        <f>IF(OR($AS396="",$D$6=""),"",TRIM(INDEX($A:$AP,ROW(),$D$6)&amp;""))</f>
        <v/>
      </c>
      <c r="BA396" s="2">
        <f>IF($AS396="","",IF(AND($AS396&gt;=설정!$B$10,$AS396&lt;=설정!$B$11),"포함","기간 밖"))</f>
        <v/>
      </c>
      <c r="BB396" s="2">
        <f>IF($AS396="","",IF(OR($AT396&lt;0,AND($I$6&lt;&gt;"",ISNUMBER(FIND("수정",INDEX($A:$AP,ROW(),IF($I$6="",1,$I$6))&amp;"")))),"수정","일반"))</f>
        <v/>
      </c>
      <c r="BC396" s="2">
        <f>IF($AS396="","",MID(IF($BA396="기간 밖"," / 기간 밖(신고기간 아님)","")&amp;IF(AND($AW396&lt;&gt;"",COUNTIF($AW$8:$AW$1007,$AW396)&gt;1)," / 승인번호 중복(두 번 붙여넣기?)","")&amp;IF(ABS($AU396-ROUND($AT396*0.1,0))&gt;설정!$B$8,IF($AU396=0," / 세액 0원(영세율·면세 여부 확인)"," / 세액이 공급가액 10%와 다름"),"")&amp;IF($BB396="수정"," / 수정세금계산서(합계에서 자동 가감)",""),4,200))</f>
        <v/>
      </c>
      <c r="BD396" s="2">
        <f>IF($BA396&lt;&gt;"포함","",IF(COUNTIFS($AX$8:$AX396,$AX396,$BA$8:$BA396,"포함")=1,MAX($BD$7:BD395)+1,""))</f>
        <v/>
      </c>
      <c r="BE396" s="2">
        <f>IF($BC396="","",MAX($BE$7:BE395)+1)</f>
        <v/>
      </c>
    </row>
    <row r="397">
      <c r="AR397" s="2">
        <f>IF(OR($A$5="",$B$6="",ROW()&lt;$A$5),"",IF(INDEX($A:$AP,ROW(),$B$6)="","",INDEX($A:$AP,ROW(),$B$6)))</f>
        <v/>
      </c>
      <c r="AS397" s="22">
        <f>IF($AR397="","",IF(ISNUMBER($AR397),IF($AR397&gt;=10000000,IFERROR(DATE(INT($AR397/10000),MOD(INT($AR397/100),100),MOD($AR397,100)),""),INT($AR397)),IFERROR(DATE(--LEFT(LEFT(SUBSTITUTE(SUBSTITUTE(SUBSTITUTE(SUBSTITUTE(TRIM($AR397),"-",""),".",""),"/","")," ",""),8),4),--MID(LEFT(SUBSTITUTE(SUBSTITUTE(SUBSTITUTE(SUBSTITUTE(TRIM($AR397),"-",""),".",""),"/","")," ",""),8),5,2),--MID(LEFT(SUBSTITUTE(SUBSTITUTE(SUBSTITUTE(SUBSTITUTE(TRIM($AR397),"-",""),".",""),"/","")," ",""),8),7,2)),"")))</f>
        <v/>
      </c>
      <c r="AT397" s="23">
        <f>IF($AS397="","",IF($F$6="",0,IF(ISNUMBER(INDEX($A:$AP,ROW(),$F$6)),INDEX($A:$AP,ROW(),$F$6),IFERROR(--SUBSTITUTE(SUBSTITUTE(TRIM(INDEX($A:$AP,ROW(),$F$6)),",",""),"원",""),0))))</f>
        <v/>
      </c>
      <c r="AU397" s="23">
        <f>IF($AS397="","",IF($G$6="",0,IF(ISNUMBER(INDEX($A:$AP,ROW(),$G$6)),INDEX($A:$AP,ROW(),$G$6),IFERROR(--SUBSTITUTE(SUBSTITUTE(TRIM(INDEX($A:$AP,ROW(),$G$6)),",",""),"원",""),0))))</f>
        <v/>
      </c>
      <c r="AV397" s="23">
        <f>IF($AS397="","",IF($H$6="",$AT397+$AU397,IF($H$6="",0,IF(ISNUMBER(INDEX($A:$AP,ROW(),$H$6)),INDEX($A:$AP,ROW(),$H$6),IFERROR(--SUBSTITUTE(SUBSTITUTE(TRIM(INDEX($A:$AP,ROW(),$H$6)),",",""),"원",""),0)))))</f>
        <v/>
      </c>
      <c r="AW397" s="2">
        <f>IF(OR($AS397="",$C$6=""),"",TRIM(INDEX($A:$AP,ROW(),$C$6)&amp;""))</f>
        <v/>
      </c>
      <c r="AX397" s="2">
        <f>IF($AS397="","",IF($AZ397&lt;&gt;"",SUBSTITUTE(SUBSTITUTE($AZ397,"-","")," ",""),$AY397))</f>
        <v/>
      </c>
      <c r="AY397" s="2">
        <f>IF(OR($AS397="",$E$6=""),"",TRIM(INDEX($A:$AP,ROW(),$E$6)&amp;""))</f>
        <v/>
      </c>
      <c r="AZ397" s="2">
        <f>IF(OR($AS397="",$D$6=""),"",TRIM(INDEX($A:$AP,ROW(),$D$6)&amp;""))</f>
        <v/>
      </c>
      <c r="BA397" s="2">
        <f>IF($AS397="","",IF(AND($AS397&gt;=설정!$B$10,$AS397&lt;=설정!$B$11),"포함","기간 밖"))</f>
        <v/>
      </c>
      <c r="BB397" s="2">
        <f>IF($AS397="","",IF(OR($AT397&lt;0,AND($I$6&lt;&gt;"",ISNUMBER(FIND("수정",INDEX($A:$AP,ROW(),IF($I$6="",1,$I$6))&amp;"")))),"수정","일반"))</f>
        <v/>
      </c>
      <c r="BC397" s="2">
        <f>IF($AS397="","",MID(IF($BA397="기간 밖"," / 기간 밖(신고기간 아님)","")&amp;IF(AND($AW397&lt;&gt;"",COUNTIF($AW$8:$AW$1007,$AW397)&gt;1)," / 승인번호 중복(두 번 붙여넣기?)","")&amp;IF(ABS($AU397-ROUND($AT397*0.1,0))&gt;설정!$B$8,IF($AU397=0," / 세액 0원(영세율·면세 여부 확인)"," / 세액이 공급가액 10%와 다름"),"")&amp;IF($BB397="수정"," / 수정세금계산서(합계에서 자동 가감)",""),4,200))</f>
        <v/>
      </c>
      <c r="BD397" s="2">
        <f>IF($BA397&lt;&gt;"포함","",IF(COUNTIFS($AX$8:$AX397,$AX397,$BA$8:$BA397,"포함")=1,MAX($BD$7:BD396)+1,""))</f>
        <v/>
      </c>
      <c r="BE397" s="2">
        <f>IF($BC397="","",MAX($BE$7:BE396)+1)</f>
        <v/>
      </c>
    </row>
    <row r="398">
      <c r="AR398" s="2">
        <f>IF(OR($A$5="",$B$6="",ROW()&lt;$A$5),"",IF(INDEX($A:$AP,ROW(),$B$6)="","",INDEX($A:$AP,ROW(),$B$6)))</f>
        <v/>
      </c>
      <c r="AS398" s="22">
        <f>IF($AR398="","",IF(ISNUMBER($AR398),IF($AR398&gt;=10000000,IFERROR(DATE(INT($AR398/10000),MOD(INT($AR398/100),100),MOD($AR398,100)),""),INT($AR398)),IFERROR(DATE(--LEFT(LEFT(SUBSTITUTE(SUBSTITUTE(SUBSTITUTE(SUBSTITUTE(TRIM($AR398),"-",""),".",""),"/","")," ",""),8),4),--MID(LEFT(SUBSTITUTE(SUBSTITUTE(SUBSTITUTE(SUBSTITUTE(TRIM($AR398),"-",""),".",""),"/","")," ",""),8),5,2),--MID(LEFT(SUBSTITUTE(SUBSTITUTE(SUBSTITUTE(SUBSTITUTE(TRIM($AR398),"-",""),".",""),"/","")," ",""),8),7,2)),"")))</f>
        <v/>
      </c>
      <c r="AT398" s="23">
        <f>IF($AS398="","",IF($F$6="",0,IF(ISNUMBER(INDEX($A:$AP,ROW(),$F$6)),INDEX($A:$AP,ROW(),$F$6),IFERROR(--SUBSTITUTE(SUBSTITUTE(TRIM(INDEX($A:$AP,ROW(),$F$6)),",",""),"원",""),0))))</f>
        <v/>
      </c>
      <c r="AU398" s="23">
        <f>IF($AS398="","",IF($G$6="",0,IF(ISNUMBER(INDEX($A:$AP,ROW(),$G$6)),INDEX($A:$AP,ROW(),$G$6),IFERROR(--SUBSTITUTE(SUBSTITUTE(TRIM(INDEX($A:$AP,ROW(),$G$6)),",",""),"원",""),0))))</f>
        <v/>
      </c>
      <c r="AV398" s="23">
        <f>IF($AS398="","",IF($H$6="",$AT398+$AU398,IF($H$6="",0,IF(ISNUMBER(INDEX($A:$AP,ROW(),$H$6)),INDEX($A:$AP,ROW(),$H$6),IFERROR(--SUBSTITUTE(SUBSTITUTE(TRIM(INDEX($A:$AP,ROW(),$H$6)),",",""),"원",""),0)))))</f>
        <v/>
      </c>
      <c r="AW398" s="2">
        <f>IF(OR($AS398="",$C$6=""),"",TRIM(INDEX($A:$AP,ROW(),$C$6)&amp;""))</f>
        <v/>
      </c>
      <c r="AX398" s="2">
        <f>IF($AS398="","",IF($AZ398&lt;&gt;"",SUBSTITUTE(SUBSTITUTE($AZ398,"-","")," ",""),$AY398))</f>
        <v/>
      </c>
      <c r="AY398" s="2">
        <f>IF(OR($AS398="",$E$6=""),"",TRIM(INDEX($A:$AP,ROW(),$E$6)&amp;""))</f>
        <v/>
      </c>
      <c r="AZ398" s="2">
        <f>IF(OR($AS398="",$D$6=""),"",TRIM(INDEX($A:$AP,ROW(),$D$6)&amp;""))</f>
        <v/>
      </c>
      <c r="BA398" s="2">
        <f>IF($AS398="","",IF(AND($AS398&gt;=설정!$B$10,$AS398&lt;=설정!$B$11),"포함","기간 밖"))</f>
        <v/>
      </c>
      <c r="BB398" s="2">
        <f>IF($AS398="","",IF(OR($AT398&lt;0,AND($I$6&lt;&gt;"",ISNUMBER(FIND("수정",INDEX($A:$AP,ROW(),IF($I$6="",1,$I$6))&amp;"")))),"수정","일반"))</f>
        <v/>
      </c>
      <c r="BC398" s="2">
        <f>IF($AS398="","",MID(IF($BA398="기간 밖"," / 기간 밖(신고기간 아님)","")&amp;IF(AND($AW398&lt;&gt;"",COUNTIF($AW$8:$AW$1007,$AW398)&gt;1)," / 승인번호 중복(두 번 붙여넣기?)","")&amp;IF(ABS($AU398-ROUND($AT398*0.1,0))&gt;설정!$B$8,IF($AU398=0," / 세액 0원(영세율·면세 여부 확인)"," / 세액이 공급가액 10%와 다름"),"")&amp;IF($BB398="수정"," / 수정세금계산서(합계에서 자동 가감)",""),4,200))</f>
        <v/>
      </c>
      <c r="BD398" s="2">
        <f>IF($BA398&lt;&gt;"포함","",IF(COUNTIFS($AX$8:$AX398,$AX398,$BA$8:$BA398,"포함")=1,MAX($BD$7:BD397)+1,""))</f>
        <v/>
      </c>
      <c r="BE398" s="2">
        <f>IF($BC398="","",MAX($BE$7:BE397)+1)</f>
        <v/>
      </c>
    </row>
    <row r="399">
      <c r="AR399" s="2">
        <f>IF(OR($A$5="",$B$6="",ROW()&lt;$A$5),"",IF(INDEX($A:$AP,ROW(),$B$6)="","",INDEX($A:$AP,ROW(),$B$6)))</f>
        <v/>
      </c>
      <c r="AS399" s="22">
        <f>IF($AR399="","",IF(ISNUMBER($AR399),IF($AR399&gt;=10000000,IFERROR(DATE(INT($AR399/10000),MOD(INT($AR399/100),100),MOD($AR399,100)),""),INT($AR399)),IFERROR(DATE(--LEFT(LEFT(SUBSTITUTE(SUBSTITUTE(SUBSTITUTE(SUBSTITUTE(TRIM($AR399),"-",""),".",""),"/","")," ",""),8),4),--MID(LEFT(SUBSTITUTE(SUBSTITUTE(SUBSTITUTE(SUBSTITUTE(TRIM($AR399),"-",""),".",""),"/","")," ",""),8),5,2),--MID(LEFT(SUBSTITUTE(SUBSTITUTE(SUBSTITUTE(SUBSTITUTE(TRIM($AR399),"-",""),".",""),"/","")," ",""),8),7,2)),"")))</f>
        <v/>
      </c>
      <c r="AT399" s="23">
        <f>IF($AS399="","",IF($F$6="",0,IF(ISNUMBER(INDEX($A:$AP,ROW(),$F$6)),INDEX($A:$AP,ROW(),$F$6),IFERROR(--SUBSTITUTE(SUBSTITUTE(TRIM(INDEX($A:$AP,ROW(),$F$6)),",",""),"원",""),0))))</f>
        <v/>
      </c>
      <c r="AU399" s="23">
        <f>IF($AS399="","",IF($G$6="",0,IF(ISNUMBER(INDEX($A:$AP,ROW(),$G$6)),INDEX($A:$AP,ROW(),$G$6),IFERROR(--SUBSTITUTE(SUBSTITUTE(TRIM(INDEX($A:$AP,ROW(),$G$6)),",",""),"원",""),0))))</f>
        <v/>
      </c>
      <c r="AV399" s="23">
        <f>IF($AS399="","",IF($H$6="",$AT399+$AU399,IF($H$6="",0,IF(ISNUMBER(INDEX($A:$AP,ROW(),$H$6)),INDEX($A:$AP,ROW(),$H$6),IFERROR(--SUBSTITUTE(SUBSTITUTE(TRIM(INDEX($A:$AP,ROW(),$H$6)),",",""),"원",""),0)))))</f>
        <v/>
      </c>
      <c r="AW399" s="2">
        <f>IF(OR($AS399="",$C$6=""),"",TRIM(INDEX($A:$AP,ROW(),$C$6)&amp;""))</f>
        <v/>
      </c>
      <c r="AX399" s="2">
        <f>IF($AS399="","",IF($AZ399&lt;&gt;"",SUBSTITUTE(SUBSTITUTE($AZ399,"-","")," ",""),$AY399))</f>
        <v/>
      </c>
      <c r="AY399" s="2">
        <f>IF(OR($AS399="",$E$6=""),"",TRIM(INDEX($A:$AP,ROW(),$E$6)&amp;""))</f>
        <v/>
      </c>
      <c r="AZ399" s="2">
        <f>IF(OR($AS399="",$D$6=""),"",TRIM(INDEX($A:$AP,ROW(),$D$6)&amp;""))</f>
        <v/>
      </c>
      <c r="BA399" s="2">
        <f>IF($AS399="","",IF(AND($AS399&gt;=설정!$B$10,$AS399&lt;=설정!$B$11),"포함","기간 밖"))</f>
        <v/>
      </c>
      <c r="BB399" s="2">
        <f>IF($AS399="","",IF(OR($AT399&lt;0,AND($I$6&lt;&gt;"",ISNUMBER(FIND("수정",INDEX($A:$AP,ROW(),IF($I$6="",1,$I$6))&amp;"")))),"수정","일반"))</f>
        <v/>
      </c>
      <c r="BC399" s="2">
        <f>IF($AS399="","",MID(IF($BA399="기간 밖"," / 기간 밖(신고기간 아님)","")&amp;IF(AND($AW399&lt;&gt;"",COUNTIF($AW$8:$AW$1007,$AW399)&gt;1)," / 승인번호 중복(두 번 붙여넣기?)","")&amp;IF(ABS($AU399-ROUND($AT399*0.1,0))&gt;설정!$B$8,IF($AU399=0," / 세액 0원(영세율·면세 여부 확인)"," / 세액이 공급가액 10%와 다름"),"")&amp;IF($BB399="수정"," / 수정세금계산서(합계에서 자동 가감)",""),4,200))</f>
        <v/>
      </c>
      <c r="BD399" s="2">
        <f>IF($BA399&lt;&gt;"포함","",IF(COUNTIFS($AX$8:$AX399,$AX399,$BA$8:$BA399,"포함")=1,MAX($BD$7:BD398)+1,""))</f>
        <v/>
      </c>
      <c r="BE399" s="2">
        <f>IF($BC399="","",MAX($BE$7:BE398)+1)</f>
        <v/>
      </c>
    </row>
    <row r="400">
      <c r="AR400" s="2">
        <f>IF(OR($A$5="",$B$6="",ROW()&lt;$A$5),"",IF(INDEX($A:$AP,ROW(),$B$6)="","",INDEX($A:$AP,ROW(),$B$6)))</f>
        <v/>
      </c>
      <c r="AS400" s="22">
        <f>IF($AR400="","",IF(ISNUMBER($AR400),IF($AR400&gt;=10000000,IFERROR(DATE(INT($AR400/10000),MOD(INT($AR400/100),100),MOD($AR400,100)),""),INT($AR400)),IFERROR(DATE(--LEFT(LEFT(SUBSTITUTE(SUBSTITUTE(SUBSTITUTE(SUBSTITUTE(TRIM($AR400),"-",""),".",""),"/","")," ",""),8),4),--MID(LEFT(SUBSTITUTE(SUBSTITUTE(SUBSTITUTE(SUBSTITUTE(TRIM($AR400),"-",""),".",""),"/","")," ",""),8),5,2),--MID(LEFT(SUBSTITUTE(SUBSTITUTE(SUBSTITUTE(SUBSTITUTE(TRIM($AR400),"-",""),".",""),"/","")," ",""),8),7,2)),"")))</f>
        <v/>
      </c>
      <c r="AT400" s="23">
        <f>IF($AS400="","",IF($F$6="",0,IF(ISNUMBER(INDEX($A:$AP,ROW(),$F$6)),INDEX($A:$AP,ROW(),$F$6),IFERROR(--SUBSTITUTE(SUBSTITUTE(TRIM(INDEX($A:$AP,ROW(),$F$6)),",",""),"원",""),0))))</f>
        <v/>
      </c>
      <c r="AU400" s="23">
        <f>IF($AS400="","",IF($G$6="",0,IF(ISNUMBER(INDEX($A:$AP,ROW(),$G$6)),INDEX($A:$AP,ROW(),$G$6),IFERROR(--SUBSTITUTE(SUBSTITUTE(TRIM(INDEX($A:$AP,ROW(),$G$6)),",",""),"원",""),0))))</f>
        <v/>
      </c>
      <c r="AV400" s="23">
        <f>IF($AS400="","",IF($H$6="",$AT400+$AU400,IF($H$6="",0,IF(ISNUMBER(INDEX($A:$AP,ROW(),$H$6)),INDEX($A:$AP,ROW(),$H$6),IFERROR(--SUBSTITUTE(SUBSTITUTE(TRIM(INDEX($A:$AP,ROW(),$H$6)),",",""),"원",""),0)))))</f>
        <v/>
      </c>
      <c r="AW400" s="2">
        <f>IF(OR($AS400="",$C$6=""),"",TRIM(INDEX($A:$AP,ROW(),$C$6)&amp;""))</f>
        <v/>
      </c>
      <c r="AX400" s="2">
        <f>IF($AS400="","",IF($AZ400&lt;&gt;"",SUBSTITUTE(SUBSTITUTE($AZ400,"-","")," ",""),$AY400))</f>
        <v/>
      </c>
      <c r="AY400" s="2">
        <f>IF(OR($AS400="",$E$6=""),"",TRIM(INDEX($A:$AP,ROW(),$E$6)&amp;""))</f>
        <v/>
      </c>
      <c r="AZ400" s="2">
        <f>IF(OR($AS400="",$D$6=""),"",TRIM(INDEX($A:$AP,ROW(),$D$6)&amp;""))</f>
        <v/>
      </c>
      <c r="BA400" s="2">
        <f>IF($AS400="","",IF(AND($AS400&gt;=설정!$B$10,$AS400&lt;=설정!$B$11),"포함","기간 밖"))</f>
        <v/>
      </c>
      <c r="BB400" s="2">
        <f>IF($AS400="","",IF(OR($AT400&lt;0,AND($I$6&lt;&gt;"",ISNUMBER(FIND("수정",INDEX($A:$AP,ROW(),IF($I$6="",1,$I$6))&amp;"")))),"수정","일반"))</f>
        <v/>
      </c>
      <c r="BC400" s="2">
        <f>IF($AS400="","",MID(IF($BA400="기간 밖"," / 기간 밖(신고기간 아님)","")&amp;IF(AND($AW400&lt;&gt;"",COUNTIF($AW$8:$AW$1007,$AW400)&gt;1)," / 승인번호 중복(두 번 붙여넣기?)","")&amp;IF(ABS($AU400-ROUND($AT400*0.1,0))&gt;설정!$B$8,IF($AU400=0," / 세액 0원(영세율·면세 여부 확인)"," / 세액이 공급가액 10%와 다름"),"")&amp;IF($BB400="수정"," / 수정세금계산서(합계에서 자동 가감)",""),4,200))</f>
        <v/>
      </c>
      <c r="BD400" s="2">
        <f>IF($BA400&lt;&gt;"포함","",IF(COUNTIFS($AX$8:$AX400,$AX400,$BA$8:$BA400,"포함")=1,MAX($BD$7:BD399)+1,""))</f>
        <v/>
      </c>
      <c r="BE400" s="2">
        <f>IF($BC400="","",MAX($BE$7:BE399)+1)</f>
        <v/>
      </c>
    </row>
    <row r="401">
      <c r="AR401" s="2">
        <f>IF(OR($A$5="",$B$6="",ROW()&lt;$A$5),"",IF(INDEX($A:$AP,ROW(),$B$6)="","",INDEX($A:$AP,ROW(),$B$6)))</f>
        <v/>
      </c>
      <c r="AS401" s="22">
        <f>IF($AR401="","",IF(ISNUMBER($AR401),IF($AR401&gt;=10000000,IFERROR(DATE(INT($AR401/10000),MOD(INT($AR401/100),100),MOD($AR401,100)),""),INT($AR401)),IFERROR(DATE(--LEFT(LEFT(SUBSTITUTE(SUBSTITUTE(SUBSTITUTE(SUBSTITUTE(TRIM($AR401),"-",""),".",""),"/","")," ",""),8),4),--MID(LEFT(SUBSTITUTE(SUBSTITUTE(SUBSTITUTE(SUBSTITUTE(TRIM($AR401),"-",""),".",""),"/","")," ",""),8),5,2),--MID(LEFT(SUBSTITUTE(SUBSTITUTE(SUBSTITUTE(SUBSTITUTE(TRIM($AR401),"-",""),".",""),"/","")," ",""),8),7,2)),"")))</f>
        <v/>
      </c>
      <c r="AT401" s="23">
        <f>IF($AS401="","",IF($F$6="",0,IF(ISNUMBER(INDEX($A:$AP,ROW(),$F$6)),INDEX($A:$AP,ROW(),$F$6),IFERROR(--SUBSTITUTE(SUBSTITUTE(TRIM(INDEX($A:$AP,ROW(),$F$6)),",",""),"원",""),0))))</f>
        <v/>
      </c>
      <c r="AU401" s="23">
        <f>IF($AS401="","",IF($G$6="",0,IF(ISNUMBER(INDEX($A:$AP,ROW(),$G$6)),INDEX($A:$AP,ROW(),$G$6),IFERROR(--SUBSTITUTE(SUBSTITUTE(TRIM(INDEX($A:$AP,ROW(),$G$6)),",",""),"원",""),0))))</f>
        <v/>
      </c>
      <c r="AV401" s="23">
        <f>IF($AS401="","",IF($H$6="",$AT401+$AU401,IF($H$6="",0,IF(ISNUMBER(INDEX($A:$AP,ROW(),$H$6)),INDEX($A:$AP,ROW(),$H$6),IFERROR(--SUBSTITUTE(SUBSTITUTE(TRIM(INDEX($A:$AP,ROW(),$H$6)),",",""),"원",""),0)))))</f>
        <v/>
      </c>
      <c r="AW401" s="2">
        <f>IF(OR($AS401="",$C$6=""),"",TRIM(INDEX($A:$AP,ROW(),$C$6)&amp;""))</f>
        <v/>
      </c>
      <c r="AX401" s="2">
        <f>IF($AS401="","",IF($AZ401&lt;&gt;"",SUBSTITUTE(SUBSTITUTE($AZ401,"-","")," ",""),$AY401))</f>
        <v/>
      </c>
      <c r="AY401" s="2">
        <f>IF(OR($AS401="",$E$6=""),"",TRIM(INDEX($A:$AP,ROW(),$E$6)&amp;""))</f>
        <v/>
      </c>
      <c r="AZ401" s="2">
        <f>IF(OR($AS401="",$D$6=""),"",TRIM(INDEX($A:$AP,ROW(),$D$6)&amp;""))</f>
        <v/>
      </c>
      <c r="BA401" s="2">
        <f>IF($AS401="","",IF(AND($AS401&gt;=설정!$B$10,$AS401&lt;=설정!$B$11),"포함","기간 밖"))</f>
        <v/>
      </c>
      <c r="BB401" s="2">
        <f>IF($AS401="","",IF(OR($AT401&lt;0,AND($I$6&lt;&gt;"",ISNUMBER(FIND("수정",INDEX($A:$AP,ROW(),IF($I$6="",1,$I$6))&amp;"")))),"수정","일반"))</f>
        <v/>
      </c>
      <c r="BC401" s="2">
        <f>IF($AS401="","",MID(IF($BA401="기간 밖"," / 기간 밖(신고기간 아님)","")&amp;IF(AND($AW401&lt;&gt;"",COUNTIF($AW$8:$AW$1007,$AW401)&gt;1)," / 승인번호 중복(두 번 붙여넣기?)","")&amp;IF(ABS($AU401-ROUND($AT401*0.1,0))&gt;설정!$B$8,IF($AU401=0," / 세액 0원(영세율·면세 여부 확인)"," / 세액이 공급가액 10%와 다름"),"")&amp;IF($BB401="수정"," / 수정세금계산서(합계에서 자동 가감)",""),4,200))</f>
        <v/>
      </c>
      <c r="BD401" s="2">
        <f>IF($BA401&lt;&gt;"포함","",IF(COUNTIFS($AX$8:$AX401,$AX401,$BA$8:$BA401,"포함")=1,MAX($BD$7:BD400)+1,""))</f>
        <v/>
      </c>
      <c r="BE401" s="2">
        <f>IF($BC401="","",MAX($BE$7:BE400)+1)</f>
        <v/>
      </c>
    </row>
    <row r="402">
      <c r="AR402" s="2">
        <f>IF(OR($A$5="",$B$6="",ROW()&lt;$A$5),"",IF(INDEX($A:$AP,ROW(),$B$6)="","",INDEX($A:$AP,ROW(),$B$6)))</f>
        <v/>
      </c>
      <c r="AS402" s="22">
        <f>IF($AR402="","",IF(ISNUMBER($AR402),IF($AR402&gt;=10000000,IFERROR(DATE(INT($AR402/10000),MOD(INT($AR402/100),100),MOD($AR402,100)),""),INT($AR402)),IFERROR(DATE(--LEFT(LEFT(SUBSTITUTE(SUBSTITUTE(SUBSTITUTE(SUBSTITUTE(TRIM($AR402),"-",""),".",""),"/","")," ",""),8),4),--MID(LEFT(SUBSTITUTE(SUBSTITUTE(SUBSTITUTE(SUBSTITUTE(TRIM($AR402),"-",""),".",""),"/","")," ",""),8),5,2),--MID(LEFT(SUBSTITUTE(SUBSTITUTE(SUBSTITUTE(SUBSTITUTE(TRIM($AR402),"-",""),".",""),"/","")," ",""),8),7,2)),"")))</f>
        <v/>
      </c>
      <c r="AT402" s="23">
        <f>IF($AS402="","",IF($F$6="",0,IF(ISNUMBER(INDEX($A:$AP,ROW(),$F$6)),INDEX($A:$AP,ROW(),$F$6),IFERROR(--SUBSTITUTE(SUBSTITUTE(TRIM(INDEX($A:$AP,ROW(),$F$6)),",",""),"원",""),0))))</f>
        <v/>
      </c>
      <c r="AU402" s="23">
        <f>IF($AS402="","",IF($G$6="",0,IF(ISNUMBER(INDEX($A:$AP,ROW(),$G$6)),INDEX($A:$AP,ROW(),$G$6),IFERROR(--SUBSTITUTE(SUBSTITUTE(TRIM(INDEX($A:$AP,ROW(),$G$6)),",",""),"원",""),0))))</f>
        <v/>
      </c>
      <c r="AV402" s="23">
        <f>IF($AS402="","",IF($H$6="",$AT402+$AU402,IF($H$6="",0,IF(ISNUMBER(INDEX($A:$AP,ROW(),$H$6)),INDEX($A:$AP,ROW(),$H$6),IFERROR(--SUBSTITUTE(SUBSTITUTE(TRIM(INDEX($A:$AP,ROW(),$H$6)),",",""),"원",""),0)))))</f>
        <v/>
      </c>
      <c r="AW402" s="2">
        <f>IF(OR($AS402="",$C$6=""),"",TRIM(INDEX($A:$AP,ROW(),$C$6)&amp;""))</f>
        <v/>
      </c>
      <c r="AX402" s="2">
        <f>IF($AS402="","",IF($AZ402&lt;&gt;"",SUBSTITUTE(SUBSTITUTE($AZ402,"-","")," ",""),$AY402))</f>
        <v/>
      </c>
      <c r="AY402" s="2">
        <f>IF(OR($AS402="",$E$6=""),"",TRIM(INDEX($A:$AP,ROW(),$E$6)&amp;""))</f>
        <v/>
      </c>
      <c r="AZ402" s="2">
        <f>IF(OR($AS402="",$D$6=""),"",TRIM(INDEX($A:$AP,ROW(),$D$6)&amp;""))</f>
        <v/>
      </c>
      <c r="BA402" s="2">
        <f>IF($AS402="","",IF(AND($AS402&gt;=설정!$B$10,$AS402&lt;=설정!$B$11),"포함","기간 밖"))</f>
        <v/>
      </c>
      <c r="BB402" s="2">
        <f>IF($AS402="","",IF(OR($AT402&lt;0,AND($I$6&lt;&gt;"",ISNUMBER(FIND("수정",INDEX($A:$AP,ROW(),IF($I$6="",1,$I$6))&amp;"")))),"수정","일반"))</f>
        <v/>
      </c>
      <c r="BC402" s="2">
        <f>IF($AS402="","",MID(IF($BA402="기간 밖"," / 기간 밖(신고기간 아님)","")&amp;IF(AND($AW402&lt;&gt;"",COUNTIF($AW$8:$AW$1007,$AW402)&gt;1)," / 승인번호 중복(두 번 붙여넣기?)","")&amp;IF(ABS($AU402-ROUND($AT402*0.1,0))&gt;설정!$B$8,IF($AU402=0," / 세액 0원(영세율·면세 여부 확인)"," / 세액이 공급가액 10%와 다름"),"")&amp;IF($BB402="수정"," / 수정세금계산서(합계에서 자동 가감)",""),4,200))</f>
        <v/>
      </c>
      <c r="BD402" s="2">
        <f>IF($BA402&lt;&gt;"포함","",IF(COUNTIFS($AX$8:$AX402,$AX402,$BA$8:$BA402,"포함")=1,MAX($BD$7:BD401)+1,""))</f>
        <v/>
      </c>
      <c r="BE402" s="2">
        <f>IF($BC402="","",MAX($BE$7:BE401)+1)</f>
        <v/>
      </c>
    </row>
    <row r="403">
      <c r="AR403" s="2">
        <f>IF(OR($A$5="",$B$6="",ROW()&lt;$A$5),"",IF(INDEX($A:$AP,ROW(),$B$6)="","",INDEX($A:$AP,ROW(),$B$6)))</f>
        <v/>
      </c>
      <c r="AS403" s="22">
        <f>IF($AR403="","",IF(ISNUMBER($AR403),IF($AR403&gt;=10000000,IFERROR(DATE(INT($AR403/10000),MOD(INT($AR403/100),100),MOD($AR403,100)),""),INT($AR403)),IFERROR(DATE(--LEFT(LEFT(SUBSTITUTE(SUBSTITUTE(SUBSTITUTE(SUBSTITUTE(TRIM($AR403),"-",""),".",""),"/","")," ",""),8),4),--MID(LEFT(SUBSTITUTE(SUBSTITUTE(SUBSTITUTE(SUBSTITUTE(TRIM($AR403),"-",""),".",""),"/","")," ",""),8),5,2),--MID(LEFT(SUBSTITUTE(SUBSTITUTE(SUBSTITUTE(SUBSTITUTE(TRIM($AR403),"-",""),".",""),"/","")," ",""),8),7,2)),"")))</f>
        <v/>
      </c>
      <c r="AT403" s="23">
        <f>IF($AS403="","",IF($F$6="",0,IF(ISNUMBER(INDEX($A:$AP,ROW(),$F$6)),INDEX($A:$AP,ROW(),$F$6),IFERROR(--SUBSTITUTE(SUBSTITUTE(TRIM(INDEX($A:$AP,ROW(),$F$6)),",",""),"원",""),0))))</f>
        <v/>
      </c>
      <c r="AU403" s="23">
        <f>IF($AS403="","",IF($G$6="",0,IF(ISNUMBER(INDEX($A:$AP,ROW(),$G$6)),INDEX($A:$AP,ROW(),$G$6),IFERROR(--SUBSTITUTE(SUBSTITUTE(TRIM(INDEX($A:$AP,ROW(),$G$6)),",",""),"원",""),0))))</f>
        <v/>
      </c>
      <c r="AV403" s="23">
        <f>IF($AS403="","",IF($H$6="",$AT403+$AU403,IF($H$6="",0,IF(ISNUMBER(INDEX($A:$AP,ROW(),$H$6)),INDEX($A:$AP,ROW(),$H$6),IFERROR(--SUBSTITUTE(SUBSTITUTE(TRIM(INDEX($A:$AP,ROW(),$H$6)),",",""),"원",""),0)))))</f>
        <v/>
      </c>
      <c r="AW403" s="2">
        <f>IF(OR($AS403="",$C$6=""),"",TRIM(INDEX($A:$AP,ROW(),$C$6)&amp;""))</f>
        <v/>
      </c>
      <c r="AX403" s="2">
        <f>IF($AS403="","",IF($AZ403&lt;&gt;"",SUBSTITUTE(SUBSTITUTE($AZ403,"-","")," ",""),$AY403))</f>
        <v/>
      </c>
      <c r="AY403" s="2">
        <f>IF(OR($AS403="",$E$6=""),"",TRIM(INDEX($A:$AP,ROW(),$E$6)&amp;""))</f>
        <v/>
      </c>
      <c r="AZ403" s="2">
        <f>IF(OR($AS403="",$D$6=""),"",TRIM(INDEX($A:$AP,ROW(),$D$6)&amp;""))</f>
        <v/>
      </c>
      <c r="BA403" s="2">
        <f>IF($AS403="","",IF(AND($AS403&gt;=설정!$B$10,$AS403&lt;=설정!$B$11),"포함","기간 밖"))</f>
        <v/>
      </c>
      <c r="BB403" s="2">
        <f>IF($AS403="","",IF(OR($AT403&lt;0,AND($I$6&lt;&gt;"",ISNUMBER(FIND("수정",INDEX($A:$AP,ROW(),IF($I$6="",1,$I$6))&amp;"")))),"수정","일반"))</f>
        <v/>
      </c>
      <c r="BC403" s="2">
        <f>IF($AS403="","",MID(IF($BA403="기간 밖"," / 기간 밖(신고기간 아님)","")&amp;IF(AND($AW403&lt;&gt;"",COUNTIF($AW$8:$AW$1007,$AW403)&gt;1)," / 승인번호 중복(두 번 붙여넣기?)","")&amp;IF(ABS($AU403-ROUND($AT403*0.1,0))&gt;설정!$B$8,IF($AU403=0," / 세액 0원(영세율·면세 여부 확인)"," / 세액이 공급가액 10%와 다름"),"")&amp;IF($BB403="수정"," / 수정세금계산서(합계에서 자동 가감)",""),4,200))</f>
        <v/>
      </c>
      <c r="BD403" s="2">
        <f>IF($BA403&lt;&gt;"포함","",IF(COUNTIFS($AX$8:$AX403,$AX403,$BA$8:$BA403,"포함")=1,MAX($BD$7:BD402)+1,""))</f>
        <v/>
      </c>
      <c r="BE403" s="2">
        <f>IF($BC403="","",MAX($BE$7:BE402)+1)</f>
        <v/>
      </c>
    </row>
    <row r="404">
      <c r="AR404" s="2">
        <f>IF(OR($A$5="",$B$6="",ROW()&lt;$A$5),"",IF(INDEX($A:$AP,ROW(),$B$6)="","",INDEX($A:$AP,ROW(),$B$6)))</f>
        <v/>
      </c>
      <c r="AS404" s="22">
        <f>IF($AR404="","",IF(ISNUMBER($AR404),IF($AR404&gt;=10000000,IFERROR(DATE(INT($AR404/10000),MOD(INT($AR404/100),100),MOD($AR404,100)),""),INT($AR404)),IFERROR(DATE(--LEFT(LEFT(SUBSTITUTE(SUBSTITUTE(SUBSTITUTE(SUBSTITUTE(TRIM($AR404),"-",""),".",""),"/","")," ",""),8),4),--MID(LEFT(SUBSTITUTE(SUBSTITUTE(SUBSTITUTE(SUBSTITUTE(TRIM($AR404),"-",""),".",""),"/","")," ",""),8),5,2),--MID(LEFT(SUBSTITUTE(SUBSTITUTE(SUBSTITUTE(SUBSTITUTE(TRIM($AR404),"-",""),".",""),"/","")," ",""),8),7,2)),"")))</f>
        <v/>
      </c>
      <c r="AT404" s="23">
        <f>IF($AS404="","",IF($F$6="",0,IF(ISNUMBER(INDEX($A:$AP,ROW(),$F$6)),INDEX($A:$AP,ROW(),$F$6),IFERROR(--SUBSTITUTE(SUBSTITUTE(TRIM(INDEX($A:$AP,ROW(),$F$6)),",",""),"원",""),0))))</f>
        <v/>
      </c>
      <c r="AU404" s="23">
        <f>IF($AS404="","",IF($G$6="",0,IF(ISNUMBER(INDEX($A:$AP,ROW(),$G$6)),INDEX($A:$AP,ROW(),$G$6),IFERROR(--SUBSTITUTE(SUBSTITUTE(TRIM(INDEX($A:$AP,ROW(),$G$6)),",",""),"원",""),0))))</f>
        <v/>
      </c>
      <c r="AV404" s="23">
        <f>IF($AS404="","",IF($H$6="",$AT404+$AU404,IF($H$6="",0,IF(ISNUMBER(INDEX($A:$AP,ROW(),$H$6)),INDEX($A:$AP,ROW(),$H$6),IFERROR(--SUBSTITUTE(SUBSTITUTE(TRIM(INDEX($A:$AP,ROW(),$H$6)),",",""),"원",""),0)))))</f>
        <v/>
      </c>
      <c r="AW404" s="2">
        <f>IF(OR($AS404="",$C$6=""),"",TRIM(INDEX($A:$AP,ROW(),$C$6)&amp;""))</f>
        <v/>
      </c>
      <c r="AX404" s="2">
        <f>IF($AS404="","",IF($AZ404&lt;&gt;"",SUBSTITUTE(SUBSTITUTE($AZ404,"-","")," ",""),$AY404))</f>
        <v/>
      </c>
      <c r="AY404" s="2">
        <f>IF(OR($AS404="",$E$6=""),"",TRIM(INDEX($A:$AP,ROW(),$E$6)&amp;""))</f>
        <v/>
      </c>
      <c r="AZ404" s="2">
        <f>IF(OR($AS404="",$D$6=""),"",TRIM(INDEX($A:$AP,ROW(),$D$6)&amp;""))</f>
        <v/>
      </c>
      <c r="BA404" s="2">
        <f>IF($AS404="","",IF(AND($AS404&gt;=설정!$B$10,$AS404&lt;=설정!$B$11),"포함","기간 밖"))</f>
        <v/>
      </c>
      <c r="BB404" s="2">
        <f>IF($AS404="","",IF(OR($AT404&lt;0,AND($I$6&lt;&gt;"",ISNUMBER(FIND("수정",INDEX($A:$AP,ROW(),IF($I$6="",1,$I$6))&amp;"")))),"수정","일반"))</f>
        <v/>
      </c>
      <c r="BC404" s="2">
        <f>IF($AS404="","",MID(IF($BA404="기간 밖"," / 기간 밖(신고기간 아님)","")&amp;IF(AND($AW404&lt;&gt;"",COUNTIF($AW$8:$AW$1007,$AW404)&gt;1)," / 승인번호 중복(두 번 붙여넣기?)","")&amp;IF(ABS($AU404-ROUND($AT404*0.1,0))&gt;설정!$B$8,IF($AU404=0," / 세액 0원(영세율·면세 여부 확인)"," / 세액이 공급가액 10%와 다름"),"")&amp;IF($BB404="수정"," / 수정세금계산서(합계에서 자동 가감)",""),4,200))</f>
        <v/>
      </c>
      <c r="BD404" s="2">
        <f>IF($BA404&lt;&gt;"포함","",IF(COUNTIFS($AX$8:$AX404,$AX404,$BA$8:$BA404,"포함")=1,MAX($BD$7:BD403)+1,""))</f>
        <v/>
      </c>
      <c r="BE404" s="2">
        <f>IF($BC404="","",MAX($BE$7:BE403)+1)</f>
        <v/>
      </c>
    </row>
    <row r="405">
      <c r="AR405" s="2">
        <f>IF(OR($A$5="",$B$6="",ROW()&lt;$A$5),"",IF(INDEX($A:$AP,ROW(),$B$6)="","",INDEX($A:$AP,ROW(),$B$6)))</f>
        <v/>
      </c>
      <c r="AS405" s="22">
        <f>IF($AR405="","",IF(ISNUMBER($AR405),IF($AR405&gt;=10000000,IFERROR(DATE(INT($AR405/10000),MOD(INT($AR405/100),100),MOD($AR405,100)),""),INT($AR405)),IFERROR(DATE(--LEFT(LEFT(SUBSTITUTE(SUBSTITUTE(SUBSTITUTE(SUBSTITUTE(TRIM($AR405),"-",""),".",""),"/","")," ",""),8),4),--MID(LEFT(SUBSTITUTE(SUBSTITUTE(SUBSTITUTE(SUBSTITUTE(TRIM($AR405),"-",""),".",""),"/","")," ",""),8),5,2),--MID(LEFT(SUBSTITUTE(SUBSTITUTE(SUBSTITUTE(SUBSTITUTE(TRIM($AR405),"-",""),".",""),"/","")," ",""),8),7,2)),"")))</f>
        <v/>
      </c>
      <c r="AT405" s="23">
        <f>IF($AS405="","",IF($F$6="",0,IF(ISNUMBER(INDEX($A:$AP,ROW(),$F$6)),INDEX($A:$AP,ROW(),$F$6),IFERROR(--SUBSTITUTE(SUBSTITUTE(TRIM(INDEX($A:$AP,ROW(),$F$6)),",",""),"원",""),0))))</f>
        <v/>
      </c>
      <c r="AU405" s="23">
        <f>IF($AS405="","",IF($G$6="",0,IF(ISNUMBER(INDEX($A:$AP,ROW(),$G$6)),INDEX($A:$AP,ROW(),$G$6),IFERROR(--SUBSTITUTE(SUBSTITUTE(TRIM(INDEX($A:$AP,ROW(),$G$6)),",",""),"원",""),0))))</f>
        <v/>
      </c>
      <c r="AV405" s="23">
        <f>IF($AS405="","",IF($H$6="",$AT405+$AU405,IF($H$6="",0,IF(ISNUMBER(INDEX($A:$AP,ROW(),$H$6)),INDEX($A:$AP,ROW(),$H$6),IFERROR(--SUBSTITUTE(SUBSTITUTE(TRIM(INDEX($A:$AP,ROW(),$H$6)),",",""),"원",""),0)))))</f>
        <v/>
      </c>
      <c r="AW405" s="2">
        <f>IF(OR($AS405="",$C$6=""),"",TRIM(INDEX($A:$AP,ROW(),$C$6)&amp;""))</f>
        <v/>
      </c>
      <c r="AX405" s="2">
        <f>IF($AS405="","",IF($AZ405&lt;&gt;"",SUBSTITUTE(SUBSTITUTE($AZ405,"-","")," ",""),$AY405))</f>
        <v/>
      </c>
      <c r="AY405" s="2">
        <f>IF(OR($AS405="",$E$6=""),"",TRIM(INDEX($A:$AP,ROW(),$E$6)&amp;""))</f>
        <v/>
      </c>
      <c r="AZ405" s="2">
        <f>IF(OR($AS405="",$D$6=""),"",TRIM(INDEX($A:$AP,ROW(),$D$6)&amp;""))</f>
        <v/>
      </c>
      <c r="BA405" s="2">
        <f>IF($AS405="","",IF(AND($AS405&gt;=설정!$B$10,$AS405&lt;=설정!$B$11),"포함","기간 밖"))</f>
        <v/>
      </c>
      <c r="BB405" s="2">
        <f>IF($AS405="","",IF(OR($AT405&lt;0,AND($I$6&lt;&gt;"",ISNUMBER(FIND("수정",INDEX($A:$AP,ROW(),IF($I$6="",1,$I$6))&amp;"")))),"수정","일반"))</f>
        <v/>
      </c>
      <c r="BC405" s="2">
        <f>IF($AS405="","",MID(IF($BA405="기간 밖"," / 기간 밖(신고기간 아님)","")&amp;IF(AND($AW405&lt;&gt;"",COUNTIF($AW$8:$AW$1007,$AW405)&gt;1)," / 승인번호 중복(두 번 붙여넣기?)","")&amp;IF(ABS($AU405-ROUND($AT405*0.1,0))&gt;설정!$B$8,IF($AU405=0," / 세액 0원(영세율·면세 여부 확인)"," / 세액이 공급가액 10%와 다름"),"")&amp;IF($BB405="수정"," / 수정세금계산서(합계에서 자동 가감)",""),4,200))</f>
        <v/>
      </c>
      <c r="BD405" s="2">
        <f>IF($BA405&lt;&gt;"포함","",IF(COUNTIFS($AX$8:$AX405,$AX405,$BA$8:$BA405,"포함")=1,MAX($BD$7:BD404)+1,""))</f>
        <v/>
      </c>
      <c r="BE405" s="2">
        <f>IF($BC405="","",MAX($BE$7:BE404)+1)</f>
        <v/>
      </c>
    </row>
    <row r="406">
      <c r="AR406" s="2">
        <f>IF(OR($A$5="",$B$6="",ROW()&lt;$A$5),"",IF(INDEX($A:$AP,ROW(),$B$6)="","",INDEX($A:$AP,ROW(),$B$6)))</f>
        <v/>
      </c>
      <c r="AS406" s="22">
        <f>IF($AR406="","",IF(ISNUMBER($AR406),IF($AR406&gt;=10000000,IFERROR(DATE(INT($AR406/10000),MOD(INT($AR406/100),100),MOD($AR406,100)),""),INT($AR406)),IFERROR(DATE(--LEFT(LEFT(SUBSTITUTE(SUBSTITUTE(SUBSTITUTE(SUBSTITUTE(TRIM($AR406),"-",""),".",""),"/","")," ",""),8),4),--MID(LEFT(SUBSTITUTE(SUBSTITUTE(SUBSTITUTE(SUBSTITUTE(TRIM($AR406),"-",""),".",""),"/","")," ",""),8),5,2),--MID(LEFT(SUBSTITUTE(SUBSTITUTE(SUBSTITUTE(SUBSTITUTE(TRIM($AR406),"-",""),".",""),"/","")," ",""),8),7,2)),"")))</f>
        <v/>
      </c>
      <c r="AT406" s="23">
        <f>IF($AS406="","",IF($F$6="",0,IF(ISNUMBER(INDEX($A:$AP,ROW(),$F$6)),INDEX($A:$AP,ROW(),$F$6),IFERROR(--SUBSTITUTE(SUBSTITUTE(TRIM(INDEX($A:$AP,ROW(),$F$6)),",",""),"원",""),0))))</f>
        <v/>
      </c>
      <c r="AU406" s="23">
        <f>IF($AS406="","",IF($G$6="",0,IF(ISNUMBER(INDEX($A:$AP,ROW(),$G$6)),INDEX($A:$AP,ROW(),$G$6),IFERROR(--SUBSTITUTE(SUBSTITUTE(TRIM(INDEX($A:$AP,ROW(),$G$6)),",",""),"원",""),0))))</f>
        <v/>
      </c>
      <c r="AV406" s="23">
        <f>IF($AS406="","",IF($H$6="",$AT406+$AU406,IF($H$6="",0,IF(ISNUMBER(INDEX($A:$AP,ROW(),$H$6)),INDEX($A:$AP,ROW(),$H$6),IFERROR(--SUBSTITUTE(SUBSTITUTE(TRIM(INDEX($A:$AP,ROW(),$H$6)),",",""),"원",""),0)))))</f>
        <v/>
      </c>
      <c r="AW406" s="2">
        <f>IF(OR($AS406="",$C$6=""),"",TRIM(INDEX($A:$AP,ROW(),$C$6)&amp;""))</f>
        <v/>
      </c>
      <c r="AX406" s="2">
        <f>IF($AS406="","",IF($AZ406&lt;&gt;"",SUBSTITUTE(SUBSTITUTE($AZ406,"-","")," ",""),$AY406))</f>
        <v/>
      </c>
      <c r="AY406" s="2">
        <f>IF(OR($AS406="",$E$6=""),"",TRIM(INDEX($A:$AP,ROW(),$E$6)&amp;""))</f>
        <v/>
      </c>
      <c r="AZ406" s="2">
        <f>IF(OR($AS406="",$D$6=""),"",TRIM(INDEX($A:$AP,ROW(),$D$6)&amp;""))</f>
        <v/>
      </c>
      <c r="BA406" s="2">
        <f>IF($AS406="","",IF(AND($AS406&gt;=설정!$B$10,$AS406&lt;=설정!$B$11),"포함","기간 밖"))</f>
        <v/>
      </c>
      <c r="BB406" s="2">
        <f>IF($AS406="","",IF(OR($AT406&lt;0,AND($I$6&lt;&gt;"",ISNUMBER(FIND("수정",INDEX($A:$AP,ROW(),IF($I$6="",1,$I$6))&amp;"")))),"수정","일반"))</f>
        <v/>
      </c>
      <c r="BC406" s="2">
        <f>IF($AS406="","",MID(IF($BA406="기간 밖"," / 기간 밖(신고기간 아님)","")&amp;IF(AND($AW406&lt;&gt;"",COUNTIF($AW$8:$AW$1007,$AW406)&gt;1)," / 승인번호 중복(두 번 붙여넣기?)","")&amp;IF(ABS($AU406-ROUND($AT406*0.1,0))&gt;설정!$B$8,IF($AU406=0," / 세액 0원(영세율·면세 여부 확인)"," / 세액이 공급가액 10%와 다름"),"")&amp;IF($BB406="수정"," / 수정세금계산서(합계에서 자동 가감)",""),4,200))</f>
        <v/>
      </c>
      <c r="BD406" s="2">
        <f>IF($BA406&lt;&gt;"포함","",IF(COUNTIFS($AX$8:$AX406,$AX406,$BA$8:$BA406,"포함")=1,MAX($BD$7:BD405)+1,""))</f>
        <v/>
      </c>
      <c r="BE406" s="2">
        <f>IF($BC406="","",MAX($BE$7:BE405)+1)</f>
        <v/>
      </c>
    </row>
    <row r="407">
      <c r="AR407" s="2">
        <f>IF(OR($A$5="",$B$6="",ROW()&lt;$A$5),"",IF(INDEX($A:$AP,ROW(),$B$6)="","",INDEX($A:$AP,ROW(),$B$6)))</f>
        <v/>
      </c>
      <c r="AS407" s="22">
        <f>IF($AR407="","",IF(ISNUMBER($AR407),IF($AR407&gt;=10000000,IFERROR(DATE(INT($AR407/10000),MOD(INT($AR407/100),100),MOD($AR407,100)),""),INT($AR407)),IFERROR(DATE(--LEFT(LEFT(SUBSTITUTE(SUBSTITUTE(SUBSTITUTE(SUBSTITUTE(TRIM($AR407),"-",""),".",""),"/","")," ",""),8),4),--MID(LEFT(SUBSTITUTE(SUBSTITUTE(SUBSTITUTE(SUBSTITUTE(TRIM($AR407),"-",""),".",""),"/","")," ",""),8),5,2),--MID(LEFT(SUBSTITUTE(SUBSTITUTE(SUBSTITUTE(SUBSTITUTE(TRIM($AR407),"-",""),".",""),"/","")," ",""),8),7,2)),"")))</f>
        <v/>
      </c>
      <c r="AT407" s="23">
        <f>IF($AS407="","",IF($F$6="",0,IF(ISNUMBER(INDEX($A:$AP,ROW(),$F$6)),INDEX($A:$AP,ROW(),$F$6),IFERROR(--SUBSTITUTE(SUBSTITUTE(TRIM(INDEX($A:$AP,ROW(),$F$6)),",",""),"원",""),0))))</f>
        <v/>
      </c>
      <c r="AU407" s="23">
        <f>IF($AS407="","",IF($G$6="",0,IF(ISNUMBER(INDEX($A:$AP,ROW(),$G$6)),INDEX($A:$AP,ROW(),$G$6),IFERROR(--SUBSTITUTE(SUBSTITUTE(TRIM(INDEX($A:$AP,ROW(),$G$6)),",",""),"원",""),0))))</f>
        <v/>
      </c>
      <c r="AV407" s="23">
        <f>IF($AS407="","",IF($H$6="",$AT407+$AU407,IF($H$6="",0,IF(ISNUMBER(INDEX($A:$AP,ROW(),$H$6)),INDEX($A:$AP,ROW(),$H$6),IFERROR(--SUBSTITUTE(SUBSTITUTE(TRIM(INDEX($A:$AP,ROW(),$H$6)),",",""),"원",""),0)))))</f>
        <v/>
      </c>
      <c r="AW407" s="2">
        <f>IF(OR($AS407="",$C$6=""),"",TRIM(INDEX($A:$AP,ROW(),$C$6)&amp;""))</f>
        <v/>
      </c>
      <c r="AX407" s="2">
        <f>IF($AS407="","",IF($AZ407&lt;&gt;"",SUBSTITUTE(SUBSTITUTE($AZ407,"-","")," ",""),$AY407))</f>
        <v/>
      </c>
      <c r="AY407" s="2">
        <f>IF(OR($AS407="",$E$6=""),"",TRIM(INDEX($A:$AP,ROW(),$E$6)&amp;""))</f>
        <v/>
      </c>
      <c r="AZ407" s="2">
        <f>IF(OR($AS407="",$D$6=""),"",TRIM(INDEX($A:$AP,ROW(),$D$6)&amp;""))</f>
        <v/>
      </c>
      <c r="BA407" s="2">
        <f>IF($AS407="","",IF(AND($AS407&gt;=설정!$B$10,$AS407&lt;=설정!$B$11),"포함","기간 밖"))</f>
        <v/>
      </c>
      <c r="BB407" s="2">
        <f>IF($AS407="","",IF(OR($AT407&lt;0,AND($I$6&lt;&gt;"",ISNUMBER(FIND("수정",INDEX($A:$AP,ROW(),IF($I$6="",1,$I$6))&amp;"")))),"수정","일반"))</f>
        <v/>
      </c>
      <c r="BC407" s="2">
        <f>IF($AS407="","",MID(IF($BA407="기간 밖"," / 기간 밖(신고기간 아님)","")&amp;IF(AND($AW407&lt;&gt;"",COUNTIF($AW$8:$AW$1007,$AW407)&gt;1)," / 승인번호 중복(두 번 붙여넣기?)","")&amp;IF(ABS($AU407-ROUND($AT407*0.1,0))&gt;설정!$B$8,IF($AU407=0," / 세액 0원(영세율·면세 여부 확인)"," / 세액이 공급가액 10%와 다름"),"")&amp;IF($BB407="수정"," / 수정세금계산서(합계에서 자동 가감)",""),4,200))</f>
        <v/>
      </c>
      <c r="BD407" s="2">
        <f>IF($BA407&lt;&gt;"포함","",IF(COUNTIFS($AX$8:$AX407,$AX407,$BA$8:$BA407,"포함")=1,MAX($BD$7:BD406)+1,""))</f>
        <v/>
      </c>
      <c r="BE407" s="2">
        <f>IF($BC407="","",MAX($BE$7:BE406)+1)</f>
        <v/>
      </c>
    </row>
    <row r="408">
      <c r="AR408" s="2">
        <f>IF(OR($A$5="",$B$6="",ROW()&lt;$A$5),"",IF(INDEX($A:$AP,ROW(),$B$6)="","",INDEX($A:$AP,ROW(),$B$6)))</f>
        <v/>
      </c>
      <c r="AS408" s="22">
        <f>IF($AR408="","",IF(ISNUMBER($AR408),IF($AR408&gt;=10000000,IFERROR(DATE(INT($AR408/10000),MOD(INT($AR408/100),100),MOD($AR408,100)),""),INT($AR408)),IFERROR(DATE(--LEFT(LEFT(SUBSTITUTE(SUBSTITUTE(SUBSTITUTE(SUBSTITUTE(TRIM($AR408),"-",""),".",""),"/","")," ",""),8),4),--MID(LEFT(SUBSTITUTE(SUBSTITUTE(SUBSTITUTE(SUBSTITUTE(TRIM($AR408),"-",""),".",""),"/","")," ",""),8),5,2),--MID(LEFT(SUBSTITUTE(SUBSTITUTE(SUBSTITUTE(SUBSTITUTE(TRIM($AR408),"-",""),".",""),"/","")," ",""),8),7,2)),"")))</f>
        <v/>
      </c>
      <c r="AT408" s="23">
        <f>IF($AS408="","",IF($F$6="",0,IF(ISNUMBER(INDEX($A:$AP,ROW(),$F$6)),INDEX($A:$AP,ROW(),$F$6),IFERROR(--SUBSTITUTE(SUBSTITUTE(TRIM(INDEX($A:$AP,ROW(),$F$6)),",",""),"원",""),0))))</f>
        <v/>
      </c>
      <c r="AU408" s="23">
        <f>IF($AS408="","",IF($G$6="",0,IF(ISNUMBER(INDEX($A:$AP,ROW(),$G$6)),INDEX($A:$AP,ROW(),$G$6),IFERROR(--SUBSTITUTE(SUBSTITUTE(TRIM(INDEX($A:$AP,ROW(),$G$6)),",",""),"원",""),0))))</f>
        <v/>
      </c>
      <c r="AV408" s="23">
        <f>IF($AS408="","",IF($H$6="",$AT408+$AU408,IF($H$6="",0,IF(ISNUMBER(INDEX($A:$AP,ROW(),$H$6)),INDEX($A:$AP,ROW(),$H$6),IFERROR(--SUBSTITUTE(SUBSTITUTE(TRIM(INDEX($A:$AP,ROW(),$H$6)),",",""),"원",""),0)))))</f>
        <v/>
      </c>
      <c r="AW408" s="2">
        <f>IF(OR($AS408="",$C$6=""),"",TRIM(INDEX($A:$AP,ROW(),$C$6)&amp;""))</f>
        <v/>
      </c>
      <c r="AX408" s="2">
        <f>IF($AS408="","",IF($AZ408&lt;&gt;"",SUBSTITUTE(SUBSTITUTE($AZ408,"-","")," ",""),$AY408))</f>
        <v/>
      </c>
      <c r="AY408" s="2">
        <f>IF(OR($AS408="",$E$6=""),"",TRIM(INDEX($A:$AP,ROW(),$E$6)&amp;""))</f>
        <v/>
      </c>
      <c r="AZ408" s="2">
        <f>IF(OR($AS408="",$D$6=""),"",TRIM(INDEX($A:$AP,ROW(),$D$6)&amp;""))</f>
        <v/>
      </c>
      <c r="BA408" s="2">
        <f>IF($AS408="","",IF(AND($AS408&gt;=설정!$B$10,$AS408&lt;=설정!$B$11),"포함","기간 밖"))</f>
        <v/>
      </c>
      <c r="BB408" s="2">
        <f>IF($AS408="","",IF(OR($AT408&lt;0,AND($I$6&lt;&gt;"",ISNUMBER(FIND("수정",INDEX($A:$AP,ROW(),IF($I$6="",1,$I$6))&amp;"")))),"수정","일반"))</f>
        <v/>
      </c>
      <c r="BC408" s="2">
        <f>IF($AS408="","",MID(IF($BA408="기간 밖"," / 기간 밖(신고기간 아님)","")&amp;IF(AND($AW408&lt;&gt;"",COUNTIF($AW$8:$AW$1007,$AW408)&gt;1)," / 승인번호 중복(두 번 붙여넣기?)","")&amp;IF(ABS($AU408-ROUND($AT408*0.1,0))&gt;설정!$B$8,IF($AU408=0," / 세액 0원(영세율·면세 여부 확인)"," / 세액이 공급가액 10%와 다름"),"")&amp;IF($BB408="수정"," / 수정세금계산서(합계에서 자동 가감)",""),4,200))</f>
        <v/>
      </c>
      <c r="BD408" s="2">
        <f>IF($BA408&lt;&gt;"포함","",IF(COUNTIFS($AX$8:$AX408,$AX408,$BA$8:$BA408,"포함")=1,MAX($BD$7:BD407)+1,""))</f>
        <v/>
      </c>
      <c r="BE408" s="2">
        <f>IF($BC408="","",MAX($BE$7:BE407)+1)</f>
        <v/>
      </c>
    </row>
    <row r="409">
      <c r="AR409" s="2">
        <f>IF(OR($A$5="",$B$6="",ROW()&lt;$A$5),"",IF(INDEX($A:$AP,ROW(),$B$6)="","",INDEX($A:$AP,ROW(),$B$6)))</f>
        <v/>
      </c>
      <c r="AS409" s="22">
        <f>IF($AR409="","",IF(ISNUMBER($AR409),IF($AR409&gt;=10000000,IFERROR(DATE(INT($AR409/10000),MOD(INT($AR409/100),100),MOD($AR409,100)),""),INT($AR409)),IFERROR(DATE(--LEFT(LEFT(SUBSTITUTE(SUBSTITUTE(SUBSTITUTE(SUBSTITUTE(TRIM($AR409),"-",""),".",""),"/","")," ",""),8),4),--MID(LEFT(SUBSTITUTE(SUBSTITUTE(SUBSTITUTE(SUBSTITUTE(TRIM($AR409),"-",""),".",""),"/","")," ",""),8),5,2),--MID(LEFT(SUBSTITUTE(SUBSTITUTE(SUBSTITUTE(SUBSTITUTE(TRIM($AR409),"-",""),".",""),"/","")," ",""),8),7,2)),"")))</f>
        <v/>
      </c>
      <c r="AT409" s="23">
        <f>IF($AS409="","",IF($F$6="",0,IF(ISNUMBER(INDEX($A:$AP,ROW(),$F$6)),INDEX($A:$AP,ROW(),$F$6),IFERROR(--SUBSTITUTE(SUBSTITUTE(TRIM(INDEX($A:$AP,ROW(),$F$6)),",",""),"원",""),0))))</f>
        <v/>
      </c>
      <c r="AU409" s="23">
        <f>IF($AS409="","",IF($G$6="",0,IF(ISNUMBER(INDEX($A:$AP,ROW(),$G$6)),INDEX($A:$AP,ROW(),$G$6),IFERROR(--SUBSTITUTE(SUBSTITUTE(TRIM(INDEX($A:$AP,ROW(),$G$6)),",",""),"원",""),0))))</f>
        <v/>
      </c>
      <c r="AV409" s="23">
        <f>IF($AS409="","",IF($H$6="",$AT409+$AU409,IF($H$6="",0,IF(ISNUMBER(INDEX($A:$AP,ROW(),$H$6)),INDEX($A:$AP,ROW(),$H$6),IFERROR(--SUBSTITUTE(SUBSTITUTE(TRIM(INDEX($A:$AP,ROW(),$H$6)),",",""),"원",""),0)))))</f>
        <v/>
      </c>
      <c r="AW409" s="2">
        <f>IF(OR($AS409="",$C$6=""),"",TRIM(INDEX($A:$AP,ROW(),$C$6)&amp;""))</f>
        <v/>
      </c>
      <c r="AX409" s="2">
        <f>IF($AS409="","",IF($AZ409&lt;&gt;"",SUBSTITUTE(SUBSTITUTE($AZ409,"-","")," ",""),$AY409))</f>
        <v/>
      </c>
      <c r="AY409" s="2">
        <f>IF(OR($AS409="",$E$6=""),"",TRIM(INDEX($A:$AP,ROW(),$E$6)&amp;""))</f>
        <v/>
      </c>
      <c r="AZ409" s="2">
        <f>IF(OR($AS409="",$D$6=""),"",TRIM(INDEX($A:$AP,ROW(),$D$6)&amp;""))</f>
        <v/>
      </c>
      <c r="BA409" s="2">
        <f>IF($AS409="","",IF(AND($AS409&gt;=설정!$B$10,$AS409&lt;=설정!$B$11),"포함","기간 밖"))</f>
        <v/>
      </c>
      <c r="BB409" s="2">
        <f>IF($AS409="","",IF(OR($AT409&lt;0,AND($I$6&lt;&gt;"",ISNUMBER(FIND("수정",INDEX($A:$AP,ROW(),IF($I$6="",1,$I$6))&amp;"")))),"수정","일반"))</f>
        <v/>
      </c>
      <c r="BC409" s="2">
        <f>IF($AS409="","",MID(IF($BA409="기간 밖"," / 기간 밖(신고기간 아님)","")&amp;IF(AND($AW409&lt;&gt;"",COUNTIF($AW$8:$AW$1007,$AW409)&gt;1)," / 승인번호 중복(두 번 붙여넣기?)","")&amp;IF(ABS($AU409-ROUND($AT409*0.1,0))&gt;설정!$B$8,IF($AU409=0," / 세액 0원(영세율·면세 여부 확인)"," / 세액이 공급가액 10%와 다름"),"")&amp;IF($BB409="수정"," / 수정세금계산서(합계에서 자동 가감)",""),4,200))</f>
        <v/>
      </c>
      <c r="BD409" s="2">
        <f>IF($BA409&lt;&gt;"포함","",IF(COUNTIFS($AX$8:$AX409,$AX409,$BA$8:$BA409,"포함")=1,MAX($BD$7:BD408)+1,""))</f>
        <v/>
      </c>
      <c r="BE409" s="2">
        <f>IF($BC409="","",MAX($BE$7:BE408)+1)</f>
        <v/>
      </c>
    </row>
    <row r="410">
      <c r="AR410" s="2">
        <f>IF(OR($A$5="",$B$6="",ROW()&lt;$A$5),"",IF(INDEX($A:$AP,ROW(),$B$6)="","",INDEX($A:$AP,ROW(),$B$6)))</f>
        <v/>
      </c>
      <c r="AS410" s="22">
        <f>IF($AR410="","",IF(ISNUMBER($AR410),IF($AR410&gt;=10000000,IFERROR(DATE(INT($AR410/10000),MOD(INT($AR410/100),100),MOD($AR410,100)),""),INT($AR410)),IFERROR(DATE(--LEFT(LEFT(SUBSTITUTE(SUBSTITUTE(SUBSTITUTE(SUBSTITUTE(TRIM($AR410),"-",""),".",""),"/","")," ",""),8),4),--MID(LEFT(SUBSTITUTE(SUBSTITUTE(SUBSTITUTE(SUBSTITUTE(TRIM($AR410),"-",""),".",""),"/","")," ",""),8),5,2),--MID(LEFT(SUBSTITUTE(SUBSTITUTE(SUBSTITUTE(SUBSTITUTE(TRIM($AR410),"-",""),".",""),"/","")," ",""),8),7,2)),"")))</f>
        <v/>
      </c>
      <c r="AT410" s="23">
        <f>IF($AS410="","",IF($F$6="",0,IF(ISNUMBER(INDEX($A:$AP,ROW(),$F$6)),INDEX($A:$AP,ROW(),$F$6),IFERROR(--SUBSTITUTE(SUBSTITUTE(TRIM(INDEX($A:$AP,ROW(),$F$6)),",",""),"원",""),0))))</f>
        <v/>
      </c>
      <c r="AU410" s="23">
        <f>IF($AS410="","",IF($G$6="",0,IF(ISNUMBER(INDEX($A:$AP,ROW(),$G$6)),INDEX($A:$AP,ROW(),$G$6),IFERROR(--SUBSTITUTE(SUBSTITUTE(TRIM(INDEX($A:$AP,ROW(),$G$6)),",",""),"원",""),0))))</f>
        <v/>
      </c>
      <c r="AV410" s="23">
        <f>IF($AS410="","",IF($H$6="",$AT410+$AU410,IF($H$6="",0,IF(ISNUMBER(INDEX($A:$AP,ROW(),$H$6)),INDEX($A:$AP,ROW(),$H$6),IFERROR(--SUBSTITUTE(SUBSTITUTE(TRIM(INDEX($A:$AP,ROW(),$H$6)),",",""),"원",""),0)))))</f>
        <v/>
      </c>
      <c r="AW410" s="2">
        <f>IF(OR($AS410="",$C$6=""),"",TRIM(INDEX($A:$AP,ROW(),$C$6)&amp;""))</f>
        <v/>
      </c>
      <c r="AX410" s="2">
        <f>IF($AS410="","",IF($AZ410&lt;&gt;"",SUBSTITUTE(SUBSTITUTE($AZ410,"-","")," ",""),$AY410))</f>
        <v/>
      </c>
      <c r="AY410" s="2">
        <f>IF(OR($AS410="",$E$6=""),"",TRIM(INDEX($A:$AP,ROW(),$E$6)&amp;""))</f>
        <v/>
      </c>
      <c r="AZ410" s="2">
        <f>IF(OR($AS410="",$D$6=""),"",TRIM(INDEX($A:$AP,ROW(),$D$6)&amp;""))</f>
        <v/>
      </c>
      <c r="BA410" s="2">
        <f>IF($AS410="","",IF(AND($AS410&gt;=설정!$B$10,$AS410&lt;=설정!$B$11),"포함","기간 밖"))</f>
        <v/>
      </c>
      <c r="BB410" s="2">
        <f>IF($AS410="","",IF(OR($AT410&lt;0,AND($I$6&lt;&gt;"",ISNUMBER(FIND("수정",INDEX($A:$AP,ROW(),IF($I$6="",1,$I$6))&amp;"")))),"수정","일반"))</f>
        <v/>
      </c>
      <c r="BC410" s="2">
        <f>IF($AS410="","",MID(IF($BA410="기간 밖"," / 기간 밖(신고기간 아님)","")&amp;IF(AND($AW410&lt;&gt;"",COUNTIF($AW$8:$AW$1007,$AW410)&gt;1)," / 승인번호 중복(두 번 붙여넣기?)","")&amp;IF(ABS($AU410-ROUND($AT410*0.1,0))&gt;설정!$B$8,IF($AU410=0," / 세액 0원(영세율·면세 여부 확인)"," / 세액이 공급가액 10%와 다름"),"")&amp;IF($BB410="수정"," / 수정세금계산서(합계에서 자동 가감)",""),4,200))</f>
        <v/>
      </c>
      <c r="BD410" s="2">
        <f>IF($BA410&lt;&gt;"포함","",IF(COUNTIFS($AX$8:$AX410,$AX410,$BA$8:$BA410,"포함")=1,MAX($BD$7:BD409)+1,""))</f>
        <v/>
      </c>
      <c r="BE410" s="2">
        <f>IF($BC410="","",MAX($BE$7:BE409)+1)</f>
        <v/>
      </c>
    </row>
    <row r="411">
      <c r="AR411" s="2">
        <f>IF(OR($A$5="",$B$6="",ROW()&lt;$A$5),"",IF(INDEX($A:$AP,ROW(),$B$6)="","",INDEX($A:$AP,ROW(),$B$6)))</f>
        <v/>
      </c>
      <c r="AS411" s="22">
        <f>IF($AR411="","",IF(ISNUMBER($AR411),IF($AR411&gt;=10000000,IFERROR(DATE(INT($AR411/10000),MOD(INT($AR411/100),100),MOD($AR411,100)),""),INT($AR411)),IFERROR(DATE(--LEFT(LEFT(SUBSTITUTE(SUBSTITUTE(SUBSTITUTE(SUBSTITUTE(TRIM($AR411),"-",""),".",""),"/","")," ",""),8),4),--MID(LEFT(SUBSTITUTE(SUBSTITUTE(SUBSTITUTE(SUBSTITUTE(TRIM($AR411),"-",""),".",""),"/","")," ",""),8),5,2),--MID(LEFT(SUBSTITUTE(SUBSTITUTE(SUBSTITUTE(SUBSTITUTE(TRIM($AR411),"-",""),".",""),"/","")," ",""),8),7,2)),"")))</f>
        <v/>
      </c>
      <c r="AT411" s="23">
        <f>IF($AS411="","",IF($F$6="",0,IF(ISNUMBER(INDEX($A:$AP,ROW(),$F$6)),INDEX($A:$AP,ROW(),$F$6),IFERROR(--SUBSTITUTE(SUBSTITUTE(TRIM(INDEX($A:$AP,ROW(),$F$6)),",",""),"원",""),0))))</f>
        <v/>
      </c>
      <c r="AU411" s="23">
        <f>IF($AS411="","",IF($G$6="",0,IF(ISNUMBER(INDEX($A:$AP,ROW(),$G$6)),INDEX($A:$AP,ROW(),$G$6),IFERROR(--SUBSTITUTE(SUBSTITUTE(TRIM(INDEX($A:$AP,ROW(),$G$6)),",",""),"원",""),0))))</f>
        <v/>
      </c>
      <c r="AV411" s="23">
        <f>IF($AS411="","",IF($H$6="",$AT411+$AU411,IF($H$6="",0,IF(ISNUMBER(INDEX($A:$AP,ROW(),$H$6)),INDEX($A:$AP,ROW(),$H$6),IFERROR(--SUBSTITUTE(SUBSTITUTE(TRIM(INDEX($A:$AP,ROW(),$H$6)),",",""),"원",""),0)))))</f>
        <v/>
      </c>
      <c r="AW411" s="2">
        <f>IF(OR($AS411="",$C$6=""),"",TRIM(INDEX($A:$AP,ROW(),$C$6)&amp;""))</f>
        <v/>
      </c>
      <c r="AX411" s="2">
        <f>IF($AS411="","",IF($AZ411&lt;&gt;"",SUBSTITUTE(SUBSTITUTE($AZ411,"-","")," ",""),$AY411))</f>
        <v/>
      </c>
      <c r="AY411" s="2">
        <f>IF(OR($AS411="",$E$6=""),"",TRIM(INDEX($A:$AP,ROW(),$E$6)&amp;""))</f>
        <v/>
      </c>
      <c r="AZ411" s="2">
        <f>IF(OR($AS411="",$D$6=""),"",TRIM(INDEX($A:$AP,ROW(),$D$6)&amp;""))</f>
        <v/>
      </c>
      <c r="BA411" s="2">
        <f>IF($AS411="","",IF(AND($AS411&gt;=설정!$B$10,$AS411&lt;=설정!$B$11),"포함","기간 밖"))</f>
        <v/>
      </c>
      <c r="BB411" s="2">
        <f>IF($AS411="","",IF(OR($AT411&lt;0,AND($I$6&lt;&gt;"",ISNUMBER(FIND("수정",INDEX($A:$AP,ROW(),IF($I$6="",1,$I$6))&amp;"")))),"수정","일반"))</f>
        <v/>
      </c>
      <c r="BC411" s="2">
        <f>IF($AS411="","",MID(IF($BA411="기간 밖"," / 기간 밖(신고기간 아님)","")&amp;IF(AND($AW411&lt;&gt;"",COUNTIF($AW$8:$AW$1007,$AW411)&gt;1)," / 승인번호 중복(두 번 붙여넣기?)","")&amp;IF(ABS($AU411-ROUND($AT411*0.1,0))&gt;설정!$B$8,IF($AU411=0," / 세액 0원(영세율·면세 여부 확인)"," / 세액이 공급가액 10%와 다름"),"")&amp;IF($BB411="수정"," / 수정세금계산서(합계에서 자동 가감)",""),4,200))</f>
        <v/>
      </c>
      <c r="BD411" s="2">
        <f>IF($BA411&lt;&gt;"포함","",IF(COUNTIFS($AX$8:$AX411,$AX411,$BA$8:$BA411,"포함")=1,MAX($BD$7:BD410)+1,""))</f>
        <v/>
      </c>
      <c r="BE411" s="2">
        <f>IF($BC411="","",MAX($BE$7:BE410)+1)</f>
        <v/>
      </c>
    </row>
    <row r="412">
      <c r="AR412" s="2">
        <f>IF(OR($A$5="",$B$6="",ROW()&lt;$A$5),"",IF(INDEX($A:$AP,ROW(),$B$6)="","",INDEX($A:$AP,ROW(),$B$6)))</f>
        <v/>
      </c>
      <c r="AS412" s="22">
        <f>IF($AR412="","",IF(ISNUMBER($AR412),IF($AR412&gt;=10000000,IFERROR(DATE(INT($AR412/10000),MOD(INT($AR412/100),100),MOD($AR412,100)),""),INT($AR412)),IFERROR(DATE(--LEFT(LEFT(SUBSTITUTE(SUBSTITUTE(SUBSTITUTE(SUBSTITUTE(TRIM($AR412),"-",""),".",""),"/","")," ",""),8),4),--MID(LEFT(SUBSTITUTE(SUBSTITUTE(SUBSTITUTE(SUBSTITUTE(TRIM($AR412),"-",""),".",""),"/","")," ",""),8),5,2),--MID(LEFT(SUBSTITUTE(SUBSTITUTE(SUBSTITUTE(SUBSTITUTE(TRIM($AR412),"-",""),".",""),"/","")," ",""),8),7,2)),"")))</f>
        <v/>
      </c>
      <c r="AT412" s="23">
        <f>IF($AS412="","",IF($F$6="",0,IF(ISNUMBER(INDEX($A:$AP,ROW(),$F$6)),INDEX($A:$AP,ROW(),$F$6),IFERROR(--SUBSTITUTE(SUBSTITUTE(TRIM(INDEX($A:$AP,ROW(),$F$6)),",",""),"원",""),0))))</f>
        <v/>
      </c>
      <c r="AU412" s="23">
        <f>IF($AS412="","",IF($G$6="",0,IF(ISNUMBER(INDEX($A:$AP,ROW(),$G$6)),INDEX($A:$AP,ROW(),$G$6),IFERROR(--SUBSTITUTE(SUBSTITUTE(TRIM(INDEX($A:$AP,ROW(),$G$6)),",",""),"원",""),0))))</f>
        <v/>
      </c>
      <c r="AV412" s="23">
        <f>IF($AS412="","",IF($H$6="",$AT412+$AU412,IF($H$6="",0,IF(ISNUMBER(INDEX($A:$AP,ROW(),$H$6)),INDEX($A:$AP,ROW(),$H$6),IFERROR(--SUBSTITUTE(SUBSTITUTE(TRIM(INDEX($A:$AP,ROW(),$H$6)),",",""),"원",""),0)))))</f>
        <v/>
      </c>
      <c r="AW412" s="2">
        <f>IF(OR($AS412="",$C$6=""),"",TRIM(INDEX($A:$AP,ROW(),$C$6)&amp;""))</f>
        <v/>
      </c>
      <c r="AX412" s="2">
        <f>IF($AS412="","",IF($AZ412&lt;&gt;"",SUBSTITUTE(SUBSTITUTE($AZ412,"-","")," ",""),$AY412))</f>
        <v/>
      </c>
      <c r="AY412" s="2">
        <f>IF(OR($AS412="",$E$6=""),"",TRIM(INDEX($A:$AP,ROW(),$E$6)&amp;""))</f>
        <v/>
      </c>
      <c r="AZ412" s="2">
        <f>IF(OR($AS412="",$D$6=""),"",TRIM(INDEX($A:$AP,ROW(),$D$6)&amp;""))</f>
        <v/>
      </c>
      <c r="BA412" s="2">
        <f>IF($AS412="","",IF(AND($AS412&gt;=설정!$B$10,$AS412&lt;=설정!$B$11),"포함","기간 밖"))</f>
        <v/>
      </c>
      <c r="BB412" s="2">
        <f>IF($AS412="","",IF(OR($AT412&lt;0,AND($I$6&lt;&gt;"",ISNUMBER(FIND("수정",INDEX($A:$AP,ROW(),IF($I$6="",1,$I$6))&amp;"")))),"수정","일반"))</f>
        <v/>
      </c>
      <c r="BC412" s="2">
        <f>IF($AS412="","",MID(IF($BA412="기간 밖"," / 기간 밖(신고기간 아님)","")&amp;IF(AND($AW412&lt;&gt;"",COUNTIF($AW$8:$AW$1007,$AW412)&gt;1)," / 승인번호 중복(두 번 붙여넣기?)","")&amp;IF(ABS($AU412-ROUND($AT412*0.1,0))&gt;설정!$B$8,IF($AU412=0," / 세액 0원(영세율·면세 여부 확인)"," / 세액이 공급가액 10%와 다름"),"")&amp;IF($BB412="수정"," / 수정세금계산서(합계에서 자동 가감)",""),4,200))</f>
        <v/>
      </c>
      <c r="BD412" s="2">
        <f>IF($BA412&lt;&gt;"포함","",IF(COUNTIFS($AX$8:$AX412,$AX412,$BA$8:$BA412,"포함")=1,MAX($BD$7:BD411)+1,""))</f>
        <v/>
      </c>
      <c r="BE412" s="2">
        <f>IF($BC412="","",MAX($BE$7:BE411)+1)</f>
        <v/>
      </c>
    </row>
    <row r="413">
      <c r="AR413" s="2">
        <f>IF(OR($A$5="",$B$6="",ROW()&lt;$A$5),"",IF(INDEX($A:$AP,ROW(),$B$6)="","",INDEX($A:$AP,ROW(),$B$6)))</f>
        <v/>
      </c>
      <c r="AS413" s="22">
        <f>IF($AR413="","",IF(ISNUMBER($AR413),IF($AR413&gt;=10000000,IFERROR(DATE(INT($AR413/10000),MOD(INT($AR413/100),100),MOD($AR413,100)),""),INT($AR413)),IFERROR(DATE(--LEFT(LEFT(SUBSTITUTE(SUBSTITUTE(SUBSTITUTE(SUBSTITUTE(TRIM($AR413),"-",""),".",""),"/","")," ",""),8),4),--MID(LEFT(SUBSTITUTE(SUBSTITUTE(SUBSTITUTE(SUBSTITUTE(TRIM($AR413),"-",""),".",""),"/","")," ",""),8),5,2),--MID(LEFT(SUBSTITUTE(SUBSTITUTE(SUBSTITUTE(SUBSTITUTE(TRIM($AR413),"-",""),".",""),"/","")," ",""),8),7,2)),"")))</f>
        <v/>
      </c>
      <c r="AT413" s="23">
        <f>IF($AS413="","",IF($F$6="",0,IF(ISNUMBER(INDEX($A:$AP,ROW(),$F$6)),INDEX($A:$AP,ROW(),$F$6),IFERROR(--SUBSTITUTE(SUBSTITUTE(TRIM(INDEX($A:$AP,ROW(),$F$6)),",",""),"원",""),0))))</f>
        <v/>
      </c>
      <c r="AU413" s="23">
        <f>IF($AS413="","",IF($G$6="",0,IF(ISNUMBER(INDEX($A:$AP,ROW(),$G$6)),INDEX($A:$AP,ROW(),$G$6),IFERROR(--SUBSTITUTE(SUBSTITUTE(TRIM(INDEX($A:$AP,ROW(),$G$6)),",",""),"원",""),0))))</f>
        <v/>
      </c>
      <c r="AV413" s="23">
        <f>IF($AS413="","",IF($H$6="",$AT413+$AU413,IF($H$6="",0,IF(ISNUMBER(INDEX($A:$AP,ROW(),$H$6)),INDEX($A:$AP,ROW(),$H$6),IFERROR(--SUBSTITUTE(SUBSTITUTE(TRIM(INDEX($A:$AP,ROW(),$H$6)),",",""),"원",""),0)))))</f>
        <v/>
      </c>
      <c r="AW413" s="2">
        <f>IF(OR($AS413="",$C$6=""),"",TRIM(INDEX($A:$AP,ROW(),$C$6)&amp;""))</f>
        <v/>
      </c>
      <c r="AX413" s="2">
        <f>IF($AS413="","",IF($AZ413&lt;&gt;"",SUBSTITUTE(SUBSTITUTE($AZ413,"-","")," ",""),$AY413))</f>
        <v/>
      </c>
      <c r="AY413" s="2">
        <f>IF(OR($AS413="",$E$6=""),"",TRIM(INDEX($A:$AP,ROW(),$E$6)&amp;""))</f>
        <v/>
      </c>
      <c r="AZ413" s="2">
        <f>IF(OR($AS413="",$D$6=""),"",TRIM(INDEX($A:$AP,ROW(),$D$6)&amp;""))</f>
        <v/>
      </c>
      <c r="BA413" s="2">
        <f>IF($AS413="","",IF(AND($AS413&gt;=설정!$B$10,$AS413&lt;=설정!$B$11),"포함","기간 밖"))</f>
        <v/>
      </c>
      <c r="BB413" s="2">
        <f>IF($AS413="","",IF(OR($AT413&lt;0,AND($I$6&lt;&gt;"",ISNUMBER(FIND("수정",INDEX($A:$AP,ROW(),IF($I$6="",1,$I$6))&amp;"")))),"수정","일반"))</f>
        <v/>
      </c>
      <c r="BC413" s="2">
        <f>IF($AS413="","",MID(IF($BA413="기간 밖"," / 기간 밖(신고기간 아님)","")&amp;IF(AND($AW413&lt;&gt;"",COUNTIF($AW$8:$AW$1007,$AW413)&gt;1)," / 승인번호 중복(두 번 붙여넣기?)","")&amp;IF(ABS($AU413-ROUND($AT413*0.1,0))&gt;설정!$B$8,IF($AU413=0," / 세액 0원(영세율·면세 여부 확인)"," / 세액이 공급가액 10%와 다름"),"")&amp;IF($BB413="수정"," / 수정세금계산서(합계에서 자동 가감)",""),4,200))</f>
        <v/>
      </c>
      <c r="BD413" s="2">
        <f>IF($BA413&lt;&gt;"포함","",IF(COUNTIFS($AX$8:$AX413,$AX413,$BA$8:$BA413,"포함")=1,MAX($BD$7:BD412)+1,""))</f>
        <v/>
      </c>
      <c r="BE413" s="2">
        <f>IF($BC413="","",MAX($BE$7:BE412)+1)</f>
        <v/>
      </c>
    </row>
    <row r="414">
      <c r="AR414" s="2">
        <f>IF(OR($A$5="",$B$6="",ROW()&lt;$A$5),"",IF(INDEX($A:$AP,ROW(),$B$6)="","",INDEX($A:$AP,ROW(),$B$6)))</f>
        <v/>
      </c>
      <c r="AS414" s="22">
        <f>IF($AR414="","",IF(ISNUMBER($AR414),IF($AR414&gt;=10000000,IFERROR(DATE(INT($AR414/10000),MOD(INT($AR414/100),100),MOD($AR414,100)),""),INT($AR414)),IFERROR(DATE(--LEFT(LEFT(SUBSTITUTE(SUBSTITUTE(SUBSTITUTE(SUBSTITUTE(TRIM($AR414),"-",""),".",""),"/","")," ",""),8),4),--MID(LEFT(SUBSTITUTE(SUBSTITUTE(SUBSTITUTE(SUBSTITUTE(TRIM($AR414),"-",""),".",""),"/","")," ",""),8),5,2),--MID(LEFT(SUBSTITUTE(SUBSTITUTE(SUBSTITUTE(SUBSTITUTE(TRIM($AR414),"-",""),".",""),"/","")," ",""),8),7,2)),"")))</f>
        <v/>
      </c>
      <c r="AT414" s="23">
        <f>IF($AS414="","",IF($F$6="",0,IF(ISNUMBER(INDEX($A:$AP,ROW(),$F$6)),INDEX($A:$AP,ROW(),$F$6),IFERROR(--SUBSTITUTE(SUBSTITUTE(TRIM(INDEX($A:$AP,ROW(),$F$6)),",",""),"원",""),0))))</f>
        <v/>
      </c>
      <c r="AU414" s="23">
        <f>IF($AS414="","",IF($G$6="",0,IF(ISNUMBER(INDEX($A:$AP,ROW(),$G$6)),INDEX($A:$AP,ROW(),$G$6),IFERROR(--SUBSTITUTE(SUBSTITUTE(TRIM(INDEX($A:$AP,ROW(),$G$6)),",",""),"원",""),0))))</f>
        <v/>
      </c>
      <c r="AV414" s="23">
        <f>IF($AS414="","",IF($H$6="",$AT414+$AU414,IF($H$6="",0,IF(ISNUMBER(INDEX($A:$AP,ROW(),$H$6)),INDEX($A:$AP,ROW(),$H$6),IFERROR(--SUBSTITUTE(SUBSTITUTE(TRIM(INDEX($A:$AP,ROW(),$H$6)),",",""),"원",""),0)))))</f>
        <v/>
      </c>
      <c r="AW414" s="2">
        <f>IF(OR($AS414="",$C$6=""),"",TRIM(INDEX($A:$AP,ROW(),$C$6)&amp;""))</f>
        <v/>
      </c>
      <c r="AX414" s="2">
        <f>IF($AS414="","",IF($AZ414&lt;&gt;"",SUBSTITUTE(SUBSTITUTE($AZ414,"-","")," ",""),$AY414))</f>
        <v/>
      </c>
      <c r="AY414" s="2">
        <f>IF(OR($AS414="",$E$6=""),"",TRIM(INDEX($A:$AP,ROW(),$E$6)&amp;""))</f>
        <v/>
      </c>
      <c r="AZ414" s="2">
        <f>IF(OR($AS414="",$D$6=""),"",TRIM(INDEX($A:$AP,ROW(),$D$6)&amp;""))</f>
        <v/>
      </c>
      <c r="BA414" s="2">
        <f>IF($AS414="","",IF(AND($AS414&gt;=설정!$B$10,$AS414&lt;=설정!$B$11),"포함","기간 밖"))</f>
        <v/>
      </c>
      <c r="BB414" s="2">
        <f>IF($AS414="","",IF(OR($AT414&lt;0,AND($I$6&lt;&gt;"",ISNUMBER(FIND("수정",INDEX($A:$AP,ROW(),IF($I$6="",1,$I$6))&amp;"")))),"수정","일반"))</f>
        <v/>
      </c>
      <c r="BC414" s="2">
        <f>IF($AS414="","",MID(IF($BA414="기간 밖"," / 기간 밖(신고기간 아님)","")&amp;IF(AND($AW414&lt;&gt;"",COUNTIF($AW$8:$AW$1007,$AW414)&gt;1)," / 승인번호 중복(두 번 붙여넣기?)","")&amp;IF(ABS($AU414-ROUND($AT414*0.1,0))&gt;설정!$B$8,IF($AU414=0," / 세액 0원(영세율·면세 여부 확인)"," / 세액이 공급가액 10%와 다름"),"")&amp;IF($BB414="수정"," / 수정세금계산서(합계에서 자동 가감)",""),4,200))</f>
        <v/>
      </c>
      <c r="BD414" s="2">
        <f>IF($BA414&lt;&gt;"포함","",IF(COUNTIFS($AX$8:$AX414,$AX414,$BA$8:$BA414,"포함")=1,MAX($BD$7:BD413)+1,""))</f>
        <v/>
      </c>
      <c r="BE414" s="2">
        <f>IF($BC414="","",MAX($BE$7:BE413)+1)</f>
        <v/>
      </c>
    </row>
    <row r="415">
      <c r="AR415" s="2">
        <f>IF(OR($A$5="",$B$6="",ROW()&lt;$A$5),"",IF(INDEX($A:$AP,ROW(),$B$6)="","",INDEX($A:$AP,ROW(),$B$6)))</f>
        <v/>
      </c>
      <c r="AS415" s="22">
        <f>IF($AR415="","",IF(ISNUMBER($AR415),IF($AR415&gt;=10000000,IFERROR(DATE(INT($AR415/10000),MOD(INT($AR415/100),100),MOD($AR415,100)),""),INT($AR415)),IFERROR(DATE(--LEFT(LEFT(SUBSTITUTE(SUBSTITUTE(SUBSTITUTE(SUBSTITUTE(TRIM($AR415),"-",""),".",""),"/","")," ",""),8),4),--MID(LEFT(SUBSTITUTE(SUBSTITUTE(SUBSTITUTE(SUBSTITUTE(TRIM($AR415),"-",""),".",""),"/","")," ",""),8),5,2),--MID(LEFT(SUBSTITUTE(SUBSTITUTE(SUBSTITUTE(SUBSTITUTE(TRIM($AR415),"-",""),".",""),"/","")," ",""),8),7,2)),"")))</f>
        <v/>
      </c>
      <c r="AT415" s="23">
        <f>IF($AS415="","",IF($F$6="",0,IF(ISNUMBER(INDEX($A:$AP,ROW(),$F$6)),INDEX($A:$AP,ROW(),$F$6),IFERROR(--SUBSTITUTE(SUBSTITUTE(TRIM(INDEX($A:$AP,ROW(),$F$6)),",",""),"원",""),0))))</f>
        <v/>
      </c>
      <c r="AU415" s="23">
        <f>IF($AS415="","",IF($G$6="",0,IF(ISNUMBER(INDEX($A:$AP,ROW(),$G$6)),INDEX($A:$AP,ROW(),$G$6),IFERROR(--SUBSTITUTE(SUBSTITUTE(TRIM(INDEX($A:$AP,ROW(),$G$6)),",",""),"원",""),0))))</f>
        <v/>
      </c>
      <c r="AV415" s="23">
        <f>IF($AS415="","",IF($H$6="",$AT415+$AU415,IF($H$6="",0,IF(ISNUMBER(INDEX($A:$AP,ROW(),$H$6)),INDEX($A:$AP,ROW(),$H$6),IFERROR(--SUBSTITUTE(SUBSTITUTE(TRIM(INDEX($A:$AP,ROW(),$H$6)),",",""),"원",""),0)))))</f>
        <v/>
      </c>
      <c r="AW415" s="2">
        <f>IF(OR($AS415="",$C$6=""),"",TRIM(INDEX($A:$AP,ROW(),$C$6)&amp;""))</f>
        <v/>
      </c>
      <c r="AX415" s="2">
        <f>IF($AS415="","",IF($AZ415&lt;&gt;"",SUBSTITUTE(SUBSTITUTE($AZ415,"-","")," ",""),$AY415))</f>
        <v/>
      </c>
      <c r="AY415" s="2">
        <f>IF(OR($AS415="",$E$6=""),"",TRIM(INDEX($A:$AP,ROW(),$E$6)&amp;""))</f>
        <v/>
      </c>
      <c r="AZ415" s="2">
        <f>IF(OR($AS415="",$D$6=""),"",TRIM(INDEX($A:$AP,ROW(),$D$6)&amp;""))</f>
        <v/>
      </c>
      <c r="BA415" s="2">
        <f>IF($AS415="","",IF(AND($AS415&gt;=설정!$B$10,$AS415&lt;=설정!$B$11),"포함","기간 밖"))</f>
        <v/>
      </c>
      <c r="BB415" s="2">
        <f>IF($AS415="","",IF(OR($AT415&lt;0,AND($I$6&lt;&gt;"",ISNUMBER(FIND("수정",INDEX($A:$AP,ROW(),IF($I$6="",1,$I$6))&amp;"")))),"수정","일반"))</f>
        <v/>
      </c>
      <c r="BC415" s="2">
        <f>IF($AS415="","",MID(IF($BA415="기간 밖"," / 기간 밖(신고기간 아님)","")&amp;IF(AND($AW415&lt;&gt;"",COUNTIF($AW$8:$AW$1007,$AW415)&gt;1)," / 승인번호 중복(두 번 붙여넣기?)","")&amp;IF(ABS($AU415-ROUND($AT415*0.1,0))&gt;설정!$B$8,IF($AU415=0," / 세액 0원(영세율·면세 여부 확인)"," / 세액이 공급가액 10%와 다름"),"")&amp;IF($BB415="수정"," / 수정세금계산서(합계에서 자동 가감)",""),4,200))</f>
        <v/>
      </c>
      <c r="BD415" s="2">
        <f>IF($BA415&lt;&gt;"포함","",IF(COUNTIFS($AX$8:$AX415,$AX415,$BA$8:$BA415,"포함")=1,MAX($BD$7:BD414)+1,""))</f>
        <v/>
      </c>
      <c r="BE415" s="2">
        <f>IF($BC415="","",MAX($BE$7:BE414)+1)</f>
        <v/>
      </c>
    </row>
    <row r="416">
      <c r="AR416" s="2">
        <f>IF(OR($A$5="",$B$6="",ROW()&lt;$A$5),"",IF(INDEX($A:$AP,ROW(),$B$6)="","",INDEX($A:$AP,ROW(),$B$6)))</f>
        <v/>
      </c>
      <c r="AS416" s="22">
        <f>IF($AR416="","",IF(ISNUMBER($AR416),IF($AR416&gt;=10000000,IFERROR(DATE(INT($AR416/10000),MOD(INT($AR416/100),100),MOD($AR416,100)),""),INT($AR416)),IFERROR(DATE(--LEFT(LEFT(SUBSTITUTE(SUBSTITUTE(SUBSTITUTE(SUBSTITUTE(TRIM($AR416),"-",""),".",""),"/","")," ",""),8),4),--MID(LEFT(SUBSTITUTE(SUBSTITUTE(SUBSTITUTE(SUBSTITUTE(TRIM($AR416),"-",""),".",""),"/","")," ",""),8),5,2),--MID(LEFT(SUBSTITUTE(SUBSTITUTE(SUBSTITUTE(SUBSTITUTE(TRIM($AR416),"-",""),".",""),"/","")," ",""),8),7,2)),"")))</f>
        <v/>
      </c>
      <c r="AT416" s="23">
        <f>IF($AS416="","",IF($F$6="",0,IF(ISNUMBER(INDEX($A:$AP,ROW(),$F$6)),INDEX($A:$AP,ROW(),$F$6),IFERROR(--SUBSTITUTE(SUBSTITUTE(TRIM(INDEX($A:$AP,ROW(),$F$6)),",",""),"원",""),0))))</f>
        <v/>
      </c>
      <c r="AU416" s="23">
        <f>IF($AS416="","",IF($G$6="",0,IF(ISNUMBER(INDEX($A:$AP,ROW(),$G$6)),INDEX($A:$AP,ROW(),$G$6),IFERROR(--SUBSTITUTE(SUBSTITUTE(TRIM(INDEX($A:$AP,ROW(),$G$6)),",",""),"원",""),0))))</f>
        <v/>
      </c>
      <c r="AV416" s="23">
        <f>IF($AS416="","",IF($H$6="",$AT416+$AU416,IF($H$6="",0,IF(ISNUMBER(INDEX($A:$AP,ROW(),$H$6)),INDEX($A:$AP,ROW(),$H$6),IFERROR(--SUBSTITUTE(SUBSTITUTE(TRIM(INDEX($A:$AP,ROW(),$H$6)),",",""),"원",""),0)))))</f>
        <v/>
      </c>
      <c r="AW416" s="2">
        <f>IF(OR($AS416="",$C$6=""),"",TRIM(INDEX($A:$AP,ROW(),$C$6)&amp;""))</f>
        <v/>
      </c>
      <c r="AX416" s="2">
        <f>IF($AS416="","",IF($AZ416&lt;&gt;"",SUBSTITUTE(SUBSTITUTE($AZ416,"-","")," ",""),$AY416))</f>
        <v/>
      </c>
      <c r="AY416" s="2">
        <f>IF(OR($AS416="",$E$6=""),"",TRIM(INDEX($A:$AP,ROW(),$E$6)&amp;""))</f>
        <v/>
      </c>
      <c r="AZ416" s="2">
        <f>IF(OR($AS416="",$D$6=""),"",TRIM(INDEX($A:$AP,ROW(),$D$6)&amp;""))</f>
        <v/>
      </c>
      <c r="BA416" s="2">
        <f>IF($AS416="","",IF(AND($AS416&gt;=설정!$B$10,$AS416&lt;=설정!$B$11),"포함","기간 밖"))</f>
        <v/>
      </c>
      <c r="BB416" s="2">
        <f>IF($AS416="","",IF(OR($AT416&lt;0,AND($I$6&lt;&gt;"",ISNUMBER(FIND("수정",INDEX($A:$AP,ROW(),IF($I$6="",1,$I$6))&amp;"")))),"수정","일반"))</f>
        <v/>
      </c>
      <c r="BC416" s="2">
        <f>IF($AS416="","",MID(IF($BA416="기간 밖"," / 기간 밖(신고기간 아님)","")&amp;IF(AND($AW416&lt;&gt;"",COUNTIF($AW$8:$AW$1007,$AW416)&gt;1)," / 승인번호 중복(두 번 붙여넣기?)","")&amp;IF(ABS($AU416-ROUND($AT416*0.1,0))&gt;설정!$B$8,IF($AU416=0," / 세액 0원(영세율·면세 여부 확인)"," / 세액이 공급가액 10%와 다름"),"")&amp;IF($BB416="수정"," / 수정세금계산서(합계에서 자동 가감)",""),4,200))</f>
        <v/>
      </c>
      <c r="BD416" s="2">
        <f>IF($BA416&lt;&gt;"포함","",IF(COUNTIFS($AX$8:$AX416,$AX416,$BA$8:$BA416,"포함")=1,MAX($BD$7:BD415)+1,""))</f>
        <v/>
      </c>
      <c r="BE416" s="2">
        <f>IF($BC416="","",MAX($BE$7:BE415)+1)</f>
        <v/>
      </c>
    </row>
    <row r="417">
      <c r="AR417" s="2">
        <f>IF(OR($A$5="",$B$6="",ROW()&lt;$A$5),"",IF(INDEX($A:$AP,ROW(),$B$6)="","",INDEX($A:$AP,ROW(),$B$6)))</f>
        <v/>
      </c>
      <c r="AS417" s="22">
        <f>IF($AR417="","",IF(ISNUMBER($AR417),IF($AR417&gt;=10000000,IFERROR(DATE(INT($AR417/10000),MOD(INT($AR417/100),100),MOD($AR417,100)),""),INT($AR417)),IFERROR(DATE(--LEFT(LEFT(SUBSTITUTE(SUBSTITUTE(SUBSTITUTE(SUBSTITUTE(TRIM($AR417),"-",""),".",""),"/","")," ",""),8),4),--MID(LEFT(SUBSTITUTE(SUBSTITUTE(SUBSTITUTE(SUBSTITUTE(TRIM($AR417),"-",""),".",""),"/","")," ",""),8),5,2),--MID(LEFT(SUBSTITUTE(SUBSTITUTE(SUBSTITUTE(SUBSTITUTE(TRIM($AR417),"-",""),".",""),"/","")," ",""),8),7,2)),"")))</f>
        <v/>
      </c>
      <c r="AT417" s="23">
        <f>IF($AS417="","",IF($F$6="",0,IF(ISNUMBER(INDEX($A:$AP,ROW(),$F$6)),INDEX($A:$AP,ROW(),$F$6),IFERROR(--SUBSTITUTE(SUBSTITUTE(TRIM(INDEX($A:$AP,ROW(),$F$6)),",",""),"원",""),0))))</f>
        <v/>
      </c>
      <c r="AU417" s="23">
        <f>IF($AS417="","",IF($G$6="",0,IF(ISNUMBER(INDEX($A:$AP,ROW(),$G$6)),INDEX($A:$AP,ROW(),$G$6),IFERROR(--SUBSTITUTE(SUBSTITUTE(TRIM(INDEX($A:$AP,ROW(),$G$6)),",",""),"원",""),0))))</f>
        <v/>
      </c>
      <c r="AV417" s="23">
        <f>IF($AS417="","",IF($H$6="",$AT417+$AU417,IF($H$6="",0,IF(ISNUMBER(INDEX($A:$AP,ROW(),$H$6)),INDEX($A:$AP,ROW(),$H$6),IFERROR(--SUBSTITUTE(SUBSTITUTE(TRIM(INDEX($A:$AP,ROW(),$H$6)),",",""),"원",""),0)))))</f>
        <v/>
      </c>
      <c r="AW417" s="2">
        <f>IF(OR($AS417="",$C$6=""),"",TRIM(INDEX($A:$AP,ROW(),$C$6)&amp;""))</f>
        <v/>
      </c>
      <c r="AX417" s="2">
        <f>IF($AS417="","",IF($AZ417&lt;&gt;"",SUBSTITUTE(SUBSTITUTE($AZ417,"-","")," ",""),$AY417))</f>
        <v/>
      </c>
      <c r="AY417" s="2">
        <f>IF(OR($AS417="",$E$6=""),"",TRIM(INDEX($A:$AP,ROW(),$E$6)&amp;""))</f>
        <v/>
      </c>
      <c r="AZ417" s="2">
        <f>IF(OR($AS417="",$D$6=""),"",TRIM(INDEX($A:$AP,ROW(),$D$6)&amp;""))</f>
        <v/>
      </c>
      <c r="BA417" s="2">
        <f>IF($AS417="","",IF(AND($AS417&gt;=설정!$B$10,$AS417&lt;=설정!$B$11),"포함","기간 밖"))</f>
        <v/>
      </c>
      <c r="BB417" s="2">
        <f>IF($AS417="","",IF(OR($AT417&lt;0,AND($I$6&lt;&gt;"",ISNUMBER(FIND("수정",INDEX($A:$AP,ROW(),IF($I$6="",1,$I$6))&amp;"")))),"수정","일반"))</f>
        <v/>
      </c>
      <c r="BC417" s="2">
        <f>IF($AS417="","",MID(IF($BA417="기간 밖"," / 기간 밖(신고기간 아님)","")&amp;IF(AND($AW417&lt;&gt;"",COUNTIF($AW$8:$AW$1007,$AW417)&gt;1)," / 승인번호 중복(두 번 붙여넣기?)","")&amp;IF(ABS($AU417-ROUND($AT417*0.1,0))&gt;설정!$B$8,IF($AU417=0," / 세액 0원(영세율·면세 여부 확인)"," / 세액이 공급가액 10%와 다름"),"")&amp;IF($BB417="수정"," / 수정세금계산서(합계에서 자동 가감)",""),4,200))</f>
        <v/>
      </c>
      <c r="BD417" s="2">
        <f>IF($BA417&lt;&gt;"포함","",IF(COUNTIFS($AX$8:$AX417,$AX417,$BA$8:$BA417,"포함")=1,MAX($BD$7:BD416)+1,""))</f>
        <v/>
      </c>
      <c r="BE417" s="2">
        <f>IF($BC417="","",MAX($BE$7:BE416)+1)</f>
        <v/>
      </c>
    </row>
    <row r="418">
      <c r="AR418" s="2">
        <f>IF(OR($A$5="",$B$6="",ROW()&lt;$A$5),"",IF(INDEX($A:$AP,ROW(),$B$6)="","",INDEX($A:$AP,ROW(),$B$6)))</f>
        <v/>
      </c>
      <c r="AS418" s="22">
        <f>IF($AR418="","",IF(ISNUMBER($AR418),IF($AR418&gt;=10000000,IFERROR(DATE(INT($AR418/10000),MOD(INT($AR418/100),100),MOD($AR418,100)),""),INT($AR418)),IFERROR(DATE(--LEFT(LEFT(SUBSTITUTE(SUBSTITUTE(SUBSTITUTE(SUBSTITUTE(TRIM($AR418),"-",""),".",""),"/","")," ",""),8),4),--MID(LEFT(SUBSTITUTE(SUBSTITUTE(SUBSTITUTE(SUBSTITUTE(TRIM($AR418),"-",""),".",""),"/","")," ",""),8),5,2),--MID(LEFT(SUBSTITUTE(SUBSTITUTE(SUBSTITUTE(SUBSTITUTE(TRIM($AR418),"-",""),".",""),"/","")," ",""),8),7,2)),"")))</f>
        <v/>
      </c>
      <c r="AT418" s="23">
        <f>IF($AS418="","",IF($F$6="",0,IF(ISNUMBER(INDEX($A:$AP,ROW(),$F$6)),INDEX($A:$AP,ROW(),$F$6),IFERROR(--SUBSTITUTE(SUBSTITUTE(TRIM(INDEX($A:$AP,ROW(),$F$6)),",",""),"원",""),0))))</f>
        <v/>
      </c>
      <c r="AU418" s="23">
        <f>IF($AS418="","",IF($G$6="",0,IF(ISNUMBER(INDEX($A:$AP,ROW(),$G$6)),INDEX($A:$AP,ROW(),$G$6),IFERROR(--SUBSTITUTE(SUBSTITUTE(TRIM(INDEX($A:$AP,ROW(),$G$6)),",",""),"원",""),0))))</f>
        <v/>
      </c>
      <c r="AV418" s="23">
        <f>IF($AS418="","",IF($H$6="",$AT418+$AU418,IF($H$6="",0,IF(ISNUMBER(INDEX($A:$AP,ROW(),$H$6)),INDEX($A:$AP,ROW(),$H$6),IFERROR(--SUBSTITUTE(SUBSTITUTE(TRIM(INDEX($A:$AP,ROW(),$H$6)),",",""),"원",""),0)))))</f>
        <v/>
      </c>
      <c r="AW418" s="2">
        <f>IF(OR($AS418="",$C$6=""),"",TRIM(INDEX($A:$AP,ROW(),$C$6)&amp;""))</f>
        <v/>
      </c>
      <c r="AX418" s="2">
        <f>IF($AS418="","",IF($AZ418&lt;&gt;"",SUBSTITUTE(SUBSTITUTE($AZ418,"-","")," ",""),$AY418))</f>
        <v/>
      </c>
      <c r="AY418" s="2">
        <f>IF(OR($AS418="",$E$6=""),"",TRIM(INDEX($A:$AP,ROW(),$E$6)&amp;""))</f>
        <v/>
      </c>
      <c r="AZ418" s="2">
        <f>IF(OR($AS418="",$D$6=""),"",TRIM(INDEX($A:$AP,ROW(),$D$6)&amp;""))</f>
        <v/>
      </c>
      <c r="BA418" s="2">
        <f>IF($AS418="","",IF(AND($AS418&gt;=설정!$B$10,$AS418&lt;=설정!$B$11),"포함","기간 밖"))</f>
        <v/>
      </c>
      <c r="BB418" s="2">
        <f>IF($AS418="","",IF(OR($AT418&lt;0,AND($I$6&lt;&gt;"",ISNUMBER(FIND("수정",INDEX($A:$AP,ROW(),IF($I$6="",1,$I$6))&amp;"")))),"수정","일반"))</f>
        <v/>
      </c>
      <c r="BC418" s="2">
        <f>IF($AS418="","",MID(IF($BA418="기간 밖"," / 기간 밖(신고기간 아님)","")&amp;IF(AND($AW418&lt;&gt;"",COUNTIF($AW$8:$AW$1007,$AW418)&gt;1)," / 승인번호 중복(두 번 붙여넣기?)","")&amp;IF(ABS($AU418-ROUND($AT418*0.1,0))&gt;설정!$B$8,IF($AU418=0," / 세액 0원(영세율·면세 여부 확인)"," / 세액이 공급가액 10%와 다름"),"")&amp;IF($BB418="수정"," / 수정세금계산서(합계에서 자동 가감)",""),4,200))</f>
        <v/>
      </c>
      <c r="BD418" s="2">
        <f>IF($BA418&lt;&gt;"포함","",IF(COUNTIFS($AX$8:$AX418,$AX418,$BA$8:$BA418,"포함")=1,MAX($BD$7:BD417)+1,""))</f>
        <v/>
      </c>
      <c r="BE418" s="2">
        <f>IF($BC418="","",MAX($BE$7:BE417)+1)</f>
        <v/>
      </c>
    </row>
    <row r="419">
      <c r="AR419" s="2">
        <f>IF(OR($A$5="",$B$6="",ROW()&lt;$A$5),"",IF(INDEX($A:$AP,ROW(),$B$6)="","",INDEX($A:$AP,ROW(),$B$6)))</f>
        <v/>
      </c>
      <c r="AS419" s="22">
        <f>IF($AR419="","",IF(ISNUMBER($AR419),IF($AR419&gt;=10000000,IFERROR(DATE(INT($AR419/10000),MOD(INT($AR419/100),100),MOD($AR419,100)),""),INT($AR419)),IFERROR(DATE(--LEFT(LEFT(SUBSTITUTE(SUBSTITUTE(SUBSTITUTE(SUBSTITUTE(TRIM($AR419),"-",""),".",""),"/","")," ",""),8),4),--MID(LEFT(SUBSTITUTE(SUBSTITUTE(SUBSTITUTE(SUBSTITUTE(TRIM($AR419),"-",""),".",""),"/","")," ",""),8),5,2),--MID(LEFT(SUBSTITUTE(SUBSTITUTE(SUBSTITUTE(SUBSTITUTE(TRIM($AR419),"-",""),".",""),"/","")," ",""),8),7,2)),"")))</f>
        <v/>
      </c>
      <c r="AT419" s="23">
        <f>IF($AS419="","",IF($F$6="",0,IF(ISNUMBER(INDEX($A:$AP,ROW(),$F$6)),INDEX($A:$AP,ROW(),$F$6),IFERROR(--SUBSTITUTE(SUBSTITUTE(TRIM(INDEX($A:$AP,ROW(),$F$6)),",",""),"원",""),0))))</f>
        <v/>
      </c>
      <c r="AU419" s="23">
        <f>IF($AS419="","",IF($G$6="",0,IF(ISNUMBER(INDEX($A:$AP,ROW(),$G$6)),INDEX($A:$AP,ROW(),$G$6),IFERROR(--SUBSTITUTE(SUBSTITUTE(TRIM(INDEX($A:$AP,ROW(),$G$6)),",",""),"원",""),0))))</f>
        <v/>
      </c>
      <c r="AV419" s="23">
        <f>IF($AS419="","",IF($H$6="",$AT419+$AU419,IF($H$6="",0,IF(ISNUMBER(INDEX($A:$AP,ROW(),$H$6)),INDEX($A:$AP,ROW(),$H$6),IFERROR(--SUBSTITUTE(SUBSTITUTE(TRIM(INDEX($A:$AP,ROW(),$H$6)),",",""),"원",""),0)))))</f>
        <v/>
      </c>
      <c r="AW419" s="2">
        <f>IF(OR($AS419="",$C$6=""),"",TRIM(INDEX($A:$AP,ROW(),$C$6)&amp;""))</f>
        <v/>
      </c>
      <c r="AX419" s="2">
        <f>IF($AS419="","",IF($AZ419&lt;&gt;"",SUBSTITUTE(SUBSTITUTE($AZ419,"-","")," ",""),$AY419))</f>
        <v/>
      </c>
      <c r="AY419" s="2">
        <f>IF(OR($AS419="",$E$6=""),"",TRIM(INDEX($A:$AP,ROW(),$E$6)&amp;""))</f>
        <v/>
      </c>
      <c r="AZ419" s="2">
        <f>IF(OR($AS419="",$D$6=""),"",TRIM(INDEX($A:$AP,ROW(),$D$6)&amp;""))</f>
        <v/>
      </c>
      <c r="BA419" s="2">
        <f>IF($AS419="","",IF(AND($AS419&gt;=설정!$B$10,$AS419&lt;=설정!$B$11),"포함","기간 밖"))</f>
        <v/>
      </c>
      <c r="BB419" s="2">
        <f>IF($AS419="","",IF(OR($AT419&lt;0,AND($I$6&lt;&gt;"",ISNUMBER(FIND("수정",INDEX($A:$AP,ROW(),IF($I$6="",1,$I$6))&amp;"")))),"수정","일반"))</f>
        <v/>
      </c>
      <c r="BC419" s="2">
        <f>IF($AS419="","",MID(IF($BA419="기간 밖"," / 기간 밖(신고기간 아님)","")&amp;IF(AND($AW419&lt;&gt;"",COUNTIF($AW$8:$AW$1007,$AW419)&gt;1)," / 승인번호 중복(두 번 붙여넣기?)","")&amp;IF(ABS($AU419-ROUND($AT419*0.1,0))&gt;설정!$B$8,IF($AU419=0," / 세액 0원(영세율·면세 여부 확인)"," / 세액이 공급가액 10%와 다름"),"")&amp;IF($BB419="수정"," / 수정세금계산서(합계에서 자동 가감)",""),4,200))</f>
        <v/>
      </c>
      <c r="BD419" s="2">
        <f>IF($BA419&lt;&gt;"포함","",IF(COUNTIFS($AX$8:$AX419,$AX419,$BA$8:$BA419,"포함")=1,MAX($BD$7:BD418)+1,""))</f>
        <v/>
      </c>
      <c r="BE419" s="2">
        <f>IF($BC419="","",MAX($BE$7:BE418)+1)</f>
        <v/>
      </c>
    </row>
    <row r="420">
      <c r="AR420" s="2">
        <f>IF(OR($A$5="",$B$6="",ROW()&lt;$A$5),"",IF(INDEX($A:$AP,ROW(),$B$6)="","",INDEX($A:$AP,ROW(),$B$6)))</f>
        <v/>
      </c>
      <c r="AS420" s="22">
        <f>IF($AR420="","",IF(ISNUMBER($AR420),IF($AR420&gt;=10000000,IFERROR(DATE(INT($AR420/10000),MOD(INT($AR420/100),100),MOD($AR420,100)),""),INT($AR420)),IFERROR(DATE(--LEFT(LEFT(SUBSTITUTE(SUBSTITUTE(SUBSTITUTE(SUBSTITUTE(TRIM($AR420),"-",""),".",""),"/","")," ",""),8),4),--MID(LEFT(SUBSTITUTE(SUBSTITUTE(SUBSTITUTE(SUBSTITUTE(TRIM($AR420),"-",""),".",""),"/","")," ",""),8),5,2),--MID(LEFT(SUBSTITUTE(SUBSTITUTE(SUBSTITUTE(SUBSTITUTE(TRIM($AR420),"-",""),".",""),"/","")," ",""),8),7,2)),"")))</f>
        <v/>
      </c>
      <c r="AT420" s="23">
        <f>IF($AS420="","",IF($F$6="",0,IF(ISNUMBER(INDEX($A:$AP,ROW(),$F$6)),INDEX($A:$AP,ROW(),$F$6),IFERROR(--SUBSTITUTE(SUBSTITUTE(TRIM(INDEX($A:$AP,ROW(),$F$6)),",",""),"원",""),0))))</f>
        <v/>
      </c>
      <c r="AU420" s="23">
        <f>IF($AS420="","",IF($G$6="",0,IF(ISNUMBER(INDEX($A:$AP,ROW(),$G$6)),INDEX($A:$AP,ROW(),$G$6),IFERROR(--SUBSTITUTE(SUBSTITUTE(TRIM(INDEX($A:$AP,ROW(),$G$6)),",",""),"원",""),0))))</f>
        <v/>
      </c>
      <c r="AV420" s="23">
        <f>IF($AS420="","",IF($H$6="",$AT420+$AU420,IF($H$6="",0,IF(ISNUMBER(INDEX($A:$AP,ROW(),$H$6)),INDEX($A:$AP,ROW(),$H$6),IFERROR(--SUBSTITUTE(SUBSTITUTE(TRIM(INDEX($A:$AP,ROW(),$H$6)),",",""),"원",""),0)))))</f>
        <v/>
      </c>
      <c r="AW420" s="2">
        <f>IF(OR($AS420="",$C$6=""),"",TRIM(INDEX($A:$AP,ROW(),$C$6)&amp;""))</f>
        <v/>
      </c>
      <c r="AX420" s="2">
        <f>IF($AS420="","",IF($AZ420&lt;&gt;"",SUBSTITUTE(SUBSTITUTE($AZ420,"-","")," ",""),$AY420))</f>
        <v/>
      </c>
      <c r="AY420" s="2">
        <f>IF(OR($AS420="",$E$6=""),"",TRIM(INDEX($A:$AP,ROW(),$E$6)&amp;""))</f>
        <v/>
      </c>
      <c r="AZ420" s="2">
        <f>IF(OR($AS420="",$D$6=""),"",TRIM(INDEX($A:$AP,ROW(),$D$6)&amp;""))</f>
        <v/>
      </c>
      <c r="BA420" s="2">
        <f>IF($AS420="","",IF(AND($AS420&gt;=설정!$B$10,$AS420&lt;=설정!$B$11),"포함","기간 밖"))</f>
        <v/>
      </c>
      <c r="BB420" s="2">
        <f>IF($AS420="","",IF(OR($AT420&lt;0,AND($I$6&lt;&gt;"",ISNUMBER(FIND("수정",INDEX($A:$AP,ROW(),IF($I$6="",1,$I$6))&amp;"")))),"수정","일반"))</f>
        <v/>
      </c>
      <c r="BC420" s="2">
        <f>IF($AS420="","",MID(IF($BA420="기간 밖"," / 기간 밖(신고기간 아님)","")&amp;IF(AND($AW420&lt;&gt;"",COUNTIF($AW$8:$AW$1007,$AW420)&gt;1)," / 승인번호 중복(두 번 붙여넣기?)","")&amp;IF(ABS($AU420-ROUND($AT420*0.1,0))&gt;설정!$B$8,IF($AU420=0," / 세액 0원(영세율·면세 여부 확인)"," / 세액이 공급가액 10%와 다름"),"")&amp;IF($BB420="수정"," / 수정세금계산서(합계에서 자동 가감)",""),4,200))</f>
        <v/>
      </c>
      <c r="BD420" s="2">
        <f>IF($BA420&lt;&gt;"포함","",IF(COUNTIFS($AX$8:$AX420,$AX420,$BA$8:$BA420,"포함")=1,MAX($BD$7:BD419)+1,""))</f>
        <v/>
      </c>
      <c r="BE420" s="2">
        <f>IF($BC420="","",MAX($BE$7:BE419)+1)</f>
        <v/>
      </c>
    </row>
    <row r="421">
      <c r="AR421" s="2">
        <f>IF(OR($A$5="",$B$6="",ROW()&lt;$A$5),"",IF(INDEX($A:$AP,ROW(),$B$6)="","",INDEX($A:$AP,ROW(),$B$6)))</f>
        <v/>
      </c>
      <c r="AS421" s="22">
        <f>IF($AR421="","",IF(ISNUMBER($AR421),IF($AR421&gt;=10000000,IFERROR(DATE(INT($AR421/10000),MOD(INT($AR421/100),100),MOD($AR421,100)),""),INT($AR421)),IFERROR(DATE(--LEFT(LEFT(SUBSTITUTE(SUBSTITUTE(SUBSTITUTE(SUBSTITUTE(TRIM($AR421),"-",""),".",""),"/","")," ",""),8),4),--MID(LEFT(SUBSTITUTE(SUBSTITUTE(SUBSTITUTE(SUBSTITUTE(TRIM($AR421),"-",""),".",""),"/","")," ",""),8),5,2),--MID(LEFT(SUBSTITUTE(SUBSTITUTE(SUBSTITUTE(SUBSTITUTE(TRIM($AR421),"-",""),".",""),"/","")," ",""),8),7,2)),"")))</f>
        <v/>
      </c>
      <c r="AT421" s="23">
        <f>IF($AS421="","",IF($F$6="",0,IF(ISNUMBER(INDEX($A:$AP,ROW(),$F$6)),INDEX($A:$AP,ROW(),$F$6),IFERROR(--SUBSTITUTE(SUBSTITUTE(TRIM(INDEX($A:$AP,ROW(),$F$6)),",",""),"원",""),0))))</f>
        <v/>
      </c>
      <c r="AU421" s="23">
        <f>IF($AS421="","",IF($G$6="",0,IF(ISNUMBER(INDEX($A:$AP,ROW(),$G$6)),INDEX($A:$AP,ROW(),$G$6),IFERROR(--SUBSTITUTE(SUBSTITUTE(TRIM(INDEX($A:$AP,ROW(),$G$6)),",",""),"원",""),0))))</f>
        <v/>
      </c>
      <c r="AV421" s="23">
        <f>IF($AS421="","",IF($H$6="",$AT421+$AU421,IF($H$6="",0,IF(ISNUMBER(INDEX($A:$AP,ROW(),$H$6)),INDEX($A:$AP,ROW(),$H$6),IFERROR(--SUBSTITUTE(SUBSTITUTE(TRIM(INDEX($A:$AP,ROW(),$H$6)),",",""),"원",""),0)))))</f>
        <v/>
      </c>
      <c r="AW421" s="2">
        <f>IF(OR($AS421="",$C$6=""),"",TRIM(INDEX($A:$AP,ROW(),$C$6)&amp;""))</f>
        <v/>
      </c>
      <c r="AX421" s="2">
        <f>IF($AS421="","",IF($AZ421&lt;&gt;"",SUBSTITUTE(SUBSTITUTE($AZ421,"-","")," ",""),$AY421))</f>
        <v/>
      </c>
      <c r="AY421" s="2">
        <f>IF(OR($AS421="",$E$6=""),"",TRIM(INDEX($A:$AP,ROW(),$E$6)&amp;""))</f>
        <v/>
      </c>
      <c r="AZ421" s="2">
        <f>IF(OR($AS421="",$D$6=""),"",TRIM(INDEX($A:$AP,ROW(),$D$6)&amp;""))</f>
        <v/>
      </c>
      <c r="BA421" s="2">
        <f>IF($AS421="","",IF(AND($AS421&gt;=설정!$B$10,$AS421&lt;=설정!$B$11),"포함","기간 밖"))</f>
        <v/>
      </c>
      <c r="BB421" s="2">
        <f>IF($AS421="","",IF(OR($AT421&lt;0,AND($I$6&lt;&gt;"",ISNUMBER(FIND("수정",INDEX($A:$AP,ROW(),IF($I$6="",1,$I$6))&amp;"")))),"수정","일반"))</f>
        <v/>
      </c>
      <c r="BC421" s="2">
        <f>IF($AS421="","",MID(IF($BA421="기간 밖"," / 기간 밖(신고기간 아님)","")&amp;IF(AND($AW421&lt;&gt;"",COUNTIF($AW$8:$AW$1007,$AW421)&gt;1)," / 승인번호 중복(두 번 붙여넣기?)","")&amp;IF(ABS($AU421-ROUND($AT421*0.1,0))&gt;설정!$B$8,IF($AU421=0," / 세액 0원(영세율·면세 여부 확인)"," / 세액이 공급가액 10%와 다름"),"")&amp;IF($BB421="수정"," / 수정세금계산서(합계에서 자동 가감)",""),4,200))</f>
        <v/>
      </c>
      <c r="BD421" s="2">
        <f>IF($BA421&lt;&gt;"포함","",IF(COUNTIFS($AX$8:$AX421,$AX421,$BA$8:$BA421,"포함")=1,MAX($BD$7:BD420)+1,""))</f>
        <v/>
      </c>
      <c r="BE421" s="2">
        <f>IF($BC421="","",MAX($BE$7:BE420)+1)</f>
        <v/>
      </c>
    </row>
    <row r="422">
      <c r="AR422" s="2">
        <f>IF(OR($A$5="",$B$6="",ROW()&lt;$A$5),"",IF(INDEX($A:$AP,ROW(),$B$6)="","",INDEX($A:$AP,ROW(),$B$6)))</f>
        <v/>
      </c>
      <c r="AS422" s="22">
        <f>IF($AR422="","",IF(ISNUMBER($AR422),IF($AR422&gt;=10000000,IFERROR(DATE(INT($AR422/10000),MOD(INT($AR422/100),100),MOD($AR422,100)),""),INT($AR422)),IFERROR(DATE(--LEFT(LEFT(SUBSTITUTE(SUBSTITUTE(SUBSTITUTE(SUBSTITUTE(TRIM($AR422),"-",""),".",""),"/","")," ",""),8),4),--MID(LEFT(SUBSTITUTE(SUBSTITUTE(SUBSTITUTE(SUBSTITUTE(TRIM($AR422),"-",""),".",""),"/","")," ",""),8),5,2),--MID(LEFT(SUBSTITUTE(SUBSTITUTE(SUBSTITUTE(SUBSTITUTE(TRIM($AR422),"-",""),".",""),"/","")," ",""),8),7,2)),"")))</f>
        <v/>
      </c>
      <c r="AT422" s="23">
        <f>IF($AS422="","",IF($F$6="",0,IF(ISNUMBER(INDEX($A:$AP,ROW(),$F$6)),INDEX($A:$AP,ROW(),$F$6),IFERROR(--SUBSTITUTE(SUBSTITUTE(TRIM(INDEX($A:$AP,ROW(),$F$6)),",",""),"원",""),0))))</f>
        <v/>
      </c>
      <c r="AU422" s="23">
        <f>IF($AS422="","",IF($G$6="",0,IF(ISNUMBER(INDEX($A:$AP,ROW(),$G$6)),INDEX($A:$AP,ROW(),$G$6),IFERROR(--SUBSTITUTE(SUBSTITUTE(TRIM(INDEX($A:$AP,ROW(),$G$6)),",",""),"원",""),0))))</f>
        <v/>
      </c>
      <c r="AV422" s="23">
        <f>IF($AS422="","",IF($H$6="",$AT422+$AU422,IF($H$6="",0,IF(ISNUMBER(INDEX($A:$AP,ROW(),$H$6)),INDEX($A:$AP,ROW(),$H$6),IFERROR(--SUBSTITUTE(SUBSTITUTE(TRIM(INDEX($A:$AP,ROW(),$H$6)),",",""),"원",""),0)))))</f>
        <v/>
      </c>
      <c r="AW422" s="2">
        <f>IF(OR($AS422="",$C$6=""),"",TRIM(INDEX($A:$AP,ROW(),$C$6)&amp;""))</f>
        <v/>
      </c>
      <c r="AX422" s="2">
        <f>IF($AS422="","",IF($AZ422&lt;&gt;"",SUBSTITUTE(SUBSTITUTE($AZ422,"-","")," ",""),$AY422))</f>
        <v/>
      </c>
      <c r="AY422" s="2">
        <f>IF(OR($AS422="",$E$6=""),"",TRIM(INDEX($A:$AP,ROW(),$E$6)&amp;""))</f>
        <v/>
      </c>
      <c r="AZ422" s="2">
        <f>IF(OR($AS422="",$D$6=""),"",TRIM(INDEX($A:$AP,ROW(),$D$6)&amp;""))</f>
        <v/>
      </c>
      <c r="BA422" s="2">
        <f>IF($AS422="","",IF(AND($AS422&gt;=설정!$B$10,$AS422&lt;=설정!$B$11),"포함","기간 밖"))</f>
        <v/>
      </c>
      <c r="BB422" s="2">
        <f>IF($AS422="","",IF(OR($AT422&lt;0,AND($I$6&lt;&gt;"",ISNUMBER(FIND("수정",INDEX($A:$AP,ROW(),IF($I$6="",1,$I$6))&amp;"")))),"수정","일반"))</f>
        <v/>
      </c>
      <c r="BC422" s="2">
        <f>IF($AS422="","",MID(IF($BA422="기간 밖"," / 기간 밖(신고기간 아님)","")&amp;IF(AND($AW422&lt;&gt;"",COUNTIF($AW$8:$AW$1007,$AW422)&gt;1)," / 승인번호 중복(두 번 붙여넣기?)","")&amp;IF(ABS($AU422-ROUND($AT422*0.1,0))&gt;설정!$B$8,IF($AU422=0," / 세액 0원(영세율·면세 여부 확인)"," / 세액이 공급가액 10%와 다름"),"")&amp;IF($BB422="수정"," / 수정세금계산서(합계에서 자동 가감)",""),4,200))</f>
        <v/>
      </c>
      <c r="BD422" s="2">
        <f>IF($BA422&lt;&gt;"포함","",IF(COUNTIFS($AX$8:$AX422,$AX422,$BA$8:$BA422,"포함")=1,MAX($BD$7:BD421)+1,""))</f>
        <v/>
      </c>
      <c r="BE422" s="2">
        <f>IF($BC422="","",MAX($BE$7:BE421)+1)</f>
        <v/>
      </c>
    </row>
    <row r="423">
      <c r="AR423" s="2">
        <f>IF(OR($A$5="",$B$6="",ROW()&lt;$A$5),"",IF(INDEX($A:$AP,ROW(),$B$6)="","",INDEX($A:$AP,ROW(),$B$6)))</f>
        <v/>
      </c>
      <c r="AS423" s="22">
        <f>IF($AR423="","",IF(ISNUMBER($AR423),IF($AR423&gt;=10000000,IFERROR(DATE(INT($AR423/10000),MOD(INT($AR423/100),100),MOD($AR423,100)),""),INT($AR423)),IFERROR(DATE(--LEFT(LEFT(SUBSTITUTE(SUBSTITUTE(SUBSTITUTE(SUBSTITUTE(TRIM($AR423),"-",""),".",""),"/","")," ",""),8),4),--MID(LEFT(SUBSTITUTE(SUBSTITUTE(SUBSTITUTE(SUBSTITUTE(TRIM($AR423),"-",""),".",""),"/","")," ",""),8),5,2),--MID(LEFT(SUBSTITUTE(SUBSTITUTE(SUBSTITUTE(SUBSTITUTE(TRIM($AR423),"-",""),".",""),"/","")," ",""),8),7,2)),"")))</f>
        <v/>
      </c>
      <c r="AT423" s="23">
        <f>IF($AS423="","",IF($F$6="",0,IF(ISNUMBER(INDEX($A:$AP,ROW(),$F$6)),INDEX($A:$AP,ROW(),$F$6),IFERROR(--SUBSTITUTE(SUBSTITUTE(TRIM(INDEX($A:$AP,ROW(),$F$6)),",",""),"원",""),0))))</f>
        <v/>
      </c>
      <c r="AU423" s="23">
        <f>IF($AS423="","",IF($G$6="",0,IF(ISNUMBER(INDEX($A:$AP,ROW(),$G$6)),INDEX($A:$AP,ROW(),$G$6),IFERROR(--SUBSTITUTE(SUBSTITUTE(TRIM(INDEX($A:$AP,ROW(),$G$6)),",",""),"원",""),0))))</f>
        <v/>
      </c>
      <c r="AV423" s="23">
        <f>IF($AS423="","",IF($H$6="",$AT423+$AU423,IF($H$6="",0,IF(ISNUMBER(INDEX($A:$AP,ROW(),$H$6)),INDEX($A:$AP,ROW(),$H$6),IFERROR(--SUBSTITUTE(SUBSTITUTE(TRIM(INDEX($A:$AP,ROW(),$H$6)),",",""),"원",""),0)))))</f>
        <v/>
      </c>
      <c r="AW423" s="2">
        <f>IF(OR($AS423="",$C$6=""),"",TRIM(INDEX($A:$AP,ROW(),$C$6)&amp;""))</f>
        <v/>
      </c>
      <c r="AX423" s="2">
        <f>IF($AS423="","",IF($AZ423&lt;&gt;"",SUBSTITUTE(SUBSTITUTE($AZ423,"-","")," ",""),$AY423))</f>
        <v/>
      </c>
      <c r="AY423" s="2">
        <f>IF(OR($AS423="",$E$6=""),"",TRIM(INDEX($A:$AP,ROW(),$E$6)&amp;""))</f>
        <v/>
      </c>
      <c r="AZ423" s="2">
        <f>IF(OR($AS423="",$D$6=""),"",TRIM(INDEX($A:$AP,ROW(),$D$6)&amp;""))</f>
        <v/>
      </c>
      <c r="BA423" s="2">
        <f>IF($AS423="","",IF(AND($AS423&gt;=설정!$B$10,$AS423&lt;=설정!$B$11),"포함","기간 밖"))</f>
        <v/>
      </c>
      <c r="BB423" s="2">
        <f>IF($AS423="","",IF(OR($AT423&lt;0,AND($I$6&lt;&gt;"",ISNUMBER(FIND("수정",INDEX($A:$AP,ROW(),IF($I$6="",1,$I$6))&amp;"")))),"수정","일반"))</f>
        <v/>
      </c>
      <c r="BC423" s="2">
        <f>IF($AS423="","",MID(IF($BA423="기간 밖"," / 기간 밖(신고기간 아님)","")&amp;IF(AND($AW423&lt;&gt;"",COUNTIF($AW$8:$AW$1007,$AW423)&gt;1)," / 승인번호 중복(두 번 붙여넣기?)","")&amp;IF(ABS($AU423-ROUND($AT423*0.1,0))&gt;설정!$B$8,IF($AU423=0," / 세액 0원(영세율·면세 여부 확인)"," / 세액이 공급가액 10%와 다름"),"")&amp;IF($BB423="수정"," / 수정세금계산서(합계에서 자동 가감)",""),4,200))</f>
        <v/>
      </c>
      <c r="BD423" s="2">
        <f>IF($BA423&lt;&gt;"포함","",IF(COUNTIFS($AX$8:$AX423,$AX423,$BA$8:$BA423,"포함")=1,MAX($BD$7:BD422)+1,""))</f>
        <v/>
      </c>
      <c r="BE423" s="2">
        <f>IF($BC423="","",MAX($BE$7:BE422)+1)</f>
        <v/>
      </c>
    </row>
    <row r="424">
      <c r="AR424" s="2">
        <f>IF(OR($A$5="",$B$6="",ROW()&lt;$A$5),"",IF(INDEX($A:$AP,ROW(),$B$6)="","",INDEX($A:$AP,ROW(),$B$6)))</f>
        <v/>
      </c>
      <c r="AS424" s="22">
        <f>IF($AR424="","",IF(ISNUMBER($AR424),IF($AR424&gt;=10000000,IFERROR(DATE(INT($AR424/10000),MOD(INT($AR424/100),100),MOD($AR424,100)),""),INT($AR424)),IFERROR(DATE(--LEFT(LEFT(SUBSTITUTE(SUBSTITUTE(SUBSTITUTE(SUBSTITUTE(TRIM($AR424),"-",""),".",""),"/","")," ",""),8),4),--MID(LEFT(SUBSTITUTE(SUBSTITUTE(SUBSTITUTE(SUBSTITUTE(TRIM($AR424),"-",""),".",""),"/","")," ",""),8),5,2),--MID(LEFT(SUBSTITUTE(SUBSTITUTE(SUBSTITUTE(SUBSTITUTE(TRIM($AR424),"-",""),".",""),"/","")," ",""),8),7,2)),"")))</f>
        <v/>
      </c>
      <c r="AT424" s="23">
        <f>IF($AS424="","",IF($F$6="",0,IF(ISNUMBER(INDEX($A:$AP,ROW(),$F$6)),INDEX($A:$AP,ROW(),$F$6),IFERROR(--SUBSTITUTE(SUBSTITUTE(TRIM(INDEX($A:$AP,ROW(),$F$6)),",",""),"원",""),0))))</f>
        <v/>
      </c>
      <c r="AU424" s="23">
        <f>IF($AS424="","",IF($G$6="",0,IF(ISNUMBER(INDEX($A:$AP,ROW(),$G$6)),INDEX($A:$AP,ROW(),$G$6),IFERROR(--SUBSTITUTE(SUBSTITUTE(TRIM(INDEX($A:$AP,ROW(),$G$6)),",",""),"원",""),0))))</f>
        <v/>
      </c>
      <c r="AV424" s="23">
        <f>IF($AS424="","",IF($H$6="",$AT424+$AU424,IF($H$6="",0,IF(ISNUMBER(INDEX($A:$AP,ROW(),$H$6)),INDEX($A:$AP,ROW(),$H$6),IFERROR(--SUBSTITUTE(SUBSTITUTE(TRIM(INDEX($A:$AP,ROW(),$H$6)),",",""),"원",""),0)))))</f>
        <v/>
      </c>
      <c r="AW424" s="2">
        <f>IF(OR($AS424="",$C$6=""),"",TRIM(INDEX($A:$AP,ROW(),$C$6)&amp;""))</f>
        <v/>
      </c>
      <c r="AX424" s="2">
        <f>IF($AS424="","",IF($AZ424&lt;&gt;"",SUBSTITUTE(SUBSTITUTE($AZ424,"-","")," ",""),$AY424))</f>
        <v/>
      </c>
      <c r="AY424" s="2">
        <f>IF(OR($AS424="",$E$6=""),"",TRIM(INDEX($A:$AP,ROW(),$E$6)&amp;""))</f>
        <v/>
      </c>
      <c r="AZ424" s="2">
        <f>IF(OR($AS424="",$D$6=""),"",TRIM(INDEX($A:$AP,ROW(),$D$6)&amp;""))</f>
        <v/>
      </c>
      <c r="BA424" s="2">
        <f>IF($AS424="","",IF(AND($AS424&gt;=설정!$B$10,$AS424&lt;=설정!$B$11),"포함","기간 밖"))</f>
        <v/>
      </c>
      <c r="BB424" s="2">
        <f>IF($AS424="","",IF(OR($AT424&lt;0,AND($I$6&lt;&gt;"",ISNUMBER(FIND("수정",INDEX($A:$AP,ROW(),IF($I$6="",1,$I$6))&amp;"")))),"수정","일반"))</f>
        <v/>
      </c>
      <c r="BC424" s="2">
        <f>IF($AS424="","",MID(IF($BA424="기간 밖"," / 기간 밖(신고기간 아님)","")&amp;IF(AND($AW424&lt;&gt;"",COUNTIF($AW$8:$AW$1007,$AW424)&gt;1)," / 승인번호 중복(두 번 붙여넣기?)","")&amp;IF(ABS($AU424-ROUND($AT424*0.1,0))&gt;설정!$B$8,IF($AU424=0," / 세액 0원(영세율·면세 여부 확인)"," / 세액이 공급가액 10%와 다름"),"")&amp;IF($BB424="수정"," / 수정세금계산서(합계에서 자동 가감)",""),4,200))</f>
        <v/>
      </c>
      <c r="BD424" s="2">
        <f>IF($BA424&lt;&gt;"포함","",IF(COUNTIFS($AX$8:$AX424,$AX424,$BA$8:$BA424,"포함")=1,MAX($BD$7:BD423)+1,""))</f>
        <v/>
      </c>
      <c r="BE424" s="2">
        <f>IF($BC424="","",MAX($BE$7:BE423)+1)</f>
        <v/>
      </c>
    </row>
    <row r="425">
      <c r="AR425" s="2">
        <f>IF(OR($A$5="",$B$6="",ROW()&lt;$A$5),"",IF(INDEX($A:$AP,ROW(),$B$6)="","",INDEX($A:$AP,ROW(),$B$6)))</f>
        <v/>
      </c>
      <c r="AS425" s="22">
        <f>IF($AR425="","",IF(ISNUMBER($AR425),IF($AR425&gt;=10000000,IFERROR(DATE(INT($AR425/10000),MOD(INT($AR425/100),100),MOD($AR425,100)),""),INT($AR425)),IFERROR(DATE(--LEFT(LEFT(SUBSTITUTE(SUBSTITUTE(SUBSTITUTE(SUBSTITUTE(TRIM($AR425),"-",""),".",""),"/","")," ",""),8),4),--MID(LEFT(SUBSTITUTE(SUBSTITUTE(SUBSTITUTE(SUBSTITUTE(TRIM($AR425),"-",""),".",""),"/","")," ",""),8),5,2),--MID(LEFT(SUBSTITUTE(SUBSTITUTE(SUBSTITUTE(SUBSTITUTE(TRIM($AR425),"-",""),".",""),"/","")," ",""),8),7,2)),"")))</f>
        <v/>
      </c>
      <c r="AT425" s="23">
        <f>IF($AS425="","",IF($F$6="",0,IF(ISNUMBER(INDEX($A:$AP,ROW(),$F$6)),INDEX($A:$AP,ROW(),$F$6),IFERROR(--SUBSTITUTE(SUBSTITUTE(TRIM(INDEX($A:$AP,ROW(),$F$6)),",",""),"원",""),0))))</f>
        <v/>
      </c>
      <c r="AU425" s="23">
        <f>IF($AS425="","",IF($G$6="",0,IF(ISNUMBER(INDEX($A:$AP,ROW(),$G$6)),INDEX($A:$AP,ROW(),$G$6),IFERROR(--SUBSTITUTE(SUBSTITUTE(TRIM(INDEX($A:$AP,ROW(),$G$6)),",",""),"원",""),0))))</f>
        <v/>
      </c>
      <c r="AV425" s="23">
        <f>IF($AS425="","",IF($H$6="",$AT425+$AU425,IF($H$6="",0,IF(ISNUMBER(INDEX($A:$AP,ROW(),$H$6)),INDEX($A:$AP,ROW(),$H$6),IFERROR(--SUBSTITUTE(SUBSTITUTE(TRIM(INDEX($A:$AP,ROW(),$H$6)),",",""),"원",""),0)))))</f>
        <v/>
      </c>
      <c r="AW425" s="2">
        <f>IF(OR($AS425="",$C$6=""),"",TRIM(INDEX($A:$AP,ROW(),$C$6)&amp;""))</f>
        <v/>
      </c>
      <c r="AX425" s="2">
        <f>IF($AS425="","",IF($AZ425&lt;&gt;"",SUBSTITUTE(SUBSTITUTE($AZ425,"-","")," ",""),$AY425))</f>
        <v/>
      </c>
      <c r="AY425" s="2">
        <f>IF(OR($AS425="",$E$6=""),"",TRIM(INDEX($A:$AP,ROW(),$E$6)&amp;""))</f>
        <v/>
      </c>
      <c r="AZ425" s="2">
        <f>IF(OR($AS425="",$D$6=""),"",TRIM(INDEX($A:$AP,ROW(),$D$6)&amp;""))</f>
        <v/>
      </c>
      <c r="BA425" s="2">
        <f>IF($AS425="","",IF(AND($AS425&gt;=설정!$B$10,$AS425&lt;=설정!$B$11),"포함","기간 밖"))</f>
        <v/>
      </c>
      <c r="BB425" s="2">
        <f>IF($AS425="","",IF(OR($AT425&lt;0,AND($I$6&lt;&gt;"",ISNUMBER(FIND("수정",INDEX($A:$AP,ROW(),IF($I$6="",1,$I$6))&amp;"")))),"수정","일반"))</f>
        <v/>
      </c>
      <c r="BC425" s="2">
        <f>IF($AS425="","",MID(IF($BA425="기간 밖"," / 기간 밖(신고기간 아님)","")&amp;IF(AND($AW425&lt;&gt;"",COUNTIF($AW$8:$AW$1007,$AW425)&gt;1)," / 승인번호 중복(두 번 붙여넣기?)","")&amp;IF(ABS($AU425-ROUND($AT425*0.1,0))&gt;설정!$B$8,IF($AU425=0," / 세액 0원(영세율·면세 여부 확인)"," / 세액이 공급가액 10%와 다름"),"")&amp;IF($BB425="수정"," / 수정세금계산서(합계에서 자동 가감)",""),4,200))</f>
        <v/>
      </c>
      <c r="BD425" s="2">
        <f>IF($BA425&lt;&gt;"포함","",IF(COUNTIFS($AX$8:$AX425,$AX425,$BA$8:$BA425,"포함")=1,MAX($BD$7:BD424)+1,""))</f>
        <v/>
      </c>
      <c r="BE425" s="2">
        <f>IF($BC425="","",MAX($BE$7:BE424)+1)</f>
        <v/>
      </c>
    </row>
    <row r="426">
      <c r="AR426" s="2">
        <f>IF(OR($A$5="",$B$6="",ROW()&lt;$A$5),"",IF(INDEX($A:$AP,ROW(),$B$6)="","",INDEX($A:$AP,ROW(),$B$6)))</f>
        <v/>
      </c>
      <c r="AS426" s="22">
        <f>IF($AR426="","",IF(ISNUMBER($AR426),IF($AR426&gt;=10000000,IFERROR(DATE(INT($AR426/10000),MOD(INT($AR426/100),100),MOD($AR426,100)),""),INT($AR426)),IFERROR(DATE(--LEFT(LEFT(SUBSTITUTE(SUBSTITUTE(SUBSTITUTE(SUBSTITUTE(TRIM($AR426),"-",""),".",""),"/","")," ",""),8),4),--MID(LEFT(SUBSTITUTE(SUBSTITUTE(SUBSTITUTE(SUBSTITUTE(TRIM($AR426),"-",""),".",""),"/","")," ",""),8),5,2),--MID(LEFT(SUBSTITUTE(SUBSTITUTE(SUBSTITUTE(SUBSTITUTE(TRIM($AR426),"-",""),".",""),"/","")," ",""),8),7,2)),"")))</f>
        <v/>
      </c>
      <c r="AT426" s="23">
        <f>IF($AS426="","",IF($F$6="",0,IF(ISNUMBER(INDEX($A:$AP,ROW(),$F$6)),INDEX($A:$AP,ROW(),$F$6),IFERROR(--SUBSTITUTE(SUBSTITUTE(TRIM(INDEX($A:$AP,ROW(),$F$6)),",",""),"원",""),0))))</f>
        <v/>
      </c>
      <c r="AU426" s="23">
        <f>IF($AS426="","",IF($G$6="",0,IF(ISNUMBER(INDEX($A:$AP,ROW(),$G$6)),INDEX($A:$AP,ROW(),$G$6),IFERROR(--SUBSTITUTE(SUBSTITUTE(TRIM(INDEX($A:$AP,ROW(),$G$6)),",",""),"원",""),0))))</f>
        <v/>
      </c>
      <c r="AV426" s="23">
        <f>IF($AS426="","",IF($H$6="",$AT426+$AU426,IF($H$6="",0,IF(ISNUMBER(INDEX($A:$AP,ROW(),$H$6)),INDEX($A:$AP,ROW(),$H$6),IFERROR(--SUBSTITUTE(SUBSTITUTE(TRIM(INDEX($A:$AP,ROW(),$H$6)),",",""),"원",""),0)))))</f>
        <v/>
      </c>
      <c r="AW426" s="2">
        <f>IF(OR($AS426="",$C$6=""),"",TRIM(INDEX($A:$AP,ROW(),$C$6)&amp;""))</f>
        <v/>
      </c>
      <c r="AX426" s="2">
        <f>IF($AS426="","",IF($AZ426&lt;&gt;"",SUBSTITUTE(SUBSTITUTE($AZ426,"-","")," ",""),$AY426))</f>
        <v/>
      </c>
      <c r="AY426" s="2">
        <f>IF(OR($AS426="",$E$6=""),"",TRIM(INDEX($A:$AP,ROW(),$E$6)&amp;""))</f>
        <v/>
      </c>
      <c r="AZ426" s="2">
        <f>IF(OR($AS426="",$D$6=""),"",TRIM(INDEX($A:$AP,ROW(),$D$6)&amp;""))</f>
        <v/>
      </c>
      <c r="BA426" s="2">
        <f>IF($AS426="","",IF(AND($AS426&gt;=설정!$B$10,$AS426&lt;=설정!$B$11),"포함","기간 밖"))</f>
        <v/>
      </c>
      <c r="BB426" s="2">
        <f>IF($AS426="","",IF(OR($AT426&lt;0,AND($I$6&lt;&gt;"",ISNUMBER(FIND("수정",INDEX($A:$AP,ROW(),IF($I$6="",1,$I$6))&amp;"")))),"수정","일반"))</f>
        <v/>
      </c>
      <c r="BC426" s="2">
        <f>IF($AS426="","",MID(IF($BA426="기간 밖"," / 기간 밖(신고기간 아님)","")&amp;IF(AND($AW426&lt;&gt;"",COUNTIF($AW$8:$AW$1007,$AW426)&gt;1)," / 승인번호 중복(두 번 붙여넣기?)","")&amp;IF(ABS($AU426-ROUND($AT426*0.1,0))&gt;설정!$B$8,IF($AU426=0," / 세액 0원(영세율·면세 여부 확인)"," / 세액이 공급가액 10%와 다름"),"")&amp;IF($BB426="수정"," / 수정세금계산서(합계에서 자동 가감)",""),4,200))</f>
        <v/>
      </c>
      <c r="BD426" s="2">
        <f>IF($BA426&lt;&gt;"포함","",IF(COUNTIFS($AX$8:$AX426,$AX426,$BA$8:$BA426,"포함")=1,MAX($BD$7:BD425)+1,""))</f>
        <v/>
      </c>
      <c r="BE426" s="2">
        <f>IF($BC426="","",MAX($BE$7:BE425)+1)</f>
        <v/>
      </c>
    </row>
    <row r="427">
      <c r="AR427" s="2">
        <f>IF(OR($A$5="",$B$6="",ROW()&lt;$A$5),"",IF(INDEX($A:$AP,ROW(),$B$6)="","",INDEX($A:$AP,ROW(),$B$6)))</f>
        <v/>
      </c>
      <c r="AS427" s="22">
        <f>IF($AR427="","",IF(ISNUMBER($AR427),IF($AR427&gt;=10000000,IFERROR(DATE(INT($AR427/10000),MOD(INT($AR427/100),100),MOD($AR427,100)),""),INT($AR427)),IFERROR(DATE(--LEFT(LEFT(SUBSTITUTE(SUBSTITUTE(SUBSTITUTE(SUBSTITUTE(TRIM($AR427),"-",""),".",""),"/","")," ",""),8),4),--MID(LEFT(SUBSTITUTE(SUBSTITUTE(SUBSTITUTE(SUBSTITUTE(TRIM($AR427),"-",""),".",""),"/","")," ",""),8),5,2),--MID(LEFT(SUBSTITUTE(SUBSTITUTE(SUBSTITUTE(SUBSTITUTE(TRIM($AR427),"-",""),".",""),"/","")," ",""),8),7,2)),"")))</f>
        <v/>
      </c>
      <c r="AT427" s="23">
        <f>IF($AS427="","",IF($F$6="",0,IF(ISNUMBER(INDEX($A:$AP,ROW(),$F$6)),INDEX($A:$AP,ROW(),$F$6),IFERROR(--SUBSTITUTE(SUBSTITUTE(TRIM(INDEX($A:$AP,ROW(),$F$6)),",",""),"원",""),0))))</f>
        <v/>
      </c>
      <c r="AU427" s="23">
        <f>IF($AS427="","",IF($G$6="",0,IF(ISNUMBER(INDEX($A:$AP,ROW(),$G$6)),INDEX($A:$AP,ROW(),$G$6),IFERROR(--SUBSTITUTE(SUBSTITUTE(TRIM(INDEX($A:$AP,ROW(),$G$6)),",",""),"원",""),0))))</f>
        <v/>
      </c>
      <c r="AV427" s="23">
        <f>IF($AS427="","",IF($H$6="",$AT427+$AU427,IF($H$6="",0,IF(ISNUMBER(INDEX($A:$AP,ROW(),$H$6)),INDEX($A:$AP,ROW(),$H$6),IFERROR(--SUBSTITUTE(SUBSTITUTE(TRIM(INDEX($A:$AP,ROW(),$H$6)),",",""),"원",""),0)))))</f>
        <v/>
      </c>
      <c r="AW427" s="2">
        <f>IF(OR($AS427="",$C$6=""),"",TRIM(INDEX($A:$AP,ROW(),$C$6)&amp;""))</f>
        <v/>
      </c>
      <c r="AX427" s="2">
        <f>IF($AS427="","",IF($AZ427&lt;&gt;"",SUBSTITUTE(SUBSTITUTE($AZ427,"-","")," ",""),$AY427))</f>
        <v/>
      </c>
      <c r="AY427" s="2">
        <f>IF(OR($AS427="",$E$6=""),"",TRIM(INDEX($A:$AP,ROW(),$E$6)&amp;""))</f>
        <v/>
      </c>
      <c r="AZ427" s="2">
        <f>IF(OR($AS427="",$D$6=""),"",TRIM(INDEX($A:$AP,ROW(),$D$6)&amp;""))</f>
        <v/>
      </c>
      <c r="BA427" s="2">
        <f>IF($AS427="","",IF(AND($AS427&gt;=설정!$B$10,$AS427&lt;=설정!$B$11),"포함","기간 밖"))</f>
        <v/>
      </c>
      <c r="BB427" s="2">
        <f>IF($AS427="","",IF(OR($AT427&lt;0,AND($I$6&lt;&gt;"",ISNUMBER(FIND("수정",INDEX($A:$AP,ROW(),IF($I$6="",1,$I$6))&amp;"")))),"수정","일반"))</f>
        <v/>
      </c>
      <c r="BC427" s="2">
        <f>IF($AS427="","",MID(IF($BA427="기간 밖"," / 기간 밖(신고기간 아님)","")&amp;IF(AND($AW427&lt;&gt;"",COUNTIF($AW$8:$AW$1007,$AW427)&gt;1)," / 승인번호 중복(두 번 붙여넣기?)","")&amp;IF(ABS($AU427-ROUND($AT427*0.1,0))&gt;설정!$B$8,IF($AU427=0," / 세액 0원(영세율·면세 여부 확인)"," / 세액이 공급가액 10%와 다름"),"")&amp;IF($BB427="수정"," / 수정세금계산서(합계에서 자동 가감)",""),4,200))</f>
        <v/>
      </c>
      <c r="BD427" s="2">
        <f>IF($BA427&lt;&gt;"포함","",IF(COUNTIFS($AX$8:$AX427,$AX427,$BA$8:$BA427,"포함")=1,MAX($BD$7:BD426)+1,""))</f>
        <v/>
      </c>
      <c r="BE427" s="2">
        <f>IF($BC427="","",MAX($BE$7:BE426)+1)</f>
        <v/>
      </c>
    </row>
    <row r="428">
      <c r="AR428" s="2">
        <f>IF(OR($A$5="",$B$6="",ROW()&lt;$A$5),"",IF(INDEX($A:$AP,ROW(),$B$6)="","",INDEX($A:$AP,ROW(),$B$6)))</f>
        <v/>
      </c>
      <c r="AS428" s="22">
        <f>IF($AR428="","",IF(ISNUMBER($AR428),IF($AR428&gt;=10000000,IFERROR(DATE(INT($AR428/10000),MOD(INT($AR428/100),100),MOD($AR428,100)),""),INT($AR428)),IFERROR(DATE(--LEFT(LEFT(SUBSTITUTE(SUBSTITUTE(SUBSTITUTE(SUBSTITUTE(TRIM($AR428),"-",""),".",""),"/","")," ",""),8),4),--MID(LEFT(SUBSTITUTE(SUBSTITUTE(SUBSTITUTE(SUBSTITUTE(TRIM($AR428),"-",""),".",""),"/","")," ",""),8),5,2),--MID(LEFT(SUBSTITUTE(SUBSTITUTE(SUBSTITUTE(SUBSTITUTE(TRIM($AR428),"-",""),".",""),"/","")," ",""),8),7,2)),"")))</f>
        <v/>
      </c>
      <c r="AT428" s="23">
        <f>IF($AS428="","",IF($F$6="",0,IF(ISNUMBER(INDEX($A:$AP,ROW(),$F$6)),INDEX($A:$AP,ROW(),$F$6),IFERROR(--SUBSTITUTE(SUBSTITUTE(TRIM(INDEX($A:$AP,ROW(),$F$6)),",",""),"원",""),0))))</f>
        <v/>
      </c>
      <c r="AU428" s="23">
        <f>IF($AS428="","",IF($G$6="",0,IF(ISNUMBER(INDEX($A:$AP,ROW(),$G$6)),INDEX($A:$AP,ROW(),$G$6),IFERROR(--SUBSTITUTE(SUBSTITUTE(TRIM(INDEX($A:$AP,ROW(),$G$6)),",",""),"원",""),0))))</f>
        <v/>
      </c>
      <c r="AV428" s="23">
        <f>IF($AS428="","",IF($H$6="",$AT428+$AU428,IF($H$6="",0,IF(ISNUMBER(INDEX($A:$AP,ROW(),$H$6)),INDEX($A:$AP,ROW(),$H$6),IFERROR(--SUBSTITUTE(SUBSTITUTE(TRIM(INDEX($A:$AP,ROW(),$H$6)),",",""),"원",""),0)))))</f>
        <v/>
      </c>
      <c r="AW428" s="2">
        <f>IF(OR($AS428="",$C$6=""),"",TRIM(INDEX($A:$AP,ROW(),$C$6)&amp;""))</f>
        <v/>
      </c>
      <c r="AX428" s="2">
        <f>IF($AS428="","",IF($AZ428&lt;&gt;"",SUBSTITUTE(SUBSTITUTE($AZ428,"-","")," ",""),$AY428))</f>
        <v/>
      </c>
      <c r="AY428" s="2">
        <f>IF(OR($AS428="",$E$6=""),"",TRIM(INDEX($A:$AP,ROW(),$E$6)&amp;""))</f>
        <v/>
      </c>
      <c r="AZ428" s="2">
        <f>IF(OR($AS428="",$D$6=""),"",TRIM(INDEX($A:$AP,ROW(),$D$6)&amp;""))</f>
        <v/>
      </c>
      <c r="BA428" s="2">
        <f>IF($AS428="","",IF(AND($AS428&gt;=설정!$B$10,$AS428&lt;=설정!$B$11),"포함","기간 밖"))</f>
        <v/>
      </c>
      <c r="BB428" s="2">
        <f>IF($AS428="","",IF(OR($AT428&lt;0,AND($I$6&lt;&gt;"",ISNUMBER(FIND("수정",INDEX($A:$AP,ROW(),IF($I$6="",1,$I$6))&amp;"")))),"수정","일반"))</f>
        <v/>
      </c>
      <c r="BC428" s="2">
        <f>IF($AS428="","",MID(IF($BA428="기간 밖"," / 기간 밖(신고기간 아님)","")&amp;IF(AND($AW428&lt;&gt;"",COUNTIF($AW$8:$AW$1007,$AW428)&gt;1)," / 승인번호 중복(두 번 붙여넣기?)","")&amp;IF(ABS($AU428-ROUND($AT428*0.1,0))&gt;설정!$B$8,IF($AU428=0," / 세액 0원(영세율·면세 여부 확인)"," / 세액이 공급가액 10%와 다름"),"")&amp;IF($BB428="수정"," / 수정세금계산서(합계에서 자동 가감)",""),4,200))</f>
        <v/>
      </c>
      <c r="BD428" s="2">
        <f>IF($BA428&lt;&gt;"포함","",IF(COUNTIFS($AX$8:$AX428,$AX428,$BA$8:$BA428,"포함")=1,MAX($BD$7:BD427)+1,""))</f>
        <v/>
      </c>
      <c r="BE428" s="2">
        <f>IF($BC428="","",MAX($BE$7:BE427)+1)</f>
        <v/>
      </c>
    </row>
    <row r="429">
      <c r="AR429" s="2">
        <f>IF(OR($A$5="",$B$6="",ROW()&lt;$A$5),"",IF(INDEX($A:$AP,ROW(),$B$6)="","",INDEX($A:$AP,ROW(),$B$6)))</f>
        <v/>
      </c>
      <c r="AS429" s="22">
        <f>IF($AR429="","",IF(ISNUMBER($AR429),IF($AR429&gt;=10000000,IFERROR(DATE(INT($AR429/10000),MOD(INT($AR429/100),100),MOD($AR429,100)),""),INT($AR429)),IFERROR(DATE(--LEFT(LEFT(SUBSTITUTE(SUBSTITUTE(SUBSTITUTE(SUBSTITUTE(TRIM($AR429),"-",""),".",""),"/","")," ",""),8),4),--MID(LEFT(SUBSTITUTE(SUBSTITUTE(SUBSTITUTE(SUBSTITUTE(TRIM($AR429),"-",""),".",""),"/","")," ",""),8),5,2),--MID(LEFT(SUBSTITUTE(SUBSTITUTE(SUBSTITUTE(SUBSTITUTE(TRIM($AR429),"-",""),".",""),"/","")," ",""),8),7,2)),"")))</f>
        <v/>
      </c>
      <c r="AT429" s="23">
        <f>IF($AS429="","",IF($F$6="",0,IF(ISNUMBER(INDEX($A:$AP,ROW(),$F$6)),INDEX($A:$AP,ROW(),$F$6),IFERROR(--SUBSTITUTE(SUBSTITUTE(TRIM(INDEX($A:$AP,ROW(),$F$6)),",",""),"원",""),0))))</f>
        <v/>
      </c>
      <c r="AU429" s="23">
        <f>IF($AS429="","",IF($G$6="",0,IF(ISNUMBER(INDEX($A:$AP,ROW(),$G$6)),INDEX($A:$AP,ROW(),$G$6),IFERROR(--SUBSTITUTE(SUBSTITUTE(TRIM(INDEX($A:$AP,ROW(),$G$6)),",",""),"원",""),0))))</f>
        <v/>
      </c>
      <c r="AV429" s="23">
        <f>IF($AS429="","",IF($H$6="",$AT429+$AU429,IF($H$6="",0,IF(ISNUMBER(INDEX($A:$AP,ROW(),$H$6)),INDEX($A:$AP,ROW(),$H$6),IFERROR(--SUBSTITUTE(SUBSTITUTE(TRIM(INDEX($A:$AP,ROW(),$H$6)),",",""),"원",""),0)))))</f>
        <v/>
      </c>
      <c r="AW429" s="2">
        <f>IF(OR($AS429="",$C$6=""),"",TRIM(INDEX($A:$AP,ROW(),$C$6)&amp;""))</f>
        <v/>
      </c>
      <c r="AX429" s="2">
        <f>IF($AS429="","",IF($AZ429&lt;&gt;"",SUBSTITUTE(SUBSTITUTE($AZ429,"-","")," ",""),$AY429))</f>
        <v/>
      </c>
      <c r="AY429" s="2">
        <f>IF(OR($AS429="",$E$6=""),"",TRIM(INDEX($A:$AP,ROW(),$E$6)&amp;""))</f>
        <v/>
      </c>
      <c r="AZ429" s="2">
        <f>IF(OR($AS429="",$D$6=""),"",TRIM(INDEX($A:$AP,ROW(),$D$6)&amp;""))</f>
        <v/>
      </c>
      <c r="BA429" s="2">
        <f>IF($AS429="","",IF(AND($AS429&gt;=설정!$B$10,$AS429&lt;=설정!$B$11),"포함","기간 밖"))</f>
        <v/>
      </c>
      <c r="BB429" s="2">
        <f>IF($AS429="","",IF(OR($AT429&lt;0,AND($I$6&lt;&gt;"",ISNUMBER(FIND("수정",INDEX($A:$AP,ROW(),IF($I$6="",1,$I$6))&amp;"")))),"수정","일반"))</f>
        <v/>
      </c>
      <c r="BC429" s="2">
        <f>IF($AS429="","",MID(IF($BA429="기간 밖"," / 기간 밖(신고기간 아님)","")&amp;IF(AND($AW429&lt;&gt;"",COUNTIF($AW$8:$AW$1007,$AW429)&gt;1)," / 승인번호 중복(두 번 붙여넣기?)","")&amp;IF(ABS($AU429-ROUND($AT429*0.1,0))&gt;설정!$B$8,IF($AU429=0," / 세액 0원(영세율·면세 여부 확인)"," / 세액이 공급가액 10%와 다름"),"")&amp;IF($BB429="수정"," / 수정세금계산서(합계에서 자동 가감)",""),4,200))</f>
        <v/>
      </c>
      <c r="BD429" s="2">
        <f>IF($BA429&lt;&gt;"포함","",IF(COUNTIFS($AX$8:$AX429,$AX429,$BA$8:$BA429,"포함")=1,MAX($BD$7:BD428)+1,""))</f>
        <v/>
      </c>
      <c r="BE429" s="2">
        <f>IF($BC429="","",MAX($BE$7:BE428)+1)</f>
        <v/>
      </c>
    </row>
    <row r="430">
      <c r="AR430" s="2">
        <f>IF(OR($A$5="",$B$6="",ROW()&lt;$A$5),"",IF(INDEX($A:$AP,ROW(),$B$6)="","",INDEX($A:$AP,ROW(),$B$6)))</f>
        <v/>
      </c>
      <c r="AS430" s="22">
        <f>IF($AR430="","",IF(ISNUMBER($AR430),IF($AR430&gt;=10000000,IFERROR(DATE(INT($AR430/10000),MOD(INT($AR430/100),100),MOD($AR430,100)),""),INT($AR430)),IFERROR(DATE(--LEFT(LEFT(SUBSTITUTE(SUBSTITUTE(SUBSTITUTE(SUBSTITUTE(TRIM($AR430),"-",""),".",""),"/","")," ",""),8),4),--MID(LEFT(SUBSTITUTE(SUBSTITUTE(SUBSTITUTE(SUBSTITUTE(TRIM($AR430),"-",""),".",""),"/","")," ",""),8),5,2),--MID(LEFT(SUBSTITUTE(SUBSTITUTE(SUBSTITUTE(SUBSTITUTE(TRIM($AR430),"-",""),".",""),"/","")," ",""),8),7,2)),"")))</f>
        <v/>
      </c>
      <c r="AT430" s="23">
        <f>IF($AS430="","",IF($F$6="",0,IF(ISNUMBER(INDEX($A:$AP,ROW(),$F$6)),INDEX($A:$AP,ROW(),$F$6),IFERROR(--SUBSTITUTE(SUBSTITUTE(TRIM(INDEX($A:$AP,ROW(),$F$6)),",",""),"원",""),0))))</f>
        <v/>
      </c>
      <c r="AU430" s="23">
        <f>IF($AS430="","",IF($G$6="",0,IF(ISNUMBER(INDEX($A:$AP,ROW(),$G$6)),INDEX($A:$AP,ROW(),$G$6),IFERROR(--SUBSTITUTE(SUBSTITUTE(TRIM(INDEX($A:$AP,ROW(),$G$6)),",",""),"원",""),0))))</f>
        <v/>
      </c>
      <c r="AV430" s="23">
        <f>IF($AS430="","",IF($H$6="",$AT430+$AU430,IF($H$6="",0,IF(ISNUMBER(INDEX($A:$AP,ROW(),$H$6)),INDEX($A:$AP,ROW(),$H$6),IFERROR(--SUBSTITUTE(SUBSTITUTE(TRIM(INDEX($A:$AP,ROW(),$H$6)),",",""),"원",""),0)))))</f>
        <v/>
      </c>
      <c r="AW430" s="2">
        <f>IF(OR($AS430="",$C$6=""),"",TRIM(INDEX($A:$AP,ROW(),$C$6)&amp;""))</f>
        <v/>
      </c>
      <c r="AX430" s="2">
        <f>IF($AS430="","",IF($AZ430&lt;&gt;"",SUBSTITUTE(SUBSTITUTE($AZ430,"-","")," ",""),$AY430))</f>
        <v/>
      </c>
      <c r="AY430" s="2">
        <f>IF(OR($AS430="",$E$6=""),"",TRIM(INDEX($A:$AP,ROW(),$E$6)&amp;""))</f>
        <v/>
      </c>
      <c r="AZ430" s="2">
        <f>IF(OR($AS430="",$D$6=""),"",TRIM(INDEX($A:$AP,ROW(),$D$6)&amp;""))</f>
        <v/>
      </c>
      <c r="BA430" s="2">
        <f>IF($AS430="","",IF(AND($AS430&gt;=설정!$B$10,$AS430&lt;=설정!$B$11),"포함","기간 밖"))</f>
        <v/>
      </c>
      <c r="BB430" s="2">
        <f>IF($AS430="","",IF(OR($AT430&lt;0,AND($I$6&lt;&gt;"",ISNUMBER(FIND("수정",INDEX($A:$AP,ROW(),IF($I$6="",1,$I$6))&amp;"")))),"수정","일반"))</f>
        <v/>
      </c>
      <c r="BC430" s="2">
        <f>IF($AS430="","",MID(IF($BA430="기간 밖"," / 기간 밖(신고기간 아님)","")&amp;IF(AND($AW430&lt;&gt;"",COUNTIF($AW$8:$AW$1007,$AW430)&gt;1)," / 승인번호 중복(두 번 붙여넣기?)","")&amp;IF(ABS($AU430-ROUND($AT430*0.1,0))&gt;설정!$B$8,IF($AU430=0," / 세액 0원(영세율·면세 여부 확인)"," / 세액이 공급가액 10%와 다름"),"")&amp;IF($BB430="수정"," / 수정세금계산서(합계에서 자동 가감)",""),4,200))</f>
        <v/>
      </c>
      <c r="BD430" s="2">
        <f>IF($BA430&lt;&gt;"포함","",IF(COUNTIFS($AX$8:$AX430,$AX430,$BA$8:$BA430,"포함")=1,MAX($BD$7:BD429)+1,""))</f>
        <v/>
      </c>
      <c r="BE430" s="2">
        <f>IF($BC430="","",MAX($BE$7:BE429)+1)</f>
        <v/>
      </c>
    </row>
    <row r="431">
      <c r="AR431" s="2">
        <f>IF(OR($A$5="",$B$6="",ROW()&lt;$A$5),"",IF(INDEX($A:$AP,ROW(),$B$6)="","",INDEX($A:$AP,ROW(),$B$6)))</f>
        <v/>
      </c>
      <c r="AS431" s="22">
        <f>IF($AR431="","",IF(ISNUMBER($AR431),IF($AR431&gt;=10000000,IFERROR(DATE(INT($AR431/10000),MOD(INT($AR431/100),100),MOD($AR431,100)),""),INT($AR431)),IFERROR(DATE(--LEFT(LEFT(SUBSTITUTE(SUBSTITUTE(SUBSTITUTE(SUBSTITUTE(TRIM($AR431),"-",""),".",""),"/","")," ",""),8),4),--MID(LEFT(SUBSTITUTE(SUBSTITUTE(SUBSTITUTE(SUBSTITUTE(TRIM($AR431),"-",""),".",""),"/","")," ",""),8),5,2),--MID(LEFT(SUBSTITUTE(SUBSTITUTE(SUBSTITUTE(SUBSTITUTE(TRIM($AR431),"-",""),".",""),"/","")," ",""),8),7,2)),"")))</f>
        <v/>
      </c>
      <c r="AT431" s="23">
        <f>IF($AS431="","",IF($F$6="",0,IF(ISNUMBER(INDEX($A:$AP,ROW(),$F$6)),INDEX($A:$AP,ROW(),$F$6),IFERROR(--SUBSTITUTE(SUBSTITUTE(TRIM(INDEX($A:$AP,ROW(),$F$6)),",",""),"원",""),0))))</f>
        <v/>
      </c>
      <c r="AU431" s="23">
        <f>IF($AS431="","",IF($G$6="",0,IF(ISNUMBER(INDEX($A:$AP,ROW(),$G$6)),INDEX($A:$AP,ROW(),$G$6),IFERROR(--SUBSTITUTE(SUBSTITUTE(TRIM(INDEX($A:$AP,ROW(),$G$6)),",",""),"원",""),0))))</f>
        <v/>
      </c>
      <c r="AV431" s="23">
        <f>IF($AS431="","",IF($H$6="",$AT431+$AU431,IF($H$6="",0,IF(ISNUMBER(INDEX($A:$AP,ROW(),$H$6)),INDEX($A:$AP,ROW(),$H$6),IFERROR(--SUBSTITUTE(SUBSTITUTE(TRIM(INDEX($A:$AP,ROW(),$H$6)),",",""),"원",""),0)))))</f>
        <v/>
      </c>
      <c r="AW431" s="2">
        <f>IF(OR($AS431="",$C$6=""),"",TRIM(INDEX($A:$AP,ROW(),$C$6)&amp;""))</f>
        <v/>
      </c>
      <c r="AX431" s="2">
        <f>IF($AS431="","",IF($AZ431&lt;&gt;"",SUBSTITUTE(SUBSTITUTE($AZ431,"-","")," ",""),$AY431))</f>
        <v/>
      </c>
      <c r="AY431" s="2">
        <f>IF(OR($AS431="",$E$6=""),"",TRIM(INDEX($A:$AP,ROW(),$E$6)&amp;""))</f>
        <v/>
      </c>
      <c r="AZ431" s="2">
        <f>IF(OR($AS431="",$D$6=""),"",TRIM(INDEX($A:$AP,ROW(),$D$6)&amp;""))</f>
        <v/>
      </c>
      <c r="BA431" s="2">
        <f>IF($AS431="","",IF(AND($AS431&gt;=설정!$B$10,$AS431&lt;=설정!$B$11),"포함","기간 밖"))</f>
        <v/>
      </c>
      <c r="BB431" s="2">
        <f>IF($AS431="","",IF(OR($AT431&lt;0,AND($I$6&lt;&gt;"",ISNUMBER(FIND("수정",INDEX($A:$AP,ROW(),IF($I$6="",1,$I$6))&amp;"")))),"수정","일반"))</f>
        <v/>
      </c>
      <c r="BC431" s="2">
        <f>IF($AS431="","",MID(IF($BA431="기간 밖"," / 기간 밖(신고기간 아님)","")&amp;IF(AND($AW431&lt;&gt;"",COUNTIF($AW$8:$AW$1007,$AW431)&gt;1)," / 승인번호 중복(두 번 붙여넣기?)","")&amp;IF(ABS($AU431-ROUND($AT431*0.1,0))&gt;설정!$B$8,IF($AU431=0," / 세액 0원(영세율·면세 여부 확인)"," / 세액이 공급가액 10%와 다름"),"")&amp;IF($BB431="수정"," / 수정세금계산서(합계에서 자동 가감)",""),4,200))</f>
        <v/>
      </c>
      <c r="BD431" s="2">
        <f>IF($BA431&lt;&gt;"포함","",IF(COUNTIFS($AX$8:$AX431,$AX431,$BA$8:$BA431,"포함")=1,MAX($BD$7:BD430)+1,""))</f>
        <v/>
      </c>
      <c r="BE431" s="2">
        <f>IF($BC431="","",MAX($BE$7:BE430)+1)</f>
        <v/>
      </c>
    </row>
    <row r="432">
      <c r="AR432" s="2">
        <f>IF(OR($A$5="",$B$6="",ROW()&lt;$A$5),"",IF(INDEX($A:$AP,ROW(),$B$6)="","",INDEX($A:$AP,ROW(),$B$6)))</f>
        <v/>
      </c>
      <c r="AS432" s="22">
        <f>IF($AR432="","",IF(ISNUMBER($AR432),IF($AR432&gt;=10000000,IFERROR(DATE(INT($AR432/10000),MOD(INT($AR432/100),100),MOD($AR432,100)),""),INT($AR432)),IFERROR(DATE(--LEFT(LEFT(SUBSTITUTE(SUBSTITUTE(SUBSTITUTE(SUBSTITUTE(TRIM($AR432),"-",""),".",""),"/","")," ",""),8),4),--MID(LEFT(SUBSTITUTE(SUBSTITUTE(SUBSTITUTE(SUBSTITUTE(TRIM($AR432),"-",""),".",""),"/","")," ",""),8),5,2),--MID(LEFT(SUBSTITUTE(SUBSTITUTE(SUBSTITUTE(SUBSTITUTE(TRIM($AR432),"-",""),".",""),"/","")," ",""),8),7,2)),"")))</f>
        <v/>
      </c>
      <c r="AT432" s="23">
        <f>IF($AS432="","",IF($F$6="",0,IF(ISNUMBER(INDEX($A:$AP,ROW(),$F$6)),INDEX($A:$AP,ROW(),$F$6),IFERROR(--SUBSTITUTE(SUBSTITUTE(TRIM(INDEX($A:$AP,ROW(),$F$6)),",",""),"원",""),0))))</f>
        <v/>
      </c>
      <c r="AU432" s="23">
        <f>IF($AS432="","",IF($G$6="",0,IF(ISNUMBER(INDEX($A:$AP,ROW(),$G$6)),INDEX($A:$AP,ROW(),$G$6),IFERROR(--SUBSTITUTE(SUBSTITUTE(TRIM(INDEX($A:$AP,ROW(),$G$6)),",",""),"원",""),0))))</f>
        <v/>
      </c>
      <c r="AV432" s="23">
        <f>IF($AS432="","",IF($H$6="",$AT432+$AU432,IF($H$6="",0,IF(ISNUMBER(INDEX($A:$AP,ROW(),$H$6)),INDEX($A:$AP,ROW(),$H$6),IFERROR(--SUBSTITUTE(SUBSTITUTE(TRIM(INDEX($A:$AP,ROW(),$H$6)),",",""),"원",""),0)))))</f>
        <v/>
      </c>
      <c r="AW432" s="2">
        <f>IF(OR($AS432="",$C$6=""),"",TRIM(INDEX($A:$AP,ROW(),$C$6)&amp;""))</f>
        <v/>
      </c>
      <c r="AX432" s="2">
        <f>IF($AS432="","",IF($AZ432&lt;&gt;"",SUBSTITUTE(SUBSTITUTE($AZ432,"-","")," ",""),$AY432))</f>
        <v/>
      </c>
      <c r="AY432" s="2">
        <f>IF(OR($AS432="",$E$6=""),"",TRIM(INDEX($A:$AP,ROW(),$E$6)&amp;""))</f>
        <v/>
      </c>
      <c r="AZ432" s="2">
        <f>IF(OR($AS432="",$D$6=""),"",TRIM(INDEX($A:$AP,ROW(),$D$6)&amp;""))</f>
        <v/>
      </c>
      <c r="BA432" s="2">
        <f>IF($AS432="","",IF(AND($AS432&gt;=설정!$B$10,$AS432&lt;=설정!$B$11),"포함","기간 밖"))</f>
        <v/>
      </c>
      <c r="BB432" s="2">
        <f>IF($AS432="","",IF(OR($AT432&lt;0,AND($I$6&lt;&gt;"",ISNUMBER(FIND("수정",INDEX($A:$AP,ROW(),IF($I$6="",1,$I$6))&amp;"")))),"수정","일반"))</f>
        <v/>
      </c>
      <c r="BC432" s="2">
        <f>IF($AS432="","",MID(IF($BA432="기간 밖"," / 기간 밖(신고기간 아님)","")&amp;IF(AND($AW432&lt;&gt;"",COUNTIF($AW$8:$AW$1007,$AW432)&gt;1)," / 승인번호 중복(두 번 붙여넣기?)","")&amp;IF(ABS($AU432-ROUND($AT432*0.1,0))&gt;설정!$B$8,IF($AU432=0," / 세액 0원(영세율·면세 여부 확인)"," / 세액이 공급가액 10%와 다름"),"")&amp;IF($BB432="수정"," / 수정세금계산서(합계에서 자동 가감)",""),4,200))</f>
        <v/>
      </c>
      <c r="BD432" s="2">
        <f>IF($BA432&lt;&gt;"포함","",IF(COUNTIFS($AX$8:$AX432,$AX432,$BA$8:$BA432,"포함")=1,MAX($BD$7:BD431)+1,""))</f>
        <v/>
      </c>
      <c r="BE432" s="2">
        <f>IF($BC432="","",MAX($BE$7:BE431)+1)</f>
        <v/>
      </c>
    </row>
    <row r="433">
      <c r="AR433" s="2">
        <f>IF(OR($A$5="",$B$6="",ROW()&lt;$A$5),"",IF(INDEX($A:$AP,ROW(),$B$6)="","",INDEX($A:$AP,ROW(),$B$6)))</f>
        <v/>
      </c>
      <c r="AS433" s="22">
        <f>IF($AR433="","",IF(ISNUMBER($AR433),IF($AR433&gt;=10000000,IFERROR(DATE(INT($AR433/10000),MOD(INT($AR433/100),100),MOD($AR433,100)),""),INT($AR433)),IFERROR(DATE(--LEFT(LEFT(SUBSTITUTE(SUBSTITUTE(SUBSTITUTE(SUBSTITUTE(TRIM($AR433),"-",""),".",""),"/","")," ",""),8),4),--MID(LEFT(SUBSTITUTE(SUBSTITUTE(SUBSTITUTE(SUBSTITUTE(TRIM($AR433),"-",""),".",""),"/","")," ",""),8),5,2),--MID(LEFT(SUBSTITUTE(SUBSTITUTE(SUBSTITUTE(SUBSTITUTE(TRIM($AR433),"-",""),".",""),"/","")," ",""),8),7,2)),"")))</f>
        <v/>
      </c>
      <c r="AT433" s="23">
        <f>IF($AS433="","",IF($F$6="",0,IF(ISNUMBER(INDEX($A:$AP,ROW(),$F$6)),INDEX($A:$AP,ROW(),$F$6),IFERROR(--SUBSTITUTE(SUBSTITUTE(TRIM(INDEX($A:$AP,ROW(),$F$6)),",",""),"원",""),0))))</f>
        <v/>
      </c>
      <c r="AU433" s="23">
        <f>IF($AS433="","",IF($G$6="",0,IF(ISNUMBER(INDEX($A:$AP,ROW(),$G$6)),INDEX($A:$AP,ROW(),$G$6),IFERROR(--SUBSTITUTE(SUBSTITUTE(TRIM(INDEX($A:$AP,ROW(),$G$6)),",",""),"원",""),0))))</f>
        <v/>
      </c>
      <c r="AV433" s="23">
        <f>IF($AS433="","",IF($H$6="",$AT433+$AU433,IF($H$6="",0,IF(ISNUMBER(INDEX($A:$AP,ROW(),$H$6)),INDEX($A:$AP,ROW(),$H$6),IFERROR(--SUBSTITUTE(SUBSTITUTE(TRIM(INDEX($A:$AP,ROW(),$H$6)),",",""),"원",""),0)))))</f>
        <v/>
      </c>
      <c r="AW433" s="2">
        <f>IF(OR($AS433="",$C$6=""),"",TRIM(INDEX($A:$AP,ROW(),$C$6)&amp;""))</f>
        <v/>
      </c>
      <c r="AX433" s="2">
        <f>IF($AS433="","",IF($AZ433&lt;&gt;"",SUBSTITUTE(SUBSTITUTE($AZ433,"-","")," ",""),$AY433))</f>
        <v/>
      </c>
      <c r="AY433" s="2">
        <f>IF(OR($AS433="",$E$6=""),"",TRIM(INDEX($A:$AP,ROW(),$E$6)&amp;""))</f>
        <v/>
      </c>
      <c r="AZ433" s="2">
        <f>IF(OR($AS433="",$D$6=""),"",TRIM(INDEX($A:$AP,ROW(),$D$6)&amp;""))</f>
        <v/>
      </c>
      <c r="BA433" s="2">
        <f>IF($AS433="","",IF(AND($AS433&gt;=설정!$B$10,$AS433&lt;=설정!$B$11),"포함","기간 밖"))</f>
        <v/>
      </c>
      <c r="BB433" s="2">
        <f>IF($AS433="","",IF(OR($AT433&lt;0,AND($I$6&lt;&gt;"",ISNUMBER(FIND("수정",INDEX($A:$AP,ROW(),IF($I$6="",1,$I$6))&amp;"")))),"수정","일반"))</f>
        <v/>
      </c>
      <c r="BC433" s="2">
        <f>IF($AS433="","",MID(IF($BA433="기간 밖"," / 기간 밖(신고기간 아님)","")&amp;IF(AND($AW433&lt;&gt;"",COUNTIF($AW$8:$AW$1007,$AW433)&gt;1)," / 승인번호 중복(두 번 붙여넣기?)","")&amp;IF(ABS($AU433-ROUND($AT433*0.1,0))&gt;설정!$B$8,IF($AU433=0," / 세액 0원(영세율·면세 여부 확인)"," / 세액이 공급가액 10%와 다름"),"")&amp;IF($BB433="수정"," / 수정세금계산서(합계에서 자동 가감)",""),4,200))</f>
        <v/>
      </c>
      <c r="BD433" s="2">
        <f>IF($BA433&lt;&gt;"포함","",IF(COUNTIFS($AX$8:$AX433,$AX433,$BA$8:$BA433,"포함")=1,MAX($BD$7:BD432)+1,""))</f>
        <v/>
      </c>
      <c r="BE433" s="2">
        <f>IF($BC433="","",MAX($BE$7:BE432)+1)</f>
        <v/>
      </c>
    </row>
    <row r="434">
      <c r="AR434" s="2">
        <f>IF(OR($A$5="",$B$6="",ROW()&lt;$A$5),"",IF(INDEX($A:$AP,ROW(),$B$6)="","",INDEX($A:$AP,ROW(),$B$6)))</f>
        <v/>
      </c>
      <c r="AS434" s="22">
        <f>IF($AR434="","",IF(ISNUMBER($AR434),IF($AR434&gt;=10000000,IFERROR(DATE(INT($AR434/10000),MOD(INT($AR434/100),100),MOD($AR434,100)),""),INT($AR434)),IFERROR(DATE(--LEFT(LEFT(SUBSTITUTE(SUBSTITUTE(SUBSTITUTE(SUBSTITUTE(TRIM($AR434),"-",""),".",""),"/","")," ",""),8),4),--MID(LEFT(SUBSTITUTE(SUBSTITUTE(SUBSTITUTE(SUBSTITUTE(TRIM($AR434),"-",""),".",""),"/","")," ",""),8),5,2),--MID(LEFT(SUBSTITUTE(SUBSTITUTE(SUBSTITUTE(SUBSTITUTE(TRIM($AR434),"-",""),".",""),"/","")," ",""),8),7,2)),"")))</f>
        <v/>
      </c>
      <c r="AT434" s="23">
        <f>IF($AS434="","",IF($F$6="",0,IF(ISNUMBER(INDEX($A:$AP,ROW(),$F$6)),INDEX($A:$AP,ROW(),$F$6),IFERROR(--SUBSTITUTE(SUBSTITUTE(TRIM(INDEX($A:$AP,ROW(),$F$6)),",",""),"원",""),0))))</f>
        <v/>
      </c>
      <c r="AU434" s="23">
        <f>IF($AS434="","",IF($G$6="",0,IF(ISNUMBER(INDEX($A:$AP,ROW(),$G$6)),INDEX($A:$AP,ROW(),$G$6),IFERROR(--SUBSTITUTE(SUBSTITUTE(TRIM(INDEX($A:$AP,ROW(),$G$6)),",",""),"원",""),0))))</f>
        <v/>
      </c>
      <c r="AV434" s="23">
        <f>IF($AS434="","",IF($H$6="",$AT434+$AU434,IF($H$6="",0,IF(ISNUMBER(INDEX($A:$AP,ROW(),$H$6)),INDEX($A:$AP,ROW(),$H$6),IFERROR(--SUBSTITUTE(SUBSTITUTE(TRIM(INDEX($A:$AP,ROW(),$H$6)),",",""),"원",""),0)))))</f>
        <v/>
      </c>
      <c r="AW434" s="2">
        <f>IF(OR($AS434="",$C$6=""),"",TRIM(INDEX($A:$AP,ROW(),$C$6)&amp;""))</f>
        <v/>
      </c>
      <c r="AX434" s="2">
        <f>IF($AS434="","",IF($AZ434&lt;&gt;"",SUBSTITUTE(SUBSTITUTE($AZ434,"-","")," ",""),$AY434))</f>
        <v/>
      </c>
      <c r="AY434" s="2">
        <f>IF(OR($AS434="",$E$6=""),"",TRIM(INDEX($A:$AP,ROW(),$E$6)&amp;""))</f>
        <v/>
      </c>
      <c r="AZ434" s="2">
        <f>IF(OR($AS434="",$D$6=""),"",TRIM(INDEX($A:$AP,ROW(),$D$6)&amp;""))</f>
        <v/>
      </c>
      <c r="BA434" s="2">
        <f>IF($AS434="","",IF(AND($AS434&gt;=설정!$B$10,$AS434&lt;=설정!$B$11),"포함","기간 밖"))</f>
        <v/>
      </c>
      <c r="BB434" s="2">
        <f>IF($AS434="","",IF(OR($AT434&lt;0,AND($I$6&lt;&gt;"",ISNUMBER(FIND("수정",INDEX($A:$AP,ROW(),IF($I$6="",1,$I$6))&amp;"")))),"수정","일반"))</f>
        <v/>
      </c>
      <c r="BC434" s="2">
        <f>IF($AS434="","",MID(IF($BA434="기간 밖"," / 기간 밖(신고기간 아님)","")&amp;IF(AND($AW434&lt;&gt;"",COUNTIF($AW$8:$AW$1007,$AW434)&gt;1)," / 승인번호 중복(두 번 붙여넣기?)","")&amp;IF(ABS($AU434-ROUND($AT434*0.1,0))&gt;설정!$B$8,IF($AU434=0," / 세액 0원(영세율·면세 여부 확인)"," / 세액이 공급가액 10%와 다름"),"")&amp;IF($BB434="수정"," / 수정세금계산서(합계에서 자동 가감)",""),4,200))</f>
        <v/>
      </c>
      <c r="BD434" s="2">
        <f>IF($BA434&lt;&gt;"포함","",IF(COUNTIFS($AX$8:$AX434,$AX434,$BA$8:$BA434,"포함")=1,MAX($BD$7:BD433)+1,""))</f>
        <v/>
      </c>
      <c r="BE434" s="2">
        <f>IF($BC434="","",MAX($BE$7:BE433)+1)</f>
        <v/>
      </c>
    </row>
    <row r="435">
      <c r="AR435" s="2">
        <f>IF(OR($A$5="",$B$6="",ROW()&lt;$A$5),"",IF(INDEX($A:$AP,ROW(),$B$6)="","",INDEX($A:$AP,ROW(),$B$6)))</f>
        <v/>
      </c>
      <c r="AS435" s="22">
        <f>IF($AR435="","",IF(ISNUMBER($AR435),IF($AR435&gt;=10000000,IFERROR(DATE(INT($AR435/10000),MOD(INT($AR435/100),100),MOD($AR435,100)),""),INT($AR435)),IFERROR(DATE(--LEFT(LEFT(SUBSTITUTE(SUBSTITUTE(SUBSTITUTE(SUBSTITUTE(TRIM($AR435),"-",""),".",""),"/","")," ",""),8),4),--MID(LEFT(SUBSTITUTE(SUBSTITUTE(SUBSTITUTE(SUBSTITUTE(TRIM($AR435),"-",""),".",""),"/","")," ",""),8),5,2),--MID(LEFT(SUBSTITUTE(SUBSTITUTE(SUBSTITUTE(SUBSTITUTE(TRIM($AR435),"-",""),".",""),"/","")," ",""),8),7,2)),"")))</f>
        <v/>
      </c>
      <c r="AT435" s="23">
        <f>IF($AS435="","",IF($F$6="",0,IF(ISNUMBER(INDEX($A:$AP,ROW(),$F$6)),INDEX($A:$AP,ROW(),$F$6),IFERROR(--SUBSTITUTE(SUBSTITUTE(TRIM(INDEX($A:$AP,ROW(),$F$6)),",",""),"원",""),0))))</f>
        <v/>
      </c>
      <c r="AU435" s="23">
        <f>IF($AS435="","",IF($G$6="",0,IF(ISNUMBER(INDEX($A:$AP,ROW(),$G$6)),INDEX($A:$AP,ROW(),$G$6),IFERROR(--SUBSTITUTE(SUBSTITUTE(TRIM(INDEX($A:$AP,ROW(),$G$6)),",",""),"원",""),0))))</f>
        <v/>
      </c>
      <c r="AV435" s="23">
        <f>IF($AS435="","",IF($H$6="",$AT435+$AU435,IF($H$6="",0,IF(ISNUMBER(INDEX($A:$AP,ROW(),$H$6)),INDEX($A:$AP,ROW(),$H$6),IFERROR(--SUBSTITUTE(SUBSTITUTE(TRIM(INDEX($A:$AP,ROW(),$H$6)),",",""),"원",""),0)))))</f>
        <v/>
      </c>
      <c r="AW435" s="2">
        <f>IF(OR($AS435="",$C$6=""),"",TRIM(INDEX($A:$AP,ROW(),$C$6)&amp;""))</f>
        <v/>
      </c>
      <c r="AX435" s="2">
        <f>IF($AS435="","",IF($AZ435&lt;&gt;"",SUBSTITUTE(SUBSTITUTE($AZ435,"-","")," ",""),$AY435))</f>
        <v/>
      </c>
      <c r="AY435" s="2">
        <f>IF(OR($AS435="",$E$6=""),"",TRIM(INDEX($A:$AP,ROW(),$E$6)&amp;""))</f>
        <v/>
      </c>
      <c r="AZ435" s="2">
        <f>IF(OR($AS435="",$D$6=""),"",TRIM(INDEX($A:$AP,ROW(),$D$6)&amp;""))</f>
        <v/>
      </c>
      <c r="BA435" s="2">
        <f>IF($AS435="","",IF(AND($AS435&gt;=설정!$B$10,$AS435&lt;=설정!$B$11),"포함","기간 밖"))</f>
        <v/>
      </c>
      <c r="BB435" s="2">
        <f>IF($AS435="","",IF(OR($AT435&lt;0,AND($I$6&lt;&gt;"",ISNUMBER(FIND("수정",INDEX($A:$AP,ROW(),IF($I$6="",1,$I$6))&amp;"")))),"수정","일반"))</f>
        <v/>
      </c>
      <c r="BC435" s="2">
        <f>IF($AS435="","",MID(IF($BA435="기간 밖"," / 기간 밖(신고기간 아님)","")&amp;IF(AND($AW435&lt;&gt;"",COUNTIF($AW$8:$AW$1007,$AW435)&gt;1)," / 승인번호 중복(두 번 붙여넣기?)","")&amp;IF(ABS($AU435-ROUND($AT435*0.1,0))&gt;설정!$B$8,IF($AU435=0," / 세액 0원(영세율·면세 여부 확인)"," / 세액이 공급가액 10%와 다름"),"")&amp;IF($BB435="수정"," / 수정세금계산서(합계에서 자동 가감)",""),4,200))</f>
        <v/>
      </c>
      <c r="BD435" s="2">
        <f>IF($BA435&lt;&gt;"포함","",IF(COUNTIFS($AX$8:$AX435,$AX435,$BA$8:$BA435,"포함")=1,MAX($BD$7:BD434)+1,""))</f>
        <v/>
      </c>
      <c r="BE435" s="2">
        <f>IF($BC435="","",MAX($BE$7:BE434)+1)</f>
        <v/>
      </c>
    </row>
    <row r="436">
      <c r="AR436" s="2">
        <f>IF(OR($A$5="",$B$6="",ROW()&lt;$A$5),"",IF(INDEX($A:$AP,ROW(),$B$6)="","",INDEX($A:$AP,ROW(),$B$6)))</f>
        <v/>
      </c>
      <c r="AS436" s="22">
        <f>IF($AR436="","",IF(ISNUMBER($AR436),IF($AR436&gt;=10000000,IFERROR(DATE(INT($AR436/10000),MOD(INT($AR436/100),100),MOD($AR436,100)),""),INT($AR436)),IFERROR(DATE(--LEFT(LEFT(SUBSTITUTE(SUBSTITUTE(SUBSTITUTE(SUBSTITUTE(TRIM($AR436),"-",""),".",""),"/","")," ",""),8),4),--MID(LEFT(SUBSTITUTE(SUBSTITUTE(SUBSTITUTE(SUBSTITUTE(TRIM($AR436),"-",""),".",""),"/","")," ",""),8),5,2),--MID(LEFT(SUBSTITUTE(SUBSTITUTE(SUBSTITUTE(SUBSTITUTE(TRIM($AR436),"-",""),".",""),"/","")," ",""),8),7,2)),"")))</f>
        <v/>
      </c>
      <c r="AT436" s="23">
        <f>IF($AS436="","",IF($F$6="",0,IF(ISNUMBER(INDEX($A:$AP,ROW(),$F$6)),INDEX($A:$AP,ROW(),$F$6),IFERROR(--SUBSTITUTE(SUBSTITUTE(TRIM(INDEX($A:$AP,ROW(),$F$6)),",",""),"원",""),0))))</f>
        <v/>
      </c>
      <c r="AU436" s="23">
        <f>IF($AS436="","",IF($G$6="",0,IF(ISNUMBER(INDEX($A:$AP,ROW(),$G$6)),INDEX($A:$AP,ROW(),$G$6),IFERROR(--SUBSTITUTE(SUBSTITUTE(TRIM(INDEX($A:$AP,ROW(),$G$6)),",",""),"원",""),0))))</f>
        <v/>
      </c>
      <c r="AV436" s="23">
        <f>IF($AS436="","",IF($H$6="",$AT436+$AU436,IF($H$6="",0,IF(ISNUMBER(INDEX($A:$AP,ROW(),$H$6)),INDEX($A:$AP,ROW(),$H$6),IFERROR(--SUBSTITUTE(SUBSTITUTE(TRIM(INDEX($A:$AP,ROW(),$H$6)),",",""),"원",""),0)))))</f>
        <v/>
      </c>
      <c r="AW436" s="2">
        <f>IF(OR($AS436="",$C$6=""),"",TRIM(INDEX($A:$AP,ROW(),$C$6)&amp;""))</f>
        <v/>
      </c>
      <c r="AX436" s="2">
        <f>IF($AS436="","",IF($AZ436&lt;&gt;"",SUBSTITUTE(SUBSTITUTE($AZ436,"-","")," ",""),$AY436))</f>
        <v/>
      </c>
      <c r="AY436" s="2">
        <f>IF(OR($AS436="",$E$6=""),"",TRIM(INDEX($A:$AP,ROW(),$E$6)&amp;""))</f>
        <v/>
      </c>
      <c r="AZ436" s="2">
        <f>IF(OR($AS436="",$D$6=""),"",TRIM(INDEX($A:$AP,ROW(),$D$6)&amp;""))</f>
        <v/>
      </c>
      <c r="BA436" s="2">
        <f>IF($AS436="","",IF(AND($AS436&gt;=설정!$B$10,$AS436&lt;=설정!$B$11),"포함","기간 밖"))</f>
        <v/>
      </c>
      <c r="BB436" s="2">
        <f>IF($AS436="","",IF(OR($AT436&lt;0,AND($I$6&lt;&gt;"",ISNUMBER(FIND("수정",INDEX($A:$AP,ROW(),IF($I$6="",1,$I$6))&amp;"")))),"수정","일반"))</f>
        <v/>
      </c>
      <c r="BC436" s="2">
        <f>IF($AS436="","",MID(IF($BA436="기간 밖"," / 기간 밖(신고기간 아님)","")&amp;IF(AND($AW436&lt;&gt;"",COUNTIF($AW$8:$AW$1007,$AW436)&gt;1)," / 승인번호 중복(두 번 붙여넣기?)","")&amp;IF(ABS($AU436-ROUND($AT436*0.1,0))&gt;설정!$B$8,IF($AU436=0," / 세액 0원(영세율·면세 여부 확인)"," / 세액이 공급가액 10%와 다름"),"")&amp;IF($BB436="수정"," / 수정세금계산서(합계에서 자동 가감)",""),4,200))</f>
        <v/>
      </c>
      <c r="BD436" s="2">
        <f>IF($BA436&lt;&gt;"포함","",IF(COUNTIFS($AX$8:$AX436,$AX436,$BA$8:$BA436,"포함")=1,MAX($BD$7:BD435)+1,""))</f>
        <v/>
      </c>
      <c r="BE436" s="2">
        <f>IF($BC436="","",MAX($BE$7:BE435)+1)</f>
        <v/>
      </c>
    </row>
    <row r="437">
      <c r="AR437" s="2">
        <f>IF(OR($A$5="",$B$6="",ROW()&lt;$A$5),"",IF(INDEX($A:$AP,ROW(),$B$6)="","",INDEX($A:$AP,ROW(),$B$6)))</f>
        <v/>
      </c>
      <c r="AS437" s="22">
        <f>IF($AR437="","",IF(ISNUMBER($AR437),IF($AR437&gt;=10000000,IFERROR(DATE(INT($AR437/10000),MOD(INT($AR437/100),100),MOD($AR437,100)),""),INT($AR437)),IFERROR(DATE(--LEFT(LEFT(SUBSTITUTE(SUBSTITUTE(SUBSTITUTE(SUBSTITUTE(TRIM($AR437),"-",""),".",""),"/","")," ",""),8),4),--MID(LEFT(SUBSTITUTE(SUBSTITUTE(SUBSTITUTE(SUBSTITUTE(TRIM($AR437),"-",""),".",""),"/","")," ",""),8),5,2),--MID(LEFT(SUBSTITUTE(SUBSTITUTE(SUBSTITUTE(SUBSTITUTE(TRIM($AR437),"-",""),".",""),"/","")," ",""),8),7,2)),"")))</f>
        <v/>
      </c>
      <c r="AT437" s="23">
        <f>IF($AS437="","",IF($F$6="",0,IF(ISNUMBER(INDEX($A:$AP,ROW(),$F$6)),INDEX($A:$AP,ROW(),$F$6),IFERROR(--SUBSTITUTE(SUBSTITUTE(TRIM(INDEX($A:$AP,ROW(),$F$6)),",",""),"원",""),0))))</f>
        <v/>
      </c>
      <c r="AU437" s="23">
        <f>IF($AS437="","",IF($G$6="",0,IF(ISNUMBER(INDEX($A:$AP,ROW(),$G$6)),INDEX($A:$AP,ROW(),$G$6),IFERROR(--SUBSTITUTE(SUBSTITUTE(TRIM(INDEX($A:$AP,ROW(),$G$6)),",",""),"원",""),0))))</f>
        <v/>
      </c>
      <c r="AV437" s="23">
        <f>IF($AS437="","",IF($H$6="",$AT437+$AU437,IF($H$6="",0,IF(ISNUMBER(INDEX($A:$AP,ROW(),$H$6)),INDEX($A:$AP,ROW(),$H$6),IFERROR(--SUBSTITUTE(SUBSTITUTE(TRIM(INDEX($A:$AP,ROW(),$H$6)),",",""),"원",""),0)))))</f>
        <v/>
      </c>
      <c r="AW437" s="2">
        <f>IF(OR($AS437="",$C$6=""),"",TRIM(INDEX($A:$AP,ROW(),$C$6)&amp;""))</f>
        <v/>
      </c>
      <c r="AX437" s="2">
        <f>IF($AS437="","",IF($AZ437&lt;&gt;"",SUBSTITUTE(SUBSTITUTE($AZ437,"-","")," ",""),$AY437))</f>
        <v/>
      </c>
      <c r="AY437" s="2">
        <f>IF(OR($AS437="",$E$6=""),"",TRIM(INDEX($A:$AP,ROW(),$E$6)&amp;""))</f>
        <v/>
      </c>
      <c r="AZ437" s="2">
        <f>IF(OR($AS437="",$D$6=""),"",TRIM(INDEX($A:$AP,ROW(),$D$6)&amp;""))</f>
        <v/>
      </c>
      <c r="BA437" s="2">
        <f>IF($AS437="","",IF(AND($AS437&gt;=설정!$B$10,$AS437&lt;=설정!$B$11),"포함","기간 밖"))</f>
        <v/>
      </c>
      <c r="BB437" s="2">
        <f>IF($AS437="","",IF(OR($AT437&lt;0,AND($I$6&lt;&gt;"",ISNUMBER(FIND("수정",INDEX($A:$AP,ROW(),IF($I$6="",1,$I$6))&amp;"")))),"수정","일반"))</f>
        <v/>
      </c>
      <c r="BC437" s="2">
        <f>IF($AS437="","",MID(IF($BA437="기간 밖"," / 기간 밖(신고기간 아님)","")&amp;IF(AND($AW437&lt;&gt;"",COUNTIF($AW$8:$AW$1007,$AW437)&gt;1)," / 승인번호 중복(두 번 붙여넣기?)","")&amp;IF(ABS($AU437-ROUND($AT437*0.1,0))&gt;설정!$B$8,IF($AU437=0," / 세액 0원(영세율·면세 여부 확인)"," / 세액이 공급가액 10%와 다름"),"")&amp;IF($BB437="수정"," / 수정세금계산서(합계에서 자동 가감)",""),4,200))</f>
        <v/>
      </c>
      <c r="BD437" s="2">
        <f>IF($BA437&lt;&gt;"포함","",IF(COUNTIFS($AX$8:$AX437,$AX437,$BA$8:$BA437,"포함")=1,MAX($BD$7:BD436)+1,""))</f>
        <v/>
      </c>
      <c r="BE437" s="2">
        <f>IF($BC437="","",MAX($BE$7:BE436)+1)</f>
        <v/>
      </c>
    </row>
    <row r="438">
      <c r="AR438" s="2">
        <f>IF(OR($A$5="",$B$6="",ROW()&lt;$A$5),"",IF(INDEX($A:$AP,ROW(),$B$6)="","",INDEX($A:$AP,ROW(),$B$6)))</f>
        <v/>
      </c>
      <c r="AS438" s="22">
        <f>IF($AR438="","",IF(ISNUMBER($AR438),IF($AR438&gt;=10000000,IFERROR(DATE(INT($AR438/10000),MOD(INT($AR438/100),100),MOD($AR438,100)),""),INT($AR438)),IFERROR(DATE(--LEFT(LEFT(SUBSTITUTE(SUBSTITUTE(SUBSTITUTE(SUBSTITUTE(TRIM($AR438),"-",""),".",""),"/","")," ",""),8),4),--MID(LEFT(SUBSTITUTE(SUBSTITUTE(SUBSTITUTE(SUBSTITUTE(TRIM($AR438),"-",""),".",""),"/","")," ",""),8),5,2),--MID(LEFT(SUBSTITUTE(SUBSTITUTE(SUBSTITUTE(SUBSTITUTE(TRIM($AR438),"-",""),".",""),"/","")," ",""),8),7,2)),"")))</f>
        <v/>
      </c>
      <c r="AT438" s="23">
        <f>IF($AS438="","",IF($F$6="",0,IF(ISNUMBER(INDEX($A:$AP,ROW(),$F$6)),INDEX($A:$AP,ROW(),$F$6),IFERROR(--SUBSTITUTE(SUBSTITUTE(TRIM(INDEX($A:$AP,ROW(),$F$6)),",",""),"원",""),0))))</f>
        <v/>
      </c>
      <c r="AU438" s="23">
        <f>IF($AS438="","",IF($G$6="",0,IF(ISNUMBER(INDEX($A:$AP,ROW(),$G$6)),INDEX($A:$AP,ROW(),$G$6),IFERROR(--SUBSTITUTE(SUBSTITUTE(TRIM(INDEX($A:$AP,ROW(),$G$6)),",",""),"원",""),0))))</f>
        <v/>
      </c>
      <c r="AV438" s="23">
        <f>IF($AS438="","",IF($H$6="",$AT438+$AU438,IF($H$6="",0,IF(ISNUMBER(INDEX($A:$AP,ROW(),$H$6)),INDEX($A:$AP,ROW(),$H$6),IFERROR(--SUBSTITUTE(SUBSTITUTE(TRIM(INDEX($A:$AP,ROW(),$H$6)),",",""),"원",""),0)))))</f>
        <v/>
      </c>
      <c r="AW438" s="2">
        <f>IF(OR($AS438="",$C$6=""),"",TRIM(INDEX($A:$AP,ROW(),$C$6)&amp;""))</f>
        <v/>
      </c>
      <c r="AX438" s="2">
        <f>IF($AS438="","",IF($AZ438&lt;&gt;"",SUBSTITUTE(SUBSTITUTE($AZ438,"-","")," ",""),$AY438))</f>
        <v/>
      </c>
      <c r="AY438" s="2">
        <f>IF(OR($AS438="",$E$6=""),"",TRIM(INDEX($A:$AP,ROW(),$E$6)&amp;""))</f>
        <v/>
      </c>
      <c r="AZ438" s="2">
        <f>IF(OR($AS438="",$D$6=""),"",TRIM(INDEX($A:$AP,ROW(),$D$6)&amp;""))</f>
        <v/>
      </c>
      <c r="BA438" s="2">
        <f>IF($AS438="","",IF(AND($AS438&gt;=설정!$B$10,$AS438&lt;=설정!$B$11),"포함","기간 밖"))</f>
        <v/>
      </c>
      <c r="BB438" s="2">
        <f>IF($AS438="","",IF(OR($AT438&lt;0,AND($I$6&lt;&gt;"",ISNUMBER(FIND("수정",INDEX($A:$AP,ROW(),IF($I$6="",1,$I$6))&amp;"")))),"수정","일반"))</f>
        <v/>
      </c>
      <c r="BC438" s="2">
        <f>IF($AS438="","",MID(IF($BA438="기간 밖"," / 기간 밖(신고기간 아님)","")&amp;IF(AND($AW438&lt;&gt;"",COUNTIF($AW$8:$AW$1007,$AW438)&gt;1)," / 승인번호 중복(두 번 붙여넣기?)","")&amp;IF(ABS($AU438-ROUND($AT438*0.1,0))&gt;설정!$B$8,IF($AU438=0," / 세액 0원(영세율·면세 여부 확인)"," / 세액이 공급가액 10%와 다름"),"")&amp;IF($BB438="수정"," / 수정세금계산서(합계에서 자동 가감)",""),4,200))</f>
        <v/>
      </c>
      <c r="BD438" s="2">
        <f>IF($BA438&lt;&gt;"포함","",IF(COUNTIFS($AX$8:$AX438,$AX438,$BA$8:$BA438,"포함")=1,MAX($BD$7:BD437)+1,""))</f>
        <v/>
      </c>
      <c r="BE438" s="2">
        <f>IF($BC438="","",MAX($BE$7:BE437)+1)</f>
        <v/>
      </c>
    </row>
    <row r="439">
      <c r="AR439" s="2">
        <f>IF(OR($A$5="",$B$6="",ROW()&lt;$A$5),"",IF(INDEX($A:$AP,ROW(),$B$6)="","",INDEX($A:$AP,ROW(),$B$6)))</f>
        <v/>
      </c>
      <c r="AS439" s="22">
        <f>IF($AR439="","",IF(ISNUMBER($AR439),IF($AR439&gt;=10000000,IFERROR(DATE(INT($AR439/10000),MOD(INT($AR439/100),100),MOD($AR439,100)),""),INT($AR439)),IFERROR(DATE(--LEFT(LEFT(SUBSTITUTE(SUBSTITUTE(SUBSTITUTE(SUBSTITUTE(TRIM($AR439),"-",""),".",""),"/","")," ",""),8),4),--MID(LEFT(SUBSTITUTE(SUBSTITUTE(SUBSTITUTE(SUBSTITUTE(TRIM($AR439),"-",""),".",""),"/","")," ",""),8),5,2),--MID(LEFT(SUBSTITUTE(SUBSTITUTE(SUBSTITUTE(SUBSTITUTE(TRIM($AR439),"-",""),".",""),"/","")," ",""),8),7,2)),"")))</f>
        <v/>
      </c>
      <c r="AT439" s="23">
        <f>IF($AS439="","",IF($F$6="",0,IF(ISNUMBER(INDEX($A:$AP,ROW(),$F$6)),INDEX($A:$AP,ROW(),$F$6),IFERROR(--SUBSTITUTE(SUBSTITUTE(TRIM(INDEX($A:$AP,ROW(),$F$6)),",",""),"원",""),0))))</f>
        <v/>
      </c>
      <c r="AU439" s="23">
        <f>IF($AS439="","",IF($G$6="",0,IF(ISNUMBER(INDEX($A:$AP,ROW(),$G$6)),INDEX($A:$AP,ROW(),$G$6),IFERROR(--SUBSTITUTE(SUBSTITUTE(TRIM(INDEX($A:$AP,ROW(),$G$6)),",",""),"원",""),0))))</f>
        <v/>
      </c>
      <c r="AV439" s="23">
        <f>IF($AS439="","",IF($H$6="",$AT439+$AU439,IF($H$6="",0,IF(ISNUMBER(INDEX($A:$AP,ROW(),$H$6)),INDEX($A:$AP,ROW(),$H$6),IFERROR(--SUBSTITUTE(SUBSTITUTE(TRIM(INDEX($A:$AP,ROW(),$H$6)),",",""),"원",""),0)))))</f>
        <v/>
      </c>
      <c r="AW439" s="2">
        <f>IF(OR($AS439="",$C$6=""),"",TRIM(INDEX($A:$AP,ROW(),$C$6)&amp;""))</f>
        <v/>
      </c>
      <c r="AX439" s="2">
        <f>IF($AS439="","",IF($AZ439&lt;&gt;"",SUBSTITUTE(SUBSTITUTE($AZ439,"-","")," ",""),$AY439))</f>
        <v/>
      </c>
      <c r="AY439" s="2">
        <f>IF(OR($AS439="",$E$6=""),"",TRIM(INDEX($A:$AP,ROW(),$E$6)&amp;""))</f>
        <v/>
      </c>
      <c r="AZ439" s="2">
        <f>IF(OR($AS439="",$D$6=""),"",TRIM(INDEX($A:$AP,ROW(),$D$6)&amp;""))</f>
        <v/>
      </c>
      <c r="BA439" s="2">
        <f>IF($AS439="","",IF(AND($AS439&gt;=설정!$B$10,$AS439&lt;=설정!$B$11),"포함","기간 밖"))</f>
        <v/>
      </c>
      <c r="BB439" s="2">
        <f>IF($AS439="","",IF(OR($AT439&lt;0,AND($I$6&lt;&gt;"",ISNUMBER(FIND("수정",INDEX($A:$AP,ROW(),IF($I$6="",1,$I$6))&amp;"")))),"수정","일반"))</f>
        <v/>
      </c>
      <c r="BC439" s="2">
        <f>IF($AS439="","",MID(IF($BA439="기간 밖"," / 기간 밖(신고기간 아님)","")&amp;IF(AND($AW439&lt;&gt;"",COUNTIF($AW$8:$AW$1007,$AW439)&gt;1)," / 승인번호 중복(두 번 붙여넣기?)","")&amp;IF(ABS($AU439-ROUND($AT439*0.1,0))&gt;설정!$B$8,IF($AU439=0," / 세액 0원(영세율·면세 여부 확인)"," / 세액이 공급가액 10%와 다름"),"")&amp;IF($BB439="수정"," / 수정세금계산서(합계에서 자동 가감)",""),4,200))</f>
        <v/>
      </c>
      <c r="BD439" s="2">
        <f>IF($BA439&lt;&gt;"포함","",IF(COUNTIFS($AX$8:$AX439,$AX439,$BA$8:$BA439,"포함")=1,MAX($BD$7:BD438)+1,""))</f>
        <v/>
      </c>
      <c r="BE439" s="2">
        <f>IF($BC439="","",MAX($BE$7:BE438)+1)</f>
        <v/>
      </c>
    </row>
    <row r="440">
      <c r="AR440" s="2">
        <f>IF(OR($A$5="",$B$6="",ROW()&lt;$A$5),"",IF(INDEX($A:$AP,ROW(),$B$6)="","",INDEX($A:$AP,ROW(),$B$6)))</f>
        <v/>
      </c>
      <c r="AS440" s="22">
        <f>IF($AR440="","",IF(ISNUMBER($AR440),IF($AR440&gt;=10000000,IFERROR(DATE(INT($AR440/10000),MOD(INT($AR440/100),100),MOD($AR440,100)),""),INT($AR440)),IFERROR(DATE(--LEFT(LEFT(SUBSTITUTE(SUBSTITUTE(SUBSTITUTE(SUBSTITUTE(TRIM($AR440),"-",""),".",""),"/","")," ",""),8),4),--MID(LEFT(SUBSTITUTE(SUBSTITUTE(SUBSTITUTE(SUBSTITUTE(TRIM($AR440),"-",""),".",""),"/","")," ",""),8),5,2),--MID(LEFT(SUBSTITUTE(SUBSTITUTE(SUBSTITUTE(SUBSTITUTE(TRIM($AR440),"-",""),".",""),"/","")," ",""),8),7,2)),"")))</f>
        <v/>
      </c>
      <c r="AT440" s="23">
        <f>IF($AS440="","",IF($F$6="",0,IF(ISNUMBER(INDEX($A:$AP,ROW(),$F$6)),INDEX($A:$AP,ROW(),$F$6),IFERROR(--SUBSTITUTE(SUBSTITUTE(TRIM(INDEX($A:$AP,ROW(),$F$6)),",",""),"원",""),0))))</f>
        <v/>
      </c>
      <c r="AU440" s="23">
        <f>IF($AS440="","",IF($G$6="",0,IF(ISNUMBER(INDEX($A:$AP,ROW(),$G$6)),INDEX($A:$AP,ROW(),$G$6),IFERROR(--SUBSTITUTE(SUBSTITUTE(TRIM(INDEX($A:$AP,ROW(),$G$6)),",",""),"원",""),0))))</f>
        <v/>
      </c>
      <c r="AV440" s="23">
        <f>IF($AS440="","",IF($H$6="",$AT440+$AU440,IF($H$6="",0,IF(ISNUMBER(INDEX($A:$AP,ROW(),$H$6)),INDEX($A:$AP,ROW(),$H$6),IFERROR(--SUBSTITUTE(SUBSTITUTE(TRIM(INDEX($A:$AP,ROW(),$H$6)),",",""),"원",""),0)))))</f>
        <v/>
      </c>
      <c r="AW440" s="2">
        <f>IF(OR($AS440="",$C$6=""),"",TRIM(INDEX($A:$AP,ROW(),$C$6)&amp;""))</f>
        <v/>
      </c>
      <c r="AX440" s="2">
        <f>IF($AS440="","",IF($AZ440&lt;&gt;"",SUBSTITUTE(SUBSTITUTE($AZ440,"-","")," ",""),$AY440))</f>
        <v/>
      </c>
      <c r="AY440" s="2">
        <f>IF(OR($AS440="",$E$6=""),"",TRIM(INDEX($A:$AP,ROW(),$E$6)&amp;""))</f>
        <v/>
      </c>
      <c r="AZ440" s="2">
        <f>IF(OR($AS440="",$D$6=""),"",TRIM(INDEX($A:$AP,ROW(),$D$6)&amp;""))</f>
        <v/>
      </c>
      <c r="BA440" s="2">
        <f>IF($AS440="","",IF(AND($AS440&gt;=설정!$B$10,$AS440&lt;=설정!$B$11),"포함","기간 밖"))</f>
        <v/>
      </c>
      <c r="BB440" s="2">
        <f>IF($AS440="","",IF(OR($AT440&lt;0,AND($I$6&lt;&gt;"",ISNUMBER(FIND("수정",INDEX($A:$AP,ROW(),IF($I$6="",1,$I$6))&amp;"")))),"수정","일반"))</f>
        <v/>
      </c>
      <c r="BC440" s="2">
        <f>IF($AS440="","",MID(IF($BA440="기간 밖"," / 기간 밖(신고기간 아님)","")&amp;IF(AND($AW440&lt;&gt;"",COUNTIF($AW$8:$AW$1007,$AW440)&gt;1)," / 승인번호 중복(두 번 붙여넣기?)","")&amp;IF(ABS($AU440-ROUND($AT440*0.1,0))&gt;설정!$B$8,IF($AU440=0," / 세액 0원(영세율·면세 여부 확인)"," / 세액이 공급가액 10%와 다름"),"")&amp;IF($BB440="수정"," / 수정세금계산서(합계에서 자동 가감)",""),4,200))</f>
        <v/>
      </c>
      <c r="BD440" s="2">
        <f>IF($BA440&lt;&gt;"포함","",IF(COUNTIFS($AX$8:$AX440,$AX440,$BA$8:$BA440,"포함")=1,MAX($BD$7:BD439)+1,""))</f>
        <v/>
      </c>
      <c r="BE440" s="2">
        <f>IF($BC440="","",MAX($BE$7:BE439)+1)</f>
        <v/>
      </c>
    </row>
    <row r="441">
      <c r="AR441" s="2">
        <f>IF(OR($A$5="",$B$6="",ROW()&lt;$A$5),"",IF(INDEX($A:$AP,ROW(),$B$6)="","",INDEX($A:$AP,ROW(),$B$6)))</f>
        <v/>
      </c>
      <c r="AS441" s="22">
        <f>IF($AR441="","",IF(ISNUMBER($AR441),IF($AR441&gt;=10000000,IFERROR(DATE(INT($AR441/10000),MOD(INT($AR441/100),100),MOD($AR441,100)),""),INT($AR441)),IFERROR(DATE(--LEFT(LEFT(SUBSTITUTE(SUBSTITUTE(SUBSTITUTE(SUBSTITUTE(TRIM($AR441),"-",""),".",""),"/","")," ",""),8),4),--MID(LEFT(SUBSTITUTE(SUBSTITUTE(SUBSTITUTE(SUBSTITUTE(TRIM($AR441),"-",""),".",""),"/","")," ",""),8),5,2),--MID(LEFT(SUBSTITUTE(SUBSTITUTE(SUBSTITUTE(SUBSTITUTE(TRIM($AR441),"-",""),".",""),"/","")," ",""),8),7,2)),"")))</f>
        <v/>
      </c>
      <c r="AT441" s="23">
        <f>IF($AS441="","",IF($F$6="",0,IF(ISNUMBER(INDEX($A:$AP,ROW(),$F$6)),INDEX($A:$AP,ROW(),$F$6),IFERROR(--SUBSTITUTE(SUBSTITUTE(TRIM(INDEX($A:$AP,ROW(),$F$6)),",",""),"원",""),0))))</f>
        <v/>
      </c>
      <c r="AU441" s="23">
        <f>IF($AS441="","",IF($G$6="",0,IF(ISNUMBER(INDEX($A:$AP,ROW(),$G$6)),INDEX($A:$AP,ROW(),$G$6),IFERROR(--SUBSTITUTE(SUBSTITUTE(TRIM(INDEX($A:$AP,ROW(),$G$6)),",",""),"원",""),0))))</f>
        <v/>
      </c>
      <c r="AV441" s="23">
        <f>IF($AS441="","",IF($H$6="",$AT441+$AU441,IF($H$6="",0,IF(ISNUMBER(INDEX($A:$AP,ROW(),$H$6)),INDEX($A:$AP,ROW(),$H$6),IFERROR(--SUBSTITUTE(SUBSTITUTE(TRIM(INDEX($A:$AP,ROW(),$H$6)),",",""),"원",""),0)))))</f>
        <v/>
      </c>
      <c r="AW441" s="2">
        <f>IF(OR($AS441="",$C$6=""),"",TRIM(INDEX($A:$AP,ROW(),$C$6)&amp;""))</f>
        <v/>
      </c>
      <c r="AX441" s="2">
        <f>IF($AS441="","",IF($AZ441&lt;&gt;"",SUBSTITUTE(SUBSTITUTE($AZ441,"-","")," ",""),$AY441))</f>
        <v/>
      </c>
      <c r="AY441" s="2">
        <f>IF(OR($AS441="",$E$6=""),"",TRIM(INDEX($A:$AP,ROW(),$E$6)&amp;""))</f>
        <v/>
      </c>
      <c r="AZ441" s="2">
        <f>IF(OR($AS441="",$D$6=""),"",TRIM(INDEX($A:$AP,ROW(),$D$6)&amp;""))</f>
        <v/>
      </c>
      <c r="BA441" s="2">
        <f>IF($AS441="","",IF(AND($AS441&gt;=설정!$B$10,$AS441&lt;=설정!$B$11),"포함","기간 밖"))</f>
        <v/>
      </c>
      <c r="BB441" s="2">
        <f>IF($AS441="","",IF(OR($AT441&lt;0,AND($I$6&lt;&gt;"",ISNUMBER(FIND("수정",INDEX($A:$AP,ROW(),IF($I$6="",1,$I$6))&amp;"")))),"수정","일반"))</f>
        <v/>
      </c>
      <c r="BC441" s="2">
        <f>IF($AS441="","",MID(IF($BA441="기간 밖"," / 기간 밖(신고기간 아님)","")&amp;IF(AND($AW441&lt;&gt;"",COUNTIF($AW$8:$AW$1007,$AW441)&gt;1)," / 승인번호 중복(두 번 붙여넣기?)","")&amp;IF(ABS($AU441-ROUND($AT441*0.1,0))&gt;설정!$B$8,IF($AU441=0," / 세액 0원(영세율·면세 여부 확인)"," / 세액이 공급가액 10%와 다름"),"")&amp;IF($BB441="수정"," / 수정세금계산서(합계에서 자동 가감)",""),4,200))</f>
        <v/>
      </c>
      <c r="BD441" s="2">
        <f>IF($BA441&lt;&gt;"포함","",IF(COUNTIFS($AX$8:$AX441,$AX441,$BA$8:$BA441,"포함")=1,MAX($BD$7:BD440)+1,""))</f>
        <v/>
      </c>
      <c r="BE441" s="2">
        <f>IF($BC441="","",MAX($BE$7:BE440)+1)</f>
        <v/>
      </c>
    </row>
    <row r="442">
      <c r="AR442" s="2">
        <f>IF(OR($A$5="",$B$6="",ROW()&lt;$A$5),"",IF(INDEX($A:$AP,ROW(),$B$6)="","",INDEX($A:$AP,ROW(),$B$6)))</f>
        <v/>
      </c>
      <c r="AS442" s="22">
        <f>IF($AR442="","",IF(ISNUMBER($AR442),IF($AR442&gt;=10000000,IFERROR(DATE(INT($AR442/10000),MOD(INT($AR442/100),100),MOD($AR442,100)),""),INT($AR442)),IFERROR(DATE(--LEFT(LEFT(SUBSTITUTE(SUBSTITUTE(SUBSTITUTE(SUBSTITUTE(TRIM($AR442),"-",""),".",""),"/","")," ",""),8),4),--MID(LEFT(SUBSTITUTE(SUBSTITUTE(SUBSTITUTE(SUBSTITUTE(TRIM($AR442),"-",""),".",""),"/","")," ",""),8),5,2),--MID(LEFT(SUBSTITUTE(SUBSTITUTE(SUBSTITUTE(SUBSTITUTE(TRIM($AR442),"-",""),".",""),"/","")," ",""),8),7,2)),"")))</f>
        <v/>
      </c>
      <c r="AT442" s="23">
        <f>IF($AS442="","",IF($F$6="",0,IF(ISNUMBER(INDEX($A:$AP,ROW(),$F$6)),INDEX($A:$AP,ROW(),$F$6),IFERROR(--SUBSTITUTE(SUBSTITUTE(TRIM(INDEX($A:$AP,ROW(),$F$6)),",",""),"원",""),0))))</f>
        <v/>
      </c>
      <c r="AU442" s="23">
        <f>IF($AS442="","",IF($G$6="",0,IF(ISNUMBER(INDEX($A:$AP,ROW(),$G$6)),INDEX($A:$AP,ROW(),$G$6),IFERROR(--SUBSTITUTE(SUBSTITUTE(TRIM(INDEX($A:$AP,ROW(),$G$6)),",",""),"원",""),0))))</f>
        <v/>
      </c>
      <c r="AV442" s="23">
        <f>IF($AS442="","",IF($H$6="",$AT442+$AU442,IF($H$6="",0,IF(ISNUMBER(INDEX($A:$AP,ROW(),$H$6)),INDEX($A:$AP,ROW(),$H$6),IFERROR(--SUBSTITUTE(SUBSTITUTE(TRIM(INDEX($A:$AP,ROW(),$H$6)),",",""),"원",""),0)))))</f>
        <v/>
      </c>
      <c r="AW442" s="2">
        <f>IF(OR($AS442="",$C$6=""),"",TRIM(INDEX($A:$AP,ROW(),$C$6)&amp;""))</f>
        <v/>
      </c>
      <c r="AX442" s="2">
        <f>IF($AS442="","",IF($AZ442&lt;&gt;"",SUBSTITUTE(SUBSTITUTE($AZ442,"-","")," ",""),$AY442))</f>
        <v/>
      </c>
      <c r="AY442" s="2">
        <f>IF(OR($AS442="",$E$6=""),"",TRIM(INDEX($A:$AP,ROW(),$E$6)&amp;""))</f>
        <v/>
      </c>
      <c r="AZ442" s="2">
        <f>IF(OR($AS442="",$D$6=""),"",TRIM(INDEX($A:$AP,ROW(),$D$6)&amp;""))</f>
        <v/>
      </c>
      <c r="BA442" s="2">
        <f>IF($AS442="","",IF(AND($AS442&gt;=설정!$B$10,$AS442&lt;=설정!$B$11),"포함","기간 밖"))</f>
        <v/>
      </c>
      <c r="BB442" s="2">
        <f>IF($AS442="","",IF(OR($AT442&lt;0,AND($I$6&lt;&gt;"",ISNUMBER(FIND("수정",INDEX($A:$AP,ROW(),IF($I$6="",1,$I$6))&amp;"")))),"수정","일반"))</f>
        <v/>
      </c>
      <c r="BC442" s="2">
        <f>IF($AS442="","",MID(IF($BA442="기간 밖"," / 기간 밖(신고기간 아님)","")&amp;IF(AND($AW442&lt;&gt;"",COUNTIF($AW$8:$AW$1007,$AW442)&gt;1)," / 승인번호 중복(두 번 붙여넣기?)","")&amp;IF(ABS($AU442-ROUND($AT442*0.1,0))&gt;설정!$B$8,IF($AU442=0," / 세액 0원(영세율·면세 여부 확인)"," / 세액이 공급가액 10%와 다름"),"")&amp;IF($BB442="수정"," / 수정세금계산서(합계에서 자동 가감)",""),4,200))</f>
        <v/>
      </c>
      <c r="BD442" s="2">
        <f>IF($BA442&lt;&gt;"포함","",IF(COUNTIFS($AX$8:$AX442,$AX442,$BA$8:$BA442,"포함")=1,MAX($BD$7:BD441)+1,""))</f>
        <v/>
      </c>
      <c r="BE442" s="2">
        <f>IF($BC442="","",MAX($BE$7:BE441)+1)</f>
        <v/>
      </c>
    </row>
    <row r="443">
      <c r="AR443" s="2">
        <f>IF(OR($A$5="",$B$6="",ROW()&lt;$A$5),"",IF(INDEX($A:$AP,ROW(),$B$6)="","",INDEX($A:$AP,ROW(),$B$6)))</f>
        <v/>
      </c>
      <c r="AS443" s="22">
        <f>IF($AR443="","",IF(ISNUMBER($AR443),IF($AR443&gt;=10000000,IFERROR(DATE(INT($AR443/10000),MOD(INT($AR443/100),100),MOD($AR443,100)),""),INT($AR443)),IFERROR(DATE(--LEFT(LEFT(SUBSTITUTE(SUBSTITUTE(SUBSTITUTE(SUBSTITUTE(TRIM($AR443),"-",""),".",""),"/","")," ",""),8),4),--MID(LEFT(SUBSTITUTE(SUBSTITUTE(SUBSTITUTE(SUBSTITUTE(TRIM($AR443),"-",""),".",""),"/","")," ",""),8),5,2),--MID(LEFT(SUBSTITUTE(SUBSTITUTE(SUBSTITUTE(SUBSTITUTE(TRIM($AR443),"-",""),".",""),"/","")," ",""),8),7,2)),"")))</f>
        <v/>
      </c>
      <c r="AT443" s="23">
        <f>IF($AS443="","",IF($F$6="",0,IF(ISNUMBER(INDEX($A:$AP,ROW(),$F$6)),INDEX($A:$AP,ROW(),$F$6),IFERROR(--SUBSTITUTE(SUBSTITUTE(TRIM(INDEX($A:$AP,ROW(),$F$6)),",",""),"원",""),0))))</f>
        <v/>
      </c>
      <c r="AU443" s="23">
        <f>IF($AS443="","",IF($G$6="",0,IF(ISNUMBER(INDEX($A:$AP,ROW(),$G$6)),INDEX($A:$AP,ROW(),$G$6),IFERROR(--SUBSTITUTE(SUBSTITUTE(TRIM(INDEX($A:$AP,ROW(),$G$6)),",",""),"원",""),0))))</f>
        <v/>
      </c>
      <c r="AV443" s="23">
        <f>IF($AS443="","",IF($H$6="",$AT443+$AU443,IF($H$6="",0,IF(ISNUMBER(INDEX($A:$AP,ROW(),$H$6)),INDEX($A:$AP,ROW(),$H$6),IFERROR(--SUBSTITUTE(SUBSTITUTE(TRIM(INDEX($A:$AP,ROW(),$H$6)),",",""),"원",""),0)))))</f>
        <v/>
      </c>
      <c r="AW443" s="2">
        <f>IF(OR($AS443="",$C$6=""),"",TRIM(INDEX($A:$AP,ROW(),$C$6)&amp;""))</f>
        <v/>
      </c>
      <c r="AX443" s="2">
        <f>IF($AS443="","",IF($AZ443&lt;&gt;"",SUBSTITUTE(SUBSTITUTE($AZ443,"-","")," ",""),$AY443))</f>
        <v/>
      </c>
      <c r="AY443" s="2">
        <f>IF(OR($AS443="",$E$6=""),"",TRIM(INDEX($A:$AP,ROW(),$E$6)&amp;""))</f>
        <v/>
      </c>
      <c r="AZ443" s="2">
        <f>IF(OR($AS443="",$D$6=""),"",TRIM(INDEX($A:$AP,ROW(),$D$6)&amp;""))</f>
        <v/>
      </c>
      <c r="BA443" s="2">
        <f>IF($AS443="","",IF(AND($AS443&gt;=설정!$B$10,$AS443&lt;=설정!$B$11),"포함","기간 밖"))</f>
        <v/>
      </c>
      <c r="BB443" s="2">
        <f>IF($AS443="","",IF(OR($AT443&lt;0,AND($I$6&lt;&gt;"",ISNUMBER(FIND("수정",INDEX($A:$AP,ROW(),IF($I$6="",1,$I$6))&amp;"")))),"수정","일반"))</f>
        <v/>
      </c>
      <c r="BC443" s="2">
        <f>IF($AS443="","",MID(IF($BA443="기간 밖"," / 기간 밖(신고기간 아님)","")&amp;IF(AND($AW443&lt;&gt;"",COUNTIF($AW$8:$AW$1007,$AW443)&gt;1)," / 승인번호 중복(두 번 붙여넣기?)","")&amp;IF(ABS($AU443-ROUND($AT443*0.1,0))&gt;설정!$B$8,IF($AU443=0," / 세액 0원(영세율·면세 여부 확인)"," / 세액이 공급가액 10%와 다름"),"")&amp;IF($BB443="수정"," / 수정세금계산서(합계에서 자동 가감)",""),4,200))</f>
        <v/>
      </c>
      <c r="BD443" s="2">
        <f>IF($BA443&lt;&gt;"포함","",IF(COUNTIFS($AX$8:$AX443,$AX443,$BA$8:$BA443,"포함")=1,MAX($BD$7:BD442)+1,""))</f>
        <v/>
      </c>
      <c r="BE443" s="2">
        <f>IF($BC443="","",MAX($BE$7:BE442)+1)</f>
        <v/>
      </c>
    </row>
    <row r="444">
      <c r="AR444" s="2">
        <f>IF(OR($A$5="",$B$6="",ROW()&lt;$A$5),"",IF(INDEX($A:$AP,ROW(),$B$6)="","",INDEX($A:$AP,ROW(),$B$6)))</f>
        <v/>
      </c>
      <c r="AS444" s="22">
        <f>IF($AR444="","",IF(ISNUMBER($AR444),IF($AR444&gt;=10000000,IFERROR(DATE(INT($AR444/10000),MOD(INT($AR444/100),100),MOD($AR444,100)),""),INT($AR444)),IFERROR(DATE(--LEFT(LEFT(SUBSTITUTE(SUBSTITUTE(SUBSTITUTE(SUBSTITUTE(TRIM($AR444),"-",""),".",""),"/","")," ",""),8),4),--MID(LEFT(SUBSTITUTE(SUBSTITUTE(SUBSTITUTE(SUBSTITUTE(TRIM($AR444),"-",""),".",""),"/","")," ",""),8),5,2),--MID(LEFT(SUBSTITUTE(SUBSTITUTE(SUBSTITUTE(SUBSTITUTE(TRIM($AR444),"-",""),".",""),"/","")," ",""),8),7,2)),"")))</f>
        <v/>
      </c>
      <c r="AT444" s="23">
        <f>IF($AS444="","",IF($F$6="",0,IF(ISNUMBER(INDEX($A:$AP,ROW(),$F$6)),INDEX($A:$AP,ROW(),$F$6),IFERROR(--SUBSTITUTE(SUBSTITUTE(TRIM(INDEX($A:$AP,ROW(),$F$6)),",",""),"원",""),0))))</f>
        <v/>
      </c>
      <c r="AU444" s="23">
        <f>IF($AS444="","",IF($G$6="",0,IF(ISNUMBER(INDEX($A:$AP,ROW(),$G$6)),INDEX($A:$AP,ROW(),$G$6),IFERROR(--SUBSTITUTE(SUBSTITUTE(TRIM(INDEX($A:$AP,ROW(),$G$6)),",",""),"원",""),0))))</f>
        <v/>
      </c>
      <c r="AV444" s="23">
        <f>IF($AS444="","",IF($H$6="",$AT444+$AU444,IF($H$6="",0,IF(ISNUMBER(INDEX($A:$AP,ROW(),$H$6)),INDEX($A:$AP,ROW(),$H$6),IFERROR(--SUBSTITUTE(SUBSTITUTE(TRIM(INDEX($A:$AP,ROW(),$H$6)),",",""),"원",""),0)))))</f>
        <v/>
      </c>
      <c r="AW444" s="2">
        <f>IF(OR($AS444="",$C$6=""),"",TRIM(INDEX($A:$AP,ROW(),$C$6)&amp;""))</f>
        <v/>
      </c>
      <c r="AX444" s="2">
        <f>IF($AS444="","",IF($AZ444&lt;&gt;"",SUBSTITUTE(SUBSTITUTE($AZ444,"-","")," ",""),$AY444))</f>
        <v/>
      </c>
      <c r="AY444" s="2">
        <f>IF(OR($AS444="",$E$6=""),"",TRIM(INDEX($A:$AP,ROW(),$E$6)&amp;""))</f>
        <v/>
      </c>
      <c r="AZ444" s="2">
        <f>IF(OR($AS444="",$D$6=""),"",TRIM(INDEX($A:$AP,ROW(),$D$6)&amp;""))</f>
        <v/>
      </c>
      <c r="BA444" s="2">
        <f>IF($AS444="","",IF(AND($AS444&gt;=설정!$B$10,$AS444&lt;=설정!$B$11),"포함","기간 밖"))</f>
        <v/>
      </c>
      <c r="BB444" s="2">
        <f>IF($AS444="","",IF(OR($AT444&lt;0,AND($I$6&lt;&gt;"",ISNUMBER(FIND("수정",INDEX($A:$AP,ROW(),IF($I$6="",1,$I$6))&amp;"")))),"수정","일반"))</f>
        <v/>
      </c>
      <c r="BC444" s="2">
        <f>IF($AS444="","",MID(IF($BA444="기간 밖"," / 기간 밖(신고기간 아님)","")&amp;IF(AND($AW444&lt;&gt;"",COUNTIF($AW$8:$AW$1007,$AW444)&gt;1)," / 승인번호 중복(두 번 붙여넣기?)","")&amp;IF(ABS($AU444-ROUND($AT444*0.1,0))&gt;설정!$B$8,IF($AU444=0," / 세액 0원(영세율·면세 여부 확인)"," / 세액이 공급가액 10%와 다름"),"")&amp;IF($BB444="수정"," / 수정세금계산서(합계에서 자동 가감)",""),4,200))</f>
        <v/>
      </c>
      <c r="BD444" s="2">
        <f>IF($BA444&lt;&gt;"포함","",IF(COUNTIFS($AX$8:$AX444,$AX444,$BA$8:$BA444,"포함")=1,MAX($BD$7:BD443)+1,""))</f>
        <v/>
      </c>
      <c r="BE444" s="2">
        <f>IF($BC444="","",MAX($BE$7:BE443)+1)</f>
        <v/>
      </c>
    </row>
    <row r="445">
      <c r="AR445" s="2">
        <f>IF(OR($A$5="",$B$6="",ROW()&lt;$A$5),"",IF(INDEX($A:$AP,ROW(),$B$6)="","",INDEX($A:$AP,ROW(),$B$6)))</f>
        <v/>
      </c>
      <c r="AS445" s="22">
        <f>IF($AR445="","",IF(ISNUMBER($AR445),IF($AR445&gt;=10000000,IFERROR(DATE(INT($AR445/10000),MOD(INT($AR445/100),100),MOD($AR445,100)),""),INT($AR445)),IFERROR(DATE(--LEFT(LEFT(SUBSTITUTE(SUBSTITUTE(SUBSTITUTE(SUBSTITUTE(TRIM($AR445),"-",""),".",""),"/","")," ",""),8),4),--MID(LEFT(SUBSTITUTE(SUBSTITUTE(SUBSTITUTE(SUBSTITUTE(TRIM($AR445),"-",""),".",""),"/","")," ",""),8),5,2),--MID(LEFT(SUBSTITUTE(SUBSTITUTE(SUBSTITUTE(SUBSTITUTE(TRIM($AR445),"-",""),".",""),"/","")," ",""),8),7,2)),"")))</f>
        <v/>
      </c>
      <c r="AT445" s="23">
        <f>IF($AS445="","",IF($F$6="",0,IF(ISNUMBER(INDEX($A:$AP,ROW(),$F$6)),INDEX($A:$AP,ROW(),$F$6),IFERROR(--SUBSTITUTE(SUBSTITUTE(TRIM(INDEX($A:$AP,ROW(),$F$6)),",",""),"원",""),0))))</f>
        <v/>
      </c>
      <c r="AU445" s="23">
        <f>IF($AS445="","",IF($G$6="",0,IF(ISNUMBER(INDEX($A:$AP,ROW(),$G$6)),INDEX($A:$AP,ROW(),$G$6),IFERROR(--SUBSTITUTE(SUBSTITUTE(TRIM(INDEX($A:$AP,ROW(),$G$6)),",",""),"원",""),0))))</f>
        <v/>
      </c>
      <c r="AV445" s="23">
        <f>IF($AS445="","",IF($H$6="",$AT445+$AU445,IF($H$6="",0,IF(ISNUMBER(INDEX($A:$AP,ROW(),$H$6)),INDEX($A:$AP,ROW(),$H$6),IFERROR(--SUBSTITUTE(SUBSTITUTE(TRIM(INDEX($A:$AP,ROW(),$H$6)),",",""),"원",""),0)))))</f>
        <v/>
      </c>
      <c r="AW445" s="2">
        <f>IF(OR($AS445="",$C$6=""),"",TRIM(INDEX($A:$AP,ROW(),$C$6)&amp;""))</f>
        <v/>
      </c>
      <c r="AX445" s="2">
        <f>IF($AS445="","",IF($AZ445&lt;&gt;"",SUBSTITUTE(SUBSTITUTE($AZ445,"-","")," ",""),$AY445))</f>
        <v/>
      </c>
      <c r="AY445" s="2">
        <f>IF(OR($AS445="",$E$6=""),"",TRIM(INDEX($A:$AP,ROW(),$E$6)&amp;""))</f>
        <v/>
      </c>
      <c r="AZ445" s="2">
        <f>IF(OR($AS445="",$D$6=""),"",TRIM(INDEX($A:$AP,ROW(),$D$6)&amp;""))</f>
        <v/>
      </c>
      <c r="BA445" s="2">
        <f>IF($AS445="","",IF(AND($AS445&gt;=설정!$B$10,$AS445&lt;=설정!$B$11),"포함","기간 밖"))</f>
        <v/>
      </c>
      <c r="BB445" s="2">
        <f>IF($AS445="","",IF(OR($AT445&lt;0,AND($I$6&lt;&gt;"",ISNUMBER(FIND("수정",INDEX($A:$AP,ROW(),IF($I$6="",1,$I$6))&amp;"")))),"수정","일반"))</f>
        <v/>
      </c>
      <c r="BC445" s="2">
        <f>IF($AS445="","",MID(IF($BA445="기간 밖"," / 기간 밖(신고기간 아님)","")&amp;IF(AND($AW445&lt;&gt;"",COUNTIF($AW$8:$AW$1007,$AW445)&gt;1)," / 승인번호 중복(두 번 붙여넣기?)","")&amp;IF(ABS($AU445-ROUND($AT445*0.1,0))&gt;설정!$B$8,IF($AU445=0," / 세액 0원(영세율·면세 여부 확인)"," / 세액이 공급가액 10%와 다름"),"")&amp;IF($BB445="수정"," / 수정세금계산서(합계에서 자동 가감)",""),4,200))</f>
        <v/>
      </c>
      <c r="BD445" s="2">
        <f>IF($BA445&lt;&gt;"포함","",IF(COUNTIFS($AX$8:$AX445,$AX445,$BA$8:$BA445,"포함")=1,MAX($BD$7:BD444)+1,""))</f>
        <v/>
      </c>
      <c r="BE445" s="2">
        <f>IF($BC445="","",MAX($BE$7:BE444)+1)</f>
        <v/>
      </c>
    </row>
    <row r="446">
      <c r="AR446" s="2">
        <f>IF(OR($A$5="",$B$6="",ROW()&lt;$A$5),"",IF(INDEX($A:$AP,ROW(),$B$6)="","",INDEX($A:$AP,ROW(),$B$6)))</f>
        <v/>
      </c>
      <c r="AS446" s="22">
        <f>IF($AR446="","",IF(ISNUMBER($AR446),IF($AR446&gt;=10000000,IFERROR(DATE(INT($AR446/10000),MOD(INT($AR446/100),100),MOD($AR446,100)),""),INT($AR446)),IFERROR(DATE(--LEFT(LEFT(SUBSTITUTE(SUBSTITUTE(SUBSTITUTE(SUBSTITUTE(TRIM($AR446),"-",""),".",""),"/","")," ",""),8),4),--MID(LEFT(SUBSTITUTE(SUBSTITUTE(SUBSTITUTE(SUBSTITUTE(TRIM($AR446),"-",""),".",""),"/","")," ",""),8),5,2),--MID(LEFT(SUBSTITUTE(SUBSTITUTE(SUBSTITUTE(SUBSTITUTE(TRIM($AR446),"-",""),".",""),"/","")," ",""),8),7,2)),"")))</f>
        <v/>
      </c>
      <c r="AT446" s="23">
        <f>IF($AS446="","",IF($F$6="",0,IF(ISNUMBER(INDEX($A:$AP,ROW(),$F$6)),INDEX($A:$AP,ROW(),$F$6),IFERROR(--SUBSTITUTE(SUBSTITUTE(TRIM(INDEX($A:$AP,ROW(),$F$6)),",",""),"원",""),0))))</f>
        <v/>
      </c>
      <c r="AU446" s="23">
        <f>IF($AS446="","",IF($G$6="",0,IF(ISNUMBER(INDEX($A:$AP,ROW(),$G$6)),INDEX($A:$AP,ROW(),$G$6),IFERROR(--SUBSTITUTE(SUBSTITUTE(TRIM(INDEX($A:$AP,ROW(),$G$6)),",",""),"원",""),0))))</f>
        <v/>
      </c>
      <c r="AV446" s="23">
        <f>IF($AS446="","",IF($H$6="",$AT446+$AU446,IF($H$6="",0,IF(ISNUMBER(INDEX($A:$AP,ROW(),$H$6)),INDEX($A:$AP,ROW(),$H$6),IFERROR(--SUBSTITUTE(SUBSTITUTE(TRIM(INDEX($A:$AP,ROW(),$H$6)),",",""),"원",""),0)))))</f>
        <v/>
      </c>
      <c r="AW446" s="2">
        <f>IF(OR($AS446="",$C$6=""),"",TRIM(INDEX($A:$AP,ROW(),$C$6)&amp;""))</f>
        <v/>
      </c>
      <c r="AX446" s="2">
        <f>IF($AS446="","",IF($AZ446&lt;&gt;"",SUBSTITUTE(SUBSTITUTE($AZ446,"-","")," ",""),$AY446))</f>
        <v/>
      </c>
      <c r="AY446" s="2">
        <f>IF(OR($AS446="",$E$6=""),"",TRIM(INDEX($A:$AP,ROW(),$E$6)&amp;""))</f>
        <v/>
      </c>
      <c r="AZ446" s="2">
        <f>IF(OR($AS446="",$D$6=""),"",TRIM(INDEX($A:$AP,ROW(),$D$6)&amp;""))</f>
        <v/>
      </c>
      <c r="BA446" s="2">
        <f>IF($AS446="","",IF(AND($AS446&gt;=설정!$B$10,$AS446&lt;=설정!$B$11),"포함","기간 밖"))</f>
        <v/>
      </c>
      <c r="BB446" s="2">
        <f>IF($AS446="","",IF(OR($AT446&lt;0,AND($I$6&lt;&gt;"",ISNUMBER(FIND("수정",INDEX($A:$AP,ROW(),IF($I$6="",1,$I$6))&amp;"")))),"수정","일반"))</f>
        <v/>
      </c>
      <c r="BC446" s="2">
        <f>IF($AS446="","",MID(IF($BA446="기간 밖"," / 기간 밖(신고기간 아님)","")&amp;IF(AND($AW446&lt;&gt;"",COUNTIF($AW$8:$AW$1007,$AW446)&gt;1)," / 승인번호 중복(두 번 붙여넣기?)","")&amp;IF(ABS($AU446-ROUND($AT446*0.1,0))&gt;설정!$B$8,IF($AU446=0," / 세액 0원(영세율·면세 여부 확인)"," / 세액이 공급가액 10%와 다름"),"")&amp;IF($BB446="수정"," / 수정세금계산서(합계에서 자동 가감)",""),4,200))</f>
        <v/>
      </c>
      <c r="BD446" s="2">
        <f>IF($BA446&lt;&gt;"포함","",IF(COUNTIFS($AX$8:$AX446,$AX446,$BA$8:$BA446,"포함")=1,MAX($BD$7:BD445)+1,""))</f>
        <v/>
      </c>
      <c r="BE446" s="2">
        <f>IF($BC446="","",MAX($BE$7:BE445)+1)</f>
        <v/>
      </c>
    </row>
    <row r="447">
      <c r="AR447" s="2">
        <f>IF(OR($A$5="",$B$6="",ROW()&lt;$A$5),"",IF(INDEX($A:$AP,ROW(),$B$6)="","",INDEX($A:$AP,ROW(),$B$6)))</f>
        <v/>
      </c>
      <c r="AS447" s="22">
        <f>IF($AR447="","",IF(ISNUMBER($AR447),IF($AR447&gt;=10000000,IFERROR(DATE(INT($AR447/10000),MOD(INT($AR447/100),100),MOD($AR447,100)),""),INT($AR447)),IFERROR(DATE(--LEFT(LEFT(SUBSTITUTE(SUBSTITUTE(SUBSTITUTE(SUBSTITUTE(TRIM($AR447),"-",""),".",""),"/","")," ",""),8),4),--MID(LEFT(SUBSTITUTE(SUBSTITUTE(SUBSTITUTE(SUBSTITUTE(TRIM($AR447),"-",""),".",""),"/","")," ",""),8),5,2),--MID(LEFT(SUBSTITUTE(SUBSTITUTE(SUBSTITUTE(SUBSTITUTE(TRIM($AR447),"-",""),".",""),"/","")," ",""),8),7,2)),"")))</f>
        <v/>
      </c>
      <c r="AT447" s="23">
        <f>IF($AS447="","",IF($F$6="",0,IF(ISNUMBER(INDEX($A:$AP,ROW(),$F$6)),INDEX($A:$AP,ROW(),$F$6),IFERROR(--SUBSTITUTE(SUBSTITUTE(TRIM(INDEX($A:$AP,ROW(),$F$6)),",",""),"원",""),0))))</f>
        <v/>
      </c>
      <c r="AU447" s="23">
        <f>IF($AS447="","",IF($G$6="",0,IF(ISNUMBER(INDEX($A:$AP,ROW(),$G$6)),INDEX($A:$AP,ROW(),$G$6),IFERROR(--SUBSTITUTE(SUBSTITUTE(TRIM(INDEX($A:$AP,ROW(),$G$6)),",",""),"원",""),0))))</f>
        <v/>
      </c>
      <c r="AV447" s="23">
        <f>IF($AS447="","",IF($H$6="",$AT447+$AU447,IF($H$6="",0,IF(ISNUMBER(INDEX($A:$AP,ROW(),$H$6)),INDEX($A:$AP,ROW(),$H$6),IFERROR(--SUBSTITUTE(SUBSTITUTE(TRIM(INDEX($A:$AP,ROW(),$H$6)),",",""),"원",""),0)))))</f>
        <v/>
      </c>
      <c r="AW447" s="2">
        <f>IF(OR($AS447="",$C$6=""),"",TRIM(INDEX($A:$AP,ROW(),$C$6)&amp;""))</f>
        <v/>
      </c>
      <c r="AX447" s="2">
        <f>IF($AS447="","",IF($AZ447&lt;&gt;"",SUBSTITUTE(SUBSTITUTE($AZ447,"-","")," ",""),$AY447))</f>
        <v/>
      </c>
      <c r="AY447" s="2">
        <f>IF(OR($AS447="",$E$6=""),"",TRIM(INDEX($A:$AP,ROW(),$E$6)&amp;""))</f>
        <v/>
      </c>
      <c r="AZ447" s="2">
        <f>IF(OR($AS447="",$D$6=""),"",TRIM(INDEX($A:$AP,ROW(),$D$6)&amp;""))</f>
        <v/>
      </c>
      <c r="BA447" s="2">
        <f>IF($AS447="","",IF(AND($AS447&gt;=설정!$B$10,$AS447&lt;=설정!$B$11),"포함","기간 밖"))</f>
        <v/>
      </c>
      <c r="BB447" s="2">
        <f>IF($AS447="","",IF(OR($AT447&lt;0,AND($I$6&lt;&gt;"",ISNUMBER(FIND("수정",INDEX($A:$AP,ROW(),IF($I$6="",1,$I$6))&amp;"")))),"수정","일반"))</f>
        <v/>
      </c>
      <c r="BC447" s="2">
        <f>IF($AS447="","",MID(IF($BA447="기간 밖"," / 기간 밖(신고기간 아님)","")&amp;IF(AND($AW447&lt;&gt;"",COUNTIF($AW$8:$AW$1007,$AW447)&gt;1)," / 승인번호 중복(두 번 붙여넣기?)","")&amp;IF(ABS($AU447-ROUND($AT447*0.1,0))&gt;설정!$B$8,IF($AU447=0," / 세액 0원(영세율·면세 여부 확인)"," / 세액이 공급가액 10%와 다름"),"")&amp;IF($BB447="수정"," / 수정세금계산서(합계에서 자동 가감)",""),4,200))</f>
        <v/>
      </c>
      <c r="BD447" s="2">
        <f>IF($BA447&lt;&gt;"포함","",IF(COUNTIFS($AX$8:$AX447,$AX447,$BA$8:$BA447,"포함")=1,MAX($BD$7:BD446)+1,""))</f>
        <v/>
      </c>
      <c r="BE447" s="2">
        <f>IF($BC447="","",MAX($BE$7:BE446)+1)</f>
        <v/>
      </c>
    </row>
    <row r="448">
      <c r="AR448" s="2">
        <f>IF(OR($A$5="",$B$6="",ROW()&lt;$A$5),"",IF(INDEX($A:$AP,ROW(),$B$6)="","",INDEX($A:$AP,ROW(),$B$6)))</f>
        <v/>
      </c>
      <c r="AS448" s="22">
        <f>IF($AR448="","",IF(ISNUMBER($AR448),IF($AR448&gt;=10000000,IFERROR(DATE(INT($AR448/10000),MOD(INT($AR448/100),100),MOD($AR448,100)),""),INT($AR448)),IFERROR(DATE(--LEFT(LEFT(SUBSTITUTE(SUBSTITUTE(SUBSTITUTE(SUBSTITUTE(TRIM($AR448),"-",""),".",""),"/","")," ",""),8),4),--MID(LEFT(SUBSTITUTE(SUBSTITUTE(SUBSTITUTE(SUBSTITUTE(TRIM($AR448),"-",""),".",""),"/","")," ",""),8),5,2),--MID(LEFT(SUBSTITUTE(SUBSTITUTE(SUBSTITUTE(SUBSTITUTE(TRIM($AR448),"-",""),".",""),"/","")," ",""),8),7,2)),"")))</f>
        <v/>
      </c>
      <c r="AT448" s="23">
        <f>IF($AS448="","",IF($F$6="",0,IF(ISNUMBER(INDEX($A:$AP,ROW(),$F$6)),INDEX($A:$AP,ROW(),$F$6),IFERROR(--SUBSTITUTE(SUBSTITUTE(TRIM(INDEX($A:$AP,ROW(),$F$6)),",",""),"원",""),0))))</f>
        <v/>
      </c>
      <c r="AU448" s="23">
        <f>IF($AS448="","",IF($G$6="",0,IF(ISNUMBER(INDEX($A:$AP,ROW(),$G$6)),INDEX($A:$AP,ROW(),$G$6),IFERROR(--SUBSTITUTE(SUBSTITUTE(TRIM(INDEX($A:$AP,ROW(),$G$6)),",",""),"원",""),0))))</f>
        <v/>
      </c>
      <c r="AV448" s="23">
        <f>IF($AS448="","",IF($H$6="",$AT448+$AU448,IF($H$6="",0,IF(ISNUMBER(INDEX($A:$AP,ROW(),$H$6)),INDEX($A:$AP,ROW(),$H$6),IFERROR(--SUBSTITUTE(SUBSTITUTE(TRIM(INDEX($A:$AP,ROW(),$H$6)),",",""),"원",""),0)))))</f>
        <v/>
      </c>
      <c r="AW448" s="2">
        <f>IF(OR($AS448="",$C$6=""),"",TRIM(INDEX($A:$AP,ROW(),$C$6)&amp;""))</f>
        <v/>
      </c>
      <c r="AX448" s="2">
        <f>IF($AS448="","",IF($AZ448&lt;&gt;"",SUBSTITUTE(SUBSTITUTE($AZ448,"-","")," ",""),$AY448))</f>
        <v/>
      </c>
      <c r="AY448" s="2">
        <f>IF(OR($AS448="",$E$6=""),"",TRIM(INDEX($A:$AP,ROW(),$E$6)&amp;""))</f>
        <v/>
      </c>
      <c r="AZ448" s="2">
        <f>IF(OR($AS448="",$D$6=""),"",TRIM(INDEX($A:$AP,ROW(),$D$6)&amp;""))</f>
        <v/>
      </c>
      <c r="BA448" s="2">
        <f>IF($AS448="","",IF(AND($AS448&gt;=설정!$B$10,$AS448&lt;=설정!$B$11),"포함","기간 밖"))</f>
        <v/>
      </c>
      <c r="BB448" s="2">
        <f>IF($AS448="","",IF(OR($AT448&lt;0,AND($I$6&lt;&gt;"",ISNUMBER(FIND("수정",INDEX($A:$AP,ROW(),IF($I$6="",1,$I$6))&amp;"")))),"수정","일반"))</f>
        <v/>
      </c>
      <c r="BC448" s="2">
        <f>IF($AS448="","",MID(IF($BA448="기간 밖"," / 기간 밖(신고기간 아님)","")&amp;IF(AND($AW448&lt;&gt;"",COUNTIF($AW$8:$AW$1007,$AW448)&gt;1)," / 승인번호 중복(두 번 붙여넣기?)","")&amp;IF(ABS($AU448-ROUND($AT448*0.1,0))&gt;설정!$B$8,IF($AU448=0," / 세액 0원(영세율·면세 여부 확인)"," / 세액이 공급가액 10%와 다름"),"")&amp;IF($BB448="수정"," / 수정세금계산서(합계에서 자동 가감)",""),4,200))</f>
        <v/>
      </c>
      <c r="BD448" s="2">
        <f>IF($BA448&lt;&gt;"포함","",IF(COUNTIFS($AX$8:$AX448,$AX448,$BA$8:$BA448,"포함")=1,MAX($BD$7:BD447)+1,""))</f>
        <v/>
      </c>
      <c r="BE448" s="2">
        <f>IF($BC448="","",MAX($BE$7:BE447)+1)</f>
        <v/>
      </c>
    </row>
    <row r="449">
      <c r="AR449" s="2">
        <f>IF(OR($A$5="",$B$6="",ROW()&lt;$A$5),"",IF(INDEX($A:$AP,ROW(),$B$6)="","",INDEX($A:$AP,ROW(),$B$6)))</f>
        <v/>
      </c>
      <c r="AS449" s="22">
        <f>IF($AR449="","",IF(ISNUMBER($AR449),IF($AR449&gt;=10000000,IFERROR(DATE(INT($AR449/10000),MOD(INT($AR449/100),100),MOD($AR449,100)),""),INT($AR449)),IFERROR(DATE(--LEFT(LEFT(SUBSTITUTE(SUBSTITUTE(SUBSTITUTE(SUBSTITUTE(TRIM($AR449),"-",""),".",""),"/","")," ",""),8),4),--MID(LEFT(SUBSTITUTE(SUBSTITUTE(SUBSTITUTE(SUBSTITUTE(TRIM($AR449),"-",""),".",""),"/","")," ",""),8),5,2),--MID(LEFT(SUBSTITUTE(SUBSTITUTE(SUBSTITUTE(SUBSTITUTE(TRIM($AR449),"-",""),".",""),"/","")," ",""),8),7,2)),"")))</f>
        <v/>
      </c>
      <c r="AT449" s="23">
        <f>IF($AS449="","",IF($F$6="",0,IF(ISNUMBER(INDEX($A:$AP,ROW(),$F$6)),INDEX($A:$AP,ROW(),$F$6),IFERROR(--SUBSTITUTE(SUBSTITUTE(TRIM(INDEX($A:$AP,ROW(),$F$6)),",",""),"원",""),0))))</f>
        <v/>
      </c>
      <c r="AU449" s="23">
        <f>IF($AS449="","",IF($G$6="",0,IF(ISNUMBER(INDEX($A:$AP,ROW(),$G$6)),INDEX($A:$AP,ROW(),$G$6),IFERROR(--SUBSTITUTE(SUBSTITUTE(TRIM(INDEX($A:$AP,ROW(),$G$6)),",",""),"원",""),0))))</f>
        <v/>
      </c>
      <c r="AV449" s="23">
        <f>IF($AS449="","",IF($H$6="",$AT449+$AU449,IF($H$6="",0,IF(ISNUMBER(INDEX($A:$AP,ROW(),$H$6)),INDEX($A:$AP,ROW(),$H$6),IFERROR(--SUBSTITUTE(SUBSTITUTE(TRIM(INDEX($A:$AP,ROW(),$H$6)),",",""),"원",""),0)))))</f>
        <v/>
      </c>
      <c r="AW449" s="2">
        <f>IF(OR($AS449="",$C$6=""),"",TRIM(INDEX($A:$AP,ROW(),$C$6)&amp;""))</f>
        <v/>
      </c>
      <c r="AX449" s="2">
        <f>IF($AS449="","",IF($AZ449&lt;&gt;"",SUBSTITUTE(SUBSTITUTE($AZ449,"-","")," ",""),$AY449))</f>
        <v/>
      </c>
      <c r="AY449" s="2">
        <f>IF(OR($AS449="",$E$6=""),"",TRIM(INDEX($A:$AP,ROW(),$E$6)&amp;""))</f>
        <v/>
      </c>
      <c r="AZ449" s="2">
        <f>IF(OR($AS449="",$D$6=""),"",TRIM(INDEX($A:$AP,ROW(),$D$6)&amp;""))</f>
        <v/>
      </c>
      <c r="BA449" s="2">
        <f>IF($AS449="","",IF(AND($AS449&gt;=설정!$B$10,$AS449&lt;=설정!$B$11),"포함","기간 밖"))</f>
        <v/>
      </c>
      <c r="BB449" s="2">
        <f>IF($AS449="","",IF(OR($AT449&lt;0,AND($I$6&lt;&gt;"",ISNUMBER(FIND("수정",INDEX($A:$AP,ROW(),IF($I$6="",1,$I$6))&amp;"")))),"수정","일반"))</f>
        <v/>
      </c>
      <c r="BC449" s="2">
        <f>IF($AS449="","",MID(IF($BA449="기간 밖"," / 기간 밖(신고기간 아님)","")&amp;IF(AND($AW449&lt;&gt;"",COUNTIF($AW$8:$AW$1007,$AW449)&gt;1)," / 승인번호 중복(두 번 붙여넣기?)","")&amp;IF(ABS($AU449-ROUND($AT449*0.1,0))&gt;설정!$B$8,IF($AU449=0," / 세액 0원(영세율·면세 여부 확인)"," / 세액이 공급가액 10%와 다름"),"")&amp;IF($BB449="수정"," / 수정세금계산서(합계에서 자동 가감)",""),4,200))</f>
        <v/>
      </c>
      <c r="BD449" s="2">
        <f>IF($BA449&lt;&gt;"포함","",IF(COUNTIFS($AX$8:$AX449,$AX449,$BA$8:$BA449,"포함")=1,MAX($BD$7:BD448)+1,""))</f>
        <v/>
      </c>
      <c r="BE449" s="2">
        <f>IF($BC449="","",MAX($BE$7:BE448)+1)</f>
        <v/>
      </c>
    </row>
    <row r="450">
      <c r="AR450" s="2">
        <f>IF(OR($A$5="",$B$6="",ROW()&lt;$A$5),"",IF(INDEX($A:$AP,ROW(),$B$6)="","",INDEX($A:$AP,ROW(),$B$6)))</f>
        <v/>
      </c>
      <c r="AS450" s="22">
        <f>IF($AR450="","",IF(ISNUMBER($AR450),IF($AR450&gt;=10000000,IFERROR(DATE(INT($AR450/10000),MOD(INT($AR450/100),100),MOD($AR450,100)),""),INT($AR450)),IFERROR(DATE(--LEFT(LEFT(SUBSTITUTE(SUBSTITUTE(SUBSTITUTE(SUBSTITUTE(TRIM($AR450),"-",""),".",""),"/","")," ",""),8),4),--MID(LEFT(SUBSTITUTE(SUBSTITUTE(SUBSTITUTE(SUBSTITUTE(TRIM($AR450),"-",""),".",""),"/","")," ",""),8),5,2),--MID(LEFT(SUBSTITUTE(SUBSTITUTE(SUBSTITUTE(SUBSTITUTE(TRIM($AR450),"-",""),".",""),"/","")," ",""),8),7,2)),"")))</f>
        <v/>
      </c>
      <c r="AT450" s="23">
        <f>IF($AS450="","",IF($F$6="",0,IF(ISNUMBER(INDEX($A:$AP,ROW(),$F$6)),INDEX($A:$AP,ROW(),$F$6),IFERROR(--SUBSTITUTE(SUBSTITUTE(TRIM(INDEX($A:$AP,ROW(),$F$6)),",",""),"원",""),0))))</f>
        <v/>
      </c>
      <c r="AU450" s="23">
        <f>IF($AS450="","",IF($G$6="",0,IF(ISNUMBER(INDEX($A:$AP,ROW(),$G$6)),INDEX($A:$AP,ROW(),$G$6),IFERROR(--SUBSTITUTE(SUBSTITUTE(TRIM(INDEX($A:$AP,ROW(),$G$6)),",",""),"원",""),0))))</f>
        <v/>
      </c>
      <c r="AV450" s="23">
        <f>IF($AS450="","",IF($H$6="",$AT450+$AU450,IF($H$6="",0,IF(ISNUMBER(INDEX($A:$AP,ROW(),$H$6)),INDEX($A:$AP,ROW(),$H$6),IFERROR(--SUBSTITUTE(SUBSTITUTE(TRIM(INDEX($A:$AP,ROW(),$H$6)),",",""),"원",""),0)))))</f>
        <v/>
      </c>
      <c r="AW450" s="2">
        <f>IF(OR($AS450="",$C$6=""),"",TRIM(INDEX($A:$AP,ROW(),$C$6)&amp;""))</f>
        <v/>
      </c>
      <c r="AX450" s="2">
        <f>IF($AS450="","",IF($AZ450&lt;&gt;"",SUBSTITUTE(SUBSTITUTE($AZ450,"-","")," ",""),$AY450))</f>
        <v/>
      </c>
      <c r="AY450" s="2">
        <f>IF(OR($AS450="",$E$6=""),"",TRIM(INDEX($A:$AP,ROW(),$E$6)&amp;""))</f>
        <v/>
      </c>
      <c r="AZ450" s="2">
        <f>IF(OR($AS450="",$D$6=""),"",TRIM(INDEX($A:$AP,ROW(),$D$6)&amp;""))</f>
        <v/>
      </c>
      <c r="BA450" s="2">
        <f>IF($AS450="","",IF(AND($AS450&gt;=설정!$B$10,$AS450&lt;=설정!$B$11),"포함","기간 밖"))</f>
        <v/>
      </c>
      <c r="BB450" s="2">
        <f>IF($AS450="","",IF(OR($AT450&lt;0,AND($I$6&lt;&gt;"",ISNUMBER(FIND("수정",INDEX($A:$AP,ROW(),IF($I$6="",1,$I$6))&amp;"")))),"수정","일반"))</f>
        <v/>
      </c>
      <c r="BC450" s="2">
        <f>IF($AS450="","",MID(IF($BA450="기간 밖"," / 기간 밖(신고기간 아님)","")&amp;IF(AND($AW450&lt;&gt;"",COUNTIF($AW$8:$AW$1007,$AW450)&gt;1)," / 승인번호 중복(두 번 붙여넣기?)","")&amp;IF(ABS($AU450-ROUND($AT450*0.1,0))&gt;설정!$B$8,IF($AU450=0," / 세액 0원(영세율·면세 여부 확인)"," / 세액이 공급가액 10%와 다름"),"")&amp;IF($BB450="수정"," / 수정세금계산서(합계에서 자동 가감)",""),4,200))</f>
        <v/>
      </c>
      <c r="BD450" s="2">
        <f>IF($BA450&lt;&gt;"포함","",IF(COUNTIFS($AX$8:$AX450,$AX450,$BA$8:$BA450,"포함")=1,MAX($BD$7:BD449)+1,""))</f>
        <v/>
      </c>
      <c r="BE450" s="2">
        <f>IF($BC450="","",MAX($BE$7:BE449)+1)</f>
        <v/>
      </c>
    </row>
    <row r="451">
      <c r="AR451" s="2">
        <f>IF(OR($A$5="",$B$6="",ROW()&lt;$A$5),"",IF(INDEX($A:$AP,ROW(),$B$6)="","",INDEX($A:$AP,ROW(),$B$6)))</f>
        <v/>
      </c>
      <c r="AS451" s="22">
        <f>IF($AR451="","",IF(ISNUMBER($AR451),IF($AR451&gt;=10000000,IFERROR(DATE(INT($AR451/10000),MOD(INT($AR451/100),100),MOD($AR451,100)),""),INT($AR451)),IFERROR(DATE(--LEFT(LEFT(SUBSTITUTE(SUBSTITUTE(SUBSTITUTE(SUBSTITUTE(TRIM($AR451),"-",""),".",""),"/","")," ",""),8),4),--MID(LEFT(SUBSTITUTE(SUBSTITUTE(SUBSTITUTE(SUBSTITUTE(TRIM($AR451),"-",""),".",""),"/","")," ",""),8),5,2),--MID(LEFT(SUBSTITUTE(SUBSTITUTE(SUBSTITUTE(SUBSTITUTE(TRIM($AR451),"-",""),".",""),"/","")," ",""),8),7,2)),"")))</f>
        <v/>
      </c>
      <c r="AT451" s="23">
        <f>IF($AS451="","",IF($F$6="",0,IF(ISNUMBER(INDEX($A:$AP,ROW(),$F$6)),INDEX($A:$AP,ROW(),$F$6),IFERROR(--SUBSTITUTE(SUBSTITUTE(TRIM(INDEX($A:$AP,ROW(),$F$6)),",",""),"원",""),0))))</f>
        <v/>
      </c>
      <c r="AU451" s="23">
        <f>IF($AS451="","",IF($G$6="",0,IF(ISNUMBER(INDEX($A:$AP,ROW(),$G$6)),INDEX($A:$AP,ROW(),$G$6),IFERROR(--SUBSTITUTE(SUBSTITUTE(TRIM(INDEX($A:$AP,ROW(),$G$6)),",",""),"원",""),0))))</f>
        <v/>
      </c>
      <c r="AV451" s="23">
        <f>IF($AS451="","",IF($H$6="",$AT451+$AU451,IF($H$6="",0,IF(ISNUMBER(INDEX($A:$AP,ROW(),$H$6)),INDEX($A:$AP,ROW(),$H$6),IFERROR(--SUBSTITUTE(SUBSTITUTE(TRIM(INDEX($A:$AP,ROW(),$H$6)),",",""),"원",""),0)))))</f>
        <v/>
      </c>
      <c r="AW451" s="2">
        <f>IF(OR($AS451="",$C$6=""),"",TRIM(INDEX($A:$AP,ROW(),$C$6)&amp;""))</f>
        <v/>
      </c>
      <c r="AX451" s="2">
        <f>IF($AS451="","",IF($AZ451&lt;&gt;"",SUBSTITUTE(SUBSTITUTE($AZ451,"-","")," ",""),$AY451))</f>
        <v/>
      </c>
      <c r="AY451" s="2">
        <f>IF(OR($AS451="",$E$6=""),"",TRIM(INDEX($A:$AP,ROW(),$E$6)&amp;""))</f>
        <v/>
      </c>
      <c r="AZ451" s="2">
        <f>IF(OR($AS451="",$D$6=""),"",TRIM(INDEX($A:$AP,ROW(),$D$6)&amp;""))</f>
        <v/>
      </c>
      <c r="BA451" s="2">
        <f>IF($AS451="","",IF(AND($AS451&gt;=설정!$B$10,$AS451&lt;=설정!$B$11),"포함","기간 밖"))</f>
        <v/>
      </c>
      <c r="BB451" s="2">
        <f>IF($AS451="","",IF(OR($AT451&lt;0,AND($I$6&lt;&gt;"",ISNUMBER(FIND("수정",INDEX($A:$AP,ROW(),IF($I$6="",1,$I$6))&amp;"")))),"수정","일반"))</f>
        <v/>
      </c>
      <c r="BC451" s="2">
        <f>IF($AS451="","",MID(IF($BA451="기간 밖"," / 기간 밖(신고기간 아님)","")&amp;IF(AND($AW451&lt;&gt;"",COUNTIF($AW$8:$AW$1007,$AW451)&gt;1)," / 승인번호 중복(두 번 붙여넣기?)","")&amp;IF(ABS($AU451-ROUND($AT451*0.1,0))&gt;설정!$B$8,IF($AU451=0," / 세액 0원(영세율·면세 여부 확인)"," / 세액이 공급가액 10%와 다름"),"")&amp;IF($BB451="수정"," / 수정세금계산서(합계에서 자동 가감)",""),4,200))</f>
        <v/>
      </c>
      <c r="BD451" s="2">
        <f>IF($BA451&lt;&gt;"포함","",IF(COUNTIFS($AX$8:$AX451,$AX451,$BA$8:$BA451,"포함")=1,MAX($BD$7:BD450)+1,""))</f>
        <v/>
      </c>
      <c r="BE451" s="2">
        <f>IF($BC451="","",MAX($BE$7:BE450)+1)</f>
        <v/>
      </c>
    </row>
    <row r="452">
      <c r="AR452" s="2">
        <f>IF(OR($A$5="",$B$6="",ROW()&lt;$A$5),"",IF(INDEX($A:$AP,ROW(),$B$6)="","",INDEX($A:$AP,ROW(),$B$6)))</f>
        <v/>
      </c>
      <c r="AS452" s="22">
        <f>IF($AR452="","",IF(ISNUMBER($AR452),IF($AR452&gt;=10000000,IFERROR(DATE(INT($AR452/10000),MOD(INT($AR452/100),100),MOD($AR452,100)),""),INT($AR452)),IFERROR(DATE(--LEFT(LEFT(SUBSTITUTE(SUBSTITUTE(SUBSTITUTE(SUBSTITUTE(TRIM($AR452),"-",""),".",""),"/","")," ",""),8),4),--MID(LEFT(SUBSTITUTE(SUBSTITUTE(SUBSTITUTE(SUBSTITUTE(TRIM($AR452),"-",""),".",""),"/","")," ",""),8),5,2),--MID(LEFT(SUBSTITUTE(SUBSTITUTE(SUBSTITUTE(SUBSTITUTE(TRIM($AR452),"-",""),".",""),"/","")," ",""),8),7,2)),"")))</f>
        <v/>
      </c>
      <c r="AT452" s="23">
        <f>IF($AS452="","",IF($F$6="",0,IF(ISNUMBER(INDEX($A:$AP,ROW(),$F$6)),INDEX($A:$AP,ROW(),$F$6),IFERROR(--SUBSTITUTE(SUBSTITUTE(TRIM(INDEX($A:$AP,ROW(),$F$6)),",",""),"원",""),0))))</f>
        <v/>
      </c>
      <c r="AU452" s="23">
        <f>IF($AS452="","",IF($G$6="",0,IF(ISNUMBER(INDEX($A:$AP,ROW(),$G$6)),INDEX($A:$AP,ROW(),$G$6),IFERROR(--SUBSTITUTE(SUBSTITUTE(TRIM(INDEX($A:$AP,ROW(),$G$6)),",",""),"원",""),0))))</f>
        <v/>
      </c>
      <c r="AV452" s="23">
        <f>IF($AS452="","",IF($H$6="",$AT452+$AU452,IF($H$6="",0,IF(ISNUMBER(INDEX($A:$AP,ROW(),$H$6)),INDEX($A:$AP,ROW(),$H$6),IFERROR(--SUBSTITUTE(SUBSTITUTE(TRIM(INDEX($A:$AP,ROW(),$H$6)),",",""),"원",""),0)))))</f>
        <v/>
      </c>
      <c r="AW452" s="2">
        <f>IF(OR($AS452="",$C$6=""),"",TRIM(INDEX($A:$AP,ROW(),$C$6)&amp;""))</f>
        <v/>
      </c>
      <c r="AX452" s="2">
        <f>IF($AS452="","",IF($AZ452&lt;&gt;"",SUBSTITUTE(SUBSTITUTE($AZ452,"-","")," ",""),$AY452))</f>
        <v/>
      </c>
      <c r="AY452" s="2">
        <f>IF(OR($AS452="",$E$6=""),"",TRIM(INDEX($A:$AP,ROW(),$E$6)&amp;""))</f>
        <v/>
      </c>
      <c r="AZ452" s="2">
        <f>IF(OR($AS452="",$D$6=""),"",TRIM(INDEX($A:$AP,ROW(),$D$6)&amp;""))</f>
        <v/>
      </c>
      <c r="BA452" s="2">
        <f>IF($AS452="","",IF(AND($AS452&gt;=설정!$B$10,$AS452&lt;=설정!$B$11),"포함","기간 밖"))</f>
        <v/>
      </c>
      <c r="BB452" s="2">
        <f>IF($AS452="","",IF(OR($AT452&lt;0,AND($I$6&lt;&gt;"",ISNUMBER(FIND("수정",INDEX($A:$AP,ROW(),IF($I$6="",1,$I$6))&amp;"")))),"수정","일반"))</f>
        <v/>
      </c>
      <c r="BC452" s="2">
        <f>IF($AS452="","",MID(IF($BA452="기간 밖"," / 기간 밖(신고기간 아님)","")&amp;IF(AND($AW452&lt;&gt;"",COUNTIF($AW$8:$AW$1007,$AW452)&gt;1)," / 승인번호 중복(두 번 붙여넣기?)","")&amp;IF(ABS($AU452-ROUND($AT452*0.1,0))&gt;설정!$B$8,IF($AU452=0," / 세액 0원(영세율·면세 여부 확인)"," / 세액이 공급가액 10%와 다름"),"")&amp;IF($BB452="수정"," / 수정세금계산서(합계에서 자동 가감)",""),4,200))</f>
        <v/>
      </c>
      <c r="BD452" s="2">
        <f>IF($BA452&lt;&gt;"포함","",IF(COUNTIFS($AX$8:$AX452,$AX452,$BA$8:$BA452,"포함")=1,MAX($BD$7:BD451)+1,""))</f>
        <v/>
      </c>
      <c r="BE452" s="2">
        <f>IF($BC452="","",MAX($BE$7:BE451)+1)</f>
        <v/>
      </c>
    </row>
    <row r="453">
      <c r="AR453" s="2">
        <f>IF(OR($A$5="",$B$6="",ROW()&lt;$A$5),"",IF(INDEX($A:$AP,ROW(),$B$6)="","",INDEX($A:$AP,ROW(),$B$6)))</f>
        <v/>
      </c>
      <c r="AS453" s="22">
        <f>IF($AR453="","",IF(ISNUMBER($AR453),IF($AR453&gt;=10000000,IFERROR(DATE(INT($AR453/10000),MOD(INT($AR453/100),100),MOD($AR453,100)),""),INT($AR453)),IFERROR(DATE(--LEFT(LEFT(SUBSTITUTE(SUBSTITUTE(SUBSTITUTE(SUBSTITUTE(TRIM($AR453),"-",""),".",""),"/","")," ",""),8),4),--MID(LEFT(SUBSTITUTE(SUBSTITUTE(SUBSTITUTE(SUBSTITUTE(TRIM($AR453),"-",""),".",""),"/","")," ",""),8),5,2),--MID(LEFT(SUBSTITUTE(SUBSTITUTE(SUBSTITUTE(SUBSTITUTE(TRIM($AR453),"-",""),".",""),"/","")," ",""),8),7,2)),"")))</f>
        <v/>
      </c>
      <c r="AT453" s="23">
        <f>IF($AS453="","",IF($F$6="",0,IF(ISNUMBER(INDEX($A:$AP,ROW(),$F$6)),INDEX($A:$AP,ROW(),$F$6),IFERROR(--SUBSTITUTE(SUBSTITUTE(TRIM(INDEX($A:$AP,ROW(),$F$6)),",",""),"원",""),0))))</f>
        <v/>
      </c>
      <c r="AU453" s="23">
        <f>IF($AS453="","",IF($G$6="",0,IF(ISNUMBER(INDEX($A:$AP,ROW(),$G$6)),INDEX($A:$AP,ROW(),$G$6),IFERROR(--SUBSTITUTE(SUBSTITUTE(TRIM(INDEX($A:$AP,ROW(),$G$6)),",",""),"원",""),0))))</f>
        <v/>
      </c>
      <c r="AV453" s="23">
        <f>IF($AS453="","",IF($H$6="",$AT453+$AU453,IF($H$6="",0,IF(ISNUMBER(INDEX($A:$AP,ROW(),$H$6)),INDEX($A:$AP,ROW(),$H$6),IFERROR(--SUBSTITUTE(SUBSTITUTE(TRIM(INDEX($A:$AP,ROW(),$H$6)),",",""),"원",""),0)))))</f>
        <v/>
      </c>
      <c r="AW453" s="2">
        <f>IF(OR($AS453="",$C$6=""),"",TRIM(INDEX($A:$AP,ROW(),$C$6)&amp;""))</f>
        <v/>
      </c>
      <c r="AX453" s="2">
        <f>IF($AS453="","",IF($AZ453&lt;&gt;"",SUBSTITUTE(SUBSTITUTE($AZ453,"-","")," ",""),$AY453))</f>
        <v/>
      </c>
      <c r="AY453" s="2">
        <f>IF(OR($AS453="",$E$6=""),"",TRIM(INDEX($A:$AP,ROW(),$E$6)&amp;""))</f>
        <v/>
      </c>
      <c r="AZ453" s="2">
        <f>IF(OR($AS453="",$D$6=""),"",TRIM(INDEX($A:$AP,ROW(),$D$6)&amp;""))</f>
        <v/>
      </c>
      <c r="BA453" s="2">
        <f>IF($AS453="","",IF(AND($AS453&gt;=설정!$B$10,$AS453&lt;=설정!$B$11),"포함","기간 밖"))</f>
        <v/>
      </c>
      <c r="BB453" s="2">
        <f>IF($AS453="","",IF(OR($AT453&lt;0,AND($I$6&lt;&gt;"",ISNUMBER(FIND("수정",INDEX($A:$AP,ROW(),IF($I$6="",1,$I$6))&amp;"")))),"수정","일반"))</f>
        <v/>
      </c>
      <c r="BC453" s="2">
        <f>IF($AS453="","",MID(IF($BA453="기간 밖"," / 기간 밖(신고기간 아님)","")&amp;IF(AND($AW453&lt;&gt;"",COUNTIF($AW$8:$AW$1007,$AW453)&gt;1)," / 승인번호 중복(두 번 붙여넣기?)","")&amp;IF(ABS($AU453-ROUND($AT453*0.1,0))&gt;설정!$B$8,IF($AU453=0," / 세액 0원(영세율·면세 여부 확인)"," / 세액이 공급가액 10%와 다름"),"")&amp;IF($BB453="수정"," / 수정세금계산서(합계에서 자동 가감)",""),4,200))</f>
        <v/>
      </c>
      <c r="BD453" s="2">
        <f>IF($BA453&lt;&gt;"포함","",IF(COUNTIFS($AX$8:$AX453,$AX453,$BA$8:$BA453,"포함")=1,MAX($BD$7:BD452)+1,""))</f>
        <v/>
      </c>
      <c r="BE453" s="2">
        <f>IF($BC453="","",MAX($BE$7:BE452)+1)</f>
        <v/>
      </c>
    </row>
    <row r="454">
      <c r="AR454" s="2">
        <f>IF(OR($A$5="",$B$6="",ROW()&lt;$A$5),"",IF(INDEX($A:$AP,ROW(),$B$6)="","",INDEX($A:$AP,ROW(),$B$6)))</f>
        <v/>
      </c>
      <c r="AS454" s="22">
        <f>IF($AR454="","",IF(ISNUMBER($AR454),IF($AR454&gt;=10000000,IFERROR(DATE(INT($AR454/10000),MOD(INT($AR454/100),100),MOD($AR454,100)),""),INT($AR454)),IFERROR(DATE(--LEFT(LEFT(SUBSTITUTE(SUBSTITUTE(SUBSTITUTE(SUBSTITUTE(TRIM($AR454),"-",""),".",""),"/","")," ",""),8),4),--MID(LEFT(SUBSTITUTE(SUBSTITUTE(SUBSTITUTE(SUBSTITUTE(TRIM($AR454),"-",""),".",""),"/","")," ",""),8),5,2),--MID(LEFT(SUBSTITUTE(SUBSTITUTE(SUBSTITUTE(SUBSTITUTE(TRIM($AR454),"-",""),".",""),"/","")," ",""),8),7,2)),"")))</f>
        <v/>
      </c>
      <c r="AT454" s="23">
        <f>IF($AS454="","",IF($F$6="",0,IF(ISNUMBER(INDEX($A:$AP,ROW(),$F$6)),INDEX($A:$AP,ROW(),$F$6),IFERROR(--SUBSTITUTE(SUBSTITUTE(TRIM(INDEX($A:$AP,ROW(),$F$6)),",",""),"원",""),0))))</f>
        <v/>
      </c>
      <c r="AU454" s="23">
        <f>IF($AS454="","",IF($G$6="",0,IF(ISNUMBER(INDEX($A:$AP,ROW(),$G$6)),INDEX($A:$AP,ROW(),$G$6),IFERROR(--SUBSTITUTE(SUBSTITUTE(TRIM(INDEX($A:$AP,ROW(),$G$6)),",",""),"원",""),0))))</f>
        <v/>
      </c>
      <c r="AV454" s="23">
        <f>IF($AS454="","",IF($H$6="",$AT454+$AU454,IF($H$6="",0,IF(ISNUMBER(INDEX($A:$AP,ROW(),$H$6)),INDEX($A:$AP,ROW(),$H$6),IFERROR(--SUBSTITUTE(SUBSTITUTE(TRIM(INDEX($A:$AP,ROW(),$H$6)),",",""),"원",""),0)))))</f>
        <v/>
      </c>
      <c r="AW454" s="2">
        <f>IF(OR($AS454="",$C$6=""),"",TRIM(INDEX($A:$AP,ROW(),$C$6)&amp;""))</f>
        <v/>
      </c>
      <c r="AX454" s="2">
        <f>IF($AS454="","",IF($AZ454&lt;&gt;"",SUBSTITUTE(SUBSTITUTE($AZ454,"-","")," ",""),$AY454))</f>
        <v/>
      </c>
      <c r="AY454" s="2">
        <f>IF(OR($AS454="",$E$6=""),"",TRIM(INDEX($A:$AP,ROW(),$E$6)&amp;""))</f>
        <v/>
      </c>
      <c r="AZ454" s="2">
        <f>IF(OR($AS454="",$D$6=""),"",TRIM(INDEX($A:$AP,ROW(),$D$6)&amp;""))</f>
        <v/>
      </c>
      <c r="BA454" s="2">
        <f>IF($AS454="","",IF(AND($AS454&gt;=설정!$B$10,$AS454&lt;=설정!$B$11),"포함","기간 밖"))</f>
        <v/>
      </c>
      <c r="BB454" s="2">
        <f>IF($AS454="","",IF(OR($AT454&lt;0,AND($I$6&lt;&gt;"",ISNUMBER(FIND("수정",INDEX($A:$AP,ROW(),IF($I$6="",1,$I$6))&amp;"")))),"수정","일반"))</f>
        <v/>
      </c>
      <c r="BC454" s="2">
        <f>IF($AS454="","",MID(IF($BA454="기간 밖"," / 기간 밖(신고기간 아님)","")&amp;IF(AND($AW454&lt;&gt;"",COUNTIF($AW$8:$AW$1007,$AW454)&gt;1)," / 승인번호 중복(두 번 붙여넣기?)","")&amp;IF(ABS($AU454-ROUND($AT454*0.1,0))&gt;설정!$B$8,IF($AU454=0," / 세액 0원(영세율·면세 여부 확인)"," / 세액이 공급가액 10%와 다름"),"")&amp;IF($BB454="수정"," / 수정세금계산서(합계에서 자동 가감)",""),4,200))</f>
        <v/>
      </c>
      <c r="BD454" s="2">
        <f>IF($BA454&lt;&gt;"포함","",IF(COUNTIFS($AX$8:$AX454,$AX454,$BA$8:$BA454,"포함")=1,MAX($BD$7:BD453)+1,""))</f>
        <v/>
      </c>
      <c r="BE454" s="2">
        <f>IF($BC454="","",MAX($BE$7:BE453)+1)</f>
        <v/>
      </c>
    </row>
    <row r="455">
      <c r="AR455" s="2">
        <f>IF(OR($A$5="",$B$6="",ROW()&lt;$A$5),"",IF(INDEX($A:$AP,ROW(),$B$6)="","",INDEX($A:$AP,ROW(),$B$6)))</f>
        <v/>
      </c>
      <c r="AS455" s="22">
        <f>IF($AR455="","",IF(ISNUMBER($AR455),IF($AR455&gt;=10000000,IFERROR(DATE(INT($AR455/10000),MOD(INT($AR455/100),100),MOD($AR455,100)),""),INT($AR455)),IFERROR(DATE(--LEFT(LEFT(SUBSTITUTE(SUBSTITUTE(SUBSTITUTE(SUBSTITUTE(TRIM($AR455),"-",""),".",""),"/","")," ",""),8),4),--MID(LEFT(SUBSTITUTE(SUBSTITUTE(SUBSTITUTE(SUBSTITUTE(TRIM($AR455),"-",""),".",""),"/","")," ",""),8),5,2),--MID(LEFT(SUBSTITUTE(SUBSTITUTE(SUBSTITUTE(SUBSTITUTE(TRIM($AR455),"-",""),".",""),"/","")," ",""),8),7,2)),"")))</f>
        <v/>
      </c>
      <c r="AT455" s="23">
        <f>IF($AS455="","",IF($F$6="",0,IF(ISNUMBER(INDEX($A:$AP,ROW(),$F$6)),INDEX($A:$AP,ROW(),$F$6),IFERROR(--SUBSTITUTE(SUBSTITUTE(TRIM(INDEX($A:$AP,ROW(),$F$6)),",",""),"원",""),0))))</f>
        <v/>
      </c>
      <c r="AU455" s="23">
        <f>IF($AS455="","",IF($G$6="",0,IF(ISNUMBER(INDEX($A:$AP,ROW(),$G$6)),INDEX($A:$AP,ROW(),$G$6),IFERROR(--SUBSTITUTE(SUBSTITUTE(TRIM(INDEX($A:$AP,ROW(),$G$6)),",",""),"원",""),0))))</f>
        <v/>
      </c>
      <c r="AV455" s="23">
        <f>IF($AS455="","",IF($H$6="",$AT455+$AU455,IF($H$6="",0,IF(ISNUMBER(INDEX($A:$AP,ROW(),$H$6)),INDEX($A:$AP,ROW(),$H$6),IFERROR(--SUBSTITUTE(SUBSTITUTE(TRIM(INDEX($A:$AP,ROW(),$H$6)),",",""),"원",""),0)))))</f>
        <v/>
      </c>
      <c r="AW455" s="2">
        <f>IF(OR($AS455="",$C$6=""),"",TRIM(INDEX($A:$AP,ROW(),$C$6)&amp;""))</f>
        <v/>
      </c>
      <c r="AX455" s="2">
        <f>IF($AS455="","",IF($AZ455&lt;&gt;"",SUBSTITUTE(SUBSTITUTE($AZ455,"-","")," ",""),$AY455))</f>
        <v/>
      </c>
      <c r="AY455" s="2">
        <f>IF(OR($AS455="",$E$6=""),"",TRIM(INDEX($A:$AP,ROW(),$E$6)&amp;""))</f>
        <v/>
      </c>
      <c r="AZ455" s="2">
        <f>IF(OR($AS455="",$D$6=""),"",TRIM(INDEX($A:$AP,ROW(),$D$6)&amp;""))</f>
        <v/>
      </c>
      <c r="BA455" s="2">
        <f>IF($AS455="","",IF(AND($AS455&gt;=설정!$B$10,$AS455&lt;=설정!$B$11),"포함","기간 밖"))</f>
        <v/>
      </c>
      <c r="BB455" s="2">
        <f>IF($AS455="","",IF(OR($AT455&lt;0,AND($I$6&lt;&gt;"",ISNUMBER(FIND("수정",INDEX($A:$AP,ROW(),IF($I$6="",1,$I$6))&amp;"")))),"수정","일반"))</f>
        <v/>
      </c>
      <c r="BC455" s="2">
        <f>IF($AS455="","",MID(IF($BA455="기간 밖"," / 기간 밖(신고기간 아님)","")&amp;IF(AND($AW455&lt;&gt;"",COUNTIF($AW$8:$AW$1007,$AW455)&gt;1)," / 승인번호 중복(두 번 붙여넣기?)","")&amp;IF(ABS($AU455-ROUND($AT455*0.1,0))&gt;설정!$B$8,IF($AU455=0," / 세액 0원(영세율·면세 여부 확인)"," / 세액이 공급가액 10%와 다름"),"")&amp;IF($BB455="수정"," / 수정세금계산서(합계에서 자동 가감)",""),4,200))</f>
        <v/>
      </c>
      <c r="BD455" s="2">
        <f>IF($BA455&lt;&gt;"포함","",IF(COUNTIFS($AX$8:$AX455,$AX455,$BA$8:$BA455,"포함")=1,MAX($BD$7:BD454)+1,""))</f>
        <v/>
      </c>
      <c r="BE455" s="2">
        <f>IF($BC455="","",MAX($BE$7:BE454)+1)</f>
        <v/>
      </c>
    </row>
    <row r="456">
      <c r="AR456" s="2">
        <f>IF(OR($A$5="",$B$6="",ROW()&lt;$A$5),"",IF(INDEX($A:$AP,ROW(),$B$6)="","",INDEX($A:$AP,ROW(),$B$6)))</f>
        <v/>
      </c>
      <c r="AS456" s="22">
        <f>IF($AR456="","",IF(ISNUMBER($AR456),IF($AR456&gt;=10000000,IFERROR(DATE(INT($AR456/10000),MOD(INT($AR456/100),100),MOD($AR456,100)),""),INT($AR456)),IFERROR(DATE(--LEFT(LEFT(SUBSTITUTE(SUBSTITUTE(SUBSTITUTE(SUBSTITUTE(TRIM($AR456),"-",""),".",""),"/","")," ",""),8),4),--MID(LEFT(SUBSTITUTE(SUBSTITUTE(SUBSTITUTE(SUBSTITUTE(TRIM($AR456),"-",""),".",""),"/","")," ",""),8),5,2),--MID(LEFT(SUBSTITUTE(SUBSTITUTE(SUBSTITUTE(SUBSTITUTE(TRIM($AR456),"-",""),".",""),"/","")," ",""),8),7,2)),"")))</f>
        <v/>
      </c>
      <c r="AT456" s="23">
        <f>IF($AS456="","",IF($F$6="",0,IF(ISNUMBER(INDEX($A:$AP,ROW(),$F$6)),INDEX($A:$AP,ROW(),$F$6),IFERROR(--SUBSTITUTE(SUBSTITUTE(TRIM(INDEX($A:$AP,ROW(),$F$6)),",",""),"원",""),0))))</f>
        <v/>
      </c>
      <c r="AU456" s="23">
        <f>IF($AS456="","",IF($G$6="",0,IF(ISNUMBER(INDEX($A:$AP,ROW(),$G$6)),INDEX($A:$AP,ROW(),$G$6),IFERROR(--SUBSTITUTE(SUBSTITUTE(TRIM(INDEX($A:$AP,ROW(),$G$6)),",",""),"원",""),0))))</f>
        <v/>
      </c>
      <c r="AV456" s="23">
        <f>IF($AS456="","",IF($H$6="",$AT456+$AU456,IF($H$6="",0,IF(ISNUMBER(INDEX($A:$AP,ROW(),$H$6)),INDEX($A:$AP,ROW(),$H$6),IFERROR(--SUBSTITUTE(SUBSTITUTE(TRIM(INDEX($A:$AP,ROW(),$H$6)),",",""),"원",""),0)))))</f>
        <v/>
      </c>
      <c r="AW456" s="2">
        <f>IF(OR($AS456="",$C$6=""),"",TRIM(INDEX($A:$AP,ROW(),$C$6)&amp;""))</f>
        <v/>
      </c>
      <c r="AX456" s="2">
        <f>IF($AS456="","",IF($AZ456&lt;&gt;"",SUBSTITUTE(SUBSTITUTE($AZ456,"-","")," ",""),$AY456))</f>
        <v/>
      </c>
      <c r="AY456" s="2">
        <f>IF(OR($AS456="",$E$6=""),"",TRIM(INDEX($A:$AP,ROW(),$E$6)&amp;""))</f>
        <v/>
      </c>
      <c r="AZ456" s="2">
        <f>IF(OR($AS456="",$D$6=""),"",TRIM(INDEX($A:$AP,ROW(),$D$6)&amp;""))</f>
        <v/>
      </c>
      <c r="BA456" s="2">
        <f>IF($AS456="","",IF(AND($AS456&gt;=설정!$B$10,$AS456&lt;=설정!$B$11),"포함","기간 밖"))</f>
        <v/>
      </c>
      <c r="BB456" s="2">
        <f>IF($AS456="","",IF(OR($AT456&lt;0,AND($I$6&lt;&gt;"",ISNUMBER(FIND("수정",INDEX($A:$AP,ROW(),IF($I$6="",1,$I$6))&amp;"")))),"수정","일반"))</f>
        <v/>
      </c>
      <c r="BC456" s="2">
        <f>IF($AS456="","",MID(IF($BA456="기간 밖"," / 기간 밖(신고기간 아님)","")&amp;IF(AND($AW456&lt;&gt;"",COUNTIF($AW$8:$AW$1007,$AW456)&gt;1)," / 승인번호 중복(두 번 붙여넣기?)","")&amp;IF(ABS($AU456-ROUND($AT456*0.1,0))&gt;설정!$B$8,IF($AU456=0," / 세액 0원(영세율·면세 여부 확인)"," / 세액이 공급가액 10%와 다름"),"")&amp;IF($BB456="수정"," / 수정세금계산서(합계에서 자동 가감)",""),4,200))</f>
        <v/>
      </c>
      <c r="BD456" s="2">
        <f>IF($BA456&lt;&gt;"포함","",IF(COUNTIFS($AX$8:$AX456,$AX456,$BA$8:$BA456,"포함")=1,MAX($BD$7:BD455)+1,""))</f>
        <v/>
      </c>
      <c r="BE456" s="2">
        <f>IF($BC456="","",MAX($BE$7:BE455)+1)</f>
        <v/>
      </c>
    </row>
    <row r="457">
      <c r="AR457" s="2">
        <f>IF(OR($A$5="",$B$6="",ROW()&lt;$A$5),"",IF(INDEX($A:$AP,ROW(),$B$6)="","",INDEX($A:$AP,ROW(),$B$6)))</f>
        <v/>
      </c>
      <c r="AS457" s="22">
        <f>IF($AR457="","",IF(ISNUMBER($AR457),IF($AR457&gt;=10000000,IFERROR(DATE(INT($AR457/10000),MOD(INT($AR457/100),100),MOD($AR457,100)),""),INT($AR457)),IFERROR(DATE(--LEFT(LEFT(SUBSTITUTE(SUBSTITUTE(SUBSTITUTE(SUBSTITUTE(TRIM($AR457),"-",""),".",""),"/","")," ",""),8),4),--MID(LEFT(SUBSTITUTE(SUBSTITUTE(SUBSTITUTE(SUBSTITUTE(TRIM($AR457),"-",""),".",""),"/","")," ",""),8),5,2),--MID(LEFT(SUBSTITUTE(SUBSTITUTE(SUBSTITUTE(SUBSTITUTE(TRIM($AR457),"-",""),".",""),"/","")," ",""),8),7,2)),"")))</f>
        <v/>
      </c>
      <c r="AT457" s="23">
        <f>IF($AS457="","",IF($F$6="",0,IF(ISNUMBER(INDEX($A:$AP,ROW(),$F$6)),INDEX($A:$AP,ROW(),$F$6),IFERROR(--SUBSTITUTE(SUBSTITUTE(TRIM(INDEX($A:$AP,ROW(),$F$6)),",",""),"원",""),0))))</f>
        <v/>
      </c>
      <c r="AU457" s="23">
        <f>IF($AS457="","",IF($G$6="",0,IF(ISNUMBER(INDEX($A:$AP,ROW(),$G$6)),INDEX($A:$AP,ROW(),$G$6),IFERROR(--SUBSTITUTE(SUBSTITUTE(TRIM(INDEX($A:$AP,ROW(),$G$6)),",",""),"원",""),0))))</f>
        <v/>
      </c>
      <c r="AV457" s="23">
        <f>IF($AS457="","",IF($H$6="",$AT457+$AU457,IF($H$6="",0,IF(ISNUMBER(INDEX($A:$AP,ROW(),$H$6)),INDEX($A:$AP,ROW(),$H$6),IFERROR(--SUBSTITUTE(SUBSTITUTE(TRIM(INDEX($A:$AP,ROW(),$H$6)),",",""),"원",""),0)))))</f>
        <v/>
      </c>
      <c r="AW457" s="2">
        <f>IF(OR($AS457="",$C$6=""),"",TRIM(INDEX($A:$AP,ROW(),$C$6)&amp;""))</f>
        <v/>
      </c>
      <c r="AX457" s="2">
        <f>IF($AS457="","",IF($AZ457&lt;&gt;"",SUBSTITUTE(SUBSTITUTE($AZ457,"-","")," ",""),$AY457))</f>
        <v/>
      </c>
      <c r="AY457" s="2">
        <f>IF(OR($AS457="",$E$6=""),"",TRIM(INDEX($A:$AP,ROW(),$E$6)&amp;""))</f>
        <v/>
      </c>
      <c r="AZ457" s="2">
        <f>IF(OR($AS457="",$D$6=""),"",TRIM(INDEX($A:$AP,ROW(),$D$6)&amp;""))</f>
        <v/>
      </c>
      <c r="BA457" s="2">
        <f>IF($AS457="","",IF(AND($AS457&gt;=설정!$B$10,$AS457&lt;=설정!$B$11),"포함","기간 밖"))</f>
        <v/>
      </c>
      <c r="BB457" s="2">
        <f>IF($AS457="","",IF(OR($AT457&lt;0,AND($I$6&lt;&gt;"",ISNUMBER(FIND("수정",INDEX($A:$AP,ROW(),IF($I$6="",1,$I$6))&amp;"")))),"수정","일반"))</f>
        <v/>
      </c>
      <c r="BC457" s="2">
        <f>IF($AS457="","",MID(IF($BA457="기간 밖"," / 기간 밖(신고기간 아님)","")&amp;IF(AND($AW457&lt;&gt;"",COUNTIF($AW$8:$AW$1007,$AW457)&gt;1)," / 승인번호 중복(두 번 붙여넣기?)","")&amp;IF(ABS($AU457-ROUND($AT457*0.1,0))&gt;설정!$B$8,IF($AU457=0," / 세액 0원(영세율·면세 여부 확인)"," / 세액이 공급가액 10%와 다름"),"")&amp;IF($BB457="수정"," / 수정세금계산서(합계에서 자동 가감)",""),4,200))</f>
        <v/>
      </c>
      <c r="BD457" s="2">
        <f>IF($BA457&lt;&gt;"포함","",IF(COUNTIFS($AX$8:$AX457,$AX457,$BA$8:$BA457,"포함")=1,MAX($BD$7:BD456)+1,""))</f>
        <v/>
      </c>
      <c r="BE457" s="2">
        <f>IF($BC457="","",MAX($BE$7:BE456)+1)</f>
        <v/>
      </c>
    </row>
    <row r="458">
      <c r="AR458" s="2">
        <f>IF(OR($A$5="",$B$6="",ROW()&lt;$A$5),"",IF(INDEX($A:$AP,ROW(),$B$6)="","",INDEX($A:$AP,ROW(),$B$6)))</f>
        <v/>
      </c>
      <c r="AS458" s="22">
        <f>IF($AR458="","",IF(ISNUMBER($AR458),IF($AR458&gt;=10000000,IFERROR(DATE(INT($AR458/10000),MOD(INT($AR458/100),100),MOD($AR458,100)),""),INT($AR458)),IFERROR(DATE(--LEFT(LEFT(SUBSTITUTE(SUBSTITUTE(SUBSTITUTE(SUBSTITUTE(TRIM($AR458),"-",""),".",""),"/","")," ",""),8),4),--MID(LEFT(SUBSTITUTE(SUBSTITUTE(SUBSTITUTE(SUBSTITUTE(TRIM($AR458),"-",""),".",""),"/","")," ",""),8),5,2),--MID(LEFT(SUBSTITUTE(SUBSTITUTE(SUBSTITUTE(SUBSTITUTE(TRIM($AR458),"-",""),".",""),"/","")," ",""),8),7,2)),"")))</f>
        <v/>
      </c>
      <c r="AT458" s="23">
        <f>IF($AS458="","",IF($F$6="",0,IF(ISNUMBER(INDEX($A:$AP,ROW(),$F$6)),INDEX($A:$AP,ROW(),$F$6),IFERROR(--SUBSTITUTE(SUBSTITUTE(TRIM(INDEX($A:$AP,ROW(),$F$6)),",",""),"원",""),0))))</f>
        <v/>
      </c>
      <c r="AU458" s="23">
        <f>IF($AS458="","",IF($G$6="",0,IF(ISNUMBER(INDEX($A:$AP,ROW(),$G$6)),INDEX($A:$AP,ROW(),$G$6),IFERROR(--SUBSTITUTE(SUBSTITUTE(TRIM(INDEX($A:$AP,ROW(),$G$6)),",",""),"원",""),0))))</f>
        <v/>
      </c>
      <c r="AV458" s="23">
        <f>IF($AS458="","",IF($H$6="",$AT458+$AU458,IF($H$6="",0,IF(ISNUMBER(INDEX($A:$AP,ROW(),$H$6)),INDEX($A:$AP,ROW(),$H$6),IFERROR(--SUBSTITUTE(SUBSTITUTE(TRIM(INDEX($A:$AP,ROW(),$H$6)),",",""),"원",""),0)))))</f>
        <v/>
      </c>
      <c r="AW458" s="2">
        <f>IF(OR($AS458="",$C$6=""),"",TRIM(INDEX($A:$AP,ROW(),$C$6)&amp;""))</f>
        <v/>
      </c>
      <c r="AX458" s="2">
        <f>IF($AS458="","",IF($AZ458&lt;&gt;"",SUBSTITUTE(SUBSTITUTE($AZ458,"-","")," ",""),$AY458))</f>
        <v/>
      </c>
      <c r="AY458" s="2">
        <f>IF(OR($AS458="",$E$6=""),"",TRIM(INDEX($A:$AP,ROW(),$E$6)&amp;""))</f>
        <v/>
      </c>
      <c r="AZ458" s="2">
        <f>IF(OR($AS458="",$D$6=""),"",TRIM(INDEX($A:$AP,ROW(),$D$6)&amp;""))</f>
        <v/>
      </c>
      <c r="BA458" s="2">
        <f>IF($AS458="","",IF(AND($AS458&gt;=설정!$B$10,$AS458&lt;=설정!$B$11),"포함","기간 밖"))</f>
        <v/>
      </c>
      <c r="BB458" s="2">
        <f>IF($AS458="","",IF(OR($AT458&lt;0,AND($I$6&lt;&gt;"",ISNUMBER(FIND("수정",INDEX($A:$AP,ROW(),IF($I$6="",1,$I$6))&amp;"")))),"수정","일반"))</f>
        <v/>
      </c>
      <c r="BC458" s="2">
        <f>IF($AS458="","",MID(IF($BA458="기간 밖"," / 기간 밖(신고기간 아님)","")&amp;IF(AND($AW458&lt;&gt;"",COUNTIF($AW$8:$AW$1007,$AW458)&gt;1)," / 승인번호 중복(두 번 붙여넣기?)","")&amp;IF(ABS($AU458-ROUND($AT458*0.1,0))&gt;설정!$B$8,IF($AU458=0," / 세액 0원(영세율·면세 여부 확인)"," / 세액이 공급가액 10%와 다름"),"")&amp;IF($BB458="수정"," / 수정세금계산서(합계에서 자동 가감)",""),4,200))</f>
        <v/>
      </c>
      <c r="BD458" s="2">
        <f>IF($BA458&lt;&gt;"포함","",IF(COUNTIFS($AX$8:$AX458,$AX458,$BA$8:$BA458,"포함")=1,MAX($BD$7:BD457)+1,""))</f>
        <v/>
      </c>
      <c r="BE458" s="2">
        <f>IF($BC458="","",MAX($BE$7:BE457)+1)</f>
        <v/>
      </c>
    </row>
    <row r="459">
      <c r="AR459" s="2">
        <f>IF(OR($A$5="",$B$6="",ROW()&lt;$A$5),"",IF(INDEX($A:$AP,ROW(),$B$6)="","",INDEX($A:$AP,ROW(),$B$6)))</f>
        <v/>
      </c>
      <c r="AS459" s="22">
        <f>IF($AR459="","",IF(ISNUMBER($AR459),IF($AR459&gt;=10000000,IFERROR(DATE(INT($AR459/10000),MOD(INT($AR459/100),100),MOD($AR459,100)),""),INT($AR459)),IFERROR(DATE(--LEFT(LEFT(SUBSTITUTE(SUBSTITUTE(SUBSTITUTE(SUBSTITUTE(TRIM($AR459),"-",""),".",""),"/","")," ",""),8),4),--MID(LEFT(SUBSTITUTE(SUBSTITUTE(SUBSTITUTE(SUBSTITUTE(TRIM($AR459),"-",""),".",""),"/","")," ",""),8),5,2),--MID(LEFT(SUBSTITUTE(SUBSTITUTE(SUBSTITUTE(SUBSTITUTE(TRIM($AR459),"-",""),".",""),"/","")," ",""),8),7,2)),"")))</f>
        <v/>
      </c>
      <c r="AT459" s="23">
        <f>IF($AS459="","",IF($F$6="",0,IF(ISNUMBER(INDEX($A:$AP,ROW(),$F$6)),INDEX($A:$AP,ROW(),$F$6),IFERROR(--SUBSTITUTE(SUBSTITUTE(TRIM(INDEX($A:$AP,ROW(),$F$6)),",",""),"원",""),0))))</f>
        <v/>
      </c>
      <c r="AU459" s="23">
        <f>IF($AS459="","",IF($G$6="",0,IF(ISNUMBER(INDEX($A:$AP,ROW(),$G$6)),INDEX($A:$AP,ROW(),$G$6),IFERROR(--SUBSTITUTE(SUBSTITUTE(TRIM(INDEX($A:$AP,ROW(),$G$6)),",",""),"원",""),0))))</f>
        <v/>
      </c>
      <c r="AV459" s="23">
        <f>IF($AS459="","",IF($H$6="",$AT459+$AU459,IF($H$6="",0,IF(ISNUMBER(INDEX($A:$AP,ROW(),$H$6)),INDEX($A:$AP,ROW(),$H$6),IFERROR(--SUBSTITUTE(SUBSTITUTE(TRIM(INDEX($A:$AP,ROW(),$H$6)),",",""),"원",""),0)))))</f>
        <v/>
      </c>
      <c r="AW459" s="2">
        <f>IF(OR($AS459="",$C$6=""),"",TRIM(INDEX($A:$AP,ROW(),$C$6)&amp;""))</f>
        <v/>
      </c>
      <c r="AX459" s="2">
        <f>IF($AS459="","",IF($AZ459&lt;&gt;"",SUBSTITUTE(SUBSTITUTE($AZ459,"-","")," ",""),$AY459))</f>
        <v/>
      </c>
      <c r="AY459" s="2">
        <f>IF(OR($AS459="",$E$6=""),"",TRIM(INDEX($A:$AP,ROW(),$E$6)&amp;""))</f>
        <v/>
      </c>
      <c r="AZ459" s="2">
        <f>IF(OR($AS459="",$D$6=""),"",TRIM(INDEX($A:$AP,ROW(),$D$6)&amp;""))</f>
        <v/>
      </c>
      <c r="BA459" s="2">
        <f>IF($AS459="","",IF(AND($AS459&gt;=설정!$B$10,$AS459&lt;=설정!$B$11),"포함","기간 밖"))</f>
        <v/>
      </c>
      <c r="BB459" s="2">
        <f>IF($AS459="","",IF(OR($AT459&lt;0,AND($I$6&lt;&gt;"",ISNUMBER(FIND("수정",INDEX($A:$AP,ROW(),IF($I$6="",1,$I$6))&amp;"")))),"수정","일반"))</f>
        <v/>
      </c>
      <c r="BC459" s="2">
        <f>IF($AS459="","",MID(IF($BA459="기간 밖"," / 기간 밖(신고기간 아님)","")&amp;IF(AND($AW459&lt;&gt;"",COUNTIF($AW$8:$AW$1007,$AW459)&gt;1)," / 승인번호 중복(두 번 붙여넣기?)","")&amp;IF(ABS($AU459-ROUND($AT459*0.1,0))&gt;설정!$B$8,IF($AU459=0," / 세액 0원(영세율·면세 여부 확인)"," / 세액이 공급가액 10%와 다름"),"")&amp;IF($BB459="수정"," / 수정세금계산서(합계에서 자동 가감)",""),4,200))</f>
        <v/>
      </c>
      <c r="BD459" s="2">
        <f>IF($BA459&lt;&gt;"포함","",IF(COUNTIFS($AX$8:$AX459,$AX459,$BA$8:$BA459,"포함")=1,MAX($BD$7:BD458)+1,""))</f>
        <v/>
      </c>
      <c r="BE459" s="2">
        <f>IF($BC459="","",MAX($BE$7:BE458)+1)</f>
        <v/>
      </c>
    </row>
    <row r="460">
      <c r="AR460" s="2">
        <f>IF(OR($A$5="",$B$6="",ROW()&lt;$A$5),"",IF(INDEX($A:$AP,ROW(),$B$6)="","",INDEX($A:$AP,ROW(),$B$6)))</f>
        <v/>
      </c>
      <c r="AS460" s="22">
        <f>IF($AR460="","",IF(ISNUMBER($AR460),IF($AR460&gt;=10000000,IFERROR(DATE(INT($AR460/10000),MOD(INT($AR460/100),100),MOD($AR460,100)),""),INT($AR460)),IFERROR(DATE(--LEFT(LEFT(SUBSTITUTE(SUBSTITUTE(SUBSTITUTE(SUBSTITUTE(TRIM($AR460),"-",""),".",""),"/","")," ",""),8),4),--MID(LEFT(SUBSTITUTE(SUBSTITUTE(SUBSTITUTE(SUBSTITUTE(TRIM($AR460),"-",""),".",""),"/","")," ",""),8),5,2),--MID(LEFT(SUBSTITUTE(SUBSTITUTE(SUBSTITUTE(SUBSTITUTE(TRIM($AR460),"-",""),".",""),"/","")," ",""),8),7,2)),"")))</f>
        <v/>
      </c>
      <c r="AT460" s="23">
        <f>IF($AS460="","",IF($F$6="",0,IF(ISNUMBER(INDEX($A:$AP,ROW(),$F$6)),INDEX($A:$AP,ROW(),$F$6),IFERROR(--SUBSTITUTE(SUBSTITUTE(TRIM(INDEX($A:$AP,ROW(),$F$6)),",",""),"원",""),0))))</f>
        <v/>
      </c>
      <c r="AU460" s="23">
        <f>IF($AS460="","",IF($G$6="",0,IF(ISNUMBER(INDEX($A:$AP,ROW(),$G$6)),INDEX($A:$AP,ROW(),$G$6),IFERROR(--SUBSTITUTE(SUBSTITUTE(TRIM(INDEX($A:$AP,ROW(),$G$6)),",",""),"원",""),0))))</f>
        <v/>
      </c>
      <c r="AV460" s="23">
        <f>IF($AS460="","",IF($H$6="",$AT460+$AU460,IF($H$6="",0,IF(ISNUMBER(INDEX($A:$AP,ROW(),$H$6)),INDEX($A:$AP,ROW(),$H$6),IFERROR(--SUBSTITUTE(SUBSTITUTE(TRIM(INDEX($A:$AP,ROW(),$H$6)),",",""),"원",""),0)))))</f>
        <v/>
      </c>
      <c r="AW460" s="2">
        <f>IF(OR($AS460="",$C$6=""),"",TRIM(INDEX($A:$AP,ROW(),$C$6)&amp;""))</f>
        <v/>
      </c>
      <c r="AX460" s="2">
        <f>IF($AS460="","",IF($AZ460&lt;&gt;"",SUBSTITUTE(SUBSTITUTE($AZ460,"-","")," ",""),$AY460))</f>
        <v/>
      </c>
      <c r="AY460" s="2">
        <f>IF(OR($AS460="",$E$6=""),"",TRIM(INDEX($A:$AP,ROW(),$E$6)&amp;""))</f>
        <v/>
      </c>
      <c r="AZ460" s="2">
        <f>IF(OR($AS460="",$D$6=""),"",TRIM(INDEX($A:$AP,ROW(),$D$6)&amp;""))</f>
        <v/>
      </c>
      <c r="BA460" s="2">
        <f>IF($AS460="","",IF(AND($AS460&gt;=설정!$B$10,$AS460&lt;=설정!$B$11),"포함","기간 밖"))</f>
        <v/>
      </c>
      <c r="BB460" s="2">
        <f>IF($AS460="","",IF(OR($AT460&lt;0,AND($I$6&lt;&gt;"",ISNUMBER(FIND("수정",INDEX($A:$AP,ROW(),IF($I$6="",1,$I$6))&amp;"")))),"수정","일반"))</f>
        <v/>
      </c>
      <c r="BC460" s="2">
        <f>IF($AS460="","",MID(IF($BA460="기간 밖"," / 기간 밖(신고기간 아님)","")&amp;IF(AND($AW460&lt;&gt;"",COUNTIF($AW$8:$AW$1007,$AW460)&gt;1)," / 승인번호 중복(두 번 붙여넣기?)","")&amp;IF(ABS($AU460-ROUND($AT460*0.1,0))&gt;설정!$B$8,IF($AU460=0," / 세액 0원(영세율·면세 여부 확인)"," / 세액이 공급가액 10%와 다름"),"")&amp;IF($BB460="수정"," / 수정세금계산서(합계에서 자동 가감)",""),4,200))</f>
        <v/>
      </c>
      <c r="BD460" s="2">
        <f>IF($BA460&lt;&gt;"포함","",IF(COUNTIFS($AX$8:$AX460,$AX460,$BA$8:$BA460,"포함")=1,MAX($BD$7:BD459)+1,""))</f>
        <v/>
      </c>
      <c r="BE460" s="2">
        <f>IF($BC460="","",MAX($BE$7:BE459)+1)</f>
        <v/>
      </c>
    </row>
    <row r="461">
      <c r="AR461" s="2">
        <f>IF(OR($A$5="",$B$6="",ROW()&lt;$A$5),"",IF(INDEX($A:$AP,ROW(),$B$6)="","",INDEX($A:$AP,ROW(),$B$6)))</f>
        <v/>
      </c>
      <c r="AS461" s="22">
        <f>IF($AR461="","",IF(ISNUMBER($AR461),IF($AR461&gt;=10000000,IFERROR(DATE(INT($AR461/10000),MOD(INT($AR461/100),100),MOD($AR461,100)),""),INT($AR461)),IFERROR(DATE(--LEFT(LEFT(SUBSTITUTE(SUBSTITUTE(SUBSTITUTE(SUBSTITUTE(TRIM($AR461),"-",""),".",""),"/","")," ",""),8),4),--MID(LEFT(SUBSTITUTE(SUBSTITUTE(SUBSTITUTE(SUBSTITUTE(TRIM($AR461),"-",""),".",""),"/","")," ",""),8),5,2),--MID(LEFT(SUBSTITUTE(SUBSTITUTE(SUBSTITUTE(SUBSTITUTE(TRIM($AR461),"-",""),".",""),"/","")," ",""),8),7,2)),"")))</f>
        <v/>
      </c>
      <c r="AT461" s="23">
        <f>IF($AS461="","",IF($F$6="",0,IF(ISNUMBER(INDEX($A:$AP,ROW(),$F$6)),INDEX($A:$AP,ROW(),$F$6),IFERROR(--SUBSTITUTE(SUBSTITUTE(TRIM(INDEX($A:$AP,ROW(),$F$6)),",",""),"원",""),0))))</f>
        <v/>
      </c>
      <c r="AU461" s="23">
        <f>IF($AS461="","",IF($G$6="",0,IF(ISNUMBER(INDEX($A:$AP,ROW(),$G$6)),INDEX($A:$AP,ROW(),$G$6),IFERROR(--SUBSTITUTE(SUBSTITUTE(TRIM(INDEX($A:$AP,ROW(),$G$6)),",",""),"원",""),0))))</f>
        <v/>
      </c>
      <c r="AV461" s="23">
        <f>IF($AS461="","",IF($H$6="",$AT461+$AU461,IF($H$6="",0,IF(ISNUMBER(INDEX($A:$AP,ROW(),$H$6)),INDEX($A:$AP,ROW(),$H$6),IFERROR(--SUBSTITUTE(SUBSTITUTE(TRIM(INDEX($A:$AP,ROW(),$H$6)),",",""),"원",""),0)))))</f>
        <v/>
      </c>
      <c r="AW461" s="2">
        <f>IF(OR($AS461="",$C$6=""),"",TRIM(INDEX($A:$AP,ROW(),$C$6)&amp;""))</f>
        <v/>
      </c>
      <c r="AX461" s="2">
        <f>IF($AS461="","",IF($AZ461&lt;&gt;"",SUBSTITUTE(SUBSTITUTE($AZ461,"-","")," ",""),$AY461))</f>
        <v/>
      </c>
      <c r="AY461" s="2">
        <f>IF(OR($AS461="",$E$6=""),"",TRIM(INDEX($A:$AP,ROW(),$E$6)&amp;""))</f>
        <v/>
      </c>
      <c r="AZ461" s="2">
        <f>IF(OR($AS461="",$D$6=""),"",TRIM(INDEX($A:$AP,ROW(),$D$6)&amp;""))</f>
        <v/>
      </c>
      <c r="BA461" s="2">
        <f>IF($AS461="","",IF(AND($AS461&gt;=설정!$B$10,$AS461&lt;=설정!$B$11),"포함","기간 밖"))</f>
        <v/>
      </c>
      <c r="BB461" s="2">
        <f>IF($AS461="","",IF(OR($AT461&lt;0,AND($I$6&lt;&gt;"",ISNUMBER(FIND("수정",INDEX($A:$AP,ROW(),IF($I$6="",1,$I$6))&amp;"")))),"수정","일반"))</f>
        <v/>
      </c>
      <c r="BC461" s="2">
        <f>IF($AS461="","",MID(IF($BA461="기간 밖"," / 기간 밖(신고기간 아님)","")&amp;IF(AND($AW461&lt;&gt;"",COUNTIF($AW$8:$AW$1007,$AW461)&gt;1)," / 승인번호 중복(두 번 붙여넣기?)","")&amp;IF(ABS($AU461-ROUND($AT461*0.1,0))&gt;설정!$B$8,IF($AU461=0," / 세액 0원(영세율·면세 여부 확인)"," / 세액이 공급가액 10%와 다름"),"")&amp;IF($BB461="수정"," / 수정세금계산서(합계에서 자동 가감)",""),4,200))</f>
        <v/>
      </c>
      <c r="BD461" s="2">
        <f>IF($BA461&lt;&gt;"포함","",IF(COUNTIFS($AX$8:$AX461,$AX461,$BA$8:$BA461,"포함")=1,MAX($BD$7:BD460)+1,""))</f>
        <v/>
      </c>
      <c r="BE461" s="2">
        <f>IF($BC461="","",MAX($BE$7:BE460)+1)</f>
        <v/>
      </c>
    </row>
    <row r="462">
      <c r="AR462" s="2">
        <f>IF(OR($A$5="",$B$6="",ROW()&lt;$A$5),"",IF(INDEX($A:$AP,ROW(),$B$6)="","",INDEX($A:$AP,ROW(),$B$6)))</f>
        <v/>
      </c>
      <c r="AS462" s="22">
        <f>IF($AR462="","",IF(ISNUMBER($AR462),IF($AR462&gt;=10000000,IFERROR(DATE(INT($AR462/10000),MOD(INT($AR462/100),100),MOD($AR462,100)),""),INT($AR462)),IFERROR(DATE(--LEFT(LEFT(SUBSTITUTE(SUBSTITUTE(SUBSTITUTE(SUBSTITUTE(TRIM($AR462),"-",""),".",""),"/","")," ",""),8),4),--MID(LEFT(SUBSTITUTE(SUBSTITUTE(SUBSTITUTE(SUBSTITUTE(TRIM($AR462),"-",""),".",""),"/","")," ",""),8),5,2),--MID(LEFT(SUBSTITUTE(SUBSTITUTE(SUBSTITUTE(SUBSTITUTE(TRIM($AR462),"-",""),".",""),"/","")," ",""),8),7,2)),"")))</f>
        <v/>
      </c>
      <c r="AT462" s="23">
        <f>IF($AS462="","",IF($F$6="",0,IF(ISNUMBER(INDEX($A:$AP,ROW(),$F$6)),INDEX($A:$AP,ROW(),$F$6),IFERROR(--SUBSTITUTE(SUBSTITUTE(TRIM(INDEX($A:$AP,ROW(),$F$6)),",",""),"원",""),0))))</f>
        <v/>
      </c>
      <c r="AU462" s="23">
        <f>IF($AS462="","",IF($G$6="",0,IF(ISNUMBER(INDEX($A:$AP,ROW(),$G$6)),INDEX($A:$AP,ROW(),$G$6),IFERROR(--SUBSTITUTE(SUBSTITUTE(TRIM(INDEX($A:$AP,ROW(),$G$6)),",",""),"원",""),0))))</f>
        <v/>
      </c>
      <c r="AV462" s="23">
        <f>IF($AS462="","",IF($H$6="",$AT462+$AU462,IF($H$6="",0,IF(ISNUMBER(INDEX($A:$AP,ROW(),$H$6)),INDEX($A:$AP,ROW(),$H$6),IFERROR(--SUBSTITUTE(SUBSTITUTE(TRIM(INDEX($A:$AP,ROW(),$H$6)),",",""),"원",""),0)))))</f>
        <v/>
      </c>
      <c r="AW462" s="2">
        <f>IF(OR($AS462="",$C$6=""),"",TRIM(INDEX($A:$AP,ROW(),$C$6)&amp;""))</f>
        <v/>
      </c>
      <c r="AX462" s="2">
        <f>IF($AS462="","",IF($AZ462&lt;&gt;"",SUBSTITUTE(SUBSTITUTE($AZ462,"-","")," ",""),$AY462))</f>
        <v/>
      </c>
      <c r="AY462" s="2">
        <f>IF(OR($AS462="",$E$6=""),"",TRIM(INDEX($A:$AP,ROW(),$E$6)&amp;""))</f>
        <v/>
      </c>
      <c r="AZ462" s="2">
        <f>IF(OR($AS462="",$D$6=""),"",TRIM(INDEX($A:$AP,ROW(),$D$6)&amp;""))</f>
        <v/>
      </c>
      <c r="BA462" s="2">
        <f>IF($AS462="","",IF(AND($AS462&gt;=설정!$B$10,$AS462&lt;=설정!$B$11),"포함","기간 밖"))</f>
        <v/>
      </c>
      <c r="BB462" s="2">
        <f>IF($AS462="","",IF(OR($AT462&lt;0,AND($I$6&lt;&gt;"",ISNUMBER(FIND("수정",INDEX($A:$AP,ROW(),IF($I$6="",1,$I$6))&amp;"")))),"수정","일반"))</f>
        <v/>
      </c>
      <c r="BC462" s="2">
        <f>IF($AS462="","",MID(IF($BA462="기간 밖"," / 기간 밖(신고기간 아님)","")&amp;IF(AND($AW462&lt;&gt;"",COUNTIF($AW$8:$AW$1007,$AW462)&gt;1)," / 승인번호 중복(두 번 붙여넣기?)","")&amp;IF(ABS($AU462-ROUND($AT462*0.1,0))&gt;설정!$B$8,IF($AU462=0," / 세액 0원(영세율·면세 여부 확인)"," / 세액이 공급가액 10%와 다름"),"")&amp;IF($BB462="수정"," / 수정세금계산서(합계에서 자동 가감)",""),4,200))</f>
        <v/>
      </c>
      <c r="BD462" s="2">
        <f>IF($BA462&lt;&gt;"포함","",IF(COUNTIFS($AX$8:$AX462,$AX462,$BA$8:$BA462,"포함")=1,MAX($BD$7:BD461)+1,""))</f>
        <v/>
      </c>
      <c r="BE462" s="2">
        <f>IF($BC462="","",MAX($BE$7:BE461)+1)</f>
        <v/>
      </c>
    </row>
    <row r="463">
      <c r="AR463" s="2">
        <f>IF(OR($A$5="",$B$6="",ROW()&lt;$A$5),"",IF(INDEX($A:$AP,ROW(),$B$6)="","",INDEX($A:$AP,ROW(),$B$6)))</f>
        <v/>
      </c>
      <c r="AS463" s="22">
        <f>IF($AR463="","",IF(ISNUMBER($AR463),IF($AR463&gt;=10000000,IFERROR(DATE(INT($AR463/10000),MOD(INT($AR463/100),100),MOD($AR463,100)),""),INT($AR463)),IFERROR(DATE(--LEFT(LEFT(SUBSTITUTE(SUBSTITUTE(SUBSTITUTE(SUBSTITUTE(TRIM($AR463),"-",""),".",""),"/","")," ",""),8),4),--MID(LEFT(SUBSTITUTE(SUBSTITUTE(SUBSTITUTE(SUBSTITUTE(TRIM($AR463),"-",""),".",""),"/","")," ",""),8),5,2),--MID(LEFT(SUBSTITUTE(SUBSTITUTE(SUBSTITUTE(SUBSTITUTE(TRIM($AR463),"-",""),".",""),"/","")," ",""),8),7,2)),"")))</f>
        <v/>
      </c>
      <c r="AT463" s="23">
        <f>IF($AS463="","",IF($F$6="",0,IF(ISNUMBER(INDEX($A:$AP,ROW(),$F$6)),INDEX($A:$AP,ROW(),$F$6),IFERROR(--SUBSTITUTE(SUBSTITUTE(TRIM(INDEX($A:$AP,ROW(),$F$6)),",",""),"원",""),0))))</f>
        <v/>
      </c>
      <c r="AU463" s="23">
        <f>IF($AS463="","",IF($G$6="",0,IF(ISNUMBER(INDEX($A:$AP,ROW(),$G$6)),INDEX($A:$AP,ROW(),$G$6),IFERROR(--SUBSTITUTE(SUBSTITUTE(TRIM(INDEX($A:$AP,ROW(),$G$6)),",",""),"원",""),0))))</f>
        <v/>
      </c>
      <c r="AV463" s="23">
        <f>IF($AS463="","",IF($H$6="",$AT463+$AU463,IF($H$6="",0,IF(ISNUMBER(INDEX($A:$AP,ROW(),$H$6)),INDEX($A:$AP,ROW(),$H$6),IFERROR(--SUBSTITUTE(SUBSTITUTE(TRIM(INDEX($A:$AP,ROW(),$H$6)),",",""),"원",""),0)))))</f>
        <v/>
      </c>
      <c r="AW463" s="2">
        <f>IF(OR($AS463="",$C$6=""),"",TRIM(INDEX($A:$AP,ROW(),$C$6)&amp;""))</f>
        <v/>
      </c>
      <c r="AX463" s="2">
        <f>IF($AS463="","",IF($AZ463&lt;&gt;"",SUBSTITUTE(SUBSTITUTE($AZ463,"-","")," ",""),$AY463))</f>
        <v/>
      </c>
      <c r="AY463" s="2">
        <f>IF(OR($AS463="",$E$6=""),"",TRIM(INDEX($A:$AP,ROW(),$E$6)&amp;""))</f>
        <v/>
      </c>
      <c r="AZ463" s="2">
        <f>IF(OR($AS463="",$D$6=""),"",TRIM(INDEX($A:$AP,ROW(),$D$6)&amp;""))</f>
        <v/>
      </c>
      <c r="BA463" s="2">
        <f>IF($AS463="","",IF(AND($AS463&gt;=설정!$B$10,$AS463&lt;=설정!$B$11),"포함","기간 밖"))</f>
        <v/>
      </c>
      <c r="BB463" s="2">
        <f>IF($AS463="","",IF(OR($AT463&lt;0,AND($I$6&lt;&gt;"",ISNUMBER(FIND("수정",INDEX($A:$AP,ROW(),IF($I$6="",1,$I$6))&amp;"")))),"수정","일반"))</f>
        <v/>
      </c>
      <c r="BC463" s="2">
        <f>IF($AS463="","",MID(IF($BA463="기간 밖"," / 기간 밖(신고기간 아님)","")&amp;IF(AND($AW463&lt;&gt;"",COUNTIF($AW$8:$AW$1007,$AW463)&gt;1)," / 승인번호 중복(두 번 붙여넣기?)","")&amp;IF(ABS($AU463-ROUND($AT463*0.1,0))&gt;설정!$B$8,IF($AU463=0," / 세액 0원(영세율·면세 여부 확인)"," / 세액이 공급가액 10%와 다름"),"")&amp;IF($BB463="수정"," / 수정세금계산서(합계에서 자동 가감)",""),4,200))</f>
        <v/>
      </c>
      <c r="BD463" s="2">
        <f>IF($BA463&lt;&gt;"포함","",IF(COUNTIFS($AX$8:$AX463,$AX463,$BA$8:$BA463,"포함")=1,MAX($BD$7:BD462)+1,""))</f>
        <v/>
      </c>
      <c r="BE463" s="2">
        <f>IF($BC463="","",MAX($BE$7:BE462)+1)</f>
        <v/>
      </c>
    </row>
    <row r="464">
      <c r="AR464" s="2">
        <f>IF(OR($A$5="",$B$6="",ROW()&lt;$A$5),"",IF(INDEX($A:$AP,ROW(),$B$6)="","",INDEX($A:$AP,ROW(),$B$6)))</f>
        <v/>
      </c>
      <c r="AS464" s="22">
        <f>IF($AR464="","",IF(ISNUMBER($AR464),IF($AR464&gt;=10000000,IFERROR(DATE(INT($AR464/10000),MOD(INT($AR464/100),100),MOD($AR464,100)),""),INT($AR464)),IFERROR(DATE(--LEFT(LEFT(SUBSTITUTE(SUBSTITUTE(SUBSTITUTE(SUBSTITUTE(TRIM($AR464),"-",""),".",""),"/","")," ",""),8),4),--MID(LEFT(SUBSTITUTE(SUBSTITUTE(SUBSTITUTE(SUBSTITUTE(TRIM($AR464),"-",""),".",""),"/","")," ",""),8),5,2),--MID(LEFT(SUBSTITUTE(SUBSTITUTE(SUBSTITUTE(SUBSTITUTE(TRIM($AR464),"-",""),".",""),"/","")," ",""),8),7,2)),"")))</f>
        <v/>
      </c>
      <c r="AT464" s="23">
        <f>IF($AS464="","",IF($F$6="",0,IF(ISNUMBER(INDEX($A:$AP,ROW(),$F$6)),INDEX($A:$AP,ROW(),$F$6),IFERROR(--SUBSTITUTE(SUBSTITUTE(TRIM(INDEX($A:$AP,ROW(),$F$6)),",",""),"원",""),0))))</f>
        <v/>
      </c>
      <c r="AU464" s="23">
        <f>IF($AS464="","",IF($G$6="",0,IF(ISNUMBER(INDEX($A:$AP,ROW(),$G$6)),INDEX($A:$AP,ROW(),$G$6),IFERROR(--SUBSTITUTE(SUBSTITUTE(TRIM(INDEX($A:$AP,ROW(),$G$6)),",",""),"원",""),0))))</f>
        <v/>
      </c>
      <c r="AV464" s="23">
        <f>IF($AS464="","",IF($H$6="",$AT464+$AU464,IF($H$6="",0,IF(ISNUMBER(INDEX($A:$AP,ROW(),$H$6)),INDEX($A:$AP,ROW(),$H$6),IFERROR(--SUBSTITUTE(SUBSTITUTE(TRIM(INDEX($A:$AP,ROW(),$H$6)),",",""),"원",""),0)))))</f>
        <v/>
      </c>
      <c r="AW464" s="2">
        <f>IF(OR($AS464="",$C$6=""),"",TRIM(INDEX($A:$AP,ROW(),$C$6)&amp;""))</f>
        <v/>
      </c>
      <c r="AX464" s="2">
        <f>IF($AS464="","",IF($AZ464&lt;&gt;"",SUBSTITUTE(SUBSTITUTE($AZ464,"-","")," ",""),$AY464))</f>
        <v/>
      </c>
      <c r="AY464" s="2">
        <f>IF(OR($AS464="",$E$6=""),"",TRIM(INDEX($A:$AP,ROW(),$E$6)&amp;""))</f>
        <v/>
      </c>
      <c r="AZ464" s="2">
        <f>IF(OR($AS464="",$D$6=""),"",TRIM(INDEX($A:$AP,ROW(),$D$6)&amp;""))</f>
        <v/>
      </c>
      <c r="BA464" s="2">
        <f>IF($AS464="","",IF(AND($AS464&gt;=설정!$B$10,$AS464&lt;=설정!$B$11),"포함","기간 밖"))</f>
        <v/>
      </c>
      <c r="BB464" s="2">
        <f>IF($AS464="","",IF(OR($AT464&lt;0,AND($I$6&lt;&gt;"",ISNUMBER(FIND("수정",INDEX($A:$AP,ROW(),IF($I$6="",1,$I$6))&amp;"")))),"수정","일반"))</f>
        <v/>
      </c>
      <c r="BC464" s="2">
        <f>IF($AS464="","",MID(IF($BA464="기간 밖"," / 기간 밖(신고기간 아님)","")&amp;IF(AND($AW464&lt;&gt;"",COUNTIF($AW$8:$AW$1007,$AW464)&gt;1)," / 승인번호 중복(두 번 붙여넣기?)","")&amp;IF(ABS($AU464-ROUND($AT464*0.1,0))&gt;설정!$B$8,IF($AU464=0," / 세액 0원(영세율·면세 여부 확인)"," / 세액이 공급가액 10%와 다름"),"")&amp;IF($BB464="수정"," / 수정세금계산서(합계에서 자동 가감)",""),4,200))</f>
        <v/>
      </c>
      <c r="BD464" s="2">
        <f>IF($BA464&lt;&gt;"포함","",IF(COUNTIFS($AX$8:$AX464,$AX464,$BA$8:$BA464,"포함")=1,MAX($BD$7:BD463)+1,""))</f>
        <v/>
      </c>
      <c r="BE464" s="2">
        <f>IF($BC464="","",MAX($BE$7:BE463)+1)</f>
        <v/>
      </c>
    </row>
    <row r="465">
      <c r="AR465" s="2">
        <f>IF(OR($A$5="",$B$6="",ROW()&lt;$A$5),"",IF(INDEX($A:$AP,ROW(),$B$6)="","",INDEX($A:$AP,ROW(),$B$6)))</f>
        <v/>
      </c>
      <c r="AS465" s="22">
        <f>IF($AR465="","",IF(ISNUMBER($AR465),IF($AR465&gt;=10000000,IFERROR(DATE(INT($AR465/10000),MOD(INT($AR465/100),100),MOD($AR465,100)),""),INT($AR465)),IFERROR(DATE(--LEFT(LEFT(SUBSTITUTE(SUBSTITUTE(SUBSTITUTE(SUBSTITUTE(TRIM($AR465),"-",""),".",""),"/","")," ",""),8),4),--MID(LEFT(SUBSTITUTE(SUBSTITUTE(SUBSTITUTE(SUBSTITUTE(TRIM($AR465),"-",""),".",""),"/","")," ",""),8),5,2),--MID(LEFT(SUBSTITUTE(SUBSTITUTE(SUBSTITUTE(SUBSTITUTE(TRIM($AR465),"-",""),".",""),"/","")," ",""),8),7,2)),"")))</f>
        <v/>
      </c>
      <c r="AT465" s="23">
        <f>IF($AS465="","",IF($F$6="",0,IF(ISNUMBER(INDEX($A:$AP,ROW(),$F$6)),INDEX($A:$AP,ROW(),$F$6),IFERROR(--SUBSTITUTE(SUBSTITUTE(TRIM(INDEX($A:$AP,ROW(),$F$6)),",",""),"원",""),0))))</f>
        <v/>
      </c>
      <c r="AU465" s="23">
        <f>IF($AS465="","",IF($G$6="",0,IF(ISNUMBER(INDEX($A:$AP,ROW(),$G$6)),INDEX($A:$AP,ROW(),$G$6),IFERROR(--SUBSTITUTE(SUBSTITUTE(TRIM(INDEX($A:$AP,ROW(),$G$6)),",",""),"원",""),0))))</f>
        <v/>
      </c>
      <c r="AV465" s="23">
        <f>IF($AS465="","",IF($H$6="",$AT465+$AU465,IF($H$6="",0,IF(ISNUMBER(INDEX($A:$AP,ROW(),$H$6)),INDEX($A:$AP,ROW(),$H$6),IFERROR(--SUBSTITUTE(SUBSTITUTE(TRIM(INDEX($A:$AP,ROW(),$H$6)),",",""),"원",""),0)))))</f>
        <v/>
      </c>
      <c r="AW465" s="2">
        <f>IF(OR($AS465="",$C$6=""),"",TRIM(INDEX($A:$AP,ROW(),$C$6)&amp;""))</f>
        <v/>
      </c>
      <c r="AX465" s="2">
        <f>IF($AS465="","",IF($AZ465&lt;&gt;"",SUBSTITUTE(SUBSTITUTE($AZ465,"-","")," ",""),$AY465))</f>
        <v/>
      </c>
      <c r="AY465" s="2">
        <f>IF(OR($AS465="",$E$6=""),"",TRIM(INDEX($A:$AP,ROW(),$E$6)&amp;""))</f>
        <v/>
      </c>
      <c r="AZ465" s="2">
        <f>IF(OR($AS465="",$D$6=""),"",TRIM(INDEX($A:$AP,ROW(),$D$6)&amp;""))</f>
        <v/>
      </c>
      <c r="BA465" s="2">
        <f>IF($AS465="","",IF(AND($AS465&gt;=설정!$B$10,$AS465&lt;=설정!$B$11),"포함","기간 밖"))</f>
        <v/>
      </c>
      <c r="BB465" s="2">
        <f>IF($AS465="","",IF(OR($AT465&lt;0,AND($I$6&lt;&gt;"",ISNUMBER(FIND("수정",INDEX($A:$AP,ROW(),IF($I$6="",1,$I$6))&amp;"")))),"수정","일반"))</f>
        <v/>
      </c>
      <c r="BC465" s="2">
        <f>IF($AS465="","",MID(IF($BA465="기간 밖"," / 기간 밖(신고기간 아님)","")&amp;IF(AND($AW465&lt;&gt;"",COUNTIF($AW$8:$AW$1007,$AW465)&gt;1)," / 승인번호 중복(두 번 붙여넣기?)","")&amp;IF(ABS($AU465-ROUND($AT465*0.1,0))&gt;설정!$B$8,IF($AU465=0," / 세액 0원(영세율·면세 여부 확인)"," / 세액이 공급가액 10%와 다름"),"")&amp;IF($BB465="수정"," / 수정세금계산서(합계에서 자동 가감)",""),4,200))</f>
        <v/>
      </c>
      <c r="BD465" s="2">
        <f>IF($BA465&lt;&gt;"포함","",IF(COUNTIFS($AX$8:$AX465,$AX465,$BA$8:$BA465,"포함")=1,MAX($BD$7:BD464)+1,""))</f>
        <v/>
      </c>
      <c r="BE465" s="2">
        <f>IF($BC465="","",MAX($BE$7:BE464)+1)</f>
        <v/>
      </c>
    </row>
    <row r="466">
      <c r="AR466" s="2">
        <f>IF(OR($A$5="",$B$6="",ROW()&lt;$A$5),"",IF(INDEX($A:$AP,ROW(),$B$6)="","",INDEX($A:$AP,ROW(),$B$6)))</f>
        <v/>
      </c>
      <c r="AS466" s="22">
        <f>IF($AR466="","",IF(ISNUMBER($AR466),IF($AR466&gt;=10000000,IFERROR(DATE(INT($AR466/10000),MOD(INT($AR466/100),100),MOD($AR466,100)),""),INT($AR466)),IFERROR(DATE(--LEFT(LEFT(SUBSTITUTE(SUBSTITUTE(SUBSTITUTE(SUBSTITUTE(TRIM($AR466),"-",""),".",""),"/","")," ",""),8),4),--MID(LEFT(SUBSTITUTE(SUBSTITUTE(SUBSTITUTE(SUBSTITUTE(TRIM($AR466),"-",""),".",""),"/","")," ",""),8),5,2),--MID(LEFT(SUBSTITUTE(SUBSTITUTE(SUBSTITUTE(SUBSTITUTE(TRIM($AR466),"-",""),".",""),"/","")," ",""),8),7,2)),"")))</f>
        <v/>
      </c>
      <c r="AT466" s="23">
        <f>IF($AS466="","",IF($F$6="",0,IF(ISNUMBER(INDEX($A:$AP,ROW(),$F$6)),INDEX($A:$AP,ROW(),$F$6),IFERROR(--SUBSTITUTE(SUBSTITUTE(TRIM(INDEX($A:$AP,ROW(),$F$6)),",",""),"원",""),0))))</f>
        <v/>
      </c>
      <c r="AU466" s="23">
        <f>IF($AS466="","",IF($G$6="",0,IF(ISNUMBER(INDEX($A:$AP,ROW(),$G$6)),INDEX($A:$AP,ROW(),$G$6),IFERROR(--SUBSTITUTE(SUBSTITUTE(TRIM(INDEX($A:$AP,ROW(),$G$6)),",",""),"원",""),0))))</f>
        <v/>
      </c>
      <c r="AV466" s="23">
        <f>IF($AS466="","",IF($H$6="",$AT466+$AU466,IF($H$6="",0,IF(ISNUMBER(INDEX($A:$AP,ROW(),$H$6)),INDEX($A:$AP,ROW(),$H$6),IFERROR(--SUBSTITUTE(SUBSTITUTE(TRIM(INDEX($A:$AP,ROW(),$H$6)),",",""),"원",""),0)))))</f>
        <v/>
      </c>
      <c r="AW466" s="2">
        <f>IF(OR($AS466="",$C$6=""),"",TRIM(INDEX($A:$AP,ROW(),$C$6)&amp;""))</f>
        <v/>
      </c>
      <c r="AX466" s="2">
        <f>IF($AS466="","",IF($AZ466&lt;&gt;"",SUBSTITUTE(SUBSTITUTE($AZ466,"-","")," ",""),$AY466))</f>
        <v/>
      </c>
      <c r="AY466" s="2">
        <f>IF(OR($AS466="",$E$6=""),"",TRIM(INDEX($A:$AP,ROW(),$E$6)&amp;""))</f>
        <v/>
      </c>
      <c r="AZ466" s="2">
        <f>IF(OR($AS466="",$D$6=""),"",TRIM(INDEX($A:$AP,ROW(),$D$6)&amp;""))</f>
        <v/>
      </c>
      <c r="BA466" s="2">
        <f>IF($AS466="","",IF(AND($AS466&gt;=설정!$B$10,$AS466&lt;=설정!$B$11),"포함","기간 밖"))</f>
        <v/>
      </c>
      <c r="BB466" s="2">
        <f>IF($AS466="","",IF(OR($AT466&lt;0,AND($I$6&lt;&gt;"",ISNUMBER(FIND("수정",INDEX($A:$AP,ROW(),IF($I$6="",1,$I$6))&amp;"")))),"수정","일반"))</f>
        <v/>
      </c>
      <c r="BC466" s="2">
        <f>IF($AS466="","",MID(IF($BA466="기간 밖"," / 기간 밖(신고기간 아님)","")&amp;IF(AND($AW466&lt;&gt;"",COUNTIF($AW$8:$AW$1007,$AW466)&gt;1)," / 승인번호 중복(두 번 붙여넣기?)","")&amp;IF(ABS($AU466-ROUND($AT466*0.1,0))&gt;설정!$B$8,IF($AU466=0," / 세액 0원(영세율·면세 여부 확인)"," / 세액이 공급가액 10%와 다름"),"")&amp;IF($BB466="수정"," / 수정세금계산서(합계에서 자동 가감)",""),4,200))</f>
        <v/>
      </c>
      <c r="BD466" s="2">
        <f>IF($BA466&lt;&gt;"포함","",IF(COUNTIFS($AX$8:$AX466,$AX466,$BA$8:$BA466,"포함")=1,MAX($BD$7:BD465)+1,""))</f>
        <v/>
      </c>
      <c r="BE466" s="2">
        <f>IF($BC466="","",MAX($BE$7:BE465)+1)</f>
        <v/>
      </c>
    </row>
    <row r="467">
      <c r="AR467" s="2">
        <f>IF(OR($A$5="",$B$6="",ROW()&lt;$A$5),"",IF(INDEX($A:$AP,ROW(),$B$6)="","",INDEX($A:$AP,ROW(),$B$6)))</f>
        <v/>
      </c>
      <c r="AS467" s="22">
        <f>IF($AR467="","",IF(ISNUMBER($AR467),IF($AR467&gt;=10000000,IFERROR(DATE(INT($AR467/10000),MOD(INT($AR467/100),100),MOD($AR467,100)),""),INT($AR467)),IFERROR(DATE(--LEFT(LEFT(SUBSTITUTE(SUBSTITUTE(SUBSTITUTE(SUBSTITUTE(TRIM($AR467),"-",""),".",""),"/","")," ",""),8),4),--MID(LEFT(SUBSTITUTE(SUBSTITUTE(SUBSTITUTE(SUBSTITUTE(TRIM($AR467),"-",""),".",""),"/","")," ",""),8),5,2),--MID(LEFT(SUBSTITUTE(SUBSTITUTE(SUBSTITUTE(SUBSTITUTE(TRIM($AR467),"-",""),".",""),"/","")," ",""),8),7,2)),"")))</f>
        <v/>
      </c>
      <c r="AT467" s="23">
        <f>IF($AS467="","",IF($F$6="",0,IF(ISNUMBER(INDEX($A:$AP,ROW(),$F$6)),INDEX($A:$AP,ROW(),$F$6),IFERROR(--SUBSTITUTE(SUBSTITUTE(TRIM(INDEX($A:$AP,ROW(),$F$6)),",",""),"원",""),0))))</f>
        <v/>
      </c>
      <c r="AU467" s="23">
        <f>IF($AS467="","",IF($G$6="",0,IF(ISNUMBER(INDEX($A:$AP,ROW(),$G$6)),INDEX($A:$AP,ROW(),$G$6),IFERROR(--SUBSTITUTE(SUBSTITUTE(TRIM(INDEX($A:$AP,ROW(),$G$6)),",",""),"원",""),0))))</f>
        <v/>
      </c>
      <c r="AV467" s="23">
        <f>IF($AS467="","",IF($H$6="",$AT467+$AU467,IF($H$6="",0,IF(ISNUMBER(INDEX($A:$AP,ROW(),$H$6)),INDEX($A:$AP,ROW(),$H$6),IFERROR(--SUBSTITUTE(SUBSTITUTE(TRIM(INDEX($A:$AP,ROW(),$H$6)),",",""),"원",""),0)))))</f>
        <v/>
      </c>
      <c r="AW467" s="2">
        <f>IF(OR($AS467="",$C$6=""),"",TRIM(INDEX($A:$AP,ROW(),$C$6)&amp;""))</f>
        <v/>
      </c>
      <c r="AX467" s="2">
        <f>IF($AS467="","",IF($AZ467&lt;&gt;"",SUBSTITUTE(SUBSTITUTE($AZ467,"-","")," ",""),$AY467))</f>
        <v/>
      </c>
      <c r="AY467" s="2">
        <f>IF(OR($AS467="",$E$6=""),"",TRIM(INDEX($A:$AP,ROW(),$E$6)&amp;""))</f>
        <v/>
      </c>
      <c r="AZ467" s="2">
        <f>IF(OR($AS467="",$D$6=""),"",TRIM(INDEX($A:$AP,ROW(),$D$6)&amp;""))</f>
        <v/>
      </c>
      <c r="BA467" s="2">
        <f>IF($AS467="","",IF(AND($AS467&gt;=설정!$B$10,$AS467&lt;=설정!$B$11),"포함","기간 밖"))</f>
        <v/>
      </c>
      <c r="BB467" s="2">
        <f>IF($AS467="","",IF(OR($AT467&lt;0,AND($I$6&lt;&gt;"",ISNUMBER(FIND("수정",INDEX($A:$AP,ROW(),IF($I$6="",1,$I$6))&amp;"")))),"수정","일반"))</f>
        <v/>
      </c>
      <c r="BC467" s="2">
        <f>IF($AS467="","",MID(IF($BA467="기간 밖"," / 기간 밖(신고기간 아님)","")&amp;IF(AND($AW467&lt;&gt;"",COUNTIF($AW$8:$AW$1007,$AW467)&gt;1)," / 승인번호 중복(두 번 붙여넣기?)","")&amp;IF(ABS($AU467-ROUND($AT467*0.1,0))&gt;설정!$B$8,IF($AU467=0," / 세액 0원(영세율·면세 여부 확인)"," / 세액이 공급가액 10%와 다름"),"")&amp;IF($BB467="수정"," / 수정세금계산서(합계에서 자동 가감)",""),4,200))</f>
        <v/>
      </c>
      <c r="BD467" s="2">
        <f>IF($BA467&lt;&gt;"포함","",IF(COUNTIFS($AX$8:$AX467,$AX467,$BA$8:$BA467,"포함")=1,MAX($BD$7:BD466)+1,""))</f>
        <v/>
      </c>
      <c r="BE467" s="2">
        <f>IF($BC467="","",MAX($BE$7:BE466)+1)</f>
        <v/>
      </c>
    </row>
    <row r="468">
      <c r="AR468" s="2">
        <f>IF(OR($A$5="",$B$6="",ROW()&lt;$A$5),"",IF(INDEX($A:$AP,ROW(),$B$6)="","",INDEX($A:$AP,ROW(),$B$6)))</f>
        <v/>
      </c>
      <c r="AS468" s="22">
        <f>IF($AR468="","",IF(ISNUMBER($AR468),IF($AR468&gt;=10000000,IFERROR(DATE(INT($AR468/10000),MOD(INT($AR468/100),100),MOD($AR468,100)),""),INT($AR468)),IFERROR(DATE(--LEFT(LEFT(SUBSTITUTE(SUBSTITUTE(SUBSTITUTE(SUBSTITUTE(TRIM($AR468),"-",""),".",""),"/","")," ",""),8),4),--MID(LEFT(SUBSTITUTE(SUBSTITUTE(SUBSTITUTE(SUBSTITUTE(TRIM($AR468),"-",""),".",""),"/","")," ",""),8),5,2),--MID(LEFT(SUBSTITUTE(SUBSTITUTE(SUBSTITUTE(SUBSTITUTE(TRIM($AR468),"-",""),".",""),"/","")," ",""),8),7,2)),"")))</f>
        <v/>
      </c>
      <c r="AT468" s="23">
        <f>IF($AS468="","",IF($F$6="",0,IF(ISNUMBER(INDEX($A:$AP,ROW(),$F$6)),INDEX($A:$AP,ROW(),$F$6),IFERROR(--SUBSTITUTE(SUBSTITUTE(TRIM(INDEX($A:$AP,ROW(),$F$6)),",",""),"원",""),0))))</f>
        <v/>
      </c>
      <c r="AU468" s="23">
        <f>IF($AS468="","",IF($G$6="",0,IF(ISNUMBER(INDEX($A:$AP,ROW(),$G$6)),INDEX($A:$AP,ROW(),$G$6),IFERROR(--SUBSTITUTE(SUBSTITUTE(TRIM(INDEX($A:$AP,ROW(),$G$6)),",",""),"원",""),0))))</f>
        <v/>
      </c>
      <c r="AV468" s="23">
        <f>IF($AS468="","",IF($H$6="",$AT468+$AU468,IF($H$6="",0,IF(ISNUMBER(INDEX($A:$AP,ROW(),$H$6)),INDEX($A:$AP,ROW(),$H$6),IFERROR(--SUBSTITUTE(SUBSTITUTE(TRIM(INDEX($A:$AP,ROW(),$H$6)),",",""),"원",""),0)))))</f>
        <v/>
      </c>
      <c r="AW468" s="2">
        <f>IF(OR($AS468="",$C$6=""),"",TRIM(INDEX($A:$AP,ROW(),$C$6)&amp;""))</f>
        <v/>
      </c>
      <c r="AX468" s="2">
        <f>IF($AS468="","",IF($AZ468&lt;&gt;"",SUBSTITUTE(SUBSTITUTE($AZ468,"-","")," ",""),$AY468))</f>
        <v/>
      </c>
      <c r="AY468" s="2">
        <f>IF(OR($AS468="",$E$6=""),"",TRIM(INDEX($A:$AP,ROW(),$E$6)&amp;""))</f>
        <v/>
      </c>
      <c r="AZ468" s="2">
        <f>IF(OR($AS468="",$D$6=""),"",TRIM(INDEX($A:$AP,ROW(),$D$6)&amp;""))</f>
        <v/>
      </c>
      <c r="BA468" s="2">
        <f>IF($AS468="","",IF(AND($AS468&gt;=설정!$B$10,$AS468&lt;=설정!$B$11),"포함","기간 밖"))</f>
        <v/>
      </c>
      <c r="BB468" s="2">
        <f>IF($AS468="","",IF(OR($AT468&lt;0,AND($I$6&lt;&gt;"",ISNUMBER(FIND("수정",INDEX($A:$AP,ROW(),IF($I$6="",1,$I$6))&amp;"")))),"수정","일반"))</f>
        <v/>
      </c>
      <c r="BC468" s="2">
        <f>IF($AS468="","",MID(IF($BA468="기간 밖"," / 기간 밖(신고기간 아님)","")&amp;IF(AND($AW468&lt;&gt;"",COUNTIF($AW$8:$AW$1007,$AW468)&gt;1)," / 승인번호 중복(두 번 붙여넣기?)","")&amp;IF(ABS($AU468-ROUND($AT468*0.1,0))&gt;설정!$B$8,IF($AU468=0," / 세액 0원(영세율·면세 여부 확인)"," / 세액이 공급가액 10%와 다름"),"")&amp;IF($BB468="수정"," / 수정세금계산서(합계에서 자동 가감)",""),4,200))</f>
        <v/>
      </c>
      <c r="BD468" s="2">
        <f>IF($BA468&lt;&gt;"포함","",IF(COUNTIFS($AX$8:$AX468,$AX468,$BA$8:$BA468,"포함")=1,MAX($BD$7:BD467)+1,""))</f>
        <v/>
      </c>
      <c r="BE468" s="2">
        <f>IF($BC468="","",MAX($BE$7:BE467)+1)</f>
        <v/>
      </c>
    </row>
    <row r="469">
      <c r="AR469" s="2">
        <f>IF(OR($A$5="",$B$6="",ROW()&lt;$A$5),"",IF(INDEX($A:$AP,ROW(),$B$6)="","",INDEX($A:$AP,ROW(),$B$6)))</f>
        <v/>
      </c>
      <c r="AS469" s="22">
        <f>IF($AR469="","",IF(ISNUMBER($AR469),IF($AR469&gt;=10000000,IFERROR(DATE(INT($AR469/10000),MOD(INT($AR469/100),100),MOD($AR469,100)),""),INT($AR469)),IFERROR(DATE(--LEFT(LEFT(SUBSTITUTE(SUBSTITUTE(SUBSTITUTE(SUBSTITUTE(TRIM($AR469),"-",""),".",""),"/","")," ",""),8),4),--MID(LEFT(SUBSTITUTE(SUBSTITUTE(SUBSTITUTE(SUBSTITUTE(TRIM($AR469),"-",""),".",""),"/","")," ",""),8),5,2),--MID(LEFT(SUBSTITUTE(SUBSTITUTE(SUBSTITUTE(SUBSTITUTE(TRIM($AR469),"-",""),".",""),"/","")," ",""),8),7,2)),"")))</f>
        <v/>
      </c>
      <c r="AT469" s="23">
        <f>IF($AS469="","",IF($F$6="",0,IF(ISNUMBER(INDEX($A:$AP,ROW(),$F$6)),INDEX($A:$AP,ROW(),$F$6),IFERROR(--SUBSTITUTE(SUBSTITUTE(TRIM(INDEX($A:$AP,ROW(),$F$6)),",",""),"원",""),0))))</f>
        <v/>
      </c>
      <c r="AU469" s="23">
        <f>IF($AS469="","",IF($G$6="",0,IF(ISNUMBER(INDEX($A:$AP,ROW(),$G$6)),INDEX($A:$AP,ROW(),$G$6),IFERROR(--SUBSTITUTE(SUBSTITUTE(TRIM(INDEX($A:$AP,ROW(),$G$6)),",",""),"원",""),0))))</f>
        <v/>
      </c>
      <c r="AV469" s="23">
        <f>IF($AS469="","",IF($H$6="",$AT469+$AU469,IF($H$6="",0,IF(ISNUMBER(INDEX($A:$AP,ROW(),$H$6)),INDEX($A:$AP,ROW(),$H$6),IFERROR(--SUBSTITUTE(SUBSTITUTE(TRIM(INDEX($A:$AP,ROW(),$H$6)),",",""),"원",""),0)))))</f>
        <v/>
      </c>
      <c r="AW469" s="2">
        <f>IF(OR($AS469="",$C$6=""),"",TRIM(INDEX($A:$AP,ROW(),$C$6)&amp;""))</f>
        <v/>
      </c>
      <c r="AX469" s="2">
        <f>IF($AS469="","",IF($AZ469&lt;&gt;"",SUBSTITUTE(SUBSTITUTE($AZ469,"-","")," ",""),$AY469))</f>
        <v/>
      </c>
      <c r="AY469" s="2">
        <f>IF(OR($AS469="",$E$6=""),"",TRIM(INDEX($A:$AP,ROW(),$E$6)&amp;""))</f>
        <v/>
      </c>
      <c r="AZ469" s="2">
        <f>IF(OR($AS469="",$D$6=""),"",TRIM(INDEX($A:$AP,ROW(),$D$6)&amp;""))</f>
        <v/>
      </c>
      <c r="BA469" s="2">
        <f>IF($AS469="","",IF(AND($AS469&gt;=설정!$B$10,$AS469&lt;=설정!$B$11),"포함","기간 밖"))</f>
        <v/>
      </c>
      <c r="BB469" s="2">
        <f>IF($AS469="","",IF(OR($AT469&lt;0,AND($I$6&lt;&gt;"",ISNUMBER(FIND("수정",INDEX($A:$AP,ROW(),IF($I$6="",1,$I$6))&amp;"")))),"수정","일반"))</f>
        <v/>
      </c>
      <c r="BC469" s="2">
        <f>IF($AS469="","",MID(IF($BA469="기간 밖"," / 기간 밖(신고기간 아님)","")&amp;IF(AND($AW469&lt;&gt;"",COUNTIF($AW$8:$AW$1007,$AW469)&gt;1)," / 승인번호 중복(두 번 붙여넣기?)","")&amp;IF(ABS($AU469-ROUND($AT469*0.1,0))&gt;설정!$B$8,IF($AU469=0," / 세액 0원(영세율·면세 여부 확인)"," / 세액이 공급가액 10%와 다름"),"")&amp;IF($BB469="수정"," / 수정세금계산서(합계에서 자동 가감)",""),4,200))</f>
        <v/>
      </c>
      <c r="BD469" s="2">
        <f>IF($BA469&lt;&gt;"포함","",IF(COUNTIFS($AX$8:$AX469,$AX469,$BA$8:$BA469,"포함")=1,MAX($BD$7:BD468)+1,""))</f>
        <v/>
      </c>
      <c r="BE469" s="2">
        <f>IF($BC469="","",MAX($BE$7:BE468)+1)</f>
        <v/>
      </c>
    </row>
    <row r="470">
      <c r="AR470" s="2">
        <f>IF(OR($A$5="",$B$6="",ROW()&lt;$A$5),"",IF(INDEX($A:$AP,ROW(),$B$6)="","",INDEX($A:$AP,ROW(),$B$6)))</f>
        <v/>
      </c>
      <c r="AS470" s="22">
        <f>IF($AR470="","",IF(ISNUMBER($AR470),IF($AR470&gt;=10000000,IFERROR(DATE(INT($AR470/10000),MOD(INT($AR470/100),100),MOD($AR470,100)),""),INT($AR470)),IFERROR(DATE(--LEFT(LEFT(SUBSTITUTE(SUBSTITUTE(SUBSTITUTE(SUBSTITUTE(TRIM($AR470),"-",""),".",""),"/","")," ",""),8),4),--MID(LEFT(SUBSTITUTE(SUBSTITUTE(SUBSTITUTE(SUBSTITUTE(TRIM($AR470),"-",""),".",""),"/","")," ",""),8),5,2),--MID(LEFT(SUBSTITUTE(SUBSTITUTE(SUBSTITUTE(SUBSTITUTE(TRIM($AR470),"-",""),".",""),"/","")," ",""),8),7,2)),"")))</f>
        <v/>
      </c>
      <c r="AT470" s="23">
        <f>IF($AS470="","",IF($F$6="",0,IF(ISNUMBER(INDEX($A:$AP,ROW(),$F$6)),INDEX($A:$AP,ROW(),$F$6),IFERROR(--SUBSTITUTE(SUBSTITUTE(TRIM(INDEX($A:$AP,ROW(),$F$6)),",",""),"원",""),0))))</f>
        <v/>
      </c>
      <c r="AU470" s="23">
        <f>IF($AS470="","",IF($G$6="",0,IF(ISNUMBER(INDEX($A:$AP,ROW(),$G$6)),INDEX($A:$AP,ROW(),$G$6),IFERROR(--SUBSTITUTE(SUBSTITUTE(TRIM(INDEX($A:$AP,ROW(),$G$6)),",",""),"원",""),0))))</f>
        <v/>
      </c>
      <c r="AV470" s="23">
        <f>IF($AS470="","",IF($H$6="",$AT470+$AU470,IF($H$6="",0,IF(ISNUMBER(INDEX($A:$AP,ROW(),$H$6)),INDEX($A:$AP,ROW(),$H$6),IFERROR(--SUBSTITUTE(SUBSTITUTE(TRIM(INDEX($A:$AP,ROW(),$H$6)),",",""),"원",""),0)))))</f>
        <v/>
      </c>
      <c r="AW470" s="2">
        <f>IF(OR($AS470="",$C$6=""),"",TRIM(INDEX($A:$AP,ROW(),$C$6)&amp;""))</f>
        <v/>
      </c>
      <c r="AX470" s="2">
        <f>IF($AS470="","",IF($AZ470&lt;&gt;"",SUBSTITUTE(SUBSTITUTE($AZ470,"-","")," ",""),$AY470))</f>
        <v/>
      </c>
      <c r="AY470" s="2">
        <f>IF(OR($AS470="",$E$6=""),"",TRIM(INDEX($A:$AP,ROW(),$E$6)&amp;""))</f>
        <v/>
      </c>
      <c r="AZ470" s="2">
        <f>IF(OR($AS470="",$D$6=""),"",TRIM(INDEX($A:$AP,ROW(),$D$6)&amp;""))</f>
        <v/>
      </c>
      <c r="BA470" s="2">
        <f>IF($AS470="","",IF(AND($AS470&gt;=설정!$B$10,$AS470&lt;=설정!$B$11),"포함","기간 밖"))</f>
        <v/>
      </c>
      <c r="BB470" s="2">
        <f>IF($AS470="","",IF(OR($AT470&lt;0,AND($I$6&lt;&gt;"",ISNUMBER(FIND("수정",INDEX($A:$AP,ROW(),IF($I$6="",1,$I$6))&amp;"")))),"수정","일반"))</f>
        <v/>
      </c>
      <c r="BC470" s="2">
        <f>IF($AS470="","",MID(IF($BA470="기간 밖"," / 기간 밖(신고기간 아님)","")&amp;IF(AND($AW470&lt;&gt;"",COUNTIF($AW$8:$AW$1007,$AW470)&gt;1)," / 승인번호 중복(두 번 붙여넣기?)","")&amp;IF(ABS($AU470-ROUND($AT470*0.1,0))&gt;설정!$B$8,IF($AU470=0," / 세액 0원(영세율·면세 여부 확인)"," / 세액이 공급가액 10%와 다름"),"")&amp;IF($BB470="수정"," / 수정세금계산서(합계에서 자동 가감)",""),4,200))</f>
        <v/>
      </c>
      <c r="BD470" s="2">
        <f>IF($BA470&lt;&gt;"포함","",IF(COUNTIFS($AX$8:$AX470,$AX470,$BA$8:$BA470,"포함")=1,MAX($BD$7:BD469)+1,""))</f>
        <v/>
      </c>
      <c r="BE470" s="2">
        <f>IF($BC470="","",MAX($BE$7:BE469)+1)</f>
        <v/>
      </c>
    </row>
    <row r="471">
      <c r="AR471" s="2">
        <f>IF(OR($A$5="",$B$6="",ROW()&lt;$A$5),"",IF(INDEX($A:$AP,ROW(),$B$6)="","",INDEX($A:$AP,ROW(),$B$6)))</f>
        <v/>
      </c>
      <c r="AS471" s="22">
        <f>IF($AR471="","",IF(ISNUMBER($AR471),IF($AR471&gt;=10000000,IFERROR(DATE(INT($AR471/10000),MOD(INT($AR471/100),100),MOD($AR471,100)),""),INT($AR471)),IFERROR(DATE(--LEFT(LEFT(SUBSTITUTE(SUBSTITUTE(SUBSTITUTE(SUBSTITUTE(TRIM($AR471),"-",""),".",""),"/","")," ",""),8),4),--MID(LEFT(SUBSTITUTE(SUBSTITUTE(SUBSTITUTE(SUBSTITUTE(TRIM($AR471),"-",""),".",""),"/","")," ",""),8),5,2),--MID(LEFT(SUBSTITUTE(SUBSTITUTE(SUBSTITUTE(SUBSTITUTE(TRIM($AR471),"-",""),".",""),"/","")," ",""),8),7,2)),"")))</f>
        <v/>
      </c>
      <c r="AT471" s="23">
        <f>IF($AS471="","",IF($F$6="",0,IF(ISNUMBER(INDEX($A:$AP,ROW(),$F$6)),INDEX($A:$AP,ROW(),$F$6),IFERROR(--SUBSTITUTE(SUBSTITUTE(TRIM(INDEX($A:$AP,ROW(),$F$6)),",",""),"원",""),0))))</f>
        <v/>
      </c>
      <c r="AU471" s="23">
        <f>IF($AS471="","",IF($G$6="",0,IF(ISNUMBER(INDEX($A:$AP,ROW(),$G$6)),INDEX($A:$AP,ROW(),$G$6),IFERROR(--SUBSTITUTE(SUBSTITUTE(TRIM(INDEX($A:$AP,ROW(),$G$6)),",",""),"원",""),0))))</f>
        <v/>
      </c>
      <c r="AV471" s="23">
        <f>IF($AS471="","",IF($H$6="",$AT471+$AU471,IF($H$6="",0,IF(ISNUMBER(INDEX($A:$AP,ROW(),$H$6)),INDEX($A:$AP,ROW(),$H$6),IFERROR(--SUBSTITUTE(SUBSTITUTE(TRIM(INDEX($A:$AP,ROW(),$H$6)),",",""),"원",""),0)))))</f>
        <v/>
      </c>
      <c r="AW471" s="2">
        <f>IF(OR($AS471="",$C$6=""),"",TRIM(INDEX($A:$AP,ROW(),$C$6)&amp;""))</f>
        <v/>
      </c>
      <c r="AX471" s="2">
        <f>IF($AS471="","",IF($AZ471&lt;&gt;"",SUBSTITUTE(SUBSTITUTE($AZ471,"-","")," ",""),$AY471))</f>
        <v/>
      </c>
      <c r="AY471" s="2">
        <f>IF(OR($AS471="",$E$6=""),"",TRIM(INDEX($A:$AP,ROW(),$E$6)&amp;""))</f>
        <v/>
      </c>
      <c r="AZ471" s="2">
        <f>IF(OR($AS471="",$D$6=""),"",TRIM(INDEX($A:$AP,ROW(),$D$6)&amp;""))</f>
        <v/>
      </c>
      <c r="BA471" s="2">
        <f>IF($AS471="","",IF(AND($AS471&gt;=설정!$B$10,$AS471&lt;=설정!$B$11),"포함","기간 밖"))</f>
        <v/>
      </c>
      <c r="BB471" s="2">
        <f>IF($AS471="","",IF(OR($AT471&lt;0,AND($I$6&lt;&gt;"",ISNUMBER(FIND("수정",INDEX($A:$AP,ROW(),IF($I$6="",1,$I$6))&amp;"")))),"수정","일반"))</f>
        <v/>
      </c>
      <c r="BC471" s="2">
        <f>IF($AS471="","",MID(IF($BA471="기간 밖"," / 기간 밖(신고기간 아님)","")&amp;IF(AND($AW471&lt;&gt;"",COUNTIF($AW$8:$AW$1007,$AW471)&gt;1)," / 승인번호 중복(두 번 붙여넣기?)","")&amp;IF(ABS($AU471-ROUND($AT471*0.1,0))&gt;설정!$B$8,IF($AU471=0," / 세액 0원(영세율·면세 여부 확인)"," / 세액이 공급가액 10%와 다름"),"")&amp;IF($BB471="수정"," / 수정세금계산서(합계에서 자동 가감)",""),4,200))</f>
        <v/>
      </c>
      <c r="BD471" s="2">
        <f>IF($BA471&lt;&gt;"포함","",IF(COUNTIFS($AX$8:$AX471,$AX471,$BA$8:$BA471,"포함")=1,MAX($BD$7:BD470)+1,""))</f>
        <v/>
      </c>
      <c r="BE471" s="2">
        <f>IF($BC471="","",MAX($BE$7:BE470)+1)</f>
        <v/>
      </c>
    </row>
    <row r="472">
      <c r="AR472" s="2">
        <f>IF(OR($A$5="",$B$6="",ROW()&lt;$A$5),"",IF(INDEX($A:$AP,ROW(),$B$6)="","",INDEX($A:$AP,ROW(),$B$6)))</f>
        <v/>
      </c>
      <c r="AS472" s="22">
        <f>IF($AR472="","",IF(ISNUMBER($AR472),IF($AR472&gt;=10000000,IFERROR(DATE(INT($AR472/10000),MOD(INT($AR472/100),100),MOD($AR472,100)),""),INT($AR472)),IFERROR(DATE(--LEFT(LEFT(SUBSTITUTE(SUBSTITUTE(SUBSTITUTE(SUBSTITUTE(TRIM($AR472),"-",""),".",""),"/","")," ",""),8),4),--MID(LEFT(SUBSTITUTE(SUBSTITUTE(SUBSTITUTE(SUBSTITUTE(TRIM($AR472),"-",""),".",""),"/","")," ",""),8),5,2),--MID(LEFT(SUBSTITUTE(SUBSTITUTE(SUBSTITUTE(SUBSTITUTE(TRIM($AR472),"-",""),".",""),"/","")," ",""),8),7,2)),"")))</f>
        <v/>
      </c>
      <c r="AT472" s="23">
        <f>IF($AS472="","",IF($F$6="",0,IF(ISNUMBER(INDEX($A:$AP,ROW(),$F$6)),INDEX($A:$AP,ROW(),$F$6),IFERROR(--SUBSTITUTE(SUBSTITUTE(TRIM(INDEX($A:$AP,ROW(),$F$6)),",",""),"원",""),0))))</f>
        <v/>
      </c>
      <c r="AU472" s="23">
        <f>IF($AS472="","",IF($G$6="",0,IF(ISNUMBER(INDEX($A:$AP,ROW(),$G$6)),INDEX($A:$AP,ROW(),$G$6),IFERROR(--SUBSTITUTE(SUBSTITUTE(TRIM(INDEX($A:$AP,ROW(),$G$6)),",",""),"원",""),0))))</f>
        <v/>
      </c>
      <c r="AV472" s="23">
        <f>IF($AS472="","",IF($H$6="",$AT472+$AU472,IF($H$6="",0,IF(ISNUMBER(INDEX($A:$AP,ROW(),$H$6)),INDEX($A:$AP,ROW(),$H$6),IFERROR(--SUBSTITUTE(SUBSTITUTE(TRIM(INDEX($A:$AP,ROW(),$H$6)),",",""),"원",""),0)))))</f>
        <v/>
      </c>
      <c r="AW472" s="2">
        <f>IF(OR($AS472="",$C$6=""),"",TRIM(INDEX($A:$AP,ROW(),$C$6)&amp;""))</f>
        <v/>
      </c>
      <c r="AX472" s="2">
        <f>IF($AS472="","",IF($AZ472&lt;&gt;"",SUBSTITUTE(SUBSTITUTE($AZ472,"-","")," ",""),$AY472))</f>
        <v/>
      </c>
      <c r="AY472" s="2">
        <f>IF(OR($AS472="",$E$6=""),"",TRIM(INDEX($A:$AP,ROW(),$E$6)&amp;""))</f>
        <v/>
      </c>
      <c r="AZ472" s="2">
        <f>IF(OR($AS472="",$D$6=""),"",TRIM(INDEX($A:$AP,ROW(),$D$6)&amp;""))</f>
        <v/>
      </c>
      <c r="BA472" s="2">
        <f>IF($AS472="","",IF(AND($AS472&gt;=설정!$B$10,$AS472&lt;=설정!$B$11),"포함","기간 밖"))</f>
        <v/>
      </c>
      <c r="BB472" s="2">
        <f>IF($AS472="","",IF(OR($AT472&lt;0,AND($I$6&lt;&gt;"",ISNUMBER(FIND("수정",INDEX($A:$AP,ROW(),IF($I$6="",1,$I$6))&amp;"")))),"수정","일반"))</f>
        <v/>
      </c>
      <c r="BC472" s="2">
        <f>IF($AS472="","",MID(IF($BA472="기간 밖"," / 기간 밖(신고기간 아님)","")&amp;IF(AND($AW472&lt;&gt;"",COUNTIF($AW$8:$AW$1007,$AW472)&gt;1)," / 승인번호 중복(두 번 붙여넣기?)","")&amp;IF(ABS($AU472-ROUND($AT472*0.1,0))&gt;설정!$B$8,IF($AU472=0," / 세액 0원(영세율·면세 여부 확인)"," / 세액이 공급가액 10%와 다름"),"")&amp;IF($BB472="수정"," / 수정세금계산서(합계에서 자동 가감)",""),4,200))</f>
        <v/>
      </c>
      <c r="BD472" s="2">
        <f>IF($BA472&lt;&gt;"포함","",IF(COUNTIFS($AX$8:$AX472,$AX472,$BA$8:$BA472,"포함")=1,MAX($BD$7:BD471)+1,""))</f>
        <v/>
      </c>
      <c r="BE472" s="2">
        <f>IF($BC472="","",MAX($BE$7:BE471)+1)</f>
        <v/>
      </c>
    </row>
    <row r="473">
      <c r="AR473" s="2">
        <f>IF(OR($A$5="",$B$6="",ROW()&lt;$A$5),"",IF(INDEX($A:$AP,ROW(),$B$6)="","",INDEX($A:$AP,ROW(),$B$6)))</f>
        <v/>
      </c>
      <c r="AS473" s="22">
        <f>IF($AR473="","",IF(ISNUMBER($AR473),IF($AR473&gt;=10000000,IFERROR(DATE(INT($AR473/10000),MOD(INT($AR473/100),100),MOD($AR473,100)),""),INT($AR473)),IFERROR(DATE(--LEFT(LEFT(SUBSTITUTE(SUBSTITUTE(SUBSTITUTE(SUBSTITUTE(TRIM($AR473),"-",""),".",""),"/","")," ",""),8),4),--MID(LEFT(SUBSTITUTE(SUBSTITUTE(SUBSTITUTE(SUBSTITUTE(TRIM($AR473),"-",""),".",""),"/","")," ",""),8),5,2),--MID(LEFT(SUBSTITUTE(SUBSTITUTE(SUBSTITUTE(SUBSTITUTE(TRIM($AR473),"-",""),".",""),"/","")," ",""),8),7,2)),"")))</f>
        <v/>
      </c>
      <c r="AT473" s="23">
        <f>IF($AS473="","",IF($F$6="",0,IF(ISNUMBER(INDEX($A:$AP,ROW(),$F$6)),INDEX($A:$AP,ROW(),$F$6),IFERROR(--SUBSTITUTE(SUBSTITUTE(TRIM(INDEX($A:$AP,ROW(),$F$6)),",",""),"원",""),0))))</f>
        <v/>
      </c>
      <c r="AU473" s="23">
        <f>IF($AS473="","",IF($G$6="",0,IF(ISNUMBER(INDEX($A:$AP,ROW(),$G$6)),INDEX($A:$AP,ROW(),$G$6),IFERROR(--SUBSTITUTE(SUBSTITUTE(TRIM(INDEX($A:$AP,ROW(),$G$6)),",",""),"원",""),0))))</f>
        <v/>
      </c>
      <c r="AV473" s="23">
        <f>IF($AS473="","",IF($H$6="",$AT473+$AU473,IF($H$6="",0,IF(ISNUMBER(INDEX($A:$AP,ROW(),$H$6)),INDEX($A:$AP,ROW(),$H$6),IFERROR(--SUBSTITUTE(SUBSTITUTE(TRIM(INDEX($A:$AP,ROW(),$H$6)),",",""),"원",""),0)))))</f>
        <v/>
      </c>
      <c r="AW473" s="2">
        <f>IF(OR($AS473="",$C$6=""),"",TRIM(INDEX($A:$AP,ROW(),$C$6)&amp;""))</f>
        <v/>
      </c>
      <c r="AX473" s="2">
        <f>IF($AS473="","",IF($AZ473&lt;&gt;"",SUBSTITUTE(SUBSTITUTE($AZ473,"-","")," ",""),$AY473))</f>
        <v/>
      </c>
      <c r="AY473" s="2">
        <f>IF(OR($AS473="",$E$6=""),"",TRIM(INDEX($A:$AP,ROW(),$E$6)&amp;""))</f>
        <v/>
      </c>
      <c r="AZ473" s="2">
        <f>IF(OR($AS473="",$D$6=""),"",TRIM(INDEX($A:$AP,ROW(),$D$6)&amp;""))</f>
        <v/>
      </c>
      <c r="BA473" s="2">
        <f>IF($AS473="","",IF(AND($AS473&gt;=설정!$B$10,$AS473&lt;=설정!$B$11),"포함","기간 밖"))</f>
        <v/>
      </c>
      <c r="BB473" s="2">
        <f>IF($AS473="","",IF(OR($AT473&lt;0,AND($I$6&lt;&gt;"",ISNUMBER(FIND("수정",INDEX($A:$AP,ROW(),IF($I$6="",1,$I$6))&amp;"")))),"수정","일반"))</f>
        <v/>
      </c>
      <c r="BC473" s="2">
        <f>IF($AS473="","",MID(IF($BA473="기간 밖"," / 기간 밖(신고기간 아님)","")&amp;IF(AND($AW473&lt;&gt;"",COUNTIF($AW$8:$AW$1007,$AW473)&gt;1)," / 승인번호 중복(두 번 붙여넣기?)","")&amp;IF(ABS($AU473-ROUND($AT473*0.1,0))&gt;설정!$B$8,IF($AU473=0," / 세액 0원(영세율·면세 여부 확인)"," / 세액이 공급가액 10%와 다름"),"")&amp;IF($BB473="수정"," / 수정세금계산서(합계에서 자동 가감)",""),4,200))</f>
        <v/>
      </c>
      <c r="BD473" s="2">
        <f>IF($BA473&lt;&gt;"포함","",IF(COUNTIFS($AX$8:$AX473,$AX473,$BA$8:$BA473,"포함")=1,MAX($BD$7:BD472)+1,""))</f>
        <v/>
      </c>
      <c r="BE473" s="2">
        <f>IF($BC473="","",MAX($BE$7:BE472)+1)</f>
        <v/>
      </c>
    </row>
    <row r="474">
      <c r="AR474" s="2">
        <f>IF(OR($A$5="",$B$6="",ROW()&lt;$A$5),"",IF(INDEX($A:$AP,ROW(),$B$6)="","",INDEX($A:$AP,ROW(),$B$6)))</f>
        <v/>
      </c>
      <c r="AS474" s="22">
        <f>IF($AR474="","",IF(ISNUMBER($AR474),IF($AR474&gt;=10000000,IFERROR(DATE(INT($AR474/10000),MOD(INT($AR474/100),100),MOD($AR474,100)),""),INT($AR474)),IFERROR(DATE(--LEFT(LEFT(SUBSTITUTE(SUBSTITUTE(SUBSTITUTE(SUBSTITUTE(TRIM($AR474),"-",""),".",""),"/","")," ",""),8),4),--MID(LEFT(SUBSTITUTE(SUBSTITUTE(SUBSTITUTE(SUBSTITUTE(TRIM($AR474),"-",""),".",""),"/","")," ",""),8),5,2),--MID(LEFT(SUBSTITUTE(SUBSTITUTE(SUBSTITUTE(SUBSTITUTE(TRIM($AR474),"-",""),".",""),"/","")," ",""),8),7,2)),"")))</f>
        <v/>
      </c>
      <c r="AT474" s="23">
        <f>IF($AS474="","",IF($F$6="",0,IF(ISNUMBER(INDEX($A:$AP,ROW(),$F$6)),INDEX($A:$AP,ROW(),$F$6),IFERROR(--SUBSTITUTE(SUBSTITUTE(TRIM(INDEX($A:$AP,ROW(),$F$6)),",",""),"원",""),0))))</f>
        <v/>
      </c>
      <c r="AU474" s="23">
        <f>IF($AS474="","",IF($G$6="",0,IF(ISNUMBER(INDEX($A:$AP,ROW(),$G$6)),INDEX($A:$AP,ROW(),$G$6),IFERROR(--SUBSTITUTE(SUBSTITUTE(TRIM(INDEX($A:$AP,ROW(),$G$6)),",",""),"원",""),0))))</f>
        <v/>
      </c>
      <c r="AV474" s="23">
        <f>IF($AS474="","",IF($H$6="",$AT474+$AU474,IF($H$6="",0,IF(ISNUMBER(INDEX($A:$AP,ROW(),$H$6)),INDEX($A:$AP,ROW(),$H$6),IFERROR(--SUBSTITUTE(SUBSTITUTE(TRIM(INDEX($A:$AP,ROW(),$H$6)),",",""),"원",""),0)))))</f>
        <v/>
      </c>
      <c r="AW474" s="2">
        <f>IF(OR($AS474="",$C$6=""),"",TRIM(INDEX($A:$AP,ROW(),$C$6)&amp;""))</f>
        <v/>
      </c>
      <c r="AX474" s="2">
        <f>IF($AS474="","",IF($AZ474&lt;&gt;"",SUBSTITUTE(SUBSTITUTE($AZ474,"-","")," ",""),$AY474))</f>
        <v/>
      </c>
      <c r="AY474" s="2">
        <f>IF(OR($AS474="",$E$6=""),"",TRIM(INDEX($A:$AP,ROW(),$E$6)&amp;""))</f>
        <v/>
      </c>
      <c r="AZ474" s="2">
        <f>IF(OR($AS474="",$D$6=""),"",TRIM(INDEX($A:$AP,ROW(),$D$6)&amp;""))</f>
        <v/>
      </c>
      <c r="BA474" s="2">
        <f>IF($AS474="","",IF(AND($AS474&gt;=설정!$B$10,$AS474&lt;=설정!$B$11),"포함","기간 밖"))</f>
        <v/>
      </c>
      <c r="BB474" s="2">
        <f>IF($AS474="","",IF(OR($AT474&lt;0,AND($I$6&lt;&gt;"",ISNUMBER(FIND("수정",INDEX($A:$AP,ROW(),IF($I$6="",1,$I$6))&amp;"")))),"수정","일반"))</f>
        <v/>
      </c>
      <c r="BC474" s="2">
        <f>IF($AS474="","",MID(IF($BA474="기간 밖"," / 기간 밖(신고기간 아님)","")&amp;IF(AND($AW474&lt;&gt;"",COUNTIF($AW$8:$AW$1007,$AW474)&gt;1)," / 승인번호 중복(두 번 붙여넣기?)","")&amp;IF(ABS($AU474-ROUND($AT474*0.1,0))&gt;설정!$B$8,IF($AU474=0," / 세액 0원(영세율·면세 여부 확인)"," / 세액이 공급가액 10%와 다름"),"")&amp;IF($BB474="수정"," / 수정세금계산서(합계에서 자동 가감)",""),4,200))</f>
        <v/>
      </c>
      <c r="BD474" s="2">
        <f>IF($BA474&lt;&gt;"포함","",IF(COUNTIFS($AX$8:$AX474,$AX474,$BA$8:$BA474,"포함")=1,MAX($BD$7:BD473)+1,""))</f>
        <v/>
      </c>
      <c r="BE474" s="2">
        <f>IF($BC474="","",MAX($BE$7:BE473)+1)</f>
        <v/>
      </c>
    </row>
    <row r="475">
      <c r="AR475" s="2">
        <f>IF(OR($A$5="",$B$6="",ROW()&lt;$A$5),"",IF(INDEX($A:$AP,ROW(),$B$6)="","",INDEX($A:$AP,ROW(),$B$6)))</f>
        <v/>
      </c>
      <c r="AS475" s="22">
        <f>IF($AR475="","",IF(ISNUMBER($AR475),IF($AR475&gt;=10000000,IFERROR(DATE(INT($AR475/10000),MOD(INT($AR475/100),100),MOD($AR475,100)),""),INT($AR475)),IFERROR(DATE(--LEFT(LEFT(SUBSTITUTE(SUBSTITUTE(SUBSTITUTE(SUBSTITUTE(TRIM($AR475),"-",""),".",""),"/","")," ",""),8),4),--MID(LEFT(SUBSTITUTE(SUBSTITUTE(SUBSTITUTE(SUBSTITUTE(TRIM($AR475),"-",""),".",""),"/","")," ",""),8),5,2),--MID(LEFT(SUBSTITUTE(SUBSTITUTE(SUBSTITUTE(SUBSTITUTE(TRIM($AR475),"-",""),".",""),"/","")," ",""),8),7,2)),"")))</f>
        <v/>
      </c>
      <c r="AT475" s="23">
        <f>IF($AS475="","",IF($F$6="",0,IF(ISNUMBER(INDEX($A:$AP,ROW(),$F$6)),INDEX($A:$AP,ROW(),$F$6),IFERROR(--SUBSTITUTE(SUBSTITUTE(TRIM(INDEX($A:$AP,ROW(),$F$6)),",",""),"원",""),0))))</f>
        <v/>
      </c>
      <c r="AU475" s="23">
        <f>IF($AS475="","",IF($G$6="",0,IF(ISNUMBER(INDEX($A:$AP,ROW(),$G$6)),INDEX($A:$AP,ROW(),$G$6),IFERROR(--SUBSTITUTE(SUBSTITUTE(TRIM(INDEX($A:$AP,ROW(),$G$6)),",",""),"원",""),0))))</f>
        <v/>
      </c>
      <c r="AV475" s="23">
        <f>IF($AS475="","",IF($H$6="",$AT475+$AU475,IF($H$6="",0,IF(ISNUMBER(INDEX($A:$AP,ROW(),$H$6)),INDEX($A:$AP,ROW(),$H$6),IFERROR(--SUBSTITUTE(SUBSTITUTE(TRIM(INDEX($A:$AP,ROW(),$H$6)),",",""),"원",""),0)))))</f>
        <v/>
      </c>
      <c r="AW475" s="2">
        <f>IF(OR($AS475="",$C$6=""),"",TRIM(INDEX($A:$AP,ROW(),$C$6)&amp;""))</f>
        <v/>
      </c>
      <c r="AX475" s="2">
        <f>IF($AS475="","",IF($AZ475&lt;&gt;"",SUBSTITUTE(SUBSTITUTE($AZ475,"-","")," ",""),$AY475))</f>
        <v/>
      </c>
      <c r="AY475" s="2">
        <f>IF(OR($AS475="",$E$6=""),"",TRIM(INDEX($A:$AP,ROW(),$E$6)&amp;""))</f>
        <v/>
      </c>
      <c r="AZ475" s="2">
        <f>IF(OR($AS475="",$D$6=""),"",TRIM(INDEX($A:$AP,ROW(),$D$6)&amp;""))</f>
        <v/>
      </c>
      <c r="BA475" s="2">
        <f>IF($AS475="","",IF(AND($AS475&gt;=설정!$B$10,$AS475&lt;=설정!$B$11),"포함","기간 밖"))</f>
        <v/>
      </c>
      <c r="BB475" s="2">
        <f>IF($AS475="","",IF(OR($AT475&lt;0,AND($I$6&lt;&gt;"",ISNUMBER(FIND("수정",INDEX($A:$AP,ROW(),IF($I$6="",1,$I$6))&amp;"")))),"수정","일반"))</f>
        <v/>
      </c>
      <c r="BC475" s="2">
        <f>IF($AS475="","",MID(IF($BA475="기간 밖"," / 기간 밖(신고기간 아님)","")&amp;IF(AND($AW475&lt;&gt;"",COUNTIF($AW$8:$AW$1007,$AW475)&gt;1)," / 승인번호 중복(두 번 붙여넣기?)","")&amp;IF(ABS($AU475-ROUND($AT475*0.1,0))&gt;설정!$B$8,IF($AU475=0," / 세액 0원(영세율·면세 여부 확인)"," / 세액이 공급가액 10%와 다름"),"")&amp;IF($BB475="수정"," / 수정세금계산서(합계에서 자동 가감)",""),4,200))</f>
        <v/>
      </c>
      <c r="BD475" s="2">
        <f>IF($BA475&lt;&gt;"포함","",IF(COUNTIFS($AX$8:$AX475,$AX475,$BA$8:$BA475,"포함")=1,MAX($BD$7:BD474)+1,""))</f>
        <v/>
      </c>
      <c r="BE475" s="2">
        <f>IF($BC475="","",MAX($BE$7:BE474)+1)</f>
        <v/>
      </c>
    </row>
    <row r="476">
      <c r="AR476" s="2">
        <f>IF(OR($A$5="",$B$6="",ROW()&lt;$A$5),"",IF(INDEX($A:$AP,ROW(),$B$6)="","",INDEX($A:$AP,ROW(),$B$6)))</f>
        <v/>
      </c>
      <c r="AS476" s="22">
        <f>IF($AR476="","",IF(ISNUMBER($AR476),IF($AR476&gt;=10000000,IFERROR(DATE(INT($AR476/10000),MOD(INT($AR476/100),100),MOD($AR476,100)),""),INT($AR476)),IFERROR(DATE(--LEFT(LEFT(SUBSTITUTE(SUBSTITUTE(SUBSTITUTE(SUBSTITUTE(TRIM($AR476),"-",""),".",""),"/","")," ",""),8),4),--MID(LEFT(SUBSTITUTE(SUBSTITUTE(SUBSTITUTE(SUBSTITUTE(TRIM($AR476),"-",""),".",""),"/","")," ",""),8),5,2),--MID(LEFT(SUBSTITUTE(SUBSTITUTE(SUBSTITUTE(SUBSTITUTE(TRIM($AR476),"-",""),".",""),"/","")," ",""),8),7,2)),"")))</f>
        <v/>
      </c>
      <c r="AT476" s="23">
        <f>IF($AS476="","",IF($F$6="",0,IF(ISNUMBER(INDEX($A:$AP,ROW(),$F$6)),INDEX($A:$AP,ROW(),$F$6),IFERROR(--SUBSTITUTE(SUBSTITUTE(TRIM(INDEX($A:$AP,ROW(),$F$6)),",",""),"원",""),0))))</f>
        <v/>
      </c>
      <c r="AU476" s="23">
        <f>IF($AS476="","",IF($G$6="",0,IF(ISNUMBER(INDEX($A:$AP,ROW(),$G$6)),INDEX($A:$AP,ROW(),$G$6),IFERROR(--SUBSTITUTE(SUBSTITUTE(TRIM(INDEX($A:$AP,ROW(),$G$6)),",",""),"원",""),0))))</f>
        <v/>
      </c>
      <c r="AV476" s="23">
        <f>IF($AS476="","",IF($H$6="",$AT476+$AU476,IF($H$6="",0,IF(ISNUMBER(INDEX($A:$AP,ROW(),$H$6)),INDEX($A:$AP,ROW(),$H$6),IFERROR(--SUBSTITUTE(SUBSTITUTE(TRIM(INDEX($A:$AP,ROW(),$H$6)),",",""),"원",""),0)))))</f>
        <v/>
      </c>
      <c r="AW476" s="2">
        <f>IF(OR($AS476="",$C$6=""),"",TRIM(INDEX($A:$AP,ROW(),$C$6)&amp;""))</f>
        <v/>
      </c>
      <c r="AX476" s="2">
        <f>IF($AS476="","",IF($AZ476&lt;&gt;"",SUBSTITUTE(SUBSTITUTE($AZ476,"-","")," ",""),$AY476))</f>
        <v/>
      </c>
      <c r="AY476" s="2">
        <f>IF(OR($AS476="",$E$6=""),"",TRIM(INDEX($A:$AP,ROW(),$E$6)&amp;""))</f>
        <v/>
      </c>
      <c r="AZ476" s="2">
        <f>IF(OR($AS476="",$D$6=""),"",TRIM(INDEX($A:$AP,ROW(),$D$6)&amp;""))</f>
        <v/>
      </c>
      <c r="BA476" s="2">
        <f>IF($AS476="","",IF(AND($AS476&gt;=설정!$B$10,$AS476&lt;=설정!$B$11),"포함","기간 밖"))</f>
        <v/>
      </c>
      <c r="BB476" s="2">
        <f>IF($AS476="","",IF(OR($AT476&lt;0,AND($I$6&lt;&gt;"",ISNUMBER(FIND("수정",INDEX($A:$AP,ROW(),IF($I$6="",1,$I$6))&amp;"")))),"수정","일반"))</f>
        <v/>
      </c>
      <c r="BC476" s="2">
        <f>IF($AS476="","",MID(IF($BA476="기간 밖"," / 기간 밖(신고기간 아님)","")&amp;IF(AND($AW476&lt;&gt;"",COUNTIF($AW$8:$AW$1007,$AW476)&gt;1)," / 승인번호 중복(두 번 붙여넣기?)","")&amp;IF(ABS($AU476-ROUND($AT476*0.1,0))&gt;설정!$B$8,IF($AU476=0," / 세액 0원(영세율·면세 여부 확인)"," / 세액이 공급가액 10%와 다름"),"")&amp;IF($BB476="수정"," / 수정세금계산서(합계에서 자동 가감)",""),4,200))</f>
        <v/>
      </c>
      <c r="BD476" s="2">
        <f>IF($BA476&lt;&gt;"포함","",IF(COUNTIFS($AX$8:$AX476,$AX476,$BA$8:$BA476,"포함")=1,MAX($BD$7:BD475)+1,""))</f>
        <v/>
      </c>
      <c r="BE476" s="2">
        <f>IF($BC476="","",MAX($BE$7:BE475)+1)</f>
        <v/>
      </c>
    </row>
    <row r="477">
      <c r="AR477" s="2">
        <f>IF(OR($A$5="",$B$6="",ROW()&lt;$A$5),"",IF(INDEX($A:$AP,ROW(),$B$6)="","",INDEX($A:$AP,ROW(),$B$6)))</f>
        <v/>
      </c>
      <c r="AS477" s="22">
        <f>IF($AR477="","",IF(ISNUMBER($AR477),IF($AR477&gt;=10000000,IFERROR(DATE(INT($AR477/10000),MOD(INT($AR477/100),100),MOD($AR477,100)),""),INT($AR477)),IFERROR(DATE(--LEFT(LEFT(SUBSTITUTE(SUBSTITUTE(SUBSTITUTE(SUBSTITUTE(TRIM($AR477),"-",""),".",""),"/","")," ",""),8),4),--MID(LEFT(SUBSTITUTE(SUBSTITUTE(SUBSTITUTE(SUBSTITUTE(TRIM($AR477),"-",""),".",""),"/","")," ",""),8),5,2),--MID(LEFT(SUBSTITUTE(SUBSTITUTE(SUBSTITUTE(SUBSTITUTE(TRIM($AR477),"-",""),".",""),"/","")," ",""),8),7,2)),"")))</f>
        <v/>
      </c>
      <c r="AT477" s="23">
        <f>IF($AS477="","",IF($F$6="",0,IF(ISNUMBER(INDEX($A:$AP,ROW(),$F$6)),INDEX($A:$AP,ROW(),$F$6),IFERROR(--SUBSTITUTE(SUBSTITUTE(TRIM(INDEX($A:$AP,ROW(),$F$6)),",",""),"원",""),0))))</f>
        <v/>
      </c>
      <c r="AU477" s="23">
        <f>IF($AS477="","",IF($G$6="",0,IF(ISNUMBER(INDEX($A:$AP,ROW(),$G$6)),INDEX($A:$AP,ROW(),$G$6),IFERROR(--SUBSTITUTE(SUBSTITUTE(TRIM(INDEX($A:$AP,ROW(),$G$6)),",",""),"원",""),0))))</f>
        <v/>
      </c>
      <c r="AV477" s="23">
        <f>IF($AS477="","",IF($H$6="",$AT477+$AU477,IF($H$6="",0,IF(ISNUMBER(INDEX($A:$AP,ROW(),$H$6)),INDEX($A:$AP,ROW(),$H$6),IFERROR(--SUBSTITUTE(SUBSTITUTE(TRIM(INDEX($A:$AP,ROW(),$H$6)),",",""),"원",""),0)))))</f>
        <v/>
      </c>
      <c r="AW477" s="2">
        <f>IF(OR($AS477="",$C$6=""),"",TRIM(INDEX($A:$AP,ROW(),$C$6)&amp;""))</f>
        <v/>
      </c>
      <c r="AX477" s="2">
        <f>IF($AS477="","",IF($AZ477&lt;&gt;"",SUBSTITUTE(SUBSTITUTE($AZ477,"-","")," ",""),$AY477))</f>
        <v/>
      </c>
      <c r="AY477" s="2">
        <f>IF(OR($AS477="",$E$6=""),"",TRIM(INDEX($A:$AP,ROW(),$E$6)&amp;""))</f>
        <v/>
      </c>
      <c r="AZ477" s="2">
        <f>IF(OR($AS477="",$D$6=""),"",TRIM(INDEX($A:$AP,ROW(),$D$6)&amp;""))</f>
        <v/>
      </c>
      <c r="BA477" s="2">
        <f>IF($AS477="","",IF(AND($AS477&gt;=설정!$B$10,$AS477&lt;=설정!$B$11),"포함","기간 밖"))</f>
        <v/>
      </c>
      <c r="BB477" s="2">
        <f>IF($AS477="","",IF(OR($AT477&lt;0,AND($I$6&lt;&gt;"",ISNUMBER(FIND("수정",INDEX($A:$AP,ROW(),IF($I$6="",1,$I$6))&amp;"")))),"수정","일반"))</f>
        <v/>
      </c>
      <c r="BC477" s="2">
        <f>IF($AS477="","",MID(IF($BA477="기간 밖"," / 기간 밖(신고기간 아님)","")&amp;IF(AND($AW477&lt;&gt;"",COUNTIF($AW$8:$AW$1007,$AW477)&gt;1)," / 승인번호 중복(두 번 붙여넣기?)","")&amp;IF(ABS($AU477-ROUND($AT477*0.1,0))&gt;설정!$B$8,IF($AU477=0," / 세액 0원(영세율·면세 여부 확인)"," / 세액이 공급가액 10%와 다름"),"")&amp;IF($BB477="수정"," / 수정세금계산서(합계에서 자동 가감)",""),4,200))</f>
        <v/>
      </c>
      <c r="BD477" s="2">
        <f>IF($BA477&lt;&gt;"포함","",IF(COUNTIFS($AX$8:$AX477,$AX477,$BA$8:$BA477,"포함")=1,MAX($BD$7:BD476)+1,""))</f>
        <v/>
      </c>
      <c r="BE477" s="2">
        <f>IF($BC477="","",MAX($BE$7:BE476)+1)</f>
        <v/>
      </c>
    </row>
    <row r="478">
      <c r="AR478" s="2">
        <f>IF(OR($A$5="",$B$6="",ROW()&lt;$A$5),"",IF(INDEX($A:$AP,ROW(),$B$6)="","",INDEX($A:$AP,ROW(),$B$6)))</f>
        <v/>
      </c>
      <c r="AS478" s="22">
        <f>IF($AR478="","",IF(ISNUMBER($AR478),IF($AR478&gt;=10000000,IFERROR(DATE(INT($AR478/10000),MOD(INT($AR478/100),100),MOD($AR478,100)),""),INT($AR478)),IFERROR(DATE(--LEFT(LEFT(SUBSTITUTE(SUBSTITUTE(SUBSTITUTE(SUBSTITUTE(TRIM($AR478),"-",""),".",""),"/","")," ",""),8),4),--MID(LEFT(SUBSTITUTE(SUBSTITUTE(SUBSTITUTE(SUBSTITUTE(TRIM($AR478),"-",""),".",""),"/","")," ",""),8),5,2),--MID(LEFT(SUBSTITUTE(SUBSTITUTE(SUBSTITUTE(SUBSTITUTE(TRIM($AR478),"-",""),".",""),"/","")," ",""),8),7,2)),"")))</f>
        <v/>
      </c>
      <c r="AT478" s="23">
        <f>IF($AS478="","",IF($F$6="",0,IF(ISNUMBER(INDEX($A:$AP,ROW(),$F$6)),INDEX($A:$AP,ROW(),$F$6),IFERROR(--SUBSTITUTE(SUBSTITUTE(TRIM(INDEX($A:$AP,ROW(),$F$6)),",",""),"원",""),0))))</f>
        <v/>
      </c>
      <c r="AU478" s="23">
        <f>IF($AS478="","",IF($G$6="",0,IF(ISNUMBER(INDEX($A:$AP,ROW(),$G$6)),INDEX($A:$AP,ROW(),$G$6),IFERROR(--SUBSTITUTE(SUBSTITUTE(TRIM(INDEX($A:$AP,ROW(),$G$6)),",",""),"원",""),0))))</f>
        <v/>
      </c>
      <c r="AV478" s="23">
        <f>IF($AS478="","",IF($H$6="",$AT478+$AU478,IF($H$6="",0,IF(ISNUMBER(INDEX($A:$AP,ROW(),$H$6)),INDEX($A:$AP,ROW(),$H$6),IFERROR(--SUBSTITUTE(SUBSTITUTE(TRIM(INDEX($A:$AP,ROW(),$H$6)),",",""),"원",""),0)))))</f>
        <v/>
      </c>
      <c r="AW478" s="2">
        <f>IF(OR($AS478="",$C$6=""),"",TRIM(INDEX($A:$AP,ROW(),$C$6)&amp;""))</f>
        <v/>
      </c>
      <c r="AX478" s="2">
        <f>IF($AS478="","",IF($AZ478&lt;&gt;"",SUBSTITUTE(SUBSTITUTE($AZ478,"-","")," ",""),$AY478))</f>
        <v/>
      </c>
      <c r="AY478" s="2">
        <f>IF(OR($AS478="",$E$6=""),"",TRIM(INDEX($A:$AP,ROW(),$E$6)&amp;""))</f>
        <v/>
      </c>
      <c r="AZ478" s="2">
        <f>IF(OR($AS478="",$D$6=""),"",TRIM(INDEX($A:$AP,ROW(),$D$6)&amp;""))</f>
        <v/>
      </c>
      <c r="BA478" s="2">
        <f>IF($AS478="","",IF(AND($AS478&gt;=설정!$B$10,$AS478&lt;=설정!$B$11),"포함","기간 밖"))</f>
        <v/>
      </c>
      <c r="BB478" s="2">
        <f>IF($AS478="","",IF(OR($AT478&lt;0,AND($I$6&lt;&gt;"",ISNUMBER(FIND("수정",INDEX($A:$AP,ROW(),IF($I$6="",1,$I$6))&amp;"")))),"수정","일반"))</f>
        <v/>
      </c>
      <c r="BC478" s="2">
        <f>IF($AS478="","",MID(IF($BA478="기간 밖"," / 기간 밖(신고기간 아님)","")&amp;IF(AND($AW478&lt;&gt;"",COUNTIF($AW$8:$AW$1007,$AW478)&gt;1)," / 승인번호 중복(두 번 붙여넣기?)","")&amp;IF(ABS($AU478-ROUND($AT478*0.1,0))&gt;설정!$B$8,IF($AU478=0," / 세액 0원(영세율·면세 여부 확인)"," / 세액이 공급가액 10%와 다름"),"")&amp;IF($BB478="수정"," / 수정세금계산서(합계에서 자동 가감)",""),4,200))</f>
        <v/>
      </c>
      <c r="BD478" s="2">
        <f>IF($BA478&lt;&gt;"포함","",IF(COUNTIFS($AX$8:$AX478,$AX478,$BA$8:$BA478,"포함")=1,MAX($BD$7:BD477)+1,""))</f>
        <v/>
      </c>
      <c r="BE478" s="2">
        <f>IF($BC478="","",MAX($BE$7:BE477)+1)</f>
        <v/>
      </c>
    </row>
    <row r="479">
      <c r="AR479" s="2">
        <f>IF(OR($A$5="",$B$6="",ROW()&lt;$A$5),"",IF(INDEX($A:$AP,ROW(),$B$6)="","",INDEX($A:$AP,ROW(),$B$6)))</f>
        <v/>
      </c>
      <c r="AS479" s="22">
        <f>IF($AR479="","",IF(ISNUMBER($AR479),IF($AR479&gt;=10000000,IFERROR(DATE(INT($AR479/10000),MOD(INT($AR479/100),100),MOD($AR479,100)),""),INT($AR479)),IFERROR(DATE(--LEFT(LEFT(SUBSTITUTE(SUBSTITUTE(SUBSTITUTE(SUBSTITUTE(TRIM($AR479),"-",""),".",""),"/","")," ",""),8),4),--MID(LEFT(SUBSTITUTE(SUBSTITUTE(SUBSTITUTE(SUBSTITUTE(TRIM($AR479),"-",""),".",""),"/","")," ",""),8),5,2),--MID(LEFT(SUBSTITUTE(SUBSTITUTE(SUBSTITUTE(SUBSTITUTE(TRIM($AR479),"-",""),".",""),"/","")," ",""),8),7,2)),"")))</f>
        <v/>
      </c>
      <c r="AT479" s="23">
        <f>IF($AS479="","",IF($F$6="",0,IF(ISNUMBER(INDEX($A:$AP,ROW(),$F$6)),INDEX($A:$AP,ROW(),$F$6),IFERROR(--SUBSTITUTE(SUBSTITUTE(TRIM(INDEX($A:$AP,ROW(),$F$6)),",",""),"원",""),0))))</f>
        <v/>
      </c>
      <c r="AU479" s="23">
        <f>IF($AS479="","",IF($G$6="",0,IF(ISNUMBER(INDEX($A:$AP,ROW(),$G$6)),INDEX($A:$AP,ROW(),$G$6),IFERROR(--SUBSTITUTE(SUBSTITUTE(TRIM(INDEX($A:$AP,ROW(),$G$6)),",",""),"원",""),0))))</f>
        <v/>
      </c>
      <c r="AV479" s="23">
        <f>IF($AS479="","",IF($H$6="",$AT479+$AU479,IF($H$6="",0,IF(ISNUMBER(INDEX($A:$AP,ROW(),$H$6)),INDEX($A:$AP,ROW(),$H$6),IFERROR(--SUBSTITUTE(SUBSTITUTE(TRIM(INDEX($A:$AP,ROW(),$H$6)),",",""),"원",""),0)))))</f>
        <v/>
      </c>
      <c r="AW479" s="2">
        <f>IF(OR($AS479="",$C$6=""),"",TRIM(INDEX($A:$AP,ROW(),$C$6)&amp;""))</f>
        <v/>
      </c>
      <c r="AX479" s="2">
        <f>IF($AS479="","",IF($AZ479&lt;&gt;"",SUBSTITUTE(SUBSTITUTE($AZ479,"-","")," ",""),$AY479))</f>
        <v/>
      </c>
      <c r="AY479" s="2">
        <f>IF(OR($AS479="",$E$6=""),"",TRIM(INDEX($A:$AP,ROW(),$E$6)&amp;""))</f>
        <v/>
      </c>
      <c r="AZ479" s="2">
        <f>IF(OR($AS479="",$D$6=""),"",TRIM(INDEX($A:$AP,ROW(),$D$6)&amp;""))</f>
        <v/>
      </c>
      <c r="BA479" s="2">
        <f>IF($AS479="","",IF(AND($AS479&gt;=설정!$B$10,$AS479&lt;=설정!$B$11),"포함","기간 밖"))</f>
        <v/>
      </c>
      <c r="BB479" s="2">
        <f>IF($AS479="","",IF(OR($AT479&lt;0,AND($I$6&lt;&gt;"",ISNUMBER(FIND("수정",INDEX($A:$AP,ROW(),IF($I$6="",1,$I$6))&amp;"")))),"수정","일반"))</f>
        <v/>
      </c>
      <c r="BC479" s="2">
        <f>IF($AS479="","",MID(IF($BA479="기간 밖"," / 기간 밖(신고기간 아님)","")&amp;IF(AND($AW479&lt;&gt;"",COUNTIF($AW$8:$AW$1007,$AW479)&gt;1)," / 승인번호 중복(두 번 붙여넣기?)","")&amp;IF(ABS($AU479-ROUND($AT479*0.1,0))&gt;설정!$B$8,IF($AU479=0," / 세액 0원(영세율·면세 여부 확인)"," / 세액이 공급가액 10%와 다름"),"")&amp;IF($BB479="수정"," / 수정세금계산서(합계에서 자동 가감)",""),4,200))</f>
        <v/>
      </c>
      <c r="BD479" s="2">
        <f>IF($BA479&lt;&gt;"포함","",IF(COUNTIFS($AX$8:$AX479,$AX479,$BA$8:$BA479,"포함")=1,MAX($BD$7:BD478)+1,""))</f>
        <v/>
      </c>
      <c r="BE479" s="2">
        <f>IF($BC479="","",MAX($BE$7:BE478)+1)</f>
        <v/>
      </c>
    </row>
    <row r="480">
      <c r="AR480" s="2">
        <f>IF(OR($A$5="",$B$6="",ROW()&lt;$A$5),"",IF(INDEX($A:$AP,ROW(),$B$6)="","",INDEX($A:$AP,ROW(),$B$6)))</f>
        <v/>
      </c>
      <c r="AS480" s="22">
        <f>IF($AR480="","",IF(ISNUMBER($AR480),IF($AR480&gt;=10000000,IFERROR(DATE(INT($AR480/10000),MOD(INT($AR480/100),100),MOD($AR480,100)),""),INT($AR480)),IFERROR(DATE(--LEFT(LEFT(SUBSTITUTE(SUBSTITUTE(SUBSTITUTE(SUBSTITUTE(TRIM($AR480),"-",""),".",""),"/","")," ",""),8),4),--MID(LEFT(SUBSTITUTE(SUBSTITUTE(SUBSTITUTE(SUBSTITUTE(TRIM($AR480),"-",""),".",""),"/","")," ",""),8),5,2),--MID(LEFT(SUBSTITUTE(SUBSTITUTE(SUBSTITUTE(SUBSTITUTE(TRIM($AR480),"-",""),".",""),"/","")," ",""),8),7,2)),"")))</f>
        <v/>
      </c>
      <c r="AT480" s="23">
        <f>IF($AS480="","",IF($F$6="",0,IF(ISNUMBER(INDEX($A:$AP,ROW(),$F$6)),INDEX($A:$AP,ROW(),$F$6),IFERROR(--SUBSTITUTE(SUBSTITUTE(TRIM(INDEX($A:$AP,ROW(),$F$6)),",",""),"원",""),0))))</f>
        <v/>
      </c>
      <c r="AU480" s="23">
        <f>IF($AS480="","",IF($G$6="",0,IF(ISNUMBER(INDEX($A:$AP,ROW(),$G$6)),INDEX($A:$AP,ROW(),$G$6),IFERROR(--SUBSTITUTE(SUBSTITUTE(TRIM(INDEX($A:$AP,ROW(),$G$6)),",",""),"원",""),0))))</f>
        <v/>
      </c>
      <c r="AV480" s="23">
        <f>IF($AS480="","",IF($H$6="",$AT480+$AU480,IF($H$6="",0,IF(ISNUMBER(INDEX($A:$AP,ROW(),$H$6)),INDEX($A:$AP,ROW(),$H$6),IFERROR(--SUBSTITUTE(SUBSTITUTE(TRIM(INDEX($A:$AP,ROW(),$H$6)),",",""),"원",""),0)))))</f>
        <v/>
      </c>
      <c r="AW480" s="2">
        <f>IF(OR($AS480="",$C$6=""),"",TRIM(INDEX($A:$AP,ROW(),$C$6)&amp;""))</f>
        <v/>
      </c>
      <c r="AX480" s="2">
        <f>IF($AS480="","",IF($AZ480&lt;&gt;"",SUBSTITUTE(SUBSTITUTE($AZ480,"-","")," ",""),$AY480))</f>
        <v/>
      </c>
      <c r="AY480" s="2">
        <f>IF(OR($AS480="",$E$6=""),"",TRIM(INDEX($A:$AP,ROW(),$E$6)&amp;""))</f>
        <v/>
      </c>
      <c r="AZ480" s="2">
        <f>IF(OR($AS480="",$D$6=""),"",TRIM(INDEX($A:$AP,ROW(),$D$6)&amp;""))</f>
        <v/>
      </c>
      <c r="BA480" s="2">
        <f>IF($AS480="","",IF(AND($AS480&gt;=설정!$B$10,$AS480&lt;=설정!$B$11),"포함","기간 밖"))</f>
        <v/>
      </c>
      <c r="BB480" s="2">
        <f>IF($AS480="","",IF(OR($AT480&lt;0,AND($I$6&lt;&gt;"",ISNUMBER(FIND("수정",INDEX($A:$AP,ROW(),IF($I$6="",1,$I$6))&amp;"")))),"수정","일반"))</f>
        <v/>
      </c>
      <c r="BC480" s="2">
        <f>IF($AS480="","",MID(IF($BA480="기간 밖"," / 기간 밖(신고기간 아님)","")&amp;IF(AND($AW480&lt;&gt;"",COUNTIF($AW$8:$AW$1007,$AW480)&gt;1)," / 승인번호 중복(두 번 붙여넣기?)","")&amp;IF(ABS($AU480-ROUND($AT480*0.1,0))&gt;설정!$B$8,IF($AU480=0," / 세액 0원(영세율·면세 여부 확인)"," / 세액이 공급가액 10%와 다름"),"")&amp;IF($BB480="수정"," / 수정세금계산서(합계에서 자동 가감)",""),4,200))</f>
        <v/>
      </c>
      <c r="BD480" s="2">
        <f>IF($BA480&lt;&gt;"포함","",IF(COUNTIFS($AX$8:$AX480,$AX480,$BA$8:$BA480,"포함")=1,MAX($BD$7:BD479)+1,""))</f>
        <v/>
      </c>
      <c r="BE480" s="2">
        <f>IF($BC480="","",MAX($BE$7:BE479)+1)</f>
        <v/>
      </c>
    </row>
    <row r="481">
      <c r="AR481" s="2">
        <f>IF(OR($A$5="",$B$6="",ROW()&lt;$A$5),"",IF(INDEX($A:$AP,ROW(),$B$6)="","",INDEX($A:$AP,ROW(),$B$6)))</f>
        <v/>
      </c>
      <c r="AS481" s="22">
        <f>IF($AR481="","",IF(ISNUMBER($AR481),IF($AR481&gt;=10000000,IFERROR(DATE(INT($AR481/10000),MOD(INT($AR481/100),100),MOD($AR481,100)),""),INT($AR481)),IFERROR(DATE(--LEFT(LEFT(SUBSTITUTE(SUBSTITUTE(SUBSTITUTE(SUBSTITUTE(TRIM($AR481),"-",""),".",""),"/","")," ",""),8),4),--MID(LEFT(SUBSTITUTE(SUBSTITUTE(SUBSTITUTE(SUBSTITUTE(TRIM($AR481),"-",""),".",""),"/","")," ",""),8),5,2),--MID(LEFT(SUBSTITUTE(SUBSTITUTE(SUBSTITUTE(SUBSTITUTE(TRIM($AR481),"-",""),".",""),"/","")," ",""),8),7,2)),"")))</f>
        <v/>
      </c>
      <c r="AT481" s="23">
        <f>IF($AS481="","",IF($F$6="",0,IF(ISNUMBER(INDEX($A:$AP,ROW(),$F$6)),INDEX($A:$AP,ROW(),$F$6),IFERROR(--SUBSTITUTE(SUBSTITUTE(TRIM(INDEX($A:$AP,ROW(),$F$6)),",",""),"원",""),0))))</f>
        <v/>
      </c>
      <c r="AU481" s="23">
        <f>IF($AS481="","",IF($G$6="",0,IF(ISNUMBER(INDEX($A:$AP,ROW(),$G$6)),INDEX($A:$AP,ROW(),$G$6),IFERROR(--SUBSTITUTE(SUBSTITUTE(TRIM(INDEX($A:$AP,ROW(),$G$6)),",",""),"원",""),0))))</f>
        <v/>
      </c>
      <c r="AV481" s="23">
        <f>IF($AS481="","",IF($H$6="",$AT481+$AU481,IF($H$6="",0,IF(ISNUMBER(INDEX($A:$AP,ROW(),$H$6)),INDEX($A:$AP,ROW(),$H$6),IFERROR(--SUBSTITUTE(SUBSTITUTE(TRIM(INDEX($A:$AP,ROW(),$H$6)),",",""),"원",""),0)))))</f>
        <v/>
      </c>
      <c r="AW481" s="2">
        <f>IF(OR($AS481="",$C$6=""),"",TRIM(INDEX($A:$AP,ROW(),$C$6)&amp;""))</f>
        <v/>
      </c>
      <c r="AX481" s="2">
        <f>IF($AS481="","",IF($AZ481&lt;&gt;"",SUBSTITUTE(SUBSTITUTE($AZ481,"-","")," ",""),$AY481))</f>
        <v/>
      </c>
      <c r="AY481" s="2">
        <f>IF(OR($AS481="",$E$6=""),"",TRIM(INDEX($A:$AP,ROW(),$E$6)&amp;""))</f>
        <v/>
      </c>
      <c r="AZ481" s="2">
        <f>IF(OR($AS481="",$D$6=""),"",TRIM(INDEX($A:$AP,ROW(),$D$6)&amp;""))</f>
        <v/>
      </c>
      <c r="BA481" s="2">
        <f>IF($AS481="","",IF(AND($AS481&gt;=설정!$B$10,$AS481&lt;=설정!$B$11),"포함","기간 밖"))</f>
        <v/>
      </c>
      <c r="BB481" s="2">
        <f>IF($AS481="","",IF(OR($AT481&lt;0,AND($I$6&lt;&gt;"",ISNUMBER(FIND("수정",INDEX($A:$AP,ROW(),IF($I$6="",1,$I$6))&amp;"")))),"수정","일반"))</f>
        <v/>
      </c>
      <c r="BC481" s="2">
        <f>IF($AS481="","",MID(IF($BA481="기간 밖"," / 기간 밖(신고기간 아님)","")&amp;IF(AND($AW481&lt;&gt;"",COUNTIF($AW$8:$AW$1007,$AW481)&gt;1)," / 승인번호 중복(두 번 붙여넣기?)","")&amp;IF(ABS($AU481-ROUND($AT481*0.1,0))&gt;설정!$B$8,IF($AU481=0," / 세액 0원(영세율·면세 여부 확인)"," / 세액이 공급가액 10%와 다름"),"")&amp;IF($BB481="수정"," / 수정세금계산서(합계에서 자동 가감)",""),4,200))</f>
        <v/>
      </c>
      <c r="BD481" s="2">
        <f>IF($BA481&lt;&gt;"포함","",IF(COUNTIFS($AX$8:$AX481,$AX481,$BA$8:$BA481,"포함")=1,MAX($BD$7:BD480)+1,""))</f>
        <v/>
      </c>
      <c r="BE481" s="2">
        <f>IF($BC481="","",MAX($BE$7:BE480)+1)</f>
        <v/>
      </c>
    </row>
    <row r="482">
      <c r="AR482" s="2">
        <f>IF(OR($A$5="",$B$6="",ROW()&lt;$A$5),"",IF(INDEX($A:$AP,ROW(),$B$6)="","",INDEX($A:$AP,ROW(),$B$6)))</f>
        <v/>
      </c>
      <c r="AS482" s="22">
        <f>IF($AR482="","",IF(ISNUMBER($AR482),IF($AR482&gt;=10000000,IFERROR(DATE(INT($AR482/10000),MOD(INT($AR482/100),100),MOD($AR482,100)),""),INT($AR482)),IFERROR(DATE(--LEFT(LEFT(SUBSTITUTE(SUBSTITUTE(SUBSTITUTE(SUBSTITUTE(TRIM($AR482),"-",""),".",""),"/","")," ",""),8),4),--MID(LEFT(SUBSTITUTE(SUBSTITUTE(SUBSTITUTE(SUBSTITUTE(TRIM($AR482),"-",""),".",""),"/","")," ",""),8),5,2),--MID(LEFT(SUBSTITUTE(SUBSTITUTE(SUBSTITUTE(SUBSTITUTE(TRIM($AR482),"-",""),".",""),"/","")," ",""),8),7,2)),"")))</f>
        <v/>
      </c>
      <c r="AT482" s="23">
        <f>IF($AS482="","",IF($F$6="",0,IF(ISNUMBER(INDEX($A:$AP,ROW(),$F$6)),INDEX($A:$AP,ROW(),$F$6),IFERROR(--SUBSTITUTE(SUBSTITUTE(TRIM(INDEX($A:$AP,ROW(),$F$6)),",",""),"원",""),0))))</f>
        <v/>
      </c>
      <c r="AU482" s="23">
        <f>IF($AS482="","",IF($G$6="",0,IF(ISNUMBER(INDEX($A:$AP,ROW(),$G$6)),INDEX($A:$AP,ROW(),$G$6),IFERROR(--SUBSTITUTE(SUBSTITUTE(TRIM(INDEX($A:$AP,ROW(),$G$6)),",",""),"원",""),0))))</f>
        <v/>
      </c>
      <c r="AV482" s="23">
        <f>IF($AS482="","",IF($H$6="",$AT482+$AU482,IF($H$6="",0,IF(ISNUMBER(INDEX($A:$AP,ROW(),$H$6)),INDEX($A:$AP,ROW(),$H$6),IFERROR(--SUBSTITUTE(SUBSTITUTE(TRIM(INDEX($A:$AP,ROW(),$H$6)),",",""),"원",""),0)))))</f>
        <v/>
      </c>
      <c r="AW482" s="2">
        <f>IF(OR($AS482="",$C$6=""),"",TRIM(INDEX($A:$AP,ROW(),$C$6)&amp;""))</f>
        <v/>
      </c>
      <c r="AX482" s="2">
        <f>IF($AS482="","",IF($AZ482&lt;&gt;"",SUBSTITUTE(SUBSTITUTE($AZ482,"-","")," ",""),$AY482))</f>
        <v/>
      </c>
      <c r="AY482" s="2">
        <f>IF(OR($AS482="",$E$6=""),"",TRIM(INDEX($A:$AP,ROW(),$E$6)&amp;""))</f>
        <v/>
      </c>
      <c r="AZ482" s="2">
        <f>IF(OR($AS482="",$D$6=""),"",TRIM(INDEX($A:$AP,ROW(),$D$6)&amp;""))</f>
        <v/>
      </c>
      <c r="BA482" s="2">
        <f>IF($AS482="","",IF(AND($AS482&gt;=설정!$B$10,$AS482&lt;=설정!$B$11),"포함","기간 밖"))</f>
        <v/>
      </c>
      <c r="BB482" s="2">
        <f>IF($AS482="","",IF(OR($AT482&lt;0,AND($I$6&lt;&gt;"",ISNUMBER(FIND("수정",INDEX($A:$AP,ROW(),IF($I$6="",1,$I$6))&amp;"")))),"수정","일반"))</f>
        <v/>
      </c>
      <c r="BC482" s="2">
        <f>IF($AS482="","",MID(IF($BA482="기간 밖"," / 기간 밖(신고기간 아님)","")&amp;IF(AND($AW482&lt;&gt;"",COUNTIF($AW$8:$AW$1007,$AW482)&gt;1)," / 승인번호 중복(두 번 붙여넣기?)","")&amp;IF(ABS($AU482-ROUND($AT482*0.1,0))&gt;설정!$B$8,IF($AU482=0," / 세액 0원(영세율·면세 여부 확인)"," / 세액이 공급가액 10%와 다름"),"")&amp;IF($BB482="수정"," / 수정세금계산서(합계에서 자동 가감)",""),4,200))</f>
        <v/>
      </c>
      <c r="BD482" s="2">
        <f>IF($BA482&lt;&gt;"포함","",IF(COUNTIFS($AX$8:$AX482,$AX482,$BA$8:$BA482,"포함")=1,MAX($BD$7:BD481)+1,""))</f>
        <v/>
      </c>
      <c r="BE482" s="2">
        <f>IF($BC482="","",MAX($BE$7:BE481)+1)</f>
        <v/>
      </c>
    </row>
    <row r="483">
      <c r="AR483" s="2">
        <f>IF(OR($A$5="",$B$6="",ROW()&lt;$A$5),"",IF(INDEX($A:$AP,ROW(),$B$6)="","",INDEX($A:$AP,ROW(),$B$6)))</f>
        <v/>
      </c>
      <c r="AS483" s="22">
        <f>IF($AR483="","",IF(ISNUMBER($AR483),IF($AR483&gt;=10000000,IFERROR(DATE(INT($AR483/10000),MOD(INT($AR483/100),100),MOD($AR483,100)),""),INT($AR483)),IFERROR(DATE(--LEFT(LEFT(SUBSTITUTE(SUBSTITUTE(SUBSTITUTE(SUBSTITUTE(TRIM($AR483),"-",""),".",""),"/","")," ",""),8),4),--MID(LEFT(SUBSTITUTE(SUBSTITUTE(SUBSTITUTE(SUBSTITUTE(TRIM($AR483),"-",""),".",""),"/","")," ",""),8),5,2),--MID(LEFT(SUBSTITUTE(SUBSTITUTE(SUBSTITUTE(SUBSTITUTE(TRIM($AR483),"-",""),".",""),"/","")," ",""),8),7,2)),"")))</f>
        <v/>
      </c>
      <c r="AT483" s="23">
        <f>IF($AS483="","",IF($F$6="",0,IF(ISNUMBER(INDEX($A:$AP,ROW(),$F$6)),INDEX($A:$AP,ROW(),$F$6),IFERROR(--SUBSTITUTE(SUBSTITUTE(TRIM(INDEX($A:$AP,ROW(),$F$6)),",",""),"원",""),0))))</f>
        <v/>
      </c>
      <c r="AU483" s="23">
        <f>IF($AS483="","",IF($G$6="",0,IF(ISNUMBER(INDEX($A:$AP,ROW(),$G$6)),INDEX($A:$AP,ROW(),$G$6),IFERROR(--SUBSTITUTE(SUBSTITUTE(TRIM(INDEX($A:$AP,ROW(),$G$6)),",",""),"원",""),0))))</f>
        <v/>
      </c>
      <c r="AV483" s="23">
        <f>IF($AS483="","",IF($H$6="",$AT483+$AU483,IF($H$6="",0,IF(ISNUMBER(INDEX($A:$AP,ROW(),$H$6)),INDEX($A:$AP,ROW(),$H$6),IFERROR(--SUBSTITUTE(SUBSTITUTE(TRIM(INDEX($A:$AP,ROW(),$H$6)),",",""),"원",""),0)))))</f>
        <v/>
      </c>
      <c r="AW483" s="2">
        <f>IF(OR($AS483="",$C$6=""),"",TRIM(INDEX($A:$AP,ROW(),$C$6)&amp;""))</f>
        <v/>
      </c>
      <c r="AX483" s="2">
        <f>IF($AS483="","",IF($AZ483&lt;&gt;"",SUBSTITUTE(SUBSTITUTE($AZ483,"-","")," ",""),$AY483))</f>
        <v/>
      </c>
      <c r="AY483" s="2">
        <f>IF(OR($AS483="",$E$6=""),"",TRIM(INDEX($A:$AP,ROW(),$E$6)&amp;""))</f>
        <v/>
      </c>
      <c r="AZ483" s="2">
        <f>IF(OR($AS483="",$D$6=""),"",TRIM(INDEX($A:$AP,ROW(),$D$6)&amp;""))</f>
        <v/>
      </c>
      <c r="BA483" s="2">
        <f>IF($AS483="","",IF(AND($AS483&gt;=설정!$B$10,$AS483&lt;=설정!$B$11),"포함","기간 밖"))</f>
        <v/>
      </c>
      <c r="BB483" s="2">
        <f>IF($AS483="","",IF(OR($AT483&lt;0,AND($I$6&lt;&gt;"",ISNUMBER(FIND("수정",INDEX($A:$AP,ROW(),IF($I$6="",1,$I$6))&amp;"")))),"수정","일반"))</f>
        <v/>
      </c>
      <c r="BC483" s="2">
        <f>IF($AS483="","",MID(IF($BA483="기간 밖"," / 기간 밖(신고기간 아님)","")&amp;IF(AND($AW483&lt;&gt;"",COUNTIF($AW$8:$AW$1007,$AW483)&gt;1)," / 승인번호 중복(두 번 붙여넣기?)","")&amp;IF(ABS($AU483-ROUND($AT483*0.1,0))&gt;설정!$B$8,IF($AU483=0," / 세액 0원(영세율·면세 여부 확인)"," / 세액이 공급가액 10%와 다름"),"")&amp;IF($BB483="수정"," / 수정세금계산서(합계에서 자동 가감)",""),4,200))</f>
        <v/>
      </c>
      <c r="BD483" s="2">
        <f>IF($BA483&lt;&gt;"포함","",IF(COUNTIFS($AX$8:$AX483,$AX483,$BA$8:$BA483,"포함")=1,MAX($BD$7:BD482)+1,""))</f>
        <v/>
      </c>
      <c r="BE483" s="2">
        <f>IF($BC483="","",MAX($BE$7:BE482)+1)</f>
        <v/>
      </c>
    </row>
    <row r="484">
      <c r="AR484" s="2">
        <f>IF(OR($A$5="",$B$6="",ROW()&lt;$A$5),"",IF(INDEX($A:$AP,ROW(),$B$6)="","",INDEX($A:$AP,ROW(),$B$6)))</f>
        <v/>
      </c>
      <c r="AS484" s="22">
        <f>IF($AR484="","",IF(ISNUMBER($AR484),IF($AR484&gt;=10000000,IFERROR(DATE(INT($AR484/10000),MOD(INT($AR484/100),100),MOD($AR484,100)),""),INT($AR484)),IFERROR(DATE(--LEFT(LEFT(SUBSTITUTE(SUBSTITUTE(SUBSTITUTE(SUBSTITUTE(TRIM($AR484),"-",""),".",""),"/","")," ",""),8),4),--MID(LEFT(SUBSTITUTE(SUBSTITUTE(SUBSTITUTE(SUBSTITUTE(TRIM($AR484),"-",""),".",""),"/","")," ",""),8),5,2),--MID(LEFT(SUBSTITUTE(SUBSTITUTE(SUBSTITUTE(SUBSTITUTE(TRIM($AR484),"-",""),".",""),"/","")," ",""),8),7,2)),"")))</f>
        <v/>
      </c>
      <c r="AT484" s="23">
        <f>IF($AS484="","",IF($F$6="",0,IF(ISNUMBER(INDEX($A:$AP,ROW(),$F$6)),INDEX($A:$AP,ROW(),$F$6),IFERROR(--SUBSTITUTE(SUBSTITUTE(TRIM(INDEX($A:$AP,ROW(),$F$6)),",",""),"원",""),0))))</f>
        <v/>
      </c>
      <c r="AU484" s="23">
        <f>IF($AS484="","",IF($G$6="",0,IF(ISNUMBER(INDEX($A:$AP,ROW(),$G$6)),INDEX($A:$AP,ROW(),$G$6),IFERROR(--SUBSTITUTE(SUBSTITUTE(TRIM(INDEX($A:$AP,ROW(),$G$6)),",",""),"원",""),0))))</f>
        <v/>
      </c>
      <c r="AV484" s="23">
        <f>IF($AS484="","",IF($H$6="",$AT484+$AU484,IF($H$6="",0,IF(ISNUMBER(INDEX($A:$AP,ROW(),$H$6)),INDEX($A:$AP,ROW(),$H$6),IFERROR(--SUBSTITUTE(SUBSTITUTE(TRIM(INDEX($A:$AP,ROW(),$H$6)),",",""),"원",""),0)))))</f>
        <v/>
      </c>
      <c r="AW484" s="2">
        <f>IF(OR($AS484="",$C$6=""),"",TRIM(INDEX($A:$AP,ROW(),$C$6)&amp;""))</f>
        <v/>
      </c>
      <c r="AX484" s="2">
        <f>IF($AS484="","",IF($AZ484&lt;&gt;"",SUBSTITUTE(SUBSTITUTE($AZ484,"-","")," ",""),$AY484))</f>
        <v/>
      </c>
      <c r="AY484" s="2">
        <f>IF(OR($AS484="",$E$6=""),"",TRIM(INDEX($A:$AP,ROW(),$E$6)&amp;""))</f>
        <v/>
      </c>
      <c r="AZ484" s="2">
        <f>IF(OR($AS484="",$D$6=""),"",TRIM(INDEX($A:$AP,ROW(),$D$6)&amp;""))</f>
        <v/>
      </c>
      <c r="BA484" s="2">
        <f>IF($AS484="","",IF(AND($AS484&gt;=설정!$B$10,$AS484&lt;=설정!$B$11),"포함","기간 밖"))</f>
        <v/>
      </c>
      <c r="BB484" s="2">
        <f>IF($AS484="","",IF(OR($AT484&lt;0,AND($I$6&lt;&gt;"",ISNUMBER(FIND("수정",INDEX($A:$AP,ROW(),IF($I$6="",1,$I$6))&amp;"")))),"수정","일반"))</f>
        <v/>
      </c>
      <c r="BC484" s="2">
        <f>IF($AS484="","",MID(IF($BA484="기간 밖"," / 기간 밖(신고기간 아님)","")&amp;IF(AND($AW484&lt;&gt;"",COUNTIF($AW$8:$AW$1007,$AW484)&gt;1)," / 승인번호 중복(두 번 붙여넣기?)","")&amp;IF(ABS($AU484-ROUND($AT484*0.1,0))&gt;설정!$B$8,IF($AU484=0," / 세액 0원(영세율·면세 여부 확인)"," / 세액이 공급가액 10%와 다름"),"")&amp;IF($BB484="수정"," / 수정세금계산서(합계에서 자동 가감)",""),4,200))</f>
        <v/>
      </c>
      <c r="BD484" s="2">
        <f>IF($BA484&lt;&gt;"포함","",IF(COUNTIFS($AX$8:$AX484,$AX484,$BA$8:$BA484,"포함")=1,MAX($BD$7:BD483)+1,""))</f>
        <v/>
      </c>
      <c r="BE484" s="2">
        <f>IF($BC484="","",MAX($BE$7:BE483)+1)</f>
        <v/>
      </c>
    </row>
    <row r="485">
      <c r="AR485" s="2">
        <f>IF(OR($A$5="",$B$6="",ROW()&lt;$A$5),"",IF(INDEX($A:$AP,ROW(),$B$6)="","",INDEX($A:$AP,ROW(),$B$6)))</f>
        <v/>
      </c>
      <c r="AS485" s="22">
        <f>IF($AR485="","",IF(ISNUMBER($AR485),IF($AR485&gt;=10000000,IFERROR(DATE(INT($AR485/10000),MOD(INT($AR485/100),100),MOD($AR485,100)),""),INT($AR485)),IFERROR(DATE(--LEFT(LEFT(SUBSTITUTE(SUBSTITUTE(SUBSTITUTE(SUBSTITUTE(TRIM($AR485),"-",""),".",""),"/","")," ",""),8),4),--MID(LEFT(SUBSTITUTE(SUBSTITUTE(SUBSTITUTE(SUBSTITUTE(TRIM($AR485),"-",""),".",""),"/","")," ",""),8),5,2),--MID(LEFT(SUBSTITUTE(SUBSTITUTE(SUBSTITUTE(SUBSTITUTE(TRIM($AR485),"-",""),".",""),"/","")," ",""),8),7,2)),"")))</f>
        <v/>
      </c>
      <c r="AT485" s="23">
        <f>IF($AS485="","",IF($F$6="",0,IF(ISNUMBER(INDEX($A:$AP,ROW(),$F$6)),INDEX($A:$AP,ROW(),$F$6),IFERROR(--SUBSTITUTE(SUBSTITUTE(TRIM(INDEX($A:$AP,ROW(),$F$6)),",",""),"원",""),0))))</f>
        <v/>
      </c>
      <c r="AU485" s="23">
        <f>IF($AS485="","",IF($G$6="",0,IF(ISNUMBER(INDEX($A:$AP,ROW(),$G$6)),INDEX($A:$AP,ROW(),$G$6),IFERROR(--SUBSTITUTE(SUBSTITUTE(TRIM(INDEX($A:$AP,ROW(),$G$6)),",",""),"원",""),0))))</f>
        <v/>
      </c>
      <c r="AV485" s="23">
        <f>IF($AS485="","",IF($H$6="",$AT485+$AU485,IF($H$6="",0,IF(ISNUMBER(INDEX($A:$AP,ROW(),$H$6)),INDEX($A:$AP,ROW(),$H$6),IFERROR(--SUBSTITUTE(SUBSTITUTE(TRIM(INDEX($A:$AP,ROW(),$H$6)),",",""),"원",""),0)))))</f>
        <v/>
      </c>
      <c r="AW485" s="2">
        <f>IF(OR($AS485="",$C$6=""),"",TRIM(INDEX($A:$AP,ROW(),$C$6)&amp;""))</f>
        <v/>
      </c>
      <c r="AX485" s="2">
        <f>IF($AS485="","",IF($AZ485&lt;&gt;"",SUBSTITUTE(SUBSTITUTE($AZ485,"-","")," ",""),$AY485))</f>
        <v/>
      </c>
      <c r="AY485" s="2">
        <f>IF(OR($AS485="",$E$6=""),"",TRIM(INDEX($A:$AP,ROW(),$E$6)&amp;""))</f>
        <v/>
      </c>
      <c r="AZ485" s="2">
        <f>IF(OR($AS485="",$D$6=""),"",TRIM(INDEX($A:$AP,ROW(),$D$6)&amp;""))</f>
        <v/>
      </c>
      <c r="BA485" s="2">
        <f>IF($AS485="","",IF(AND($AS485&gt;=설정!$B$10,$AS485&lt;=설정!$B$11),"포함","기간 밖"))</f>
        <v/>
      </c>
      <c r="BB485" s="2">
        <f>IF($AS485="","",IF(OR($AT485&lt;0,AND($I$6&lt;&gt;"",ISNUMBER(FIND("수정",INDEX($A:$AP,ROW(),IF($I$6="",1,$I$6))&amp;"")))),"수정","일반"))</f>
        <v/>
      </c>
      <c r="BC485" s="2">
        <f>IF($AS485="","",MID(IF($BA485="기간 밖"," / 기간 밖(신고기간 아님)","")&amp;IF(AND($AW485&lt;&gt;"",COUNTIF($AW$8:$AW$1007,$AW485)&gt;1)," / 승인번호 중복(두 번 붙여넣기?)","")&amp;IF(ABS($AU485-ROUND($AT485*0.1,0))&gt;설정!$B$8,IF($AU485=0," / 세액 0원(영세율·면세 여부 확인)"," / 세액이 공급가액 10%와 다름"),"")&amp;IF($BB485="수정"," / 수정세금계산서(합계에서 자동 가감)",""),4,200))</f>
        <v/>
      </c>
      <c r="BD485" s="2">
        <f>IF($BA485&lt;&gt;"포함","",IF(COUNTIFS($AX$8:$AX485,$AX485,$BA$8:$BA485,"포함")=1,MAX($BD$7:BD484)+1,""))</f>
        <v/>
      </c>
      <c r="BE485" s="2">
        <f>IF($BC485="","",MAX($BE$7:BE484)+1)</f>
        <v/>
      </c>
    </row>
    <row r="486">
      <c r="AR486" s="2">
        <f>IF(OR($A$5="",$B$6="",ROW()&lt;$A$5),"",IF(INDEX($A:$AP,ROW(),$B$6)="","",INDEX($A:$AP,ROW(),$B$6)))</f>
        <v/>
      </c>
      <c r="AS486" s="22">
        <f>IF($AR486="","",IF(ISNUMBER($AR486),IF($AR486&gt;=10000000,IFERROR(DATE(INT($AR486/10000),MOD(INT($AR486/100),100),MOD($AR486,100)),""),INT($AR486)),IFERROR(DATE(--LEFT(LEFT(SUBSTITUTE(SUBSTITUTE(SUBSTITUTE(SUBSTITUTE(TRIM($AR486),"-",""),".",""),"/","")," ",""),8),4),--MID(LEFT(SUBSTITUTE(SUBSTITUTE(SUBSTITUTE(SUBSTITUTE(TRIM($AR486),"-",""),".",""),"/","")," ",""),8),5,2),--MID(LEFT(SUBSTITUTE(SUBSTITUTE(SUBSTITUTE(SUBSTITUTE(TRIM($AR486),"-",""),".",""),"/","")," ",""),8),7,2)),"")))</f>
        <v/>
      </c>
      <c r="AT486" s="23">
        <f>IF($AS486="","",IF($F$6="",0,IF(ISNUMBER(INDEX($A:$AP,ROW(),$F$6)),INDEX($A:$AP,ROW(),$F$6),IFERROR(--SUBSTITUTE(SUBSTITUTE(TRIM(INDEX($A:$AP,ROW(),$F$6)),",",""),"원",""),0))))</f>
        <v/>
      </c>
      <c r="AU486" s="23">
        <f>IF($AS486="","",IF($G$6="",0,IF(ISNUMBER(INDEX($A:$AP,ROW(),$G$6)),INDEX($A:$AP,ROW(),$G$6),IFERROR(--SUBSTITUTE(SUBSTITUTE(TRIM(INDEX($A:$AP,ROW(),$G$6)),",",""),"원",""),0))))</f>
        <v/>
      </c>
      <c r="AV486" s="23">
        <f>IF($AS486="","",IF($H$6="",$AT486+$AU486,IF($H$6="",0,IF(ISNUMBER(INDEX($A:$AP,ROW(),$H$6)),INDEX($A:$AP,ROW(),$H$6),IFERROR(--SUBSTITUTE(SUBSTITUTE(TRIM(INDEX($A:$AP,ROW(),$H$6)),",",""),"원",""),0)))))</f>
        <v/>
      </c>
      <c r="AW486" s="2">
        <f>IF(OR($AS486="",$C$6=""),"",TRIM(INDEX($A:$AP,ROW(),$C$6)&amp;""))</f>
        <v/>
      </c>
      <c r="AX486" s="2">
        <f>IF($AS486="","",IF($AZ486&lt;&gt;"",SUBSTITUTE(SUBSTITUTE($AZ486,"-","")," ",""),$AY486))</f>
        <v/>
      </c>
      <c r="AY486" s="2">
        <f>IF(OR($AS486="",$E$6=""),"",TRIM(INDEX($A:$AP,ROW(),$E$6)&amp;""))</f>
        <v/>
      </c>
      <c r="AZ486" s="2">
        <f>IF(OR($AS486="",$D$6=""),"",TRIM(INDEX($A:$AP,ROW(),$D$6)&amp;""))</f>
        <v/>
      </c>
      <c r="BA486" s="2">
        <f>IF($AS486="","",IF(AND($AS486&gt;=설정!$B$10,$AS486&lt;=설정!$B$11),"포함","기간 밖"))</f>
        <v/>
      </c>
      <c r="BB486" s="2">
        <f>IF($AS486="","",IF(OR($AT486&lt;0,AND($I$6&lt;&gt;"",ISNUMBER(FIND("수정",INDEX($A:$AP,ROW(),IF($I$6="",1,$I$6))&amp;"")))),"수정","일반"))</f>
        <v/>
      </c>
      <c r="BC486" s="2">
        <f>IF($AS486="","",MID(IF($BA486="기간 밖"," / 기간 밖(신고기간 아님)","")&amp;IF(AND($AW486&lt;&gt;"",COUNTIF($AW$8:$AW$1007,$AW486)&gt;1)," / 승인번호 중복(두 번 붙여넣기?)","")&amp;IF(ABS($AU486-ROUND($AT486*0.1,0))&gt;설정!$B$8,IF($AU486=0," / 세액 0원(영세율·면세 여부 확인)"," / 세액이 공급가액 10%와 다름"),"")&amp;IF($BB486="수정"," / 수정세금계산서(합계에서 자동 가감)",""),4,200))</f>
        <v/>
      </c>
      <c r="BD486" s="2">
        <f>IF($BA486&lt;&gt;"포함","",IF(COUNTIFS($AX$8:$AX486,$AX486,$BA$8:$BA486,"포함")=1,MAX($BD$7:BD485)+1,""))</f>
        <v/>
      </c>
      <c r="BE486" s="2">
        <f>IF($BC486="","",MAX($BE$7:BE485)+1)</f>
        <v/>
      </c>
    </row>
    <row r="487">
      <c r="AR487" s="2">
        <f>IF(OR($A$5="",$B$6="",ROW()&lt;$A$5),"",IF(INDEX($A:$AP,ROW(),$B$6)="","",INDEX($A:$AP,ROW(),$B$6)))</f>
        <v/>
      </c>
      <c r="AS487" s="22">
        <f>IF($AR487="","",IF(ISNUMBER($AR487),IF($AR487&gt;=10000000,IFERROR(DATE(INT($AR487/10000),MOD(INT($AR487/100),100),MOD($AR487,100)),""),INT($AR487)),IFERROR(DATE(--LEFT(LEFT(SUBSTITUTE(SUBSTITUTE(SUBSTITUTE(SUBSTITUTE(TRIM($AR487),"-",""),".",""),"/","")," ",""),8),4),--MID(LEFT(SUBSTITUTE(SUBSTITUTE(SUBSTITUTE(SUBSTITUTE(TRIM($AR487),"-",""),".",""),"/","")," ",""),8),5,2),--MID(LEFT(SUBSTITUTE(SUBSTITUTE(SUBSTITUTE(SUBSTITUTE(TRIM($AR487),"-",""),".",""),"/","")," ",""),8),7,2)),"")))</f>
        <v/>
      </c>
      <c r="AT487" s="23">
        <f>IF($AS487="","",IF($F$6="",0,IF(ISNUMBER(INDEX($A:$AP,ROW(),$F$6)),INDEX($A:$AP,ROW(),$F$6),IFERROR(--SUBSTITUTE(SUBSTITUTE(TRIM(INDEX($A:$AP,ROW(),$F$6)),",",""),"원",""),0))))</f>
        <v/>
      </c>
      <c r="AU487" s="23">
        <f>IF($AS487="","",IF($G$6="",0,IF(ISNUMBER(INDEX($A:$AP,ROW(),$G$6)),INDEX($A:$AP,ROW(),$G$6),IFERROR(--SUBSTITUTE(SUBSTITUTE(TRIM(INDEX($A:$AP,ROW(),$G$6)),",",""),"원",""),0))))</f>
        <v/>
      </c>
      <c r="AV487" s="23">
        <f>IF($AS487="","",IF($H$6="",$AT487+$AU487,IF($H$6="",0,IF(ISNUMBER(INDEX($A:$AP,ROW(),$H$6)),INDEX($A:$AP,ROW(),$H$6),IFERROR(--SUBSTITUTE(SUBSTITUTE(TRIM(INDEX($A:$AP,ROW(),$H$6)),",",""),"원",""),0)))))</f>
        <v/>
      </c>
      <c r="AW487" s="2">
        <f>IF(OR($AS487="",$C$6=""),"",TRIM(INDEX($A:$AP,ROW(),$C$6)&amp;""))</f>
        <v/>
      </c>
      <c r="AX487" s="2">
        <f>IF($AS487="","",IF($AZ487&lt;&gt;"",SUBSTITUTE(SUBSTITUTE($AZ487,"-","")," ",""),$AY487))</f>
        <v/>
      </c>
      <c r="AY487" s="2">
        <f>IF(OR($AS487="",$E$6=""),"",TRIM(INDEX($A:$AP,ROW(),$E$6)&amp;""))</f>
        <v/>
      </c>
      <c r="AZ487" s="2">
        <f>IF(OR($AS487="",$D$6=""),"",TRIM(INDEX($A:$AP,ROW(),$D$6)&amp;""))</f>
        <v/>
      </c>
      <c r="BA487" s="2">
        <f>IF($AS487="","",IF(AND($AS487&gt;=설정!$B$10,$AS487&lt;=설정!$B$11),"포함","기간 밖"))</f>
        <v/>
      </c>
      <c r="BB487" s="2">
        <f>IF($AS487="","",IF(OR($AT487&lt;0,AND($I$6&lt;&gt;"",ISNUMBER(FIND("수정",INDEX($A:$AP,ROW(),IF($I$6="",1,$I$6))&amp;"")))),"수정","일반"))</f>
        <v/>
      </c>
      <c r="BC487" s="2">
        <f>IF($AS487="","",MID(IF($BA487="기간 밖"," / 기간 밖(신고기간 아님)","")&amp;IF(AND($AW487&lt;&gt;"",COUNTIF($AW$8:$AW$1007,$AW487)&gt;1)," / 승인번호 중복(두 번 붙여넣기?)","")&amp;IF(ABS($AU487-ROUND($AT487*0.1,0))&gt;설정!$B$8,IF($AU487=0," / 세액 0원(영세율·면세 여부 확인)"," / 세액이 공급가액 10%와 다름"),"")&amp;IF($BB487="수정"," / 수정세금계산서(합계에서 자동 가감)",""),4,200))</f>
        <v/>
      </c>
      <c r="BD487" s="2">
        <f>IF($BA487&lt;&gt;"포함","",IF(COUNTIFS($AX$8:$AX487,$AX487,$BA$8:$BA487,"포함")=1,MAX($BD$7:BD486)+1,""))</f>
        <v/>
      </c>
      <c r="BE487" s="2">
        <f>IF($BC487="","",MAX($BE$7:BE486)+1)</f>
        <v/>
      </c>
    </row>
    <row r="488">
      <c r="AR488" s="2">
        <f>IF(OR($A$5="",$B$6="",ROW()&lt;$A$5),"",IF(INDEX($A:$AP,ROW(),$B$6)="","",INDEX($A:$AP,ROW(),$B$6)))</f>
        <v/>
      </c>
      <c r="AS488" s="22">
        <f>IF($AR488="","",IF(ISNUMBER($AR488),IF($AR488&gt;=10000000,IFERROR(DATE(INT($AR488/10000),MOD(INT($AR488/100),100),MOD($AR488,100)),""),INT($AR488)),IFERROR(DATE(--LEFT(LEFT(SUBSTITUTE(SUBSTITUTE(SUBSTITUTE(SUBSTITUTE(TRIM($AR488),"-",""),".",""),"/","")," ",""),8),4),--MID(LEFT(SUBSTITUTE(SUBSTITUTE(SUBSTITUTE(SUBSTITUTE(TRIM($AR488),"-",""),".",""),"/","")," ",""),8),5,2),--MID(LEFT(SUBSTITUTE(SUBSTITUTE(SUBSTITUTE(SUBSTITUTE(TRIM($AR488),"-",""),".",""),"/","")," ",""),8),7,2)),"")))</f>
        <v/>
      </c>
      <c r="AT488" s="23">
        <f>IF($AS488="","",IF($F$6="",0,IF(ISNUMBER(INDEX($A:$AP,ROW(),$F$6)),INDEX($A:$AP,ROW(),$F$6),IFERROR(--SUBSTITUTE(SUBSTITUTE(TRIM(INDEX($A:$AP,ROW(),$F$6)),",",""),"원",""),0))))</f>
        <v/>
      </c>
      <c r="AU488" s="23">
        <f>IF($AS488="","",IF($G$6="",0,IF(ISNUMBER(INDEX($A:$AP,ROW(),$G$6)),INDEX($A:$AP,ROW(),$G$6),IFERROR(--SUBSTITUTE(SUBSTITUTE(TRIM(INDEX($A:$AP,ROW(),$G$6)),",",""),"원",""),0))))</f>
        <v/>
      </c>
      <c r="AV488" s="23">
        <f>IF($AS488="","",IF($H$6="",$AT488+$AU488,IF($H$6="",0,IF(ISNUMBER(INDEX($A:$AP,ROW(),$H$6)),INDEX($A:$AP,ROW(),$H$6),IFERROR(--SUBSTITUTE(SUBSTITUTE(TRIM(INDEX($A:$AP,ROW(),$H$6)),",",""),"원",""),0)))))</f>
        <v/>
      </c>
      <c r="AW488" s="2">
        <f>IF(OR($AS488="",$C$6=""),"",TRIM(INDEX($A:$AP,ROW(),$C$6)&amp;""))</f>
        <v/>
      </c>
      <c r="AX488" s="2">
        <f>IF($AS488="","",IF($AZ488&lt;&gt;"",SUBSTITUTE(SUBSTITUTE($AZ488,"-","")," ",""),$AY488))</f>
        <v/>
      </c>
      <c r="AY488" s="2">
        <f>IF(OR($AS488="",$E$6=""),"",TRIM(INDEX($A:$AP,ROW(),$E$6)&amp;""))</f>
        <v/>
      </c>
      <c r="AZ488" s="2">
        <f>IF(OR($AS488="",$D$6=""),"",TRIM(INDEX($A:$AP,ROW(),$D$6)&amp;""))</f>
        <v/>
      </c>
      <c r="BA488" s="2">
        <f>IF($AS488="","",IF(AND($AS488&gt;=설정!$B$10,$AS488&lt;=설정!$B$11),"포함","기간 밖"))</f>
        <v/>
      </c>
      <c r="BB488" s="2">
        <f>IF($AS488="","",IF(OR($AT488&lt;0,AND($I$6&lt;&gt;"",ISNUMBER(FIND("수정",INDEX($A:$AP,ROW(),IF($I$6="",1,$I$6))&amp;"")))),"수정","일반"))</f>
        <v/>
      </c>
      <c r="BC488" s="2">
        <f>IF($AS488="","",MID(IF($BA488="기간 밖"," / 기간 밖(신고기간 아님)","")&amp;IF(AND($AW488&lt;&gt;"",COUNTIF($AW$8:$AW$1007,$AW488)&gt;1)," / 승인번호 중복(두 번 붙여넣기?)","")&amp;IF(ABS($AU488-ROUND($AT488*0.1,0))&gt;설정!$B$8,IF($AU488=0," / 세액 0원(영세율·면세 여부 확인)"," / 세액이 공급가액 10%와 다름"),"")&amp;IF($BB488="수정"," / 수정세금계산서(합계에서 자동 가감)",""),4,200))</f>
        <v/>
      </c>
      <c r="BD488" s="2">
        <f>IF($BA488&lt;&gt;"포함","",IF(COUNTIFS($AX$8:$AX488,$AX488,$BA$8:$BA488,"포함")=1,MAX($BD$7:BD487)+1,""))</f>
        <v/>
      </c>
      <c r="BE488" s="2">
        <f>IF($BC488="","",MAX($BE$7:BE487)+1)</f>
        <v/>
      </c>
    </row>
    <row r="489">
      <c r="AR489" s="2">
        <f>IF(OR($A$5="",$B$6="",ROW()&lt;$A$5),"",IF(INDEX($A:$AP,ROW(),$B$6)="","",INDEX($A:$AP,ROW(),$B$6)))</f>
        <v/>
      </c>
      <c r="AS489" s="22">
        <f>IF($AR489="","",IF(ISNUMBER($AR489),IF($AR489&gt;=10000000,IFERROR(DATE(INT($AR489/10000),MOD(INT($AR489/100),100),MOD($AR489,100)),""),INT($AR489)),IFERROR(DATE(--LEFT(LEFT(SUBSTITUTE(SUBSTITUTE(SUBSTITUTE(SUBSTITUTE(TRIM($AR489),"-",""),".",""),"/","")," ",""),8),4),--MID(LEFT(SUBSTITUTE(SUBSTITUTE(SUBSTITUTE(SUBSTITUTE(TRIM($AR489),"-",""),".",""),"/","")," ",""),8),5,2),--MID(LEFT(SUBSTITUTE(SUBSTITUTE(SUBSTITUTE(SUBSTITUTE(TRIM($AR489),"-",""),".",""),"/","")," ",""),8),7,2)),"")))</f>
        <v/>
      </c>
      <c r="AT489" s="23">
        <f>IF($AS489="","",IF($F$6="",0,IF(ISNUMBER(INDEX($A:$AP,ROW(),$F$6)),INDEX($A:$AP,ROW(),$F$6),IFERROR(--SUBSTITUTE(SUBSTITUTE(TRIM(INDEX($A:$AP,ROW(),$F$6)),",",""),"원",""),0))))</f>
        <v/>
      </c>
      <c r="AU489" s="23">
        <f>IF($AS489="","",IF($G$6="",0,IF(ISNUMBER(INDEX($A:$AP,ROW(),$G$6)),INDEX($A:$AP,ROW(),$G$6),IFERROR(--SUBSTITUTE(SUBSTITUTE(TRIM(INDEX($A:$AP,ROW(),$G$6)),",",""),"원",""),0))))</f>
        <v/>
      </c>
      <c r="AV489" s="23">
        <f>IF($AS489="","",IF($H$6="",$AT489+$AU489,IF($H$6="",0,IF(ISNUMBER(INDEX($A:$AP,ROW(),$H$6)),INDEX($A:$AP,ROW(),$H$6),IFERROR(--SUBSTITUTE(SUBSTITUTE(TRIM(INDEX($A:$AP,ROW(),$H$6)),",",""),"원",""),0)))))</f>
        <v/>
      </c>
      <c r="AW489" s="2">
        <f>IF(OR($AS489="",$C$6=""),"",TRIM(INDEX($A:$AP,ROW(),$C$6)&amp;""))</f>
        <v/>
      </c>
      <c r="AX489" s="2">
        <f>IF($AS489="","",IF($AZ489&lt;&gt;"",SUBSTITUTE(SUBSTITUTE($AZ489,"-","")," ",""),$AY489))</f>
        <v/>
      </c>
      <c r="AY489" s="2">
        <f>IF(OR($AS489="",$E$6=""),"",TRIM(INDEX($A:$AP,ROW(),$E$6)&amp;""))</f>
        <v/>
      </c>
      <c r="AZ489" s="2">
        <f>IF(OR($AS489="",$D$6=""),"",TRIM(INDEX($A:$AP,ROW(),$D$6)&amp;""))</f>
        <v/>
      </c>
      <c r="BA489" s="2">
        <f>IF($AS489="","",IF(AND($AS489&gt;=설정!$B$10,$AS489&lt;=설정!$B$11),"포함","기간 밖"))</f>
        <v/>
      </c>
      <c r="BB489" s="2">
        <f>IF($AS489="","",IF(OR($AT489&lt;0,AND($I$6&lt;&gt;"",ISNUMBER(FIND("수정",INDEX($A:$AP,ROW(),IF($I$6="",1,$I$6))&amp;"")))),"수정","일반"))</f>
        <v/>
      </c>
      <c r="BC489" s="2">
        <f>IF($AS489="","",MID(IF($BA489="기간 밖"," / 기간 밖(신고기간 아님)","")&amp;IF(AND($AW489&lt;&gt;"",COUNTIF($AW$8:$AW$1007,$AW489)&gt;1)," / 승인번호 중복(두 번 붙여넣기?)","")&amp;IF(ABS($AU489-ROUND($AT489*0.1,0))&gt;설정!$B$8,IF($AU489=0," / 세액 0원(영세율·면세 여부 확인)"," / 세액이 공급가액 10%와 다름"),"")&amp;IF($BB489="수정"," / 수정세금계산서(합계에서 자동 가감)",""),4,200))</f>
        <v/>
      </c>
      <c r="BD489" s="2">
        <f>IF($BA489&lt;&gt;"포함","",IF(COUNTIFS($AX$8:$AX489,$AX489,$BA$8:$BA489,"포함")=1,MAX($BD$7:BD488)+1,""))</f>
        <v/>
      </c>
      <c r="BE489" s="2">
        <f>IF($BC489="","",MAX($BE$7:BE488)+1)</f>
        <v/>
      </c>
    </row>
    <row r="490">
      <c r="AR490" s="2">
        <f>IF(OR($A$5="",$B$6="",ROW()&lt;$A$5),"",IF(INDEX($A:$AP,ROW(),$B$6)="","",INDEX($A:$AP,ROW(),$B$6)))</f>
        <v/>
      </c>
      <c r="AS490" s="22">
        <f>IF($AR490="","",IF(ISNUMBER($AR490),IF($AR490&gt;=10000000,IFERROR(DATE(INT($AR490/10000),MOD(INT($AR490/100),100),MOD($AR490,100)),""),INT($AR490)),IFERROR(DATE(--LEFT(LEFT(SUBSTITUTE(SUBSTITUTE(SUBSTITUTE(SUBSTITUTE(TRIM($AR490),"-",""),".",""),"/","")," ",""),8),4),--MID(LEFT(SUBSTITUTE(SUBSTITUTE(SUBSTITUTE(SUBSTITUTE(TRIM($AR490),"-",""),".",""),"/","")," ",""),8),5,2),--MID(LEFT(SUBSTITUTE(SUBSTITUTE(SUBSTITUTE(SUBSTITUTE(TRIM($AR490),"-",""),".",""),"/","")," ",""),8),7,2)),"")))</f>
        <v/>
      </c>
      <c r="AT490" s="23">
        <f>IF($AS490="","",IF($F$6="",0,IF(ISNUMBER(INDEX($A:$AP,ROW(),$F$6)),INDEX($A:$AP,ROW(),$F$6),IFERROR(--SUBSTITUTE(SUBSTITUTE(TRIM(INDEX($A:$AP,ROW(),$F$6)),",",""),"원",""),0))))</f>
        <v/>
      </c>
      <c r="AU490" s="23">
        <f>IF($AS490="","",IF($G$6="",0,IF(ISNUMBER(INDEX($A:$AP,ROW(),$G$6)),INDEX($A:$AP,ROW(),$G$6),IFERROR(--SUBSTITUTE(SUBSTITUTE(TRIM(INDEX($A:$AP,ROW(),$G$6)),",",""),"원",""),0))))</f>
        <v/>
      </c>
      <c r="AV490" s="23">
        <f>IF($AS490="","",IF($H$6="",$AT490+$AU490,IF($H$6="",0,IF(ISNUMBER(INDEX($A:$AP,ROW(),$H$6)),INDEX($A:$AP,ROW(),$H$6),IFERROR(--SUBSTITUTE(SUBSTITUTE(TRIM(INDEX($A:$AP,ROW(),$H$6)),",",""),"원",""),0)))))</f>
        <v/>
      </c>
      <c r="AW490" s="2">
        <f>IF(OR($AS490="",$C$6=""),"",TRIM(INDEX($A:$AP,ROW(),$C$6)&amp;""))</f>
        <v/>
      </c>
      <c r="AX490" s="2">
        <f>IF($AS490="","",IF($AZ490&lt;&gt;"",SUBSTITUTE(SUBSTITUTE($AZ490,"-","")," ",""),$AY490))</f>
        <v/>
      </c>
      <c r="AY490" s="2">
        <f>IF(OR($AS490="",$E$6=""),"",TRIM(INDEX($A:$AP,ROW(),$E$6)&amp;""))</f>
        <v/>
      </c>
      <c r="AZ490" s="2">
        <f>IF(OR($AS490="",$D$6=""),"",TRIM(INDEX($A:$AP,ROW(),$D$6)&amp;""))</f>
        <v/>
      </c>
      <c r="BA490" s="2">
        <f>IF($AS490="","",IF(AND($AS490&gt;=설정!$B$10,$AS490&lt;=설정!$B$11),"포함","기간 밖"))</f>
        <v/>
      </c>
      <c r="BB490" s="2">
        <f>IF($AS490="","",IF(OR($AT490&lt;0,AND($I$6&lt;&gt;"",ISNUMBER(FIND("수정",INDEX($A:$AP,ROW(),IF($I$6="",1,$I$6))&amp;"")))),"수정","일반"))</f>
        <v/>
      </c>
      <c r="BC490" s="2">
        <f>IF($AS490="","",MID(IF($BA490="기간 밖"," / 기간 밖(신고기간 아님)","")&amp;IF(AND($AW490&lt;&gt;"",COUNTIF($AW$8:$AW$1007,$AW490)&gt;1)," / 승인번호 중복(두 번 붙여넣기?)","")&amp;IF(ABS($AU490-ROUND($AT490*0.1,0))&gt;설정!$B$8,IF($AU490=0," / 세액 0원(영세율·면세 여부 확인)"," / 세액이 공급가액 10%와 다름"),"")&amp;IF($BB490="수정"," / 수정세금계산서(합계에서 자동 가감)",""),4,200))</f>
        <v/>
      </c>
      <c r="BD490" s="2">
        <f>IF($BA490&lt;&gt;"포함","",IF(COUNTIFS($AX$8:$AX490,$AX490,$BA$8:$BA490,"포함")=1,MAX($BD$7:BD489)+1,""))</f>
        <v/>
      </c>
      <c r="BE490" s="2">
        <f>IF($BC490="","",MAX($BE$7:BE489)+1)</f>
        <v/>
      </c>
    </row>
    <row r="491">
      <c r="AR491" s="2">
        <f>IF(OR($A$5="",$B$6="",ROW()&lt;$A$5),"",IF(INDEX($A:$AP,ROW(),$B$6)="","",INDEX($A:$AP,ROW(),$B$6)))</f>
        <v/>
      </c>
      <c r="AS491" s="22">
        <f>IF($AR491="","",IF(ISNUMBER($AR491),IF($AR491&gt;=10000000,IFERROR(DATE(INT($AR491/10000),MOD(INT($AR491/100),100),MOD($AR491,100)),""),INT($AR491)),IFERROR(DATE(--LEFT(LEFT(SUBSTITUTE(SUBSTITUTE(SUBSTITUTE(SUBSTITUTE(TRIM($AR491),"-",""),".",""),"/","")," ",""),8),4),--MID(LEFT(SUBSTITUTE(SUBSTITUTE(SUBSTITUTE(SUBSTITUTE(TRIM($AR491),"-",""),".",""),"/","")," ",""),8),5,2),--MID(LEFT(SUBSTITUTE(SUBSTITUTE(SUBSTITUTE(SUBSTITUTE(TRIM($AR491),"-",""),".",""),"/","")," ",""),8),7,2)),"")))</f>
        <v/>
      </c>
      <c r="AT491" s="23">
        <f>IF($AS491="","",IF($F$6="",0,IF(ISNUMBER(INDEX($A:$AP,ROW(),$F$6)),INDEX($A:$AP,ROW(),$F$6),IFERROR(--SUBSTITUTE(SUBSTITUTE(TRIM(INDEX($A:$AP,ROW(),$F$6)),",",""),"원",""),0))))</f>
        <v/>
      </c>
      <c r="AU491" s="23">
        <f>IF($AS491="","",IF($G$6="",0,IF(ISNUMBER(INDEX($A:$AP,ROW(),$G$6)),INDEX($A:$AP,ROW(),$G$6),IFERROR(--SUBSTITUTE(SUBSTITUTE(TRIM(INDEX($A:$AP,ROW(),$G$6)),",",""),"원",""),0))))</f>
        <v/>
      </c>
      <c r="AV491" s="23">
        <f>IF($AS491="","",IF($H$6="",$AT491+$AU491,IF($H$6="",0,IF(ISNUMBER(INDEX($A:$AP,ROW(),$H$6)),INDEX($A:$AP,ROW(),$H$6),IFERROR(--SUBSTITUTE(SUBSTITUTE(TRIM(INDEX($A:$AP,ROW(),$H$6)),",",""),"원",""),0)))))</f>
        <v/>
      </c>
      <c r="AW491" s="2">
        <f>IF(OR($AS491="",$C$6=""),"",TRIM(INDEX($A:$AP,ROW(),$C$6)&amp;""))</f>
        <v/>
      </c>
      <c r="AX491" s="2">
        <f>IF($AS491="","",IF($AZ491&lt;&gt;"",SUBSTITUTE(SUBSTITUTE($AZ491,"-","")," ",""),$AY491))</f>
        <v/>
      </c>
      <c r="AY491" s="2">
        <f>IF(OR($AS491="",$E$6=""),"",TRIM(INDEX($A:$AP,ROW(),$E$6)&amp;""))</f>
        <v/>
      </c>
      <c r="AZ491" s="2">
        <f>IF(OR($AS491="",$D$6=""),"",TRIM(INDEX($A:$AP,ROW(),$D$6)&amp;""))</f>
        <v/>
      </c>
      <c r="BA491" s="2">
        <f>IF($AS491="","",IF(AND($AS491&gt;=설정!$B$10,$AS491&lt;=설정!$B$11),"포함","기간 밖"))</f>
        <v/>
      </c>
      <c r="BB491" s="2">
        <f>IF($AS491="","",IF(OR($AT491&lt;0,AND($I$6&lt;&gt;"",ISNUMBER(FIND("수정",INDEX($A:$AP,ROW(),IF($I$6="",1,$I$6))&amp;"")))),"수정","일반"))</f>
        <v/>
      </c>
      <c r="BC491" s="2">
        <f>IF($AS491="","",MID(IF($BA491="기간 밖"," / 기간 밖(신고기간 아님)","")&amp;IF(AND($AW491&lt;&gt;"",COUNTIF($AW$8:$AW$1007,$AW491)&gt;1)," / 승인번호 중복(두 번 붙여넣기?)","")&amp;IF(ABS($AU491-ROUND($AT491*0.1,0))&gt;설정!$B$8,IF($AU491=0," / 세액 0원(영세율·면세 여부 확인)"," / 세액이 공급가액 10%와 다름"),"")&amp;IF($BB491="수정"," / 수정세금계산서(합계에서 자동 가감)",""),4,200))</f>
        <v/>
      </c>
      <c r="BD491" s="2">
        <f>IF($BA491&lt;&gt;"포함","",IF(COUNTIFS($AX$8:$AX491,$AX491,$BA$8:$BA491,"포함")=1,MAX($BD$7:BD490)+1,""))</f>
        <v/>
      </c>
      <c r="BE491" s="2">
        <f>IF($BC491="","",MAX($BE$7:BE490)+1)</f>
        <v/>
      </c>
    </row>
    <row r="492">
      <c r="AR492" s="2">
        <f>IF(OR($A$5="",$B$6="",ROW()&lt;$A$5),"",IF(INDEX($A:$AP,ROW(),$B$6)="","",INDEX($A:$AP,ROW(),$B$6)))</f>
        <v/>
      </c>
      <c r="AS492" s="22">
        <f>IF($AR492="","",IF(ISNUMBER($AR492),IF($AR492&gt;=10000000,IFERROR(DATE(INT($AR492/10000),MOD(INT($AR492/100),100),MOD($AR492,100)),""),INT($AR492)),IFERROR(DATE(--LEFT(LEFT(SUBSTITUTE(SUBSTITUTE(SUBSTITUTE(SUBSTITUTE(TRIM($AR492),"-",""),".",""),"/","")," ",""),8),4),--MID(LEFT(SUBSTITUTE(SUBSTITUTE(SUBSTITUTE(SUBSTITUTE(TRIM($AR492),"-",""),".",""),"/","")," ",""),8),5,2),--MID(LEFT(SUBSTITUTE(SUBSTITUTE(SUBSTITUTE(SUBSTITUTE(TRIM($AR492),"-",""),".",""),"/","")," ",""),8),7,2)),"")))</f>
        <v/>
      </c>
      <c r="AT492" s="23">
        <f>IF($AS492="","",IF($F$6="",0,IF(ISNUMBER(INDEX($A:$AP,ROW(),$F$6)),INDEX($A:$AP,ROW(),$F$6),IFERROR(--SUBSTITUTE(SUBSTITUTE(TRIM(INDEX($A:$AP,ROW(),$F$6)),",",""),"원",""),0))))</f>
        <v/>
      </c>
      <c r="AU492" s="23">
        <f>IF($AS492="","",IF($G$6="",0,IF(ISNUMBER(INDEX($A:$AP,ROW(),$G$6)),INDEX($A:$AP,ROW(),$G$6),IFERROR(--SUBSTITUTE(SUBSTITUTE(TRIM(INDEX($A:$AP,ROW(),$G$6)),",",""),"원",""),0))))</f>
        <v/>
      </c>
      <c r="AV492" s="23">
        <f>IF($AS492="","",IF($H$6="",$AT492+$AU492,IF($H$6="",0,IF(ISNUMBER(INDEX($A:$AP,ROW(),$H$6)),INDEX($A:$AP,ROW(),$H$6),IFERROR(--SUBSTITUTE(SUBSTITUTE(TRIM(INDEX($A:$AP,ROW(),$H$6)),",",""),"원",""),0)))))</f>
        <v/>
      </c>
      <c r="AW492" s="2">
        <f>IF(OR($AS492="",$C$6=""),"",TRIM(INDEX($A:$AP,ROW(),$C$6)&amp;""))</f>
        <v/>
      </c>
      <c r="AX492" s="2">
        <f>IF($AS492="","",IF($AZ492&lt;&gt;"",SUBSTITUTE(SUBSTITUTE($AZ492,"-","")," ",""),$AY492))</f>
        <v/>
      </c>
      <c r="AY492" s="2">
        <f>IF(OR($AS492="",$E$6=""),"",TRIM(INDEX($A:$AP,ROW(),$E$6)&amp;""))</f>
        <v/>
      </c>
      <c r="AZ492" s="2">
        <f>IF(OR($AS492="",$D$6=""),"",TRIM(INDEX($A:$AP,ROW(),$D$6)&amp;""))</f>
        <v/>
      </c>
      <c r="BA492" s="2">
        <f>IF($AS492="","",IF(AND($AS492&gt;=설정!$B$10,$AS492&lt;=설정!$B$11),"포함","기간 밖"))</f>
        <v/>
      </c>
      <c r="BB492" s="2">
        <f>IF($AS492="","",IF(OR($AT492&lt;0,AND($I$6&lt;&gt;"",ISNUMBER(FIND("수정",INDEX($A:$AP,ROW(),IF($I$6="",1,$I$6))&amp;"")))),"수정","일반"))</f>
        <v/>
      </c>
      <c r="BC492" s="2">
        <f>IF($AS492="","",MID(IF($BA492="기간 밖"," / 기간 밖(신고기간 아님)","")&amp;IF(AND($AW492&lt;&gt;"",COUNTIF($AW$8:$AW$1007,$AW492)&gt;1)," / 승인번호 중복(두 번 붙여넣기?)","")&amp;IF(ABS($AU492-ROUND($AT492*0.1,0))&gt;설정!$B$8,IF($AU492=0," / 세액 0원(영세율·면세 여부 확인)"," / 세액이 공급가액 10%와 다름"),"")&amp;IF($BB492="수정"," / 수정세금계산서(합계에서 자동 가감)",""),4,200))</f>
        <v/>
      </c>
      <c r="BD492" s="2">
        <f>IF($BA492&lt;&gt;"포함","",IF(COUNTIFS($AX$8:$AX492,$AX492,$BA$8:$BA492,"포함")=1,MAX($BD$7:BD491)+1,""))</f>
        <v/>
      </c>
      <c r="BE492" s="2">
        <f>IF($BC492="","",MAX($BE$7:BE491)+1)</f>
        <v/>
      </c>
    </row>
    <row r="493">
      <c r="AR493" s="2">
        <f>IF(OR($A$5="",$B$6="",ROW()&lt;$A$5),"",IF(INDEX($A:$AP,ROW(),$B$6)="","",INDEX($A:$AP,ROW(),$B$6)))</f>
        <v/>
      </c>
      <c r="AS493" s="22">
        <f>IF($AR493="","",IF(ISNUMBER($AR493),IF($AR493&gt;=10000000,IFERROR(DATE(INT($AR493/10000),MOD(INT($AR493/100),100),MOD($AR493,100)),""),INT($AR493)),IFERROR(DATE(--LEFT(LEFT(SUBSTITUTE(SUBSTITUTE(SUBSTITUTE(SUBSTITUTE(TRIM($AR493),"-",""),".",""),"/","")," ",""),8),4),--MID(LEFT(SUBSTITUTE(SUBSTITUTE(SUBSTITUTE(SUBSTITUTE(TRIM($AR493),"-",""),".",""),"/","")," ",""),8),5,2),--MID(LEFT(SUBSTITUTE(SUBSTITUTE(SUBSTITUTE(SUBSTITUTE(TRIM($AR493),"-",""),".",""),"/","")," ",""),8),7,2)),"")))</f>
        <v/>
      </c>
      <c r="AT493" s="23">
        <f>IF($AS493="","",IF($F$6="",0,IF(ISNUMBER(INDEX($A:$AP,ROW(),$F$6)),INDEX($A:$AP,ROW(),$F$6),IFERROR(--SUBSTITUTE(SUBSTITUTE(TRIM(INDEX($A:$AP,ROW(),$F$6)),",",""),"원",""),0))))</f>
        <v/>
      </c>
      <c r="AU493" s="23">
        <f>IF($AS493="","",IF($G$6="",0,IF(ISNUMBER(INDEX($A:$AP,ROW(),$G$6)),INDEX($A:$AP,ROW(),$G$6),IFERROR(--SUBSTITUTE(SUBSTITUTE(TRIM(INDEX($A:$AP,ROW(),$G$6)),",",""),"원",""),0))))</f>
        <v/>
      </c>
      <c r="AV493" s="23">
        <f>IF($AS493="","",IF($H$6="",$AT493+$AU493,IF($H$6="",0,IF(ISNUMBER(INDEX($A:$AP,ROW(),$H$6)),INDEX($A:$AP,ROW(),$H$6),IFERROR(--SUBSTITUTE(SUBSTITUTE(TRIM(INDEX($A:$AP,ROW(),$H$6)),",",""),"원",""),0)))))</f>
        <v/>
      </c>
      <c r="AW493" s="2">
        <f>IF(OR($AS493="",$C$6=""),"",TRIM(INDEX($A:$AP,ROW(),$C$6)&amp;""))</f>
        <v/>
      </c>
      <c r="AX493" s="2">
        <f>IF($AS493="","",IF($AZ493&lt;&gt;"",SUBSTITUTE(SUBSTITUTE($AZ493,"-","")," ",""),$AY493))</f>
        <v/>
      </c>
      <c r="AY493" s="2">
        <f>IF(OR($AS493="",$E$6=""),"",TRIM(INDEX($A:$AP,ROW(),$E$6)&amp;""))</f>
        <v/>
      </c>
      <c r="AZ493" s="2">
        <f>IF(OR($AS493="",$D$6=""),"",TRIM(INDEX($A:$AP,ROW(),$D$6)&amp;""))</f>
        <v/>
      </c>
      <c r="BA493" s="2">
        <f>IF($AS493="","",IF(AND($AS493&gt;=설정!$B$10,$AS493&lt;=설정!$B$11),"포함","기간 밖"))</f>
        <v/>
      </c>
      <c r="BB493" s="2">
        <f>IF($AS493="","",IF(OR($AT493&lt;0,AND($I$6&lt;&gt;"",ISNUMBER(FIND("수정",INDEX($A:$AP,ROW(),IF($I$6="",1,$I$6))&amp;"")))),"수정","일반"))</f>
        <v/>
      </c>
      <c r="BC493" s="2">
        <f>IF($AS493="","",MID(IF($BA493="기간 밖"," / 기간 밖(신고기간 아님)","")&amp;IF(AND($AW493&lt;&gt;"",COUNTIF($AW$8:$AW$1007,$AW493)&gt;1)," / 승인번호 중복(두 번 붙여넣기?)","")&amp;IF(ABS($AU493-ROUND($AT493*0.1,0))&gt;설정!$B$8,IF($AU493=0," / 세액 0원(영세율·면세 여부 확인)"," / 세액이 공급가액 10%와 다름"),"")&amp;IF($BB493="수정"," / 수정세금계산서(합계에서 자동 가감)",""),4,200))</f>
        <v/>
      </c>
      <c r="BD493" s="2">
        <f>IF($BA493&lt;&gt;"포함","",IF(COUNTIFS($AX$8:$AX493,$AX493,$BA$8:$BA493,"포함")=1,MAX($BD$7:BD492)+1,""))</f>
        <v/>
      </c>
      <c r="BE493" s="2">
        <f>IF($BC493="","",MAX($BE$7:BE492)+1)</f>
        <v/>
      </c>
    </row>
    <row r="494">
      <c r="AR494" s="2">
        <f>IF(OR($A$5="",$B$6="",ROW()&lt;$A$5),"",IF(INDEX($A:$AP,ROW(),$B$6)="","",INDEX($A:$AP,ROW(),$B$6)))</f>
        <v/>
      </c>
      <c r="AS494" s="22">
        <f>IF($AR494="","",IF(ISNUMBER($AR494),IF($AR494&gt;=10000000,IFERROR(DATE(INT($AR494/10000),MOD(INT($AR494/100),100),MOD($AR494,100)),""),INT($AR494)),IFERROR(DATE(--LEFT(LEFT(SUBSTITUTE(SUBSTITUTE(SUBSTITUTE(SUBSTITUTE(TRIM($AR494),"-",""),".",""),"/","")," ",""),8),4),--MID(LEFT(SUBSTITUTE(SUBSTITUTE(SUBSTITUTE(SUBSTITUTE(TRIM($AR494),"-",""),".",""),"/","")," ",""),8),5,2),--MID(LEFT(SUBSTITUTE(SUBSTITUTE(SUBSTITUTE(SUBSTITUTE(TRIM($AR494),"-",""),".",""),"/","")," ",""),8),7,2)),"")))</f>
        <v/>
      </c>
      <c r="AT494" s="23">
        <f>IF($AS494="","",IF($F$6="",0,IF(ISNUMBER(INDEX($A:$AP,ROW(),$F$6)),INDEX($A:$AP,ROW(),$F$6),IFERROR(--SUBSTITUTE(SUBSTITUTE(TRIM(INDEX($A:$AP,ROW(),$F$6)),",",""),"원",""),0))))</f>
        <v/>
      </c>
      <c r="AU494" s="23">
        <f>IF($AS494="","",IF($G$6="",0,IF(ISNUMBER(INDEX($A:$AP,ROW(),$G$6)),INDEX($A:$AP,ROW(),$G$6),IFERROR(--SUBSTITUTE(SUBSTITUTE(TRIM(INDEX($A:$AP,ROW(),$G$6)),",",""),"원",""),0))))</f>
        <v/>
      </c>
      <c r="AV494" s="23">
        <f>IF($AS494="","",IF($H$6="",$AT494+$AU494,IF($H$6="",0,IF(ISNUMBER(INDEX($A:$AP,ROW(),$H$6)),INDEX($A:$AP,ROW(),$H$6),IFERROR(--SUBSTITUTE(SUBSTITUTE(TRIM(INDEX($A:$AP,ROW(),$H$6)),",",""),"원",""),0)))))</f>
        <v/>
      </c>
      <c r="AW494" s="2">
        <f>IF(OR($AS494="",$C$6=""),"",TRIM(INDEX($A:$AP,ROW(),$C$6)&amp;""))</f>
        <v/>
      </c>
      <c r="AX494" s="2">
        <f>IF($AS494="","",IF($AZ494&lt;&gt;"",SUBSTITUTE(SUBSTITUTE($AZ494,"-","")," ",""),$AY494))</f>
        <v/>
      </c>
      <c r="AY494" s="2">
        <f>IF(OR($AS494="",$E$6=""),"",TRIM(INDEX($A:$AP,ROW(),$E$6)&amp;""))</f>
        <v/>
      </c>
      <c r="AZ494" s="2">
        <f>IF(OR($AS494="",$D$6=""),"",TRIM(INDEX($A:$AP,ROW(),$D$6)&amp;""))</f>
        <v/>
      </c>
      <c r="BA494" s="2">
        <f>IF($AS494="","",IF(AND($AS494&gt;=설정!$B$10,$AS494&lt;=설정!$B$11),"포함","기간 밖"))</f>
        <v/>
      </c>
      <c r="BB494" s="2">
        <f>IF($AS494="","",IF(OR($AT494&lt;0,AND($I$6&lt;&gt;"",ISNUMBER(FIND("수정",INDEX($A:$AP,ROW(),IF($I$6="",1,$I$6))&amp;"")))),"수정","일반"))</f>
        <v/>
      </c>
      <c r="BC494" s="2">
        <f>IF($AS494="","",MID(IF($BA494="기간 밖"," / 기간 밖(신고기간 아님)","")&amp;IF(AND($AW494&lt;&gt;"",COUNTIF($AW$8:$AW$1007,$AW494)&gt;1)," / 승인번호 중복(두 번 붙여넣기?)","")&amp;IF(ABS($AU494-ROUND($AT494*0.1,0))&gt;설정!$B$8,IF($AU494=0," / 세액 0원(영세율·면세 여부 확인)"," / 세액이 공급가액 10%와 다름"),"")&amp;IF($BB494="수정"," / 수정세금계산서(합계에서 자동 가감)",""),4,200))</f>
        <v/>
      </c>
      <c r="BD494" s="2">
        <f>IF($BA494&lt;&gt;"포함","",IF(COUNTIFS($AX$8:$AX494,$AX494,$BA$8:$BA494,"포함")=1,MAX($BD$7:BD493)+1,""))</f>
        <v/>
      </c>
      <c r="BE494" s="2">
        <f>IF($BC494="","",MAX($BE$7:BE493)+1)</f>
        <v/>
      </c>
    </row>
    <row r="495">
      <c r="AR495" s="2">
        <f>IF(OR($A$5="",$B$6="",ROW()&lt;$A$5),"",IF(INDEX($A:$AP,ROW(),$B$6)="","",INDEX($A:$AP,ROW(),$B$6)))</f>
        <v/>
      </c>
      <c r="AS495" s="22">
        <f>IF($AR495="","",IF(ISNUMBER($AR495),IF($AR495&gt;=10000000,IFERROR(DATE(INT($AR495/10000),MOD(INT($AR495/100),100),MOD($AR495,100)),""),INT($AR495)),IFERROR(DATE(--LEFT(LEFT(SUBSTITUTE(SUBSTITUTE(SUBSTITUTE(SUBSTITUTE(TRIM($AR495),"-",""),".",""),"/","")," ",""),8),4),--MID(LEFT(SUBSTITUTE(SUBSTITUTE(SUBSTITUTE(SUBSTITUTE(TRIM($AR495),"-",""),".",""),"/","")," ",""),8),5,2),--MID(LEFT(SUBSTITUTE(SUBSTITUTE(SUBSTITUTE(SUBSTITUTE(TRIM($AR495),"-",""),".",""),"/","")," ",""),8),7,2)),"")))</f>
        <v/>
      </c>
      <c r="AT495" s="23">
        <f>IF($AS495="","",IF($F$6="",0,IF(ISNUMBER(INDEX($A:$AP,ROW(),$F$6)),INDEX($A:$AP,ROW(),$F$6),IFERROR(--SUBSTITUTE(SUBSTITUTE(TRIM(INDEX($A:$AP,ROW(),$F$6)),",",""),"원",""),0))))</f>
        <v/>
      </c>
      <c r="AU495" s="23">
        <f>IF($AS495="","",IF($G$6="",0,IF(ISNUMBER(INDEX($A:$AP,ROW(),$G$6)),INDEX($A:$AP,ROW(),$G$6),IFERROR(--SUBSTITUTE(SUBSTITUTE(TRIM(INDEX($A:$AP,ROW(),$G$6)),",",""),"원",""),0))))</f>
        <v/>
      </c>
      <c r="AV495" s="23">
        <f>IF($AS495="","",IF($H$6="",$AT495+$AU495,IF($H$6="",0,IF(ISNUMBER(INDEX($A:$AP,ROW(),$H$6)),INDEX($A:$AP,ROW(),$H$6),IFERROR(--SUBSTITUTE(SUBSTITUTE(TRIM(INDEX($A:$AP,ROW(),$H$6)),",",""),"원",""),0)))))</f>
        <v/>
      </c>
      <c r="AW495" s="2">
        <f>IF(OR($AS495="",$C$6=""),"",TRIM(INDEX($A:$AP,ROW(),$C$6)&amp;""))</f>
        <v/>
      </c>
      <c r="AX495" s="2">
        <f>IF($AS495="","",IF($AZ495&lt;&gt;"",SUBSTITUTE(SUBSTITUTE($AZ495,"-","")," ",""),$AY495))</f>
        <v/>
      </c>
      <c r="AY495" s="2">
        <f>IF(OR($AS495="",$E$6=""),"",TRIM(INDEX($A:$AP,ROW(),$E$6)&amp;""))</f>
        <v/>
      </c>
      <c r="AZ495" s="2">
        <f>IF(OR($AS495="",$D$6=""),"",TRIM(INDEX($A:$AP,ROW(),$D$6)&amp;""))</f>
        <v/>
      </c>
      <c r="BA495" s="2">
        <f>IF($AS495="","",IF(AND($AS495&gt;=설정!$B$10,$AS495&lt;=설정!$B$11),"포함","기간 밖"))</f>
        <v/>
      </c>
      <c r="BB495" s="2">
        <f>IF($AS495="","",IF(OR($AT495&lt;0,AND($I$6&lt;&gt;"",ISNUMBER(FIND("수정",INDEX($A:$AP,ROW(),IF($I$6="",1,$I$6))&amp;"")))),"수정","일반"))</f>
        <v/>
      </c>
      <c r="BC495" s="2">
        <f>IF($AS495="","",MID(IF($BA495="기간 밖"," / 기간 밖(신고기간 아님)","")&amp;IF(AND($AW495&lt;&gt;"",COUNTIF($AW$8:$AW$1007,$AW495)&gt;1)," / 승인번호 중복(두 번 붙여넣기?)","")&amp;IF(ABS($AU495-ROUND($AT495*0.1,0))&gt;설정!$B$8,IF($AU495=0," / 세액 0원(영세율·면세 여부 확인)"," / 세액이 공급가액 10%와 다름"),"")&amp;IF($BB495="수정"," / 수정세금계산서(합계에서 자동 가감)",""),4,200))</f>
        <v/>
      </c>
      <c r="BD495" s="2">
        <f>IF($BA495&lt;&gt;"포함","",IF(COUNTIFS($AX$8:$AX495,$AX495,$BA$8:$BA495,"포함")=1,MAX($BD$7:BD494)+1,""))</f>
        <v/>
      </c>
      <c r="BE495" s="2">
        <f>IF($BC495="","",MAX($BE$7:BE494)+1)</f>
        <v/>
      </c>
    </row>
    <row r="496">
      <c r="AR496" s="2">
        <f>IF(OR($A$5="",$B$6="",ROW()&lt;$A$5),"",IF(INDEX($A:$AP,ROW(),$B$6)="","",INDEX($A:$AP,ROW(),$B$6)))</f>
        <v/>
      </c>
      <c r="AS496" s="22">
        <f>IF($AR496="","",IF(ISNUMBER($AR496),IF($AR496&gt;=10000000,IFERROR(DATE(INT($AR496/10000),MOD(INT($AR496/100),100),MOD($AR496,100)),""),INT($AR496)),IFERROR(DATE(--LEFT(LEFT(SUBSTITUTE(SUBSTITUTE(SUBSTITUTE(SUBSTITUTE(TRIM($AR496),"-",""),".",""),"/","")," ",""),8),4),--MID(LEFT(SUBSTITUTE(SUBSTITUTE(SUBSTITUTE(SUBSTITUTE(TRIM($AR496),"-",""),".",""),"/","")," ",""),8),5,2),--MID(LEFT(SUBSTITUTE(SUBSTITUTE(SUBSTITUTE(SUBSTITUTE(TRIM($AR496),"-",""),".",""),"/","")," ",""),8),7,2)),"")))</f>
        <v/>
      </c>
      <c r="AT496" s="23">
        <f>IF($AS496="","",IF($F$6="",0,IF(ISNUMBER(INDEX($A:$AP,ROW(),$F$6)),INDEX($A:$AP,ROW(),$F$6),IFERROR(--SUBSTITUTE(SUBSTITUTE(TRIM(INDEX($A:$AP,ROW(),$F$6)),",",""),"원",""),0))))</f>
        <v/>
      </c>
      <c r="AU496" s="23">
        <f>IF($AS496="","",IF($G$6="",0,IF(ISNUMBER(INDEX($A:$AP,ROW(),$G$6)),INDEX($A:$AP,ROW(),$G$6),IFERROR(--SUBSTITUTE(SUBSTITUTE(TRIM(INDEX($A:$AP,ROW(),$G$6)),",",""),"원",""),0))))</f>
        <v/>
      </c>
      <c r="AV496" s="23">
        <f>IF($AS496="","",IF($H$6="",$AT496+$AU496,IF($H$6="",0,IF(ISNUMBER(INDEX($A:$AP,ROW(),$H$6)),INDEX($A:$AP,ROW(),$H$6),IFERROR(--SUBSTITUTE(SUBSTITUTE(TRIM(INDEX($A:$AP,ROW(),$H$6)),",",""),"원",""),0)))))</f>
        <v/>
      </c>
      <c r="AW496" s="2">
        <f>IF(OR($AS496="",$C$6=""),"",TRIM(INDEX($A:$AP,ROW(),$C$6)&amp;""))</f>
        <v/>
      </c>
      <c r="AX496" s="2">
        <f>IF($AS496="","",IF($AZ496&lt;&gt;"",SUBSTITUTE(SUBSTITUTE($AZ496,"-","")," ",""),$AY496))</f>
        <v/>
      </c>
      <c r="AY496" s="2">
        <f>IF(OR($AS496="",$E$6=""),"",TRIM(INDEX($A:$AP,ROW(),$E$6)&amp;""))</f>
        <v/>
      </c>
      <c r="AZ496" s="2">
        <f>IF(OR($AS496="",$D$6=""),"",TRIM(INDEX($A:$AP,ROW(),$D$6)&amp;""))</f>
        <v/>
      </c>
      <c r="BA496" s="2">
        <f>IF($AS496="","",IF(AND($AS496&gt;=설정!$B$10,$AS496&lt;=설정!$B$11),"포함","기간 밖"))</f>
        <v/>
      </c>
      <c r="BB496" s="2">
        <f>IF($AS496="","",IF(OR($AT496&lt;0,AND($I$6&lt;&gt;"",ISNUMBER(FIND("수정",INDEX($A:$AP,ROW(),IF($I$6="",1,$I$6))&amp;"")))),"수정","일반"))</f>
        <v/>
      </c>
      <c r="BC496" s="2">
        <f>IF($AS496="","",MID(IF($BA496="기간 밖"," / 기간 밖(신고기간 아님)","")&amp;IF(AND($AW496&lt;&gt;"",COUNTIF($AW$8:$AW$1007,$AW496)&gt;1)," / 승인번호 중복(두 번 붙여넣기?)","")&amp;IF(ABS($AU496-ROUND($AT496*0.1,0))&gt;설정!$B$8,IF($AU496=0," / 세액 0원(영세율·면세 여부 확인)"," / 세액이 공급가액 10%와 다름"),"")&amp;IF($BB496="수정"," / 수정세금계산서(합계에서 자동 가감)",""),4,200))</f>
        <v/>
      </c>
      <c r="BD496" s="2">
        <f>IF($BA496&lt;&gt;"포함","",IF(COUNTIFS($AX$8:$AX496,$AX496,$BA$8:$BA496,"포함")=1,MAX($BD$7:BD495)+1,""))</f>
        <v/>
      </c>
      <c r="BE496" s="2">
        <f>IF($BC496="","",MAX($BE$7:BE495)+1)</f>
        <v/>
      </c>
    </row>
    <row r="497">
      <c r="AR497" s="2">
        <f>IF(OR($A$5="",$B$6="",ROW()&lt;$A$5),"",IF(INDEX($A:$AP,ROW(),$B$6)="","",INDEX($A:$AP,ROW(),$B$6)))</f>
        <v/>
      </c>
      <c r="AS497" s="22">
        <f>IF($AR497="","",IF(ISNUMBER($AR497),IF($AR497&gt;=10000000,IFERROR(DATE(INT($AR497/10000),MOD(INT($AR497/100),100),MOD($AR497,100)),""),INT($AR497)),IFERROR(DATE(--LEFT(LEFT(SUBSTITUTE(SUBSTITUTE(SUBSTITUTE(SUBSTITUTE(TRIM($AR497),"-",""),".",""),"/","")," ",""),8),4),--MID(LEFT(SUBSTITUTE(SUBSTITUTE(SUBSTITUTE(SUBSTITUTE(TRIM($AR497),"-",""),".",""),"/","")," ",""),8),5,2),--MID(LEFT(SUBSTITUTE(SUBSTITUTE(SUBSTITUTE(SUBSTITUTE(TRIM($AR497),"-",""),".",""),"/","")," ",""),8),7,2)),"")))</f>
        <v/>
      </c>
      <c r="AT497" s="23">
        <f>IF($AS497="","",IF($F$6="",0,IF(ISNUMBER(INDEX($A:$AP,ROW(),$F$6)),INDEX($A:$AP,ROW(),$F$6),IFERROR(--SUBSTITUTE(SUBSTITUTE(TRIM(INDEX($A:$AP,ROW(),$F$6)),",",""),"원",""),0))))</f>
        <v/>
      </c>
      <c r="AU497" s="23">
        <f>IF($AS497="","",IF($G$6="",0,IF(ISNUMBER(INDEX($A:$AP,ROW(),$G$6)),INDEX($A:$AP,ROW(),$G$6),IFERROR(--SUBSTITUTE(SUBSTITUTE(TRIM(INDEX($A:$AP,ROW(),$G$6)),",",""),"원",""),0))))</f>
        <v/>
      </c>
      <c r="AV497" s="23">
        <f>IF($AS497="","",IF($H$6="",$AT497+$AU497,IF($H$6="",0,IF(ISNUMBER(INDEX($A:$AP,ROW(),$H$6)),INDEX($A:$AP,ROW(),$H$6),IFERROR(--SUBSTITUTE(SUBSTITUTE(TRIM(INDEX($A:$AP,ROW(),$H$6)),",",""),"원",""),0)))))</f>
        <v/>
      </c>
      <c r="AW497" s="2">
        <f>IF(OR($AS497="",$C$6=""),"",TRIM(INDEX($A:$AP,ROW(),$C$6)&amp;""))</f>
        <v/>
      </c>
      <c r="AX497" s="2">
        <f>IF($AS497="","",IF($AZ497&lt;&gt;"",SUBSTITUTE(SUBSTITUTE($AZ497,"-","")," ",""),$AY497))</f>
        <v/>
      </c>
      <c r="AY497" s="2">
        <f>IF(OR($AS497="",$E$6=""),"",TRIM(INDEX($A:$AP,ROW(),$E$6)&amp;""))</f>
        <v/>
      </c>
      <c r="AZ497" s="2">
        <f>IF(OR($AS497="",$D$6=""),"",TRIM(INDEX($A:$AP,ROW(),$D$6)&amp;""))</f>
        <v/>
      </c>
      <c r="BA497" s="2">
        <f>IF($AS497="","",IF(AND($AS497&gt;=설정!$B$10,$AS497&lt;=설정!$B$11),"포함","기간 밖"))</f>
        <v/>
      </c>
      <c r="BB497" s="2">
        <f>IF($AS497="","",IF(OR($AT497&lt;0,AND($I$6&lt;&gt;"",ISNUMBER(FIND("수정",INDEX($A:$AP,ROW(),IF($I$6="",1,$I$6))&amp;"")))),"수정","일반"))</f>
        <v/>
      </c>
      <c r="BC497" s="2">
        <f>IF($AS497="","",MID(IF($BA497="기간 밖"," / 기간 밖(신고기간 아님)","")&amp;IF(AND($AW497&lt;&gt;"",COUNTIF($AW$8:$AW$1007,$AW497)&gt;1)," / 승인번호 중복(두 번 붙여넣기?)","")&amp;IF(ABS($AU497-ROUND($AT497*0.1,0))&gt;설정!$B$8,IF($AU497=0," / 세액 0원(영세율·면세 여부 확인)"," / 세액이 공급가액 10%와 다름"),"")&amp;IF($BB497="수정"," / 수정세금계산서(합계에서 자동 가감)",""),4,200))</f>
        <v/>
      </c>
      <c r="BD497" s="2">
        <f>IF($BA497&lt;&gt;"포함","",IF(COUNTIFS($AX$8:$AX497,$AX497,$BA$8:$BA497,"포함")=1,MAX($BD$7:BD496)+1,""))</f>
        <v/>
      </c>
      <c r="BE497" s="2">
        <f>IF($BC497="","",MAX($BE$7:BE496)+1)</f>
        <v/>
      </c>
    </row>
    <row r="498">
      <c r="AR498" s="2">
        <f>IF(OR($A$5="",$B$6="",ROW()&lt;$A$5),"",IF(INDEX($A:$AP,ROW(),$B$6)="","",INDEX($A:$AP,ROW(),$B$6)))</f>
        <v/>
      </c>
      <c r="AS498" s="22">
        <f>IF($AR498="","",IF(ISNUMBER($AR498),IF($AR498&gt;=10000000,IFERROR(DATE(INT($AR498/10000),MOD(INT($AR498/100),100),MOD($AR498,100)),""),INT($AR498)),IFERROR(DATE(--LEFT(LEFT(SUBSTITUTE(SUBSTITUTE(SUBSTITUTE(SUBSTITUTE(TRIM($AR498),"-",""),".",""),"/","")," ",""),8),4),--MID(LEFT(SUBSTITUTE(SUBSTITUTE(SUBSTITUTE(SUBSTITUTE(TRIM($AR498),"-",""),".",""),"/","")," ",""),8),5,2),--MID(LEFT(SUBSTITUTE(SUBSTITUTE(SUBSTITUTE(SUBSTITUTE(TRIM($AR498),"-",""),".",""),"/","")," ",""),8),7,2)),"")))</f>
        <v/>
      </c>
      <c r="AT498" s="23">
        <f>IF($AS498="","",IF($F$6="",0,IF(ISNUMBER(INDEX($A:$AP,ROW(),$F$6)),INDEX($A:$AP,ROW(),$F$6),IFERROR(--SUBSTITUTE(SUBSTITUTE(TRIM(INDEX($A:$AP,ROW(),$F$6)),",",""),"원",""),0))))</f>
        <v/>
      </c>
      <c r="AU498" s="23">
        <f>IF($AS498="","",IF($G$6="",0,IF(ISNUMBER(INDEX($A:$AP,ROW(),$G$6)),INDEX($A:$AP,ROW(),$G$6),IFERROR(--SUBSTITUTE(SUBSTITUTE(TRIM(INDEX($A:$AP,ROW(),$G$6)),",",""),"원",""),0))))</f>
        <v/>
      </c>
      <c r="AV498" s="23">
        <f>IF($AS498="","",IF($H$6="",$AT498+$AU498,IF($H$6="",0,IF(ISNUMBER(INDEX($A:$AP,ROW(),$H$6)),INDEX($A:$AP,ROW(),$H$6),IFERROR(--SUBSTITUTE(SUBSTITUTE(TRIM(INDEX($A:$AP,ROW(),$H$6)),",",""),"원",""),0)))))</f>
        <v/>
      </c>
      <c r="AW498" s="2">
        <f>IF(OR($AS498="",$C$6=""),"",TRIM(INDEX($A:$AP,ROW(),$C$6)&amp;""))</f>
        <v/>
      </c>
      <c r="AX498" s="2">
        <f>IF($AS498="","",IF($AZ498&lt;&gt;"",SUBSTITUTE(SUBSTITUTE($AZ498,"-","")," ",""),$AY498))</f>
        <v/>
      </c>
      <c r="AY498" s="2">
        <f>IF(OR($AS498="",$E$6=""),"",TRIM(INDEX($A:$AP,ROW(),$E$6)&amp;""))</f>
        <v/>
      </c>
      <c r="AZ498" s="2">
        <f>IF(OR($AS498="",$D$6=""),"",TRIM(INDEX($A:$AP,ROW(),$D$6)&amp;""))</f>
        <v/>
      </c>
      <c r="BA498" s="2">
        <f>IF($AS498="","",IF(AND($AS498&gt;=설정!$B$10,$AS498&lt;=설정!$B$11),"포함","기간 밖"))</f>
        <v/>
      </c>
      <c r="BB498" s="2">
        <f>IF($AS498="","",IF(OR($AT498&lt;0,AND($I$6&lt;&gt;"",ISNUMBER(FIND("수정",INDEX($A:$AP,ROW(),IF($I$6="",1,$I$6))&amp;"")))),"수정","일반"))</f>
        <v/>
      </c>
      <c r="BC498" s="2">
        <f>IF($AS498="","",MID(IF($BA498="기간 밖"," / 기간 밖(신고기간 아님)","")&amp;IF(AND($AW498&lt;&gt;"",COUNTIF($AW$8:$AW$1007,$AW498)&gt;1)," / 승인번호 중복(두 번 붙여넣기?)","")&amp;IF(ABS($AU498-ROUND($AT498*0.1,0))&gt;설정!$B$8,IF($AU498=0," / 세액 0원(영세율·면세 여부 확인)"," / 세액이 공급가액 10%와 다름"),"")&amp;IF($BB498="수정"," / 수정세금계산서(합계에서 자동 가감)",""),4,200))</f>
        <v/>
      </c>
      <c r="BD498" s="2">
        <f>IF($BA498&lt;&gt;"포함","",IF(COUNTIFS($AX$8:$AX498,$AX498,$BA$8:$BA498,"포함")=1,MAX($BD$7:BD497)+1,""))</f>
        <v/>
      </c>
      <c r="BE498" s="2">
        <f>IF($BC498="","",MAX($BE$7:BE497)+1)</f>
        <v/>
      </c>
    </row>
    <row r="499">
      <c r="AR499" s="2">
        <f>IF(OR($A$5="",$B$6="",ROW()&lt;$A$5),"",IF(INDEX($A:$AP,ROW(),$B$6)="","",INDEX($A:$AP,ROW(),$B$6)))</f>
        <v/>
      </c>
      <c r="AS499" s="22">
        <f>IF($AR499="","",IF(ISNUMBER($AR499),IF($AR499&gt;=10000000,IFERROR(DATE(INT($AR499/10000),MOD(INT($AR499/100),100),MOD($AR499,100)),""),INT($AR499)),IFERROR(DATE(--LEFT(LEFT(SUBSTITUTE(SUBSTITUTE(SUBSTITUTE(SUBSTITUTE(TRIM($AR499),"-",""),".",""),"/","")," ",""),8),4),--MID(LEFT(SUBSTITUTE(SUBSTITUTE(SUBSTITUTE(SUBSTITUTE(TRIM($AR499),"-",""),".",""),"/","")," ",""),8),5,2),--MID(LEFT(SUBSTITUTE(SUBSTITUTE(SUBSTITUTE(SUBSTITUTE(TRIM($AR499),"-",""),".",""),"/","")," ",""),8),7,2)),"")))</f>
        <v/>
      </c>
      <c r="AT499" s="23">
        <f>IF($AS499="","",IF($F$6="",0,IF(ISNUMBER(INDEX($A:$AP,ROW(),$F$6)),INDEX($A:$AP,ROW(),$F$6),IFERROR(--SUBSTITUTE(SUBSTITUTE(TRIM(INDEX($A:$AP,ROW(),$F$6)),",",""),"원",""),0))))</f>
        <v/>
      </c>
      <c r="AU499" s="23">
        <f>IF($AS499="","",IF($G$6="",0,IF(ISNUMBER(INDEX($A:$AP,ROW(),$G$6)),INDEX($A:$AP,ROW(),$G$6),IFERROR(--SUBSTITUTE(SUBSTITUTE(TRIM(INDEX($A:$AP,ROW(),$G$6)),",",""),"원",""),0))))</f>
        <v/>
      </c>
      <c r="AV499" s="23">
        <f>IF($AS499="","",IF($H$6="",$AT499+$AU499,IF($H$6="",0,IF(ISNUMBER(INDEX($A:$AP,ROW(),$H$6)),INDEX($A:$AP,ROW(),$H$6),IFERROR(--SUBSTITUTE(SUBSTITUTE(TRIM(INDEX($A:$AP,ROW(),$H$6)),",",""),"원",""),0)))))</f>
        <v/>
      </c>
      <c r="AW499" s="2">
        <f>IF(OR($AS499="",$C$6=""),"",TRIM(INDEX($A:$AP,ROW(),$C$6)&amp;""))</f>
        <v/>
      </c>
      <c r="AX499" s="2">
        <f>IF($AS499="","",IF($AZ499&lt;&gt;"",SUBSTITUTE(SUBSTITUTE($AZ499,"-","")," ",""),$AY499))</f>
        <v/>
      </c>
      <c r="AY499" s="2">
        <f>IF(OR($AS499="",$E$6=""),"",TRIM(INDEX($A:$AP,ROW(),$E$6)&amp;""))</f>
        <v/>
      </c>
      <c r="AZ499" s="2">
        <f>IF(OR($AS499="",$D$6=""),"",TRIM(INDEX($A:$AP,ROW(),$D$6)&amp;""))</f>
        <v/>
      </c>
      <c r="BA499" s="2">
        <f>IF($AS499="","",IF(AND($AS499&gt;=설정!$B$10,$AS499&lt;=설정!$B$11),"포함","기간 밖"))</f>
        <v/>
      </c>
      <c r="BB499" s="2">
        <f>IF($AS499="","",IF(OR($AT499&lt;0,AND($I$6&lt;&gt;"",ISNUMBER(FIND("수정",INDEX($A:$AP,ROW(),IF($I$6="",1,$I$6))&amp;"")))),"수정","일반"))</f>
        <v/>
      </c>
      <c r="BC499" s="2">
        <f>IF($AS499="","",MID(IF($BA499="기간 밖"," / 기간 밖(신고기간 아님)","")&amp;IF(AND($AW499&lt;&gt;"",COUNTIF($AW$8:$AW$1007,$AW499)&gt;1)," / 승인번호 중복(두 번 붙여넣기?)","")&amp;IF(ABS($AU499-ROUND($AT499*0.1,0))&gt;설정!$B$8,IF($AU499=0," / 세액 0원(영세율·면세 여부 확인)"," / 세액이 공급가액 10%와 다름"),"")&amp;IF($BB499="수정"," / 수정세금계산서(합계에서 자동 가감)",""),4,200))</f>
        <v/>
      </c>
      <c r="BD499" s="2">
        <f>IF($BA499&lt;&gt;"포함","",IF(COUNTIFS($AX$8:$AX499,$AX499,$BA$8:$BA499,"포함")=1,MAX($BD$7:BD498)+1,""))</f>
        <v/>
      </c>
      <c r="BE499" s="2">
        <f>IF($BC499="","",MAX($BE$7:BE498)+1)</f>
        <v/>
      </c>
    </row>
    <row r="500">
      <c r="AR500" s="2">
        <f>IF(OR($A$5="",$B$6="",ROW()&lt;$A$5),"",IF(INDEX($A:$AP,ROW(),$B$6)="","",INDEX($A:$AP,ROW(),$B$6)))</f>
        <v/>
      </c>
      <c r="AS500" s="22">
        <f>IF($AR500="","",IF(ISNUMBER($AR500),IF($AR500&gt;=10000000,IFERROR(DATE(INT($AR500/10000),MOD(INT($AR500/100),100),MOD($AR500,100)),""),INT($AR500)),IFERROR(DATE(--LEFT(LEFT(SUBSTITUTE(SUBSTITUTE(SUBSTITUTE(SUBSTITUTE(TRIM($AR500),"-",""),".",""),"/","")," ",""),8),4),--MID(LEFT(SUBSTITUTE(SUBSTITUTE(SUBSTITUTE(SUBSTITUTE(TRIM($AR500),"-",""),".",""),"/","")," ",""),8),5,2),--MID(LEFT(SUBSTITUTE(SUBSTITUTE(SUBSTITUTE(SUBSTITUTE(TRIM($AR500),"-",""),".",""),"/","")," ",""),8),7,2)),"")))</f>
        <v/>
      </c>
      <c r="AT500" s="23">
        <f>IF($AS500="","",IF($F$6="",0,IF(ISNUMBER(INDEX($A:$AP,ROW(),$F$6)),INDEX($A:$AP,ROW(),$F$6),IFERROR(--SUBSTITUTE(SUBSTITUTE(TRIM(INDEX($A:$AP,ROW(),$F$6)),",",""),"원",""),0))))</f>
        <v/>
      </c>
      <c r="AU500" s="23">
        <f>IF($AS500="","",IF($G$6="",0,IF(ISNUMBER(INDEX($A:$AP,ROW(),$G$6)),INDEX($A:$AP,ROW(),$G$6),IFERROR(--SUBSTITUTE(SUBSTITUTE(TRIM(INDEX($A:$AP,ROW(),$G$6)),",",""),"원",""),0))))</f>
        <v/>
      </c>
      <c r="AV500" s="23">
        <f>IF($AS500="","",IF($H$6="",$AT500+$AU500,IF($H$6="",0,IF(ISNUMBER(INDEX($A:$AP,ROW(),$H$6)),INDEX($A:$AP,ROW(),$H$6),IFERROR(--SUBSTITUTE(SUBSTITUTE(TRIM(INDEX($A:$AP,ROW(),$H$6)),",",""),"원",""),0)))))</f>
        <v/>
      </c>
      <c r="AW500" s="2">
        <f>IF(OR($AS500="",$C$6=""),"",TRIM(INDEX($A:$AP,ROW(),$C$6)&amp;""))</f>
        <v/>
      </c>
      <c r="AX500" s="2">
        <f>IF($AS500="","",IF($AZ500&lt;&gt;"",SUBSTITUTE(SUBSTITUTE($AZ500,"-","")," ",""),$AY500))</f>
        <v/>
      </c>
      <c r="AY500" s="2">
        <f>IF(OR($AS500="",$E$6=""),"",TRIM(INDEX($A:$AP,ROW(),$E$6)&amp;""))</f>
        <v/>
      </c>
      <c r="AZ500" s="2">
        <f>IF(OR($AS500="",$D$6=""),"",TRIM(INDEX($A:$AP,ROW(),$D$6)&amp;""))</f>
        <v/>
      </c>
      <c r="BA500" s="2">
        <f>IF($AS500="","",IF(AND($AS500&gt;=설정!$B$10,$AS500&lt;=설정!$B$11),"포함","기간 밖"))</f>
        <v/>
      </c>
      <c r="BB500" s="2">
        <f>IF($AS500="","",IF(OR($AT500&lt;0,AND($I$6&lt;&gt;"",ISNUMBER(FIND("수정",INDEX($A:$AP,ROW(),IF($I$6="",1,$I$6))&amp;"")))),"수정","일반"))</f>
        <v/>
      </c>
      <c r="BC500" s="2">
        <f>IF($AS500="","",MID(IF($BA500="기간 밖"," / 기간 밖(신고기간 아님)","")&amp;IF(AND($AW500&lt;&gt;"",COUNTIF($AW$8:$AW$1007,$AW500)&gt;1)," / 승인번호 중복(두 번 붙여넣기?)","")&amp;IF(ABS($AU500-ROUND($AT500*0.1,0))&gt;설정!$B$8,IF($AU500=0," / 세액 0원(영세율·면세 여부 확인)"," / 세액이 공급가액 10%와 다름"),"")&amp;IF($BB500="수정"," / 수정세금계산서(합계에서 자동 가감)",""),4,200))</f>
        <v/>
      </c>
      <c r="BD500" s="2">
        <f>IF($BA500&lt;&gt;"포함","",IF(COUNTIFS($AX$8:$AX500,$AX500,$BA$8:$BA500,"포함")=1,MAX($BD$7:BD499)+1,""))</f>
        <v/>
      </c>
      <c r="BE500" s="2">
        <f>IF($BC500="","",MAX($BE$7:BE499)+1)</f>
        <v/>
      </c>
    </row>
    <row r="501">
      <c r="AR501" s="2">
        <f>IF(OR($A$5="",$B$6="",ROW()&lt;$A$5),"",IF(INDEX($A:$AP,ROW(),$B$6)="","",INDEX($A:$AP,ROW(),$B$6)))</f>
        <v/>
      </c>
      <c r="AS501" s="22">
        <f>IF($AR501="","",IF(ISNUMBER($AR501),IF($AR501&gt;=10000000,IFERROR(DATE(INT($AR501/10000),MOD(INT($AR501/100),100),MOD($AR501,100)),""),INT($AR501)),IFERROR(DATE(--LEFT(LEFT(SUBSTITUTE(SUBSTITUTE(SUBSTITUTE(SUBSTITUTE(TRIM($AR501),"-",""),".",""),"/","")," ",""),8),4),--MID(LEFT(SUBSTITUTE(SUBSTITUTE(SUBSTITUTE(SUBSTITUTE(TRIM($AR501),"-",""),".",""),"/","")," ",""),8),5,2),--MID(LEFT(SUBSTITUTE(SUBSTITUTE(SUBSTITUTE(SUBSTITUTE(TRIM($AR501),"-",""),".",""),"/","")," ",""),8),7,2)),"")))</f>
        <v/>
      </c>
      <c r="AT501" s="23">
        <f>IF($AS501="","",IF($F$6="",0,IF(ISNUMBER(INDEX($A:$AP,ROW(),$F$6)),INDEX($A:$AP,ROW(),$F$6),IFERROR(--SUBSTITUTE(SUBSTITUTE(TRIM(INDEX($A:$AP,ROW(),$F$6)),",",""),"원",""),0))))</f>
        <v/>
      </c>
      <c r="AU501" s="23">
        <f>IF($AS501="","",IF($G$6="",0,IF(ISNUMBER(INDEX($A:$AP,ROW(),$G$6)),INDEX($A:$AP,ROW(),$G$6),IFERROR(--SUBSTITUTE(SUBSTITUTE(TRIM(INDEX($A:$AP,ROW(),$G$6)),",",""),"원",""),0))))</f>
        <v/>
      </c>
      <c r="AV501" s="23">
        <f>IF($AS501="","",IF($H$6="",$AT501+$AU501,IF($H$6="",0,IF(ISNUMBER(INDEX($A:$AP,ROW(),$H$6)),INDEX($A:$AP,ROW(),$H$6),IFERROR(--SUBSTITUTE(SUBSTITUTE(TRIM(INDEX($A:$AP,ROW(),$H$6)),",",""),"원",""),0)))))</f>
        <v/>
      </c>
      <c r="AW501" s="2">
        <f>IF(OR($AS501="",$C$6=""),"",TRIM(INDEX($A:$AP,ROW(),$C$6)&amp;""))</f>
        <v/>
      </c>
      <c r="AX501" s="2">
        <f>IF($AS501="","",IF($AZ501&lt;&gt;"",SUBSTITUTE(SUBSTITUTE($AZ501,"-","")," ",""),$AY501))</f>
        <v/>
      </c>
      <c r="AY501" s="2">
        <f>IF(OR($AS501="",$E$6=""),"",TRIM(INDEX($A:$AP,ROW(),$E$6)&amp;""))</f>
        <v/>
      </c>
      <c r="AZ501" s="2">
        <f>IF(OR($AS501="",$D$6=""),"",TRIM(INDEX($A:$AP,ROW(),$D$6)&amp;""))</f>
        <v/>
      </c>
      <c r="BA501" s="2">
        <f>IF($AS501="","",IF(AND($AS501&gt;=설정!$B$10,$AS501&lt;=설정!$B$11),"포함","기간 밖"))</f>
        <v/>
      </c>
      <c r="BB501" s="2">
        <f>IF($AS501="","",IF(OR($AT501&lt;0,AND($I$6&lt;&gt;"",ISNUMBER(FIND("수정",INDEX($A:$AP,ROW(),IF($I$6="",1,$I$6))&amp;"")))),"수정","일반"))</f>
        <v/>
      </c>
      <c r="BC501" s="2">
        <f>IF($AS501="","",MID(IF($BA501="기간 밖"," / 기간 밖(신고기간 아님)","")&amp;IF(AND($AW501&lt;&gt;"",COUNTIF($AW$8:$AW$1007,$AW501)&gt;1)," / 승인번호 중복(두 번 붙여넣기?)","")&amp;IF(ABS($AU501-ROUND($AT501*0.1,0))&gt;설정!$B$8,IF($AU501=0," / 세액 0원(영세율·면세 여부 확인)"," / 세액이 공급가액 10%와 다름"),"")&amp;IF($BB501="수정"," / 수정세금계산서(합계에서 자동 가감)",""),4,200))</f>
        <v/>
      </c>
      <c r="BD501" s="2">
        <f>IF($BA501&lt;&gt;"포함","",IF(COUNTIFS($AX$8:$AX501,$AX501,$BA$8:$BA501,"포함")=1,MAX($BD$7:BD500)+1,""))</f>
        <v/>
      </c>
      <c r="BE501" s="2">
        <f>IF($BC501="","",MAX($BE$7:BE500)+1)</f>
        <v/>
      </c>
    </row>
    <row r="502">
      <c r="AR502" s="2">
        <f>IF(OR($A$5="",$B$6="",ROW()&lt;$A$5),"",IF(INDEX($A:$AP,ROW(),$B$6)="","",INDEX($A:$AP,ROW(),$B$6)))</f>
        <v/>
      </c>
      <c r="AS502" s="22">
        <f>IF($AR502="","",IF(ISNUMBER($AR502),IF($AR502&gt;=10000000,IFERROR(DATE(INT($AR502/10000),MOD(INT($AR502/100),100),MOD($AR502,100)),""),INT($AR502)),IFERROR(DATE(--LEFT(LEFT(SUBSTITUTE(SUBSTITUTE(SUBSTITUTE(SUBSTITUTE(TRIM($AR502),"-",""),".",""),"/","")," ",""),8),4),--MID(LEFT(SUBSTITUTE(SUBSTITUTE(SUBSTITUTE(SUBSTITUTE(TRIM($AR502),"-",""),".",""),"/","")," ",""),8),5,2),--MID(LEFT(SUBSTITUTE(SUBSTITUTE(SUBSTITUTE(SUBSTITUTE(TRIM($AR502),"-",""),".",""),"/","")," ",""),8),7,2)),"")))</f>
        <v/>
      </c>
      <c r="AT502" s="23">
        <f>IF($AS502="","",IF($F$6="",0,IF(ISNUMBER(INDEX($A:$AP,ROW(),$F$6)),INDEX($A:$AP,ROW(),$F$6),IFERROR(--SUBSTITUTE(SUBSTITUTE(TRIM(INDEX($A:$AP,ROW(),$F$6)),",",""),"원",""),0))))</f>
        <v/>
      </c>
      <c r="AU502" s="23">
        <f>IF($AS502="","",IF($G$6="",0,IF(ISNUMBER(INDEX($A:$AP,ROW(),$G$6)),INDEX($A:$AP,ROW(),$G$6),IFERROR(--SUBSTITUTE(SUBSTITUTE(TRIM(INDEX($A:$AP,ROW(),$G$6)),",",""),"원",""),0))))</f>
        <v/>
      </c>
      <c r="AV502" s="23">
        <f>IF($AS502="","",IF($H$6="",$AT502+$AU502,IF($H$6="",0,IF(ISNUMBER(INDEX($A:$AP,ROW(),$H$6)),INDEX($A:$AP,ROW(),$H$6),IFERROR(--SUBSTITUTE(SUBSTITUTE(TRIM(INDEX($A:$AP,ROW(),$H$6)),",",""),"원",""),0)))))</f>
        <v/>
      </c>
      <c r="AW502" s="2">
        <f>IF(OR($AS502="",$C$6=""),"",TRIM(INDEX($A:$AP,ROW(),$C$6)&amp;""))</f>
        <v/>
      </c>
      <c r="AX502" s="2">
        <f>IF($AS502="","",IF($AZ502&lt;&gt;"",SUBSTITUTE(SUBSTITUTE($AZ502,"-","")," ",""),$AY502))</f>
        <v/>
      </c>
      <c r="AY502" s="2">
        <f>IF(OR($AS502="",$E$6=""),"",TRIM(INDEX($A:$AP,ROW(),$E$6)&amp;""))</f>
        <v/>
      </c>
      <c r="AZ502" s="2">
        <f>IF(OR($AS502="",$D$6=""),"",TRIM(INDEX($A:$AP,ROW(),$D$6)&amp;""))</f>
        <v/>
      </c>
      <c r="BA502" s="2">
        <f>IF($AS502="","",IF(AND($AS502&gt;=설정!$B$10,$AS502&lt;=설정!$B$11),"포함","기간 밖"))</f>
        <v/>
      </c>
      <c r="BB502" s="2">
        <f>IF($AS502="","",IF(OR($AT502&lt;0,AND($I$6&lt;&gt;"",ISNUMBER(FIND("수정",INDEX($A:$AP,ROW(),IF($I$6="",1,$I$6))&amp;"")))),"수정","일반"))</f>
        <v/>
      </c>
      <c r="BC502" s="2">
        <f>IF($AS502="","",MID(IF($BA502="기간 밖"," / 기간 밖(신고기간 아님)","")&amp;IF(AND($AW502&lt;&gt;"",COUNTIF($AW$8:$AW$1007,$AW502)&gt;1)," / 승인번호 중복(두 번 붙여넣기?)","")&amp;IF(ABS($AU502-ROUND($AT502*0.1,0))&gt;설정!$B$8,IF($AU502=0," / 세액 0원(영세율·면세 여부 확인)"," / 세액이 공급가액 10%와 다름"),"")&amp;IF($BB502="수정"," / 수정세금계산서(합계에서 자동 가감)",""),4,200))</f>
        <v/>
      </c>
      <c r="BD502" s="2">
        <f>IF($BA502&lt;&gt;"포함","",IF(COUNTIFS($AX$8:$AX502,$AX502,$BA$8:$BA502,"포함")=1,MAX($BD$7:BD501)+1,""))</f>
        <v/>
      </c>
      <c r="BE502" s="2">
        <f>IF($BC502="","",MAX($BE$7:BE501)+1)</f>
        <v/>
      </c>
    </row>
    <row r="503">
      <c r="AR503" s="2">
        <f>IF(OR($A$5="",$B$6="",ROW()&lt;$A$5),"",IF(INDEX($A:$AP,ROW(),$B$6)="","",INDEX($A:$AP,ROW(),$B$6)))</f>
        <v/>
      </c>
      <c r="AS503" s="22">
        <f>IF($AR503="","",IF(ISNUMBER($AR503),IF($AR503&gt;=10000000,IFERROR(DATE(INT($AR503/10000),MOD(INT($AR503/100),100),MOD($AR503,100)),""),INT($AR503)),IFERROR(DATE(--LEFT(LEFT(SUBSTITUTE(SUBSTITUTE(SUBSTITUTE(SUBSTITUTE(TRIM($AR503),"-",""),".",""),"/","")," ",""),8),4),--MID(LEFT(SUBSTITUTE(SUBSTITUTE(SUBSTITUTE(SUBSTITUTE(TRIM($AR503),"-",""),".",""),"/","")," ",""),8),5,2),--MID(LEFT(SUBSTITUTE(SUBSTITUTE(SUBSTITUTE(SUBSTITUTE(TRIM($AR503),"-",""),".",""),"/","")," ",""),8),7,2)),"")))</f>
        <v/>
      </c>
      <c r="AT503" s="23">
        <f>IF($AS503="","",IF($F$6="",0,IF(ISNUMBER(INDEX($A:$AP,ROW(),$F$6)),INDEX($A:$AP,ROW(),$F$6),IFERROR(--SUBSTITUTE(SUBSTITUTE(TRIM(INDEX($A:$AP,ROW(),$F$6)),",",""),"원",""),0))))</f>
        <v/>
      </c>
      <c r="AU503" s="23">
        <f>IF($AS503="","",IF($G$6="",0,IF(ISNUMBER(INDEX($A:$AP,ROW(),$G$6)),INDEX($A:$AP,ROW(),$G$6),IFERROR(--SUBSTITUTE(SUBSTITUTE(TRIM(INDEX($A:$AP,ROW(),$G$6)),",",""),"원",""),0))))</f>
        <v/>
      </c>
      <c r="AV503" s="23">
        <f>IF($AS503="","",IF($H$6="",$AT503+$AU503,IF($H$6="",0,IF(ISNUMBER(INDEX($A:$AP,ROW(),$H$6)),INDEX($A:$AP,ROW(),$H$6),IFERROR(--SUBSTITUTE(SUBSTITUTE(TRIM(INDEX($A:$AP,ROW(),$H$6)),",",""),"원",""),0)))))</f>
        <v/>
      </c>
      <c r="AW503" s="2">
        <f>IF(OR($AS503="",$C$6=""),"",TRIM(INDEX($A:$AP,ROW(),$C$6)&amp;""))</f>
        <v/>
      </c>
      <c r="AX503" s="2">
        <f>IF($AS503="","",IF($AZ503&lt;&gt;"",SUBSTITUTE(SUBSTITUTE($AZ503,"-","")," ",""),$AY503))</f>
        <v/>
      </c>
      <c r="AY503" s="2">
        <f>IF(OR($AS503="",$E$6=""),"",TRIM(INDEX($A:$AP,ROW(),$E$6)&amp;""))</f>
        <v/>
      </c>
      <c r="AZ503" s="2">
        <f>IF(OR($AS503="",$D$6=""),"",TRIM(INDEX($A:$AP,ROW(),$D$6)&amp;""))</f>
        <v/>
      </c>
      <c r="BA503" s="2">
        <f>IF($AS503="","",IF(AND($AS503&gt;=설정!$B$10,$AS503&lt;=설정!$B$11),"포함","기간 밖"))</f>
        <v/>
      </c>
      <c r="BB503" s="2">
        <f>IF($AS503="","",IF(OR($AT503&lt;0,AND($I$6&lt;&gt;"",ISNUMBER(FIND("수정",INDEX($A:$AP,ROW(),IF($I$6="",1,$I$6))&amp;"")))),"수정","일반"))</f>
        <v/>
      </c>
      <c r="BC503" s="2">
        <f>IF($AS503="","",MID(IF($BA503="기간 밖"," / 기간 밖(신고기간 아님)","")&amp;IF(AND($AW503&lt;&gt;"",COUNTIF($AW$8:$AW$1007,$AW503)&gt;1)," / 승인번호 중복(두 번 붙여넣기?)","")&amp;IF(ABS($AU503-ROUND($AT503*0.1,0))&gt;설정!$B$8,IF($AU503=0," / 세액 0원(영세율·면세 여부 확인)"," / 세액이 공급가액 10%와 다름"),"")&amp;IF($BB503="수정"," / 수정세금계산서(합계에서 자동 가감)",""),4,200))</f>
        <v/>
      </c>
      <c r="BD503" s="2">
        <f>IF($BA503&lt;&gt;"포함","",IF(COUNTIFS($AX$8:$AX503,$AX503,$BA$8:$BA503,"포함")=1,MAX($BD$7:BD502)+1,""))</f>
        <v/>
      </c>
      <c r="BE503" s="2">
        <f>IF($BC503="","",MAX($BE$7:BE502)+1)</f>
        <v/>
      </c>
    </row>
    <row r="504">
      <c r="AR504" s="2">
        <f>IF(OR($A$5="",$B$6="",ROW()&lt;$A$5),"",IF(INDEX($A:$AP,ROW(),$B$6)="","",INDEX($A:$AP,ROW(),$B$6)))</f>
        <v/>
      </c>
      <c r="AS504" s="22">
        <f>IF($AR504="","",IF(ISNUMBER($AR504),IF($AR504&gt;=10000000,IFERROR(DATE(INT($AR504/10000),MOD(INT($AR504/100),100),MOD($AR504,100)),""),INT($AR504)),IFERROR(DATE(--LEFT(LEFT(SUBSTITUTE(SUBSTITUTE(SUBSTITUTE(SUBSTITUTE(TRIM($AR504),"-",""),".",""),"/","")," ",""),8),4),--MID(LEFT(SUBSTITUTE(SUBSTITUTE(SUBSTITUTE(SUBSTITUTE(TRIM($AR504),"-",""),".",""),"/","")," ",""),8),5,2),--MID(LEFT(SUBSTITUTE(SUBSTITUTE(SUBSTITUTE(SUBSTITUTE(TRIM($AR504),"-",""),".",""),"/","")," ",""),8),7,2)),"")))</f>
        <v/>
      </c>
      <c r="AT504" s="23">
        <f>IF($AS504="","",IF($F$6="",0,IF(ISNUMBER(INDEX($A:$AP,ROW(),$F$6)),INDEX($A:$AP,ROW(),$F$6),IFERROR(--SUBSTITUTE(SUBSTITUTE(TRIM(INDEX($A:$AP,ROW(),$F$6)),",",""),"원",""),0))))</f>
        <v/>
      </c>
      <c r="AU504" s="23">
        <f>IF($AS504="","",IF($G$6="",0,IF(ISNUMBER(INDEX($A:$AP,ROW(),$G$6)),INDEX($A:$AP,ROW(),$G$6),IFERROR(--SUBSTITUTE(SUBSTITUTE(TRIM(INDEX($A:$AP,ROW(),$G$6)),",",""),"원",""),0))))</f>
        <v/>
      </c>
      <c r="AV504" s="23">
        <f>IF($AS504="","",IF($H$6="",$AT504+$AU504,IF($H$6="",0,IF(ISNUMBER(INDEX($A:$AP,ROW(),$H$6)),INDEX($A:$AP,ROW(),$H$6),IFERROR(--SUBSTITUTE(SUBSTITUTE(TRIM(INDEX($A:$AP,ROW(),$H$6)),",",""),"원",""),0)))))</f>
        <v/>
      </c>
      <c r="AW504" s="2">
        <f>IF(OR($AS504="",$C$6=""),"",TRIM(INDEX($A:$AP,ROW(),$C$6)&amp;""))</f>
        <v/>
      </c>
      <c r="AX504" s="2">
        <f>IF($AS504="","",IF($AZ504&lt;&gt;"",SUBSTITUTE(SUBSTITUTE($AZ504,"-","")," ",""),$AY504))</f>
        <v/>
      </c>
      <c r="AY504" s="2">
        <f>IF(OR($AS504="",$E$6=""),"",TRIM(INDEX($A:$AP,ROW(),$E$6)&amp;""))</f>
        <v/>
      </c>
      <c r="AZ504" s="2">
        <f>IF(OR($AS504="",$D$6=""),"",TRIM(INDEX($A:$AP,ROW(),$D$6)&amp;""))</f>
        <v/>
      </c>
      <c r="BA504" s="2">
        <f>IF($AS504="","",IF(AND($AS504&gt;=설정!$B$10,$AS504&lt;=설정!$B$11),"포함","기간 밖"))</f>
        <v/>
      </c>
      <c r="BB504" s="2">
        <f>IF($AS504="","",IF(OR($AT504&lt;0,AND($I$6&lt;&gt;"",ISNUMBER(FIND("수정",INDEX($A:$AP,ROW(),IF($I$6="",1,$I$6))&amp;"")))),"수정","일반"))</f>
        <v/>
      </c>
      <c r="BC504" s="2">
        <f>IF($AS504="","",MID(IF($BA504="기간 밖"," / 기간 밖(신고기간 아님)","")&amp;IF(AND($AW504&lt;&gt;"",COUNTIF($AW$8:$AW$1007,$AW504)&gt;1)," / 승인번호 중복(두 번 붙여넣기?)","")&amp;IF(ABS($AU504-ROUND($AT504*0.1,0))&gt;설정!$B$8,IF($AU504=0," / 세액 0원(영세율·면세 여부 확인)"," / 세액이 공급가액 10%와 다름"),"")&amp;IF($BB504="수정"," / 수정세금계산서(합계에서 자동 가감)",""),4,200))</f>
        <v/>
      </c>
      <c r="BD504" s="2">
        <f>IF($BA504&lt;&gt;"포함","",IF(COUNTIFS($AX$8:$AX504,$AX504,$BA$8:$BA504,"포함")=1,MAX($BD$7:BD503)+1,""))</f>
        <v/>
      </c>
      <c r="BE504" s="2">
        <f>IF($BC504="","",MAX($BE$7:BE503)+1)</f>
        <v/>
      </c>
    </row>
    <row r="505">
      <c r="AR505" s="2">
        <f>IF(OR($A$5="",$B$6="",ROW()&lt;$A$5),"",IF(INDEX($A:$AP,ROW(),$B$6)="","",INDEX($A:$AP,ROW(),$B$6)))</f>
        <v/>
      </c>
      <c r="AS505" s="22">
        <f>IF($AR505="","",IF(ISNUMBER($AR505),IF($AR505&gt;=10000000,IFERROR(DATE(INT($AR505/10000),MOD(INT($AR505/100),100),MOD($AR505,100)),""),INT($AR505)),IFERROR(DATE(--LEFT(LEFT(SUBSTITUTE(SUBSTITUTE(SUBSTITUTE(SUBSTITUTE(TRIM($AR505),"-",""),".",""),"/","")," ",""),8),4),--MID(LEFT(SUBSTITUTE(SUBSTITUTE(SUBSTITUTE(SUBSTITUTE(TRIM($AR505),"-",""),".",""),"/","")," ",""),8),5,2),--MID(LEFT(SUBSTITUTE(SUBSTITUTE(SUBSTITUTE(SUBSTITUTE(TRIM($AR505),"-",""),".",""),"/","")," ",""),8),7,2)),"")))</f>
        <v/>
      </c>
      <c r="AT505" s="23">
        <f>IF($AS505="","",IF($F$6="",0,IF(ISNUMBER(INDEX($A:$AP,ROW(),$F$6)),INDEX($A:$AP,ROW(),$F$6),IFERROR(--SUBSTITUTE(SUBSTITUTE(TRIM(INDEX($A:$AP,ROW(),$F$6)),",",""),"원",""),0))))</f>
        <v/>
      </c>
      <c r="AU505" s="23">
        <f>IF($AS505="","",IF($G$6="",0,IF(ISNUMBER(INDEX($A:$AP,ROW(),$G$6)),INDEX($A:$AP,ROW(),$G$6),IFERROR(--SUBSTITUTE(SUBSTITUTE(TRIM(INDEX($A:$AP,ROW(),$G$6)),",",""),"원",""),0))))</f>
        <v/>
      </c>
      <c r="AV505" s="23">
        <f>IF($AS505="","",IF($H$6="",$AT505+$AU505,IF($H$6="",0,IF(ISNUMBER(INDEX($A:$AP,ROW(),$H$6)),INDEX($A:$AP,ROW(),$H$6),IFERROR(--SUBSTITUTE(SUBSTITUTE(TRIM(INDEX($A:$AP,ROW(),$H$6)),",",""),"원",""),0)))))</f>
        <v/>
      </c>
      <c r="AW505" s="2">
        <f>IF(OR($AS505="",$C$6=""),"",TRIM(INDEX($A:$AP,ROW(),$C$6)&amp;""))</f>
        <v/>
      </c>
      <c r="AX505" s="2">
        <f>IF($AS505="","",IF($AZ505&lt;&gt;"",SUBSTITUTE(SUBSTITUTE($AZ505,"-","")," ",""),$AY505))</f>
        <v/>
      </c>
      <c r="AY505" s="2">
        <f>IF(OR($AS505="",$E$6=""),"",TRIM(INDEX($A:$AP,ROW(),$E$6)&amp;""))</f>
        <v/>
      </c>
      <c r="AZ505" s="2">
        <f>IF(OR($AS505="",$D$6=""),"",TRIM(INDEX($A:$AP,ROW(),$D$6)&amp;""))</f>
        <v/>
      </c>
      <c r="BA505" s="2">
        <f>IF($AS505="","",IF(AND($AS505&gt;=설정!$B$10,$AS505&lt;=설정!$B$11),"포함","기간 밖"))</f>
        <v/>
      </c>
      <c r="BB505" s="2">
        <f>IF($AS505="","",IF(OR($AT505&lt;0,AND($I$6&lt;&gt;"",ISNUMBER(FIND("수정",INDEX($A:$AP,ROW(),IF($I$6="",1,$I$6))&amp;"")))),"수정","일반"))</f>
        <v/>
      </c>
      <c r="BC505" s="2">
        <f>IF($AS505="","",MID(IF($BA505="기간 밖"," / 기간 밖(신고기간 아님)","")&amp;IF(AND($AW505&lt;&gt;"",COUNTIF($AW$8:$AW$1007,$AW505)&gt;1)," / 승인번호 중복(두 번 붙여넣기?)","")&amp;IF(ABS($AU505-ROUND($AT505*0.1,0))&gt;설정!$B$8,IF($AU505=0," / 세액 0원(영세율·면세 여부 확인)"," / 세액이 공급가액 10%와 다름"),"")&amp;IF($BB505="수정"," / 수정세금계산서(합계에서 자동 가감)",""),4,200))</f>
        <v/>
      </c>
      <c r="BD505" s="2">
        <f>IF($BA505&lt;&gt;"포함","",IF(COUNTIFS($AX$8:$AX505,$AX505,$BA$8:$BA505,"포함")=1,MAX($BD$7:BD504)+1,""))</f>
        <v/>
      </c>
      <c r="BE505" s="2">
        <f>IF($BC505="","",MAX($BE$7:BE504)+1)</f>
        <v/>
      </c>
    </row>
    <row r="506">
      <c r="AR506" s="2">
        <f>IF(OR($A$5="",$B$6="",ROW()&lt;$A$5),"",IF(INDEX($A:$AP,ROW(),$B$6)="","",INDEX($A:$AP,ROW(),$B$6)))</f>
        <v/>
      </c>
      <c r="AS506" s="22">
        <f>IF($AR506="","",IF(ISNUMBER($AR506),IF($AR506&gt;=10000000,IFERROR(DATE(INT($AR506/10000),MOD(INT($AR506/100),100),MOD($AR506,100)),""),INT($AR506)),IFERROR(DATE(--LEFT(LEFT(SUBSTITUTE(SUBSTITUTE(SUBSTITUTE(SUBSTITUTE(TRIM($AR506),"-",""),".",""),"/","")," ",""),8),4),--MID(LEFT(SUBSTITUTE(SUBSTITUTE(SUBSTITUTE(SUBSTITUTE(TRIM($AR506),"-",""),".",""),"/","")," ",""),8),5,2),--MID(LEFT(SUBSTITUTE(SUBSTITUTE(SUBSTITUTE(SUBSTITUTE(TRIM($AR506),"-",""),".",""),"/","")," ",""),8),7,2)),"")))</f>
        <v/>
      </c>
      <c r="AT506" s="23">
        <f>IF($AS506="","",IF($F$6="",0,IF(ISNUMBER(INDEX($A:$AP,ROW(),$F$6)),INDEX($A:$AP,ROW(),$F$6),IFERROR(--SUBSTITUTE(SUBSTITUTE(TRIM(INDEX($A:$AP,ROW(),$F$6)),",",""),"원",""),0))))</f>
        <v/>
      </c>
      <c r="AU506" s="23">
        <f>IF($AS506="","",IF($G$6="",0,IF(ISNUMBER(INDEX($A:$AP,ROW(),$G$6)),INDEX($A:$AP,ROW(),$G$6),IFERROR(--SUBSTITUTE(SUBSTITUTE(TRIM(INDEX($A:$AP,ROW(),$G$6)),",",""),"원",""),0))))</f>
        <v/>
      </c>
      <c r="AV506" s="23">
        <f>IF($AS506="","",IF($H$6="",$AT506+$AU506,IF($H$6="",0,IF(ISNUMBER(INDEX($A:$AP,ROW(),$H$6)),INDEX($A:$AP,ROW(),$H$6),IFERROR(--SUBSTITUTE(SUBSTITUTE(TRIM(INDEX($A:$AP,ROW(),$H$6)),",",""),"원",""),0)))))</f>
        <v/>
      </c>
      <c r="AW506" s="2">
        <f>IF(OR($AS506="",$C$6=""),"",TRIM(INDEX($A:$AP,ROW(),$C$6)&amp;""))</f>
        <v/>
      </c>
      <c r="AX506" s="2">
        <f>IF($AS506="","",IF($AZ506&lt;&gt;"",SUBSTITUTE(SUBSTITUTE($AZ506,"-","")," ",""),$AY506))</f>
        <v/>
      </c>
      <c r="AY506" s="2">
        <f>IF(OR($AS506="",$E$6=""),"",TRIM(INDEX($A:$AP,ROW(),$E$6)&amp;""))</f>
        <v/>
      </c>
      <c r="AZ506" s="2">
        <f>IF(OR($AS506="",$D$6=""),"",TRIM(INDEX($A:$AP,ROW(),$D$6)&amp;""))</f>
        <v/>
      </c>
      <c r="BA506" s="2">
        <f>IF($AS506="","",IF(AND($AS506&gt;=설정!$B$10,$AS506&lt;=설정!$B$11),"포함","기간 밖"))</f>
        <v/>
      </c>
      <c r="BB506" s="2">
        <f>IF($AS506="","",IF(OR($AT506&lt;0,AND($I$6&lt;&gt;"",ISNUMBER(FIND("수정",INDEX($A:$AP,ROW(),IF($I$6="",1,$I$6))&amp;"")))),"수정","일반"))</f>
        <v/>
      </c>
      <c r="BC506" s="2">
        <f>IF($AS506="","",MID(IF($BA506="기간 밖"," / 기간 밖(신고기간 아님)","")&amp;IF(AND($AW506&lt;&gt;"",COUNTIF($AW$8:$AW$1007,$AW506)&gt;1)," / 승인번호 중복(두 번 붙여넣기?)","")&amp;IF(ABS($AU506-ROUND($AT506*0.1,0))&gt;설정!$B$8,IF($AU506=0," / 세액 0원(영세율·면세 여부 확인)"," / 세액이 공급가액 10%와 다름"),"")&amp;IF($BB506="수정"," / 수정세금계산서(합계에서 자동 가감)",""),4,200))</f>
        <v/>
      </c>
      <c r="BD506" s="2">
        <f>IF($BA506&lt;&gt;"포함","",IF(COUNTIFS($AX$8:$AX506,$AX506,$BA$8:$BA506,"포함")=1,MAX($BD$7:BD505)+1,""))</f>
        <v/>
      </c>
      <c r="BE506" s="2">
        <f>IF($BC506="","",MAX($BE$7:BE505)+1)</f>
        <v/>
      </c>
    </row>
    <row r="507">
      <c r="AR507" s="2">
        <f>IF(OR($A$5="",$B$6="",ROW()&lt;$A$5),"",IF(INDEX($A:$AP,ROW(),$B$6)="","",INDEX($A:$AP,ROW(),$B$6)))</f>
        <v/>
      </c>
      <c r="AS507" s="22">
        <f>IF($AR507="","",IF(ISNUMBER($AR507),IF($AR507&gt;=10000000,IFERROR(DATE(INT($AR507/10000),MOD(INT($AR507/100),100),MOD($AR507,100)),""),INT($AR507)),IFERROR(DATE(--LEFT(LEFT(SUBSTITUTE(SUBSTITUTE(SUBSTITUTE(SUBSTITUTE(TRIM($AR507),"-",""),".",""),"/","")," ",""),8),4),--MID(LEFT(SUBSTITUTE(SUBSTITUTE(SUBSTITUTE(SUBSTITUTE(TRIM($AR507),"-",""),".",""),"/","")," ",""),8),5,2),--MID(LEFT(SUBSTITUTE(SUBSTITUTE(SUBSTITUTE(SUBSTITUTE(TRIM($AR507),"-",""),".",""),"/","")," ",""),8),7,2)),"")))</f>
        <v/>
      </c>
      <c r="AT507" s="23">
        <f>IF($AS507="","",IF($F$6="",0,IF(ISNUMBER(INDEX($A:$AP,ROW(),$F$6)),INDEX($A:$AP,ROW(),$F$6),IFERROR(--SUBSTITUTE(SUBSTITUTE(TRIM(INDEX($A:$AP,ROW(),$F$6)),",",""),"원",""),0))))</f>
        <v/>
      </c>
      <c r="AU507" s="23">
        <f>IF($AS507="","",IF($G$6="",0,IF(ISNUMBER(INDEX($A:$AP,ROW(),$G$6)),INDEX($A:$AP,ROW(),$G$6),IFERROR(--SUBSTITUTE(SUBSTITUTE(TRIM(INDEX($A:$AP,ROW(),$G$6)),",",""),"원",""),0))))</f>
        <v/>
      </c>
      <c r="AV507" s="23">
        <f>IF($AS507="","",IF($H$6="",$AT507+$AU507,IF($H$6="",0,IF(ISNUMBER(INDEX($A:$AP,ROW(),$H$6)),INDEX($A:$AP,ROW(),$H$6),IFERROR(--SUBSTITUTE(SUBSTITUTE(TRIM(INDEX($A:$AP,ROW(),$H$6)),",",""),"원",""),0)))))</f>
        <v/>
      </c>
      <c r="AW507" s="2">
        <f>IF(OR($AS507="",$C$6=""),"",TRIM(INDEX($A:$AP,ROW(),$C$6)&amp;""))</f>
        <v/>
      </c>
      <c r="AX507" s="2">
        <f>IF($AS507="","",IF($AZ507&lt;&gt;"",SUBSTITUTE(SUBSTITUTE($AZ507,"-","")," ",""),$AY507))</f>
        <v/>
      </c>
      <c r="AY507" s="2">
        <f>IF(OR($AS507="",$E$6=""),"",TRIM(INDEX($A:$AP,ROW(),$E$6)&amp;""))</f>
        <v/>
      </c>
      <c r="AZ507" s="2">
        <f>IF(OR($AS507="",$D$6=""),"",TRIM(INDEX($A:$AP,ROW(),$D$6)&amp;""))</f>
        <v/>
      </c>
      <c r="BA507" s="2">
        <f>IF($AS507="","",IF(AND($AS507&gt;=설정!$B$10,$AS507&lt;=설정!$B$11),"포함","기간 밖"))</f>
        <v/>
      </c>
      <c r="BB507" s="2">
        <f>IF($AS507="","",IF(OR($AT507&lt;0,AND($I$6&lt;&gt;"",ISNUMBER(FIND("수정",INDEX($A:$AP,ROW(),IF($I$6="",1,$I$6))&amp;"")))),"수정","일반"))</f>
        <v/>
      </c>
      <c r="BC507" s="2">
        <f>IF($AS507="","",MID(IF($BA507="기간 밖"," / 기간 밖(신고기간 아님)","")&amp;IF(AND($AW507&lt;&gt;"",COUNTIF($AW$8:$AW$1007,$AW507)&gt;1)," / 승인번호 중복(두 번 붙여넣기?)","")&amp;IF(ABS($AU507-ROUND($AT507*0.1,0))&gt;설정!$B$8,IF($AU507=0," / 세액 0원(영세율·면세 여부 확인)"," / 세액이 공급가액 10%와 다름"),"")&amp;IF($BB507="수정"," / 수정세금계산서(합계에서 자동 가감)",""),4,200))</f>
        <v/>
      </c>
      <c r="BD507" s="2">
        <f>IF($BA507&lt;&gt;"포함","",IF(COUNTIFS($AX$8:$AX507,$AX507,$BA$8:$BA507,"포함")=1,MAX($BD$7:BD506)+1,""))</f>
        <v/>
      </c>
      <c r="BE507" s="2">
        <f>IF($BC507="","",MAX($BE$7:BE506)+1)</f>
        <v/>
      </c>
    </row>
    <row r="508">
      <c r="AR508" s="2">
        <f>IF(OR($A$5="",$B$6="",ROW()&lt;$A$5),"",IF(INDEX($A:$AP,ROW(),$B$6)="","",INDEX($A:$AP,ROW(),$B$6)))</f>
        <v/>
      </c>
      <c r="AS508" s="22">
        <f>IF($AR508="","",IF(ISNUMBER($AR508),IF($AR508&gt;=10000000,IFERROR(DATE(INT($AR508/10000),MOD(INT($AR508/100),100),MOD($AR508,100)),""),INT($AR508)),IFERROR(DATE(--LEFT(LEFT(SUBSTITUTE(SUBSTITUTE(SUBSTITUTE(SUBSTITUTE(TRIM($AR508),"-",""),".",""),"/","")," ",""),8),4),--MID(LEFT(SUBSTITUTE(SUBSTITUTE(SUBSTITUTE(SUBSTITUTE(TRIM($AR508),"-",""),".",""),"/","")," ",""),8),5,2),--MID(LEFT(SUBSTITUTE(SUBSTITUTE(SUBSTITUTE(SUBSTITUTE(TRIM($AR508),"-",""),".",""),"/","")," ",""),8),7,2)),"")))</f>
        <v/>
      </c>
      <c r="AT508" s="23">
        <f>IF($AS508="","",IF($F$6="",0,IF(ISNUMBER(INDEX($A:$AP,ROW(),$F$6)),INDEX($A:$AP,ROW(),$F$6),IFERROR(--SUBSTITUTE(SUBSTITUTE(TRIM(INDEX($A:$AP,ROW(),$F$6)),",",""),"원",""),0))))</f>
        <v/>
      </c>
      <c r="AU508" s="23">
        <f>IF($AS508="","",IF($G$6="",0,IF(ISNUMBER(INDEX($A:$AP,ROW(),$G$6)),INDEX($A:$AP,ROW(),$G$6),IFERROR(--SUBSTITUTE(SUBSTITUTE(TRIM(INDEX($A:$AP,ROW(),$G$6)),",",""),"원",""),0))))</f>
        <v/>
      </c>
      <c r="AV508" s="23">
        <f>IF($AS508="","",IF($H$6="",$AT508+$AU508,IF($H$6="",0,IF(ISNUMBER(INDEX($A:$AP,ROW(),$H$6)),INDEX($A:$AP,ROW(),$H$6),IFERROR(--SUBSTITUTE(SUBSTITUTE(TRIM(INDEX($A:$AP,ROW(),$H$6)),",",""),"원",""),0)))))</f>
        <v/>
      </c>
      <c r="AW508" s="2">
        <f>IF(OR($AS508="",$C$6=""),"",TRIM(INDEX($A:$AP,ROW(),$C$6)&amp;""))</f>
        <v/>
      </c>
      <c r="AX508" s="2">
        <f>IF($AS508="","",IF($AZ508&lt;&gt;"",SUBSTITUTE(SUBSTITUTE($AZ508,"-","")," ",""),$AY508))</f>
        <v/>
      </c>
      <c r="AY508" s="2">
        <f>IF(OR($AS508="",$E$6=""),"",TRIM(INDEX($A:$AP,ROW(),$E$6)&amp;""))</f>
        <v/>
      </c>
      <c r="AZ508" s="2">
        <f>IF(OR($AS508="",$D$6=""),"",TRIM(INDEX($A:$AP,ROW(),$D$6)&amp;""))</f>
        <v/>
      </c>
      <c r="BA508" s="2">
        <f>IF($AS508="","",IF(AND($AS508&gt;=설정!$B$10,$AS508&lt;=설정!$B$11),"포함","기간 밖"))</f>
        <v/>
      </c>
      <c r="BB508" s="2">
        <f>IF($AS508="","",IF(OR($AT508&lt;0,AND($I$6&lt;&gt;"",ISNUMBER(FIND("수정",INDEX($A:$AP,ROW(),IF($I$6="",1,$I$6))&amp;"")))),"수정","일반"))</f>
        <v/>
      </c>
      <c r="BC508" s="2">
        <f>IF($AS508="","",MID(IF($BA508="기간 밖"," / 기간 밖(신고기간 아님)","")&amp;IF(AND($AW508&lt;&gt;"",COUNTIF($AW$8:$AW$1007,$AW508)&gt;1)," / 승인번호 중복(두 번 붙여넣기?)","")&amp;IF(ABS($AU508-ROUND($AT508*0.1,0))&gt;설정!$B$8,IF($AU508=0," / 세액 0원(영세율·면세 여부 확인)"," / 세액이 공급가액 10%와 다름"),"")&amp;IF($BB508="수정"," / 수정세금계산서(합계에서 자동 가감)",""),4,200))</f>
        <v/>
      </c>
      <c r="BD508" s="2">
        <f>IF($BA508&lt;&gt;"포함","",IF(COUNTIFS($AX$8:$AX508,$AX508,$BA$8:$BA508,"포함")=1,MAX($BD$7:BD507)+1,""))</f>
        <v/>
      </c>
      <c r="BE508" s="2">
        <f>IF($BC508="","",MAX($BE$7:BE507)+1)</f>
        <v/>
      </c>
    </row>
    <row r="509">
      <c r="AR509" s="2">
        <f>IF(OR($A$5="",$B$6="",ROW()&lt;$A$5),"",IF(INDEX($A:$AP,ROW(),$B$6)="","",INDEX($A:$AP,ROW(),$B$6)))</f>
        <v/>
      </c>
      <c r="AS509" s="22">
        <f>IF($AR509="","",IF(ISNUMBER($AR509),IF($AR509&gt;=10000000,IFERROR(DATE(INT($AR509/10000),MOD(INT($AR509/100),100),MOD($AR509,100)),""),INT($AR509)),IFERROR(DATE(--LEFT(LEFT(SUBSTITUTE(SUBSTITUTE(SUBSTITUTE(SUBSTITUTE(TRIM($AR509),"-",""),".",""),"/","")," ",""),8),4),--MID(LEFT(SUBSTITUTE(SUBSTITUTE(SUBSTITUTE(SUBSTITUTE(TRIM($AR509),"-",""),".",""),"/","")," ",""),8),5,2),--MID(LEFT(SUBSTITUTE(SUBSTITUTE(SUBSTITUTE(SUBSTITUTE(TRIM($AR509),"-",""),".",""),"/","")," ",""),8),7,2)),"")))</f>
        <v/>
      </c>
      <c r="AT509" s="23">
        <f>IF($AS509="","",IF($F$6="",0,IF(ISNUMBER(INDEX($A:$AP,ROW(),$F$6)),INDEX($A:$AP,ROW(),$F$6),IFERROR(--SUBSTITUTE(SUBSTITUTE(TRIM(INDEX($A:$AP,ROW(),$F$6)),",",""),"원",""),0))))</f>
        <v/>
      </c>
      <c r="AU509" s="23">
        <f>IF($AS509="","",IF($G$6="",0,IF(ISNUMBER(INDEX($A:$AP,ROW(),$G$6)),INDEX($A:$AP,ROW(),$G$6),IFERROR(--SUBSTITUTE(SUBSTITUTE(TRIM(INDEX($A:$AP,ROW(),$G$6)),",",""),"원",""),0))))</f>
        <v/>
      </c>
      <c r="AV509" s="23">
        <f>IF($AS509="","",IF($H$6="",$AT509+$AU509,IF($H$6="",0,IF(ISNUMBER(INDEX($A:$AP,ROW(),$H$6)),INDEX($A:$AP,ROW(),$H$6),IFERROR(--SUBSTITUTE(SUBSTITUTE(TRIM(INDEX($A:$AP,ROW(),$H$6)),",",""),"원",""),0)))))</f>
        <v/>
      </c>
      <c r="AW509" s="2">
        <f>IF(OR($AS509="",$C$6=""),"",TRIM(INDEX($A:$AP,ROW(),$C$6)&amp;""))</f>
        <v/>
      </c>
      <c r="AX509" s="2">
        <f>IF($AS509="","",IF($AZ509&lt;&gt;"",SUBSTITUTE(SUBSTITUTE($AZ509,"-","")," ",""),$AY509))</f>
        <v/>
      </c>
      <c r="AY509" s="2">
        <f>IF(OR($AS509="",$E$6=""),"",TRIM(INDEX($A:$AP,ROW(),$E$6)&amp;""))</f>
        <v/>
      </c>
      <c r="AZ509" s="2">
        <f>IF(OR($AS509="",$D$6=""),"",TRIM(INDEX($A:$AP,ROW(),$D$6)&amp;""))</f>
        <v/>
      </c>
      <c r="BA509" s="2">
        <f>IF($AS509="","",IF(AND($AS509&gt;=설정!$B$10,$AS509&lt;=설정!$B$11),"포함","기간 밖"))</f>
        <v/>
      </c>
      <c r="BB509" s="2">
        <f>IF($AS509="","",IF(OR($AT509&lt;0,AND($I$6&lt;&gt;"",ISNUMBER(FIND("수정",INDEX($A:$AP,ROW(),IF($I$6="",1,$I$6))&amp;"")))),"수정","일반"))</f>
        <v/>
      </c>
      <c r="BC509" s="2">
        <f>IF($AS509="","",MID(IF($BA509="기간 밖"," / 기간 밖(신고기간 아님)","")&amp;IF(AND($AW509&lt;&gt;"",COUNTIF($AW$8:$AW$1007,$AW509)&gt;1)," / 승인번호 중복(두 번 붙여넣기?)","")&amp;IF(ABS($AU509-ROUND($AT509*0.1,0))&gt;설정!$B$8,IF($AU509=0," / 세액 0원(영세율·면세 여부 확인)"," / 세액이 공급가액 10%와 다름"),"")&amp;IF($BB509="수정"," / 수정세금계산서(합계에서 자동 가감)",""),4,200))</f>
        <v/>
      </c>
      <c r="BD509" s="2">
        <f>IF($BA509&lt;&gt;"포함","",IF(COUNTIFS($AX$8:$AX509,$AX509,$BA$8:$BA509,"포함")=1,MAX($BD$7:BD508)+1,""))</f>
        <v/>
      </c>
      <c r="BE509" s="2">
        <f>IF($BC509="","",MAX($BE$7:BE508)+1)</f>
        <v/>
      </c>
    </row>
    <row r="510">
      <c r="AR510" s="2">
        <f>IF(OR($A$5="",$B$6="",ROW()&lt;$A$5),"",IF(INDEX($A:$AP,ROW(),$B$6)="","",INDEX($A:$AP,ROW(),$B$6)))</f>
        <v/>
      </c>
      <c r="AS510" s="22">
        <f>IF($AR510="","",IF(ISNUMBER($AR510),IF($AR510&gt;=10000000,IFERROR(DATE(INT($AR510/10000),MOD(INT($AR510/100),100),MOD($AR510,100)),""),INT($AR510)),IFERROR(DATE(--LEFT(LEFT(SUBSTITUTE(SUBSTITUTE(SUBSTITUTE(SUBSTITUTE(TRIM($AR510),"-",""),".",""),"/","")," ",""),8),4),--MID(LEFT(SUBSTITUTE(SUBSTITUTE(SUBSTITUTE(SUBSTITUTE(TRIM($AR510),"-",""),".",""),"/","")," ",""),8),5,2),--MID(LEFT(SUBSTITUTE(SUBSTITUTE(SUBSTITUTE(SUBSTITUTE(TRIM($AR510),"-",""),".",""),"/","")," ",""),8),7,2)),"")))</f>
        <v/>
      </c>
      <c r="AT510" s="23">
        <f>IF($AS510="","",IF($F$6="",0,IF(ISNUMBER(INDEX($A:$AP,ROW(),$F$6)),INDEX($A:$AP,ROW(),$F$6),IFERROR(--SUBSTITUTE(SUBSTITUTE(TRIM(INDEX($A:$AP,ROW(),$F$6)),",",""),"원",""),0))))</f>
        <v/>
      </c>
      <c r="AU510" s="23">
        <f>IF($AS510="","",IF($G$6="",0,IF(ISNUMBER(INDEX($A:$AP,ROW(),$G$6)),INDEX($A:$AP,ROW(),$G$6),IFERROR(--SUBSTITUTE(SUBSTITUTE(TRIM(INDEX($A:$AP,ROW(),$G$6)),",",""),"원",""),0))))</f>
        <v/>
      </c>
      <c r="AV510" s="23">
        <f>IF($AS510="","",IF($H$6="",$AT510+$AU510,IF($H$6="",0,IF(ISNUMBER(INDEX($A:$AP,ROW(),$H$6)),INDEX($A:$AP,ROW(),$H$6),IFERROR(--SUBSTITUTE(SUBSTITUTE(TRIM(INDEX($A:$AP,ROW(),$H$6)),",",""),"원",""),0)))))</f>
        <v/>
      </c>
      <c r="AW510" s="2">
        <f>IF(OR($AS510="",$C$6=""),"",TRIM(INDEX($A:$AP,ROW(),$C$6)&amp;""))</f>
        <v/>
      </c>
      <c r="AX510" s="2">
        <f>IF($AS510="","",IF($AZ510&lt;&gt;"",SUBSTITUTE(SUBSTITUTE($AZ510,"-","")," ",""),$AY510))</f>
        <v/>
      </c>
      <c r="AY510" s="2">
        <f>IF(OR($AS510="",$E$6=""),"",TRIM(INDEX($A:$AP,ROW(),$E$6)&amp;""))</f>
        <v/>
      </c>
      <c r="AZ510" s="2">
        <f>IF(OR($AS510="",$D$6=""),"",TRIM(INDEX($A:$AP,ROW(),$D$6)&amp;""))</f>
        <v/>
      </c>
      <c r="BA510" s="2">
        <f>IF($AS510="","",IF(AND($AS510&gt;=설정!$B$10,$AS510&lt;=설정!$B$11),"포함","기간 밖"))</f>
        <v/>
      </c>
      <c r="BB510" s="2">
        <f>IF($AS510="","",IF(OR($AT510&lt;0,AND($I$6&lt;&gt;"",ISNUMBER(FIND("수정",INDEX($A:$AP,ROW(),IF($I$6="",1,$I$6))&amp;"")))),"수정","일반"))</f>
        <v/>
      </c>
      <c r="BC510" s="2">
        <f>IF($AS510="","",MID(IF($BA510="기간 밖"," / 기간 밖(신고기간 아님)","")&amp;IF(AND($AW510&lt;&gt;"",COUNTIF($AW$8:$AW$1007,$AW510)&gt;1)," / 승인번호 중복(두 번 붙여넣기?)","")&amp;IF(ABS($AU510-ROUND($AT510*0.1,0))&gt;설정!$B$8,IF($AU510=0," / 세액 0원(영세율·면세 여부 확인)"," / 세액이 공급가액 10%와 다름"),"")&amp;IF($BB510="수정"," / 수정세금계산서(합계에서 자동 가감)",""),4,200))</f>
        <v/>
      </c>
      <c r="BD510" s="2">
        <f>IF($BA510&lt;&gt;"포함","",IF(COUNTIFS($AX$8:$AX510,$AX510,$BA$8:$BA510,"포함")=1,MAX($BD$7:BD509)+1,""))</f>
        <v/>
      </c>
      <c r="BE510" s="2">
        <f>IF($BC510="","",MAX($BE$7:BE509)+1)</f>
        <v/>
      </c>
    </row>
    <row r="511">
      <c r="AR511" s="2">
        <f>IF(OR($A$5="",$B$6="",ROW()&lt;$A$5),"",IF(INDEX($A:$AP,ROW(),$B$6)="","",INDEX($A:$AP,ROW(),$B$6)))</f>
        <v/>
      </c>
      <c r="AS511" s="22">
        <f>IF($AR511="","",IF(ISNUMBER($AR511),IF($AR511&gt;=10000000,IFERROR(DATE(INT($AR511/10000),MOD(INT($AR511/100),100),MOD($AR511,100)),""),INT($AR511)),IFERROR(DATE(--LEFT(LEFT(SUBSTITUTE(SUBSTITUTE(SUBSTITUTE(SUBSTITUTE(TRIM($AR511),"-",""),".",""),"/","")," ",""),8),4),--MID(LEFT(SUBSTITUTE(SUBSTITUTE(SUBSTITUTE(SUBSTITUTE(TRIM($AR511),"-",""),".",""),"/","")," ",""),8),5,2),--MID(LEFT(SUBSTITUTE(SUBSTITUTE(SUBSTITUTE(SUBSTITUTE(TRIM($AR511),"-",""),".",""),"/","")," ",""),8),7,2)),"")))</f>
        <v/>
      </c>
      <c r="AT511" s="23">
        <f>IF($AS511="","",IF($F$6="",0,IF(ISNUMBER(INDEX($A:$AP,ROW(),$F$6)),INDEX($A:$AP,ROW(),$F$6),IFERROR(--SUBSTITUTE(SUBSTITUTE(TRIM(INDEX($A:$AP,ROW(),$F$6)),",",""),"원",""),0))))</f>
        <v/>
      </c>
      <c r="AU511" s="23">
        <f>IF($AS511="","",IF($G$6="",0,IF(ISNUMBER(INDEX($A:$AP,ROW(),$G$6)),INDEX($A:$AP,ROW(),$G$6),IFERROR(--SUBSTITUTE(SUBSTITUTE(TRIM(INDEX($A:$AP,ROW(),$G$6)),",",""),"원",""),0))))</f>
        <v/>
      </c>
      <c r="AV511" s="23">
        <f>IF($AS511="","",IF($H$6="",$AT511+$AU511,IF($H$6="",0,IF(ISNUMBER(INDEX($A:$AP,ROW(),$H$6)),INDEX($A:$AP,ROW(),$H$6),IFERROR(--SUBSTITUTE(SUBSTITUTE(TRIM(INDEX($A:$AP,ROW(),$H$6)),",",""),"원",""),0)))))</f>
        <v/>
      </c>
      <c r="AW511" s="2">
        <f>IF(OR($AS511="",$C$6=""),"",TRIM(INDEX($A:$AP,ROW(),$C$6)&amp;""))</f>
        <v/>
      </c>
      <c r="AX511" s="2">
        <f>IF($AS511="","",IF($AZ511&lt;&gt;"",SUBSTITUTE(SUBSTITUTE($AZ511,"-","")," ",""),$AY511))</f>
        <v/>
      </c>
      <c r="AY511" s="2">
        <f>IF(OR($AS511="",$E$6=""),"",TRIM(INDEX($A:$AP,ROW(),$E$6)&amp;""))</f>
        <v/>
      </c>
      <c r="AZ511" s="2">
        <f>IF(OR($AS511="",$D$6=""),"",TRIM(INDEX($A:$AP,ROW(),$D$6)&amp;""))</f>
        <v/>
      </c>
      <c r="BA511" s="2">
        <f>IF($AS511="","",IF(AND($AS511&gt;=설정!$B$10,$AS511&lt;=설정!$B$11),"포함","기간 밖"))</f>
        <v/>
      </c>
      <c r="BB511" s="2">
        <f>IF($AS511="","",IF(OR($AT511&lt;0,AND($I$6&lt;&gt;"",ISNUMBER(FIND("수정",INDEX($A:$AP,ROW(),IF($I$6="",1,$I$6))&amp;"")))),"수정","일반"))</f>
        <v/>
      </c>
      <c r="BC511" s="2">
        <f>IF($AS511="","",MID(IF($BA511="기간 밖"," / 기간 밖(신고기간 아님)","")&amp;IF(AND($AW511&lt;&gt;"",COUNTIF($AW$8:$AW$1007,$AW511)&gt;1)," / 승인번호 중복(두 번 붙여넣기?)","")&amp;IF(ABS($AU511-ROUND($AT511*0.1,0))&gt;설정!$B$8,IF($AU511=0," / 세액 0원(영세율·면세 여부 확인)"," / 세액이 공급가액 10%와 다름"),"")&amp;IF($BB511="수정"," / 수정세금계산서(합계에서 자동 가감)",""),4,200))</f>
        <v/>
      </c>
      <c r="BD511" s="2">
        <f>IF($BA511&lt;&gt;"포함","",IF(COUNTIFS($AX$8:$AX511,$AX511,$BA$8:$BA511,"포함")=1,MAX($BD$7:BD510)+1,""))</f>
        <v/>
      </c>
      <c r="BE511" s="2">
        <f>IF($BC511="","",MAX($BE$7:BE510)+1)</f>
        <v/>
      </c>
    </row>
    <row r="512">
      <c r="AR512" s="2">
        <f>IF(OR($A$5="",$B$6="",ROW()&lt;$A$5),"",IF(INDEX($A:$AP,ROW(),$B$6)="","",INDEX($A:$AP,ROW(),$B$6)))</f>
        <v/>
      </c>
      <c r="AS512" s="22">
        <f>IF($AR512="","",IF(ISNUMBER($AR512),IF($AR512&gt;=10000000,IFERROR(DATE(INT($AR512/10000),MOD(INT($AR512/100),100),MOD($AR512,100)),""),INT($AR512)),IFERROR(DATE(--LEFT(LEFT(SUBSTITUTE(SUBSTITUTE(SUBSTITUTE(SUBSTITUTE(TRIM($AR512),"-",""),".",""),"/","")," ",""),8),4),--MID(LEFT(SUBSTITUTE(SUBSTITUTE(SUBSTITUTE(SUBSTITUTE(TRIM($AR512),"-",""),".",""),"/","")," ",""),8),5,2),--MID(LEFT(SUBSTITUTE(SUBSTITUTE(SUBSTITUTE(SUBSTITUTE(TRIM($AR512),"-",""),".",""),"/","")," ",""),8),7,2)),"")))</f>
        <v/>
      </c>
      <c r="AT512" s="23">
        <f>IF($AS512="","",IF($F$6="",0,IF(ISNUMBER(INDEX($A:$AP,ROW(),$F$6)),INDEX($A:$AP,ROW(),$F$6),IFERROR(--SUBSTITUTE(SUBSTITUTE(TRIM(INDEX($A:$AP,ROW(),$F$6)),",",""),"원",""),0))))</f>
        <v/>
      </c>
      <c r="AU512" s="23">
        <f>IF($AS512="","",IF($G$6="",0,IF(ISNUMBER(INDEX($A:$AP,ROW(),$G$6)),INDEX($A:$AP,ROW(),$G$6),IFERROR(--SUBSTITUTE(SUBSTITUTE(TRIM(INDEX($A:$AP,ROW(),$G$6)),",",""),"원",""),0))))</f>
        <v/>
      </c>
      <c r="AV512" s="23">
        <f>IF($AS512="","",IF($H$6="",$AT512+$AU512,IF($H$6="",0,IF(ISNUMBER(INDEX($A:$AP,ROW(),$H$6)),INDEX($A:$AP,ROW(),$H$6),IFERROR(--SUBSTITUTE(SUBSTITUTE(TRIM(INDEX($A:$AP,ROW(),$H$6)),",",""),"원",""),0)))))</f>
        <v/>
      </c>
      <c r="AW512" s="2">
        <f>IF(OR($AS512="",$C$6=""),"",TRIM(INDEX($A:$AP,ROW(),$C$6)&amp;""))</f>
        <v/>
      </c>
      <c r="AX512" s="2">
        <f>IF($AS512="","",IF($AZ512&lt;&gt;"",SUBSTITUTE(SUBSTITUTE($AZ512,"-","")," ",""),$AY512))</f>
        <v/>
      </c>
      <c r="AY512" s="2">
        <f>IF(OR($AS512="",$E$6=""),"",TRIM(INDEX($A:$AP,ROW(),$E$6)&amp;""))</f>
        <v/>
      </c>
      <c r="AZ512" s="2">
        <f>IF(OR($AS512="",$D$6=""),"",TRIM(INDEX($A:$AP,ROW(),$D$6)&amp;""))</f>
        <v/>
      </c>
      <c r="BA512" s="2">
        <f>IF($AS512="","",IF(AND($AS512&gt;=설정!$B$10,$AS512&lt;=설정!$B$11),"포함","기간 밖"))</f>
        <v/>
      </c>
      <c r="BB512" s="2">
        <f>IF($AS512="","",IF(OR($AT512&lt;0,AND($I$6&lt;&gt;"",ISNUMBER(FIND("수정",INDEX($A:$AP,ROW(),IF($I$6="",1,$I$6))&amp;"")))),"수정","일반"))</f>
        <v/>
      </c>
      <c r="BC512" s="2">
        <f>IF($AS512="","",MID(IF($BA512="기간 밖"," / 기간 밖(신고기간 아님)","")&amp;IF(AND($AW512&lt;&gt;"",COUNTIF($AW$8:$AW$1007,$AW512)&gt;1)," / 승인번호 중복(두 번 붙여넣기?)","")&amp;IF(ABS($AU512-ROUND($AT512*0.1,0))&gt;설정!$B$8,IF($AU512=0," / 세액 0원(영세율·면세 여부 확인)"," / 세액이 공급가액 10%와 다름"),"")&amp;IF($BB512="수정"," / 수정세금계산서(합계에서 자동 가감)",""),4,200))</f>
        <v/>
      </c>
      <c r="BD512" s="2">
        <f>IF($BA512&lt;&gt;"포함","",IF(COUNTIFS($AX$8:$AX512,$AX512,$BA$8:$BA512,"포함")=1,MAX($BD$7:BD511)+1,""))</f>
        <v/>
      </c>
      <c r="BE512" s="2">
        <f>IF($BC512="","",MAX($BE$7:BE511)+1)</f>
        <v/>
      </c>
    </row>
    <row r="513">
      <c r="AR513" s="2">
        <f>IF(OR($A$5="",$B$6="",ROW()&lt;$A$5),"",IF(INDEX($A:$AP,ROW(),$B$6)="","",INDEX($A:$AP,ROW(),$B$6)))</f>
        <v/>
      </c>
      <c r="AS513" s="22">
        <f>IF($AR513="","",IF(ISNUMBER($AR513),IF($AR513&gt;=10000000,IFERROR(DATE(INT($AR513/10000),MOD(INT($AR513/100),100),MOD($AR513,100)),""),INT($AR513)),IFERROR(DATE(--LEFT(LEFT(SUBSTITUTE(SUBSTITUTE(SUBSTITUTE(SUBSTITUTE(TRIM($AR513),"-",""),".",""),"/","")," ",""),8),4),--MID(LEFT(SUBSTITUTE(SUBSTITUTE(SUBSTITUTE(SUBSTITUTE(TRIM($AR513),"-",""),".",""),"/","")," ",""),8),5,2),--MID(LEFT(SUBSTITUTE(SUBSTITUTE(SUBSTITUTE(SUBSTITUTE(TRIM($AR513),"-",""),".",""),"/","")," ",""),8),7,2)),"")))</f>
        <v/>
      </c>
      <c r="AT513" s="23">
        <f>IF($AS513="","",IF($F$6="",0,IF(ISNUMBER(INDEX($A:$AP,ROW(),$F$6)),INDEX($A:$AP,ROW(),$F$6),IFERROR(--SUBSTITUTE(SUBSTITUTE(TRIM(INDEX($A:$AP,ROW(),$F$6)),",",""),"원",""),0))))</f>
        <v/>
      </c>
      <c r="AU513" s="23">
        <f>IF($AS513="","",IF($G$6="",0,IF(ISNUMBER(INDEX($A:$AP,ROW(),$G$6)),INDEX($A:$AP,ROW(),$G$6),IFERROR(--SUBSTITUTE(SUBSTITUTE(TRIM(INDEX($A:$AP,ROW(),$G$6)),",",""),"원",""),0))))</f>
        <v/>
      </c>
      <c r="AV513" s="23">
        <f>IF($AS513="","",IF($H$6="",$AT513+$AU513,IF($H$6="",0,IF(ISNUMBER(INDEX($A:$AP,ROW(),$H$6)),INDEX($A:$AP,ROW(),$H$6),IFERROR(--SUBSTITUTE(SUBSTITUTE(TRIM(INDEX($A:$AP,ROW(),$H$6)),",",""),"원",""),0)))))</f>
        <v/>
      </c>
      <c r="AW513" s="2">
        <f>IF(OR($AS513="",$C$6=""),"",TRIM(INDEX($A:$AP,ROW(),$C$6)&amp;""))</f>
        <v/>
      </c>
      <c r="AX513" s="2">
        <f>IF($AS513="","",IF($AZ513&lt;&gt;"",SUBSTITUTE(SUBSTITUTE($AZ513,"-","")," ",""),$AY513))</f>
        <v/>
      </c>
      <c r="AY513" s="2">
        <f>IF(OR($AS513="",$E$6=""),"",TRIM(INDEX($A:$AP,ROW(),$E$6)&amp;""))</f>
        <v/>
      </c>
      <c r="AZ513" s="2">
        <f>IF(OR($AS513="",$D$6=""),"",TRIM(INDEX($A:$AP,ROW(),$D$6)&amp;""))</f>
        <v/>
      </c>
      <c r="BA513" s="2">
        <f>IF($AS513="","",IF(AND($AS513&gt;=설정!$B$10,$AS513&lt;=설정!$B$11),"포함","기간 밖"))</f>
        <v/>
      </c>
      <c r="BB513" s="2">
        <f>IF($AS513="","",IF(OR($AT513&lt;0,AND($I$6&lt;&gt;"",ISNUMBER(FIND("수정",INDEX($A:$AP,ROW(),IF($I$6="",1,$I$6))&amp;"")))),"수정","일반"))</f>
        <v/>
      </c>
      <c r="BC513" s="2">
        <f>IF($AS513="","",MID(IF($BA513="기간 밖"," / 기간 밖(신고기간 아님)","")&amp;IF(AND($AW513&lt;&gt;"",COUNTIF($AW$8:$AW$1007,$AW513)&gt;1)," / 승인번호 중복(두 번 붙여넣기?)","")&amp;IF(ABS($AU513-ROUND($AT513*0.1,0))&gt;설정!$B$8,IF($AU513=0," / 세액 0원(영세율·면세 여부 확인)"," / 세액이 공급가액 10%와 다름"),"")&amp;IF($BB513="수정"," / 수정세금계산서(합계에서 자동 가감)",""),4,200))</f>
        <v/>
      </c>
      <c r="BD513" s="2">
        <f>IF($BA513&lt;&gt;"포함","",IF(COUNTIFS($AX$8:$AX513,$AX513,$BA$8:$BA513,"포함")=1,MAX($BD$7:BD512)+1,""))</f>
        <v/>
      </c>
      <c r="BE513" s="2">
        <f>IF($BC513="","",MAX($BE$7:BE512)+1)</f>
        <v/>
      </c>
    </row>
    <row r="514">
      <c r="AR514" s="2">
        <f>IF(OR($A$5="",$B$6="",ROW()&lt;$A$5),"",IF(INDEX($A:$AP,ROW(),$B$6)="","",INDEX($A:$AP,ROW(),$B$6)))</f>
        <v/>
      </c>
      <c r="AS514" s="22">
        <f>IF($AR514="","",IF(ISNUMBER($AR514),IF($AR514&gt;=10000000,IFERROR(DATE(INT($AR514/10000),MOD(INT($AR514/100),100),MOD($AR514,100)),""),INT($AR514)),IFERROR(DATE(--LEFT(LEFT(SUBSTITUTE(SUBSTITUTE(SUBSTITUTE(SUBSTITUTE(TRIM($AR514),"-",""),".",""),"/","")," ",""),8),4),--MID(LEFT(SUBSTITUTE(SUBSTITUTE(SUBSTITUTE(SUBSTITUTE(TRIM($AR514),"-",""),".",""),"/","")," ",""),8),5,2),--MID(LEFT(SUBSTITUTE(SUBSTITUTE(SUBSTITUTE(SUBSTITUTE(TRIM($AR514),"-",""),".",""),"/","")," ",""),8),7,2)),"")))</f>
        <v/>
      </c>
      <c r="AT514" s="23">
        <f>IF($AS514="","",IF($F$6="",0,IF(ISNUMBER(INDEX($A:$AP,ROW(),$F$6)),INDEX($A:$AP,ROW(),$F$6),IFERROR(--SUBSTITUTE(SUBSTITUTE(TRIM(INDEX($A:$AP,ROW(),$F$6)),",",""),"원",""),0))))</f>
        <v/>
      </c>
      <c r="AU514" s="23">
        <f>IF($AS514="","",IF($G$6="",0,IF(ISNUMBER(INDEX($A:$AP,ROW(),$G$6)),INDEX($A:$AP,ROW(),$G$6),IFERROR(--SUBSTITUTE(SUBSTITUTE(TRIM(INDEX($A:$AP,ROW(),$G$6)),",",""),"원",""),0))))</f>
        <v/>
      </c>
      <c r="AV514" s="23">
        <f>IF($AS514="","",IF($H$6="",$AT514+$AU514,IF($H$6="",0,IF(ISNUMBER(INDEX($A:$AP,ROW(),$H$6)),INDEX($A:$AP,ROW(),$H$6),IFERROR(--SUBSTITUTE(SUBSTITUTE(TRIM(INDEX($A:$AP,ROW(),$H$6)),",",""),"원",""),0)))))</f>
        <v/>
      </c>
      <c r="AW514" s="2">
        <f>IF(OR($AS514="",$C$6=""),"",TRIM(INDEX($A:$AP,ROW(),$C$6)&amp;""))</f>
        <v/>
      </c>
      <c r="AX514" s="2">
        <f>IF($AS514="","",IF($AZ514&lt;&gt;"",SUBSTITUTE(SUBSTITUTE($AZ514,"-","")," ",""),$AY514))</f>
        <v/>
      </c>
      <c r="AY514" s="2">
        <f>IF(OR($AS514="",$E$6=""),"",TRIM(INDEX($A:$AP,ROW(),$E$6)&amp;""))</f>
        <v/>
      </c>
      <c r="AZ514" s="2">
        <f>IF(OR($AS514="",$D$6=""),"",TRIM(INDEX($A:$AP,ROW(),$D$6)&amp;""))</f>
        <v/>
      </c>
      <c r="BA514" s="2">
        <f>IF($AS514="","",IF(AND($AS514&gt;=설정!$B$10,$AS514&lt;=설정!$B$11),"포함","기간 밖"))</f>
        <v/>
      </c>
      <c r="BB514" s="2">
        <f>IF($AS514="","",IF(OR($AT514&lt;0,AND($I$6&lt;&gt;"",ISNUMBER(FIND("수정",INDEX($A:$AP,ROW(),IF($I$6="",1,$I$6))&amp;"")))),"수정","일반"))</f>
        <v/>
      </c>
      <c r="BC514" s="2">
        <f>IF($AS514="","",MID(IF($BA514="기간 밖"," / 기간 밖(신고기간 아님)","")&amp;IF(AND($AW514&lt;&gt;"",COUNTIF($AW$8:$AW$1007,$AW514)&gt;1)," / 승인번호 중복(두 번 붙여넣기?)","")&amp;IF(ABS($AU514-ROUND($AT514*0.1,0))&gt;설정!$B$8,IF($AU514=0," / 세액 0원(영세율·면세 여부 확인)"," / 세액이 공급가액 10%와 다름"),"")&amp;IF($BB514="수정"," / 수정세금계산서(합계에서 자동 가감)",""),4,200))</f>
        <v/>
      </c>
      <c r="BD514" s="2">
        <f>IF($BA514&lt;&gt;"포함","",IF(COUNTIFS($AX$8:$AX514,$AX514,$BA$8:$BA514,"포함")=1,MAX($BD$7:BD513)+1,""))</f>
        <v/>
      </c>
      <c r="BE514" s="2">
        <f>IF($BC514="","",MAX($BE$7:BE513)+1)</f>
        <v/>
      </c>
    </row>
    <row r="515">
      <c r="AR515" s="2">
        <f>IF(OR($A$5="",$B$6="",ROW()&lt;$A$5),"",IF(INDEX($A:$AP,ROW(),$B$6)="","",INDEX($A:$AP,ROW(),$B$6)))</f>
        <v/>
      </c>
      <c r="AS515" s="22">
        <f>IF($AR515="","",IF(ISNUMBER($AR515),IF($AR515&gt;=10000000,IFERROR(DATE(INT($AR515/10000),MOD(INT($AR515/100),100),MOD($AR515,100)),""),INT($AR515)),IFERROR(DATE(--LEFT(LEFT(SUBSTITUTE(SUBSTITUTE(SUBSTITUTE(SUBSTITUTE(TRIM($AR515),"-",""),".",""),"/","")," ",""),8),4),--MID(LEFT(SUBSTITUTE(SUBSTITUTE(SUBSTITUTE(SUBSTITUTE(TRIM($AR515),"-",""),".",""),"/","")," ",""),8),5,2),--MID(LEFT(SUBSTITUTE(SUBSTITUTE(SUBSTITUTE(SUBSTITUTE(TRIM($AR515),"-",""),".",""),"/","")," ",""),8),7,2)),"")))</f>
        <v/>
      </c>
      <c r="AT515" s="23">
        <f>IF($AS515="","",IF($F$6="",0,IF(ISNUMBER(INDEX($A:$AP,ROW(),$F$6)),INDEX($A:$AP,ROW(),$F$6),IFERROR(--SUBSTITUTE(SUBSTITUTE(TRIM(INDEX($A:$AP,ROW(),$F$6)),",",""),"원",""),0))))</f>
        <v/>
      </c>
      <c r="AU515" s="23">
        <f>IF($AS515="","",IF($G$6="",0,IF(ISNUMBER(INDEX($A:$AP,ROW(),$G$6)),INDEX($A:$AP,ROW(),$G$6),IFERROR(--SUBSTITUTE(SUBSTITUTE(TRIM(INDEX($A:$AP,ROW(),$G$6)),",",""),"원",""),0))))</f>
        <v/>
      </c>
      <c r="AV515" s="23">
        <f>IF($AS515="","",IF($H$6="",$AT515+$AU515,IF($H$6="",0,IF(ISNUMBER(INDEX($A:$AP,ROW(),$H$6)),INDEX($A:$AP,ROW(),$H$6),IFERROR(--SUBSTITUTE(SUBSTITUTE(TRIM(INDEX($A:$AP,ROW(),$H$6)),",",""),"원",""),0)))))</f>
        <v/>
      </c>
      <c r="AW515" s="2">
        <f>IF(OR($AS515="",$C$6=""),"",TRIM(INDEX($A:$AP,ROW(),$C$6)&amp;""))</f>
        <v/>
      </c>
      <c r="AX515" s="2">
        <f>IF($AS515="","",IF($AZ515&lt;&gt;"",SUBSTITUTE(SUBSTITUTE($AZ515,"-","")," ",""),$AY515))</f>
        <v/>
      </c>
      <c r="AY515" s="2">
        <f>IF(OR($AS515="",$E$6=""),"",TRIM(INDEX($A:$AP,ROW(),$E$6)&amp;""))</f>
        <v/>
      </c>
      <c r="AZ515" s="2">
        <f>IF(OR($AS515="",$D$6=""),"",TRIM(INDEX($A:$AP,ROW(),$D$6)&amp;""))</f>
        <v/>
      </c>
      <c r="BA515" s="2">
        <f>IF($AS515="","",IF(AND($AS515&gt;=설정!$B$10,$AS515&lt;=설정!$B$11),"포함","기간 밖"))</f>
        <v/>
      </c>
      <c r="BB515" s="2">
        <f>IF($AS515="","",IF(OR($AT515&lt;0,AND($I$6&lt;&gt;"",ISNUMBER(FIND("수정",INDEX($A:$AP,ROW(),IF($I$6="",1,$I$6))&amp;"")))),"수정","일반"))</f>
        <v/>
      </c>
      <c r="BC515" s="2">
        <f>IF($AS515="","",MID(IF($BA515="기간 밖"," / 기간 밖(신고기간 아님)","")&amp;IF(AND($AW515&lt;&gt;"",COUNTIF($AW$8:$AW$1007,$AW515)&gt;1)," / 승인번호 중복(두 번 붙여넣기?)","")&amp;IF(ABS($AU515-ROUND($AT515*0.1,0))&gt;설정!$B$8,IF($AU515=0," / 세액 0원(영세율·면세 여부 확인)"," / 세액이 공급가액 10%와 다름"),"")&amp;IF($BB515="수정"," / 수정세금계산서(합계에서 자동 가감)",""),4,200))</f>
        <v/>
      </c>
      <c r="BD515" s="2">
        <f>IF($BA515&lt;&gt;"포함","",IF(COUNTIFS($AX$8:$AX515,$AX515,$BA$8:$BA515,"포함")=1,MAX($BD$7:BD514)+1,""))</f>
        <v/>
      </c>
      <c r="BE515" s="2">
        <f>IF($BC515="","",MAX($BE$7:BE514)+1)</f>
        <v/>
      </c>
    </row>
    <row r="516">
      <c r="AR516" s="2">
        <f>IF(OR($A$5="",$B$6="",ROW()&lt;$A$5),"",IF(INDEX($A:$AP,ROW(),$B$6)="","",INDEX($A:$AP,ROW(),$B$6)))</f>
        <v/>
      </c>
      <c r="AS516" s="22">
        <f>IF($AR516="","",IF(ISNUMBER($AR516),IF($AR516&gt;=10000000,IFERROR(DATE(INT($AR516/10000),MOD(INT($AR516/100),100),MOD($AR516,100)),""),INT($AR516)),IFERROR(DATE(--LEFT(LEFT(SUBSTITUTE(SUBSTITUTE(SUBSTITUTE(SUBSTITUTE(TRIM($AR516),"-",""),".",""),"/","")," ",""),8),4),--MID(LEFT(SUBSTITUTE(SUBSTITUTE(SUBSTITUTE(SUBSTITUTE(TRIM($AR516),"-",""),".",""),"/","")," ",""),8),5,2),--MID(LEFT(SUBSTITUTE(SUBSTITUTE(SUBSTITUTE(SUBSTITUTE(TRIM($AR516),"-",""),".",""),"/","")," ",""),8),7,2)),"")))</f>
        <v/>
      </c>
      <c r="AT516" s="23">
        <f>IF($AS516="","",IF($F$6="",0,IF(ISNUMBER(INDEX($A:$AP,ROW(),$F$6)),INDEX($A:$AP,ROW(),$F$6),IFERROR(--SUBSTITUTE(SUBSTITUTE(TRIM(INDEX($A:$AP,ROW(),$F$6)),",",""),"원",""),0))))</f>
        <v/>
      </c>
      <c r="AU516" s="23">
        <f>IF($AS516="","",IF($G$6="",0,IF(ISNUMBER(INDEX($A:$AP,ROW(),$G$6)),INDEX($A:$AP,ROW(),$G$6),IFERROR(--SUBSTITUTE(SUBSTITUTE(TRIM(INDEX($A:$AP,ROW(),$G$6)),",",""),"원",""),0))))</f>
        <v/>
      </c>
      <c r="AV516" s="23">
        <f>IF($AS516="","",IF($H$6="",$AT516+$AU516,IF($H$6="",0,IF(ISNUMBER(INDEX($A:$AP,ROW(),$H$6)),INDEX($A:$AP,ROW(),$H$6),IFERROR(--SUBSTITUTE(SUBSTITUTE(TRIM(INDEX($A:$AP,ROW(),$H$6)),",",""),"원",""),0)))))</f>
        <v/>
      </c>
      <c r="AW516" s="2">
        <f>IF(OR($AS516="",$C$6=""),"",TRIM(INDEX($A:$AP,ROW(),$C$6)&amp;""))</f>
        <v/>
      </c>
      <c r="AX516" s="2">
        <f>IF($AS516="","",IF($AZ516&lt;&gt;"",SUBSTITUTE(SUBSTITUTE($AZ516,"-","")," ",""),$AY516))</f>
        <v/>
      </c>
      <c r="AY516" s="2">
        <f>IF(OR($AS516="",$E$6=""),"",TRIM(INDEX($A:$AP,ROW(),$E$6)&amp;""))</f>
        <v/>
      </c>
      <c r="AZ516" s="2">
        <f>IF(OR($AS516="",$D$6=""),"",TRIM(INDEX($A:$AP,ROW(),$D$6)&amp;""))</f>
        <v/>
      </c>
      <c r="BA516" s="2">
        <f>IF($AS516="","",IF(AND($AS516&gt;=설정!$B$10,$AS516&lt;=설정!$B$11),"포함","기간 밖"))</f>
        <v/>
      </c>
      <c r="BB516" s="2">
        <f>IF($AS516="","",IF(OR($AT516&lt;0,AND($I$6&lt;&gt;"",ISNUMBER(FIND("수정",INDEX($A:$AP,ROW(),IF($I$6="",1,$I$6))&amp;"")))),"수정","일반"))</f>
        <v/>
      </c>
      <c r="BC516" s="2">
        <f>IF($AS516="","",MID(IF($BA516="기간 밖"," / 기간 밖(신고기간 아님)","")&amp;IF(AND($AW516&lt;&gt;"",COUNTIF($AW$8:$AW$1007,$AW516)&gt;1)," / 승인번호 중복(두 번 붙여넣기?)","")&amp;IF(ABS($AU516-ROUND($AT516*0.1,0))&gt;설정!$B$8,IF($AU516=0," / 세액 0원(영세율·면세 여부 확인)"," / 세액이 공급가액 10%와 다름"),"")&amp;IF($BB516="수정"," / 수정세금계산서(합계에서 자동 가감)",""),4,200))</f>
        <v/>
      </c>
      <c r="BD516" s="2">
        <f>IF($BA516&lt;&gt;"포함","",IF(COUNTIFS($AX$8:$AX516,$AX516,$BA$8:$BA516,"포함")=1,MAX($BD$7:BD515)+1,""))</f>
        <v/>
      </c>
      <c r="BE516" s="2">
        <f>IF($BC516="","",MAX($BE$7:BE515)+1)</f>
        <v/>
      </c>
    </row>
    <row r="517">
      <c r="AR517" s="2">
        <f>IF(OR($A$5="",$B$6="",ROW()&lt;$A$5),"",IF(INDEX($A:$AP,ROW(),$B$6)="","",INDEX($A:$AP,ROW(),$B$6)))</f>
        <v/>
      </c>
      <c r="AS517" s="22">
        <f>IF($AR517="","",IF(ISNUMBER($AR517),IF($AR517&gt;=10000000,IFERROR(DATE(INT($AR517/10000),MOD(INT($AR517/100),100),MOD($AR517,100)),""),INT($AR517)),IFERROR(DATE(--LEFT(LEFT(SUBSTITUTE(SUBSTITUTE(SUBSTITUTE(SUBSTITUTE(TRIM($AR517),"-",""),".",""),"/","")," ",""),8),4),--MID(LEFT(SUBSTITUTE(SUBSTITUTE(SUBSTITUTE(SUBSTITUTE(TRIM($AR517),"-",""),".",""),"/","")," ",""),8),5,2),--MID(LEFT(SUBSTITUTE(SUBSTITUTE(SUBSTITUTE(SUBSTITUTE(TRIM($AR517),"-",""),".",""),"/","")," ",""),8),7,2)),"")))</f>
        <v/>
      </c>
      <c r="AT517" s="23">
        <f>IF($AS517="","",IF($F$6="",0,IF(ISNUMBER(INDEX($A:$AP,ROW(),$F$6)),INDEX($A:$AP,ROW(),$F$6),IFERROR(--SUBSTITUTE(SUBSTITUTE(TRIM(INDEX($A:$AP,ROW(),$F$6)),",",""),"원",""),0))))</f>
        <v/>
      </c>
      <c r="AU517" s="23">
        <f>IF($AS517="","",IF($G$6="",0,IF(ISNUMBER(INDEX($A:$AP,ROW(),$G$6)),INDEX($A:$AP,ROW(),$G$6),IFERROR(--SUBSTITUTE(SUBSTITUTE(TRIM(INDEX($A:$AP,ROW(),$G$6)),",",""),"원",""),0))))</f>
        <v/>
      </c>
      <c r="AV517" s="23">
        <f>IF($AS517="","",IF($H$6="",$AT517+$AU517,IF($H$6="",0,IF(ISNUMBER(INDEX($A:$AP,ROW(),$H$6)),INDEX($A:$AP,ROW(),$H$6),IFERROR(--SUBSTITUTE(SUBSTITUTE(TRIM(INDEX($A:$AP,ROW(),$H$6)),",",""),"원",""),0)))))</f>
        <v/>
      </c>
      <c r="AW517" s="2">
        <f>IF(OR($AS517="",$C$6=""),"",TRIM(INDEX($A:$AP,ROW(),$C$6)&amp;""))</f>
        <v/>
      </c>
      <c r="AX517" s="2">
        <f>IF($AS517="","",IF($AZ517&lt;&gt;"",SUBSTITUTE(SUBSTITUTE($AZ517,"-","")," ",""),$AY517))</f>
        <v/>
      </c>
      <c r="AY517" s="2">
        <f>IF(OR($AS517="",$E$6=""),"",TRIM(INDEX($A:$AP,ROW(),$E$6)&amp;""))</f>
        <v/>
      </c>
      <c r="AZ517" s="2">
        <f>IF(OR($AS517="",$D$6=""),"",TRIM(INDEX($A:$AP,ROW(),$D$6)&amp;""))</f>
        <v/>
      </c>
      <c r="BA517" s="2">
        <f>IF($AS517="","",IF(AND($AS517&gt;=설정!$B$10,$AS517&lt;=설정!$B$11),"포함","기간 밖"))</f>
        <v/>
      </c>
      <c r="BB517" s="2">
        <f>IF($AS517="","",IF(OR($AT517&lt;0,AND($I$6&lt;&gt;"",ISNUMBER(FIND("수정",INDEX($A:$AP,ROW(),IF($I$6="",1,$I$6))&amp;"")))),"수정","일반"))</f>
        <v/>
      </c>
      <c r="BC517" s="2">
        <f>IF($AS517="","",MID(IF($BA517="기간 밖"," / 기간 밖(신고기간 아님)","")&amp;IF(AND($AW517&lt;&gt;"",COUNTIF($AW$8:$AW$1007,$AW517)&gt;1)," / 승인번호 중복(두 번 붙여넣기?)","")&amp;IF(ABS($AU517-ROUND($AT517*0.1,0))&gt;설정!$B$8,IF($AU517=0," / 세액 0원(영세율·면세 여부 확인)"," / 세액이 공급가액 10%와 다름"),"")&amp;IF($BB517="수정"," / 수정세금계산서(합계에서 자동 가감)",""),4,200))</f>
        <v/>
      </c>
      <c r="BD517" s="2">
        <f>IF($BA517&lt;&gt;"포함","",IF(COUNTIFS($AX$8:$AX517,$AX517,$BA$8:$BA517,"포함")=1,MAX($BD$7:BD516)+1,""))</f>
        <v/>
      </c>
      <c r="BE517" s="2">
        <f>IF($BC517="","",MAX($BE$7:BE516)+1)</f>
        <v/>
      </c>
    </row>
    <row r="518">
      <c r="AR518" s="2">
        <f>IF(OR($A$5="",$B$6="",ROW()&lt;$A$5),"",IF(INDEX($A:$AP,ROW(),$B$6)="","",INDEX($A:$AP,ROW(),$B$6)))</f>
        <v/>
      </c>
      <c r="AS518" s="22">
        <f>IF($AR518="","",IF(ISNUMBER($AR518),IF($AR518&gt;=10000000,IFERROR(DATE(INT($AR518/10000),MOD(INT($AR518/100),100),MOD($AR518,100)),""),INT($AR518)),IFERROR(DATE(--LEFT(LEFT(SUBSTITUTE(SUBSTITUTE(SUBSTITUTE(SUBSTITUTE(TRIM($AR518),"-",""),".",""),"/","")," ",""),8),4),--MID(LEFT(SUBSTITUTE(SUBSTITUTE(SUBSTITUTE(SUBSTITUTE(TRIM($AR518),"-",""),".",""),"/","")," ",""),8),5,2),--MID(LEFT(SUBSTITUTE(SUBSTITUTE(SUBSTITUTE(SUBSTITUTE(TRIM($AR518),"-",""),".",""),"/","")," ",""),8),7,2)),"")))</f>
        <v/>
      </c>
      <c r="AT518" s="23">
        <f>IF($AS518="","",IF($F$6="",0,IF(ISNUMBER(INDEX($A:$AP,ROW(),$F$6)),INDEX($A:$AP,ROW(),$F$6),IFERROR(--SUBSTITUTE(SUBSTITUTE(TRIM(INDEX($A:$AP,ROW(),$F$6)),",",""),"원",""),0))))</f>
        <v/>
      </c>
      <c r="AU518" s="23">
        <f>IF($AS518="","",IF($G$6="",0,IF(ISNUMBER(INDEX($A:$AP,ROW(),$G$6)),INDEX($A:$AP,ROW(),$G$6),IFERROR(--SUBSTITUTE(SUBSTITUTE(TRIM(INDEX($A:$AP,ROW(),$G$6)),",",""),"원",""),0))))</f>
        <v/>
      </c>
      <c r="AV518" s="23">
        <f>IF($AS518="","",IF($H$6="",$AT518+$AU518,IF($H$6="",0,IF(ISNUMBER(INDEX($A:$AP,ROW(),$H$6)),INDEX($A:$AP,ROW(),$H$6),IFERROR(--SUBSTITUTE(SUBSTITUTE(TRIM(INDEX($A:$AP,ROW(),$H$6)),",",""),"원",""),0)))))</f>
        <v/>
      </c>
      <c r="AW518" s="2">
        <f>IF(OR($AS518="",$C$6=""),"",TRIM(INDEX($A:$AP,ROW(),$C$6)&amp;""))</f>
        <v/>
      </c>
      <c r="AX518" s="2">
        <f>IF($AS518="","",IF($AZ518&lt;&gt;"",SUBSTITUTE(SUBSTITUTE($AZ518,"-","")," ",""),$AY518))</f>
        <v/>
      </c>
      <c r="AY518" s="2">
        <f>IF(OR($AS518="",$E$6=""),"",TRIM(INDEX($A:$AP,ROW(),$E$6)&amp;""))</f>
        <v/>
      </c>
      <c r="AZ518" s="2">
        <f>IF(OR($AS518="",$D$6=""),"",TRIM(INDEX($A:$AP,ROW(),$D$6)&amp;""))</f>
        <v/>
      </c>
      <c r="BA518" s="2">
        <f>IF($AS518="","",IF(AND($AS518&gt;=설정!$B$10,$AS518&lt;=설정!$B$11),"포함","기간 밖"))</f>
        <v/>
      </c>
      <c r="BB518" s="2">
        <f>IF($AS518="","",IF(OR($AT518&lt;0,AND($I$6&lt;&gt;"",ISNUMBER(FIND("수정",INDEX($A:$AP,ROW(),IF($I$6="",1,$I$6))&amp;"")))),"수정","일반"))</f>
        <v/>
      </c>
      <c r="BC518" s="2">
        <f>IF($AS518="","",MID(IF($BA518="기간 밖"," / 기간 밖(신고기간 아님)","")&amp;IF(AND($AW518&lt;&gt;"",COUNTIF($AW$8:$AW$1007,$AW518)&gt;1)," / 승인번호 중복(두 번 붙여넣기?)","")&amp;IF(ABS($AU518-ROUND($AT518*0.1,0))&gt;설정!$B$8,IF($AU518=0," / 세액 0원(영세율·면세 여부 확인)"," / 세액이 공급가액 10%와 다름"),"")&amp;IF($BB518="수정"," / 수정세금계산서(합계에서 자동 가감)",""),4,200))</f>
        <v/>
      </c>
      <c r="BD518" s="2">
        <f>IF($BA518&lt;&gt;"포함","",IF(COUNTIFS($AX$8:$AX518,$AX518,$BA$8:$BA518,"포함")=1,MAX($BD$7:BD517)+1,""))</f>
        <v/>
      </c>
      <c r="BE518" s="2">
        <f>IF($BC518="","",MAX($BE$7:BE517)+1)</f>
        <v/>
      </c>
    </row>
    <row r="519">
      <c r="AR519" s="2">
        <f>IF(OR($A$5="",$B$6="",ROW()&lt;$A$5),"",IF(INDEX($A:$AP,ROW(),$B$6)="","",INDEX($A:$AP,ROW(),$B$6)))</f>
        <v/>
      </c>
      <c r="AS519" s="22">
        <f>IF($AR519="","",IF(ISNUMBER($AR519),IF($AR519&gt;=10000000,IFERROR(DATE(INT($AR519/10000),MOD(INT($AR519/100),100),MOD($AR519,100)),""),INT($AR519)),IFERROR(DATE(--LEFT(LEFT(SUBSTITUTE(SUBSTITUTE(SUBSTITUTE(SUBSTITUTE(TRIM($AR519),"-",""),".",""),"/","")," ",""),8),4),--MID(LEFT(SUBSTITUTE(SUBSTITUTE(SUBSTITUTE(SUBSTITUTE(TRIM($AR519),"-",""),".",""),"/","")," ",""),8),5,2),--MID(LEFT(SUBSTITUTE(SUBSTITUTE(SUBSTITUTE(SUBSTITUTE(TRIM($AR519),"-",""),".",""),"/","")," ",""),8),7,2)),"")))</f>
        <v/>
      </c>
      <c r="AT519" s="23">
        <f>IF($AS519="","",IF($F$6="",0,IF(ISNUMBER(INDEX($A:$AP,ROW(),$F$6)),INDEX($A:$AP,ROW(),$F$6),IFERROR(--SUBSTITUTE(SUBSTITUTE(TRIM(INDEX($A:$AP,ROW(),$F$6)),",",""),"원",""),0))))</f>
        <v/>
      </c>
      <c r="AU519" s="23">
        <f>IF($AS519="","",IF($G$6="",0,IF(ISNUMBER(INDEX($A:$AP,ROW(),$G$6)),INDEX($A:$AP,ROW(),$G$6),IFERROR(--SUBSTITUTE(SUBSTITUTE(TRIM(INDEX($A:$AP,ROW(),$G$6)),",",""),"원",""),0))))</f>
        <v/>
      </c>
      <c r="AV519" s="23">
        <f>IF($AS519="","",IF($H$6="",$AT519+$AU519,IF($H$6="",0,IF(ISNUMBER(INDEX($A:$AP,ROW(),$H$6)),INDEX($A:$AP,ROW(),$H$6),IFERROR(--SUBSTITUTE(SUBSTITUTE(TRIM(INDEX($A:$AP,ROW(),$H$6)),",",""),"원",""),0)))))</f>
        <v/>
      </c>
      <c r="AW519" s="2">
        <f>IF(OR($AS519="",$C$6=""),"",TRIM(INDEX($A:$AP,ROW(),$C$6)&amp;""))</f>
        <v/>
      </c>
      <c r="AX519" s="2">
        <f>IF($AS519="","",IF($AZ519&lt;&gt;"",SUBSTITUTE(SUBSTITUTE($AZ519,"-","")," ",""),$AY519))</f>
        <v/>
      </c>
      <c r="AY519" s="2">
        <f>IF(OR($AS519="",$E$6=""),"",TRIM(INDEX($A:$AP,ROW(),$E$6)&amp;""))</f>
        <v/>
      </c>
      <c r="AZ519" s="2">
        <f>IF(OR($AS519="",$D$6=""),"",TRIM(INDEX($A:$AP,ROW(),$D$6)&amp;""))</f>
        <v/>
      </c>
      <c r="BA519" s="2">
        <f>IF($AS519="","",IF(AND($AS519&gt;=설정!$B$10,$AS519&lt;=설정!$B$11),"포함","기간 밖"))</f>
        <v/>
      </c>
      <c r="BB519" s="2">
        <f>IF($AS519="","",IF(OR($AT519&lt;0,AND($I$6&lt;&gt;"",ISNUMBER(FIND("수정",INDEX($A:$AP,ROW(),IF($I$6="",1,$I$6))&amp;"")))),"수정","일반"))</f>
        <v/>
      </c>
      <c r="BC519" s="2">
        <f>IF($AS519="","",MID(IF($BA519="기간 밖"," / 기간 밖(신고기간 아님)","")&amp;IF(AND($AW519&lt;&gt;"",COUNTIF($AW$8:$AW$1007,$AW519)&gt;1)," / 승인번호 중복(두 번 붙여넣기?)","")&amp;IF(ABS($AU519-ROUND($AT519*0.1,0))&gt;설정!$B$8,IF($AU519=0," / 세액 0원(영세율·면세 여부 확인)"," / 세액이 공급가액 10%와 다름"),"")&amp;IF($BB519="수정"," / 수정세금계산서(합계에서 자동 가감)",""),4,200))</f>
        <v/>
      </c>
      <c r="BD519" s="2">
        <f>IF($BA519&lt;&gt;"포함","",IF(COUNTIFS($AX$8:$AX519,$AX519,$BA$8:$BA519,"포함")=1,MAX($BD$7:BD518)+1,""))</f>
        <v/>
      </c>
      <c r="BE519" s="2">
        <f>IF($BC519="","",MAX($BE$7:BE518)+1)</f>
        <v/>
      </c>
    </row>
    <row r="520">
      <c r="AR520" s="2">
        <f>IF(OR($A$5="",$B$6="",ROW()&lt;$A$5),"",IF(INDEX($A:$AP,ROW(),$B$6)="","",INDEX($A:$AP,ROW(),$B$6)))</f>
        <v/>
      </c>
      <c r="AS520" s="22">
        <f>IF($AR520="","",IF(ISNUMBER($AR520),IF($AR520&gt;=10000000,IFERROR(DATE(INT($AR520/10000),MOD(INT($AR520/100),100),MOD($AR520,100)),""),INT($AR520)),IFERROR(DATE(--LEFT(LEFT(SUBSTITUTE(SUBSTITUTE(SUBSTITUTE(SUBSTITUTE(TRIM($AR520),"-",""),".",""),"/","")," ",""),8),4),--MID(LEFT(SUBSTITUTE(SUBSTITUTE(SUBSTITUTE(SUBSTITUTE(TRIM($AR520),"-",""),".",""),"/","")," ",""),8),5,2),--MID(LEFT(SUBSTITUTE(SUBSTITUTE(SUBSTITUTE(SUBSTITUTE(TRIM($AR520),"-",""),".",""),"/","")," ",""),8),7,2)),"")))</f>
        <v/>
      </c>
      <c r="AT520" s="23">
        <f>IF($AS520="","",IF($F$6="",0,IF(ISNUMBER(INDEX($A:$AP,ROW(),$F$6)),INDEX($A:$AP,ROW(),$F$6),IFERROR(--SUBSTITUTE(SUBSTITUTE(TRIM(INDEX($A:$AP,ROW(),$F$6)),",",""),"원",""),0))))</f>
        <v/>
      </c>
      <c r="AU520" s="23">
        <f>IF($AS520="","",IF($G$6="",0,IF(ISNUMBER(INDEX($A:$AP,ROW(),$G$6)),INDEX($A:$AP,ROW(),$G$6),IFERROR(--SUBSTITUTE(SUBSTITUTE(TRIM(INDEX($A:$AP,ROW(),$G$6)),",",""),"원",""),0))))</f>
        <v/>
      </c>
      <c r="AV520" s="23">
        <f>IF($AS520="","",IF($H$6="",$AT520+$AU520,IF($H$6="",0,IF(ISNUMBER(INDEX($A:$AP,ROW(),$H$6)),INDEX($A:$AP,ROW(),$H$6),IFERROR(--SUBSTITUTE(SUBSTITUTE(TRIM(INDEX($A:$AP,ROW(),$H$6)),",",""),"원",""),0)))))</f>
        <v/>
      </c>
      <c r="AW520" s="2">
        <f>IF(OR($AS520="",$C$6=""),"",TRIM(INDEX($A:$AP,ROW(),$C$6)&amp;""))</f>
        <v/>
      </c>
      <c r="AX520" s="2">
        <f>IF($AS520="","",IF($AZ520&lt;&gt;"",SUBSTITUTE(SUBSTITUTE($AZ520,"-","")," ",""),$AY520))</f>
        <v/>
      </c>
      <c r="AY520" s="2">
        <f>IF(OR($AS520="",$E$6=""),"",TRIM(INDEX($A:$AP,ROW(),$E$6)&amp;""))</f>
        <v/>
      </c>
      <c r="AZ520" s="2">
        <f>IF(OR($AS520="",$D$6=""),"",TRIM(INDEX($A:$AP,ROW(),$D$6)&amp;""))</f>
        <v/>
      </c>
      <c r="BA520" s="2">
        <f>IF($AS520="","",IF(AND($AS520&gt;=설정!$B$10,$AS520&lt;=설정!$B$11),"포함","기간 밖"))</f>
        <v/>
      </c>
      <c r="BB520" s="2">
        <f>IF($AS520="","",IF(OR($AT520&lt;0,AND($I$6&lt;&gt;"",ISNUMBER(FIND("수정",INDEX($A:$AP,ROW(),IF($I$6="",1,$I$6))&amp;"")))),"수정","일반"))</f>
        <v/>
      </c>
      <c r="BC520" s="2">
        <f>IF($AS520="","",MID(IF($BA520="기간 밖"," / 기간 밖(신고기간 아님)","")&amp;IF(AND($AW520&lt;&gt;"",COUNTIF($AW$8:$AW$1007,$AW520)&gt;1)," / 승인번호 중복(두 번 붙여넣기?)","")&amp;IF(ABS($AU520-ROUND($AT520*0.1,0))&gt;설정!$B$8,IF($AU520=0," / 세액 0원(영세율·면세 여부 확인)"," / 세액이 공급가액 10%와 다름"),"")&amp;IF($BB520="수정"," / 수정세금계산서(합계에서 자동 가감)",""),4,200))</f>
        <v/>
      </c>
      <c r="BD520" s="2">
        <f>IF($BA520&lt;&gt;"포함","",IF(COUNTIFS($AX$8:$AX520,$AX520,$BA$8:$BA520,"포함")=1,MAX($BD$7:BD519)+1,""))</f>
        <v/>
      </c>
      <c r="BE520" s="2">
        <f>IF($BC520="","",MAX($BE$7:BE519)+1)</f>
        <v/>
      </c>
    </row>
    <row r="521">
      <c r="AR521" s="2">
        <f>IF(OR($A$5="",$B$6="",ROW()&lt;$A$5),"",IF(INDEX($A:$AP,ROW(),$B$6)="","",INDEX($A:$AP,ROW(),$B$6)))</f>
        <v/>
      </c>
      <c r="AS521" s="22">
        <f>IF($AR521="","",IF(ISNUMBER($AR521),IF($AR521&gt;=10000000,IFERROR(DATE(INT($AR521/10000),MOD(INT($AR521/100),100),MOD($AR521,100)),""),INT($AR521)),IFERROR(DATE(--LEFT(LEFT(SUBSTITUTE(SUBSTITUTE(SUBSTITUTE(SUBSTITUTE(TRIM($AR521),"-",""),".",""),"/","")," ",""),8),4),--MID(LEFT(SUBSTITUTE(SUBSTITUTE(SUBSTITUTE(SUBSTITUTE(TRIM($AR521),"-",""),".",""),"/","")," ",""),8),5,2),--MID(LEFT(SUBSTITUTE(SUBSTITUTE(SUBSTITUTE(SUBSTITUTE(TRIM($AR521),"-",""),".",""),"/","")," ",""),8),7,2)),"")))</f>
        <v/>
      </c>
      <c r="AT521" s="23">
        <f>IF($AS521="","",IF($F$6="",0,IF(ISNUMBER(INDEX($A:$AP,ROW(),$F$6)),INDEX($A:$AP,ROW(),$F$6),IFERROR(--SUBSTITUTE(SUBSTITUTE(TRIM(INDEX($A:$AP,ROW(),$F$6)),",",""),"원",""),0))))</f>
        <v/>
      </c>
      <c r="AU521" s="23">
        <f>IF($AS521="","",IF($G$6="",0,IF(ISNUMBER(INDEX($A:$AP,ROW(),$G$6)),INDEX($A:$AP,ROW(),$G$6),IFERROR(--SUBSTITUTE(SUBSTITUTE(TRIM(INDEX($A:$AP,ROW(),$G$6)),",",""),"원",""),0))))</f>
        <v/>
      </c>
      <c r="AV521" s="23">
        <f>IF($AS521="","",IF($H$6="",$AT521+$AU521,IF($H$6="",0,IF(ISNUMBER(INDEX($A:$AP,ROW(),$H$6)),INDEX($A:$AP,ROW(),$H$6),IFERROR(--SUBSTITUTE(SUBSTITUTE(TRIM(INDEX($A:$AP,ROW(),$H$6)),",",""),"원",""),0)))))</f>
        <v/>
      </c>
      <c r="AW521" s="2">
        <f>IF(OR($AS521="",$C$6=""),"",TRIM(INDEX($A:$AP,ROW(),$C$6)&amp;""))</f>
        <v/>
      </c>
      <c r="AX521" s="2">
        <f>IF($AS521="","",IF($AZ521&lt;&gt;"",SUBSTITUTE(SUBSTITUTE($AZ521,"-","")," ",""),$AY521))</f>
        <v/>
      </c>
      <c r="AY521" s="2">
        <f>IF(OR($AS521="",$E$6=""),"",TRIM(INDEX($A:$AP,ROW(),$E$6)&amp;""))</f>
        <v/>
      </c>
      <c r="AZ521" s="2">
        <f>IF(OR($AS521="",$D$6=""),"",TRIM(INDEX($A:$AP,ROW(),$D$6)&amp;""))</f>
        <v/>
      </c>
      <c r="BA521" s="2">
        <f>IF($AS521="","",IF(AND($AS521&gt;=설정!$B$10,$AS521&lt;=설정!$B$11),"포함","기간 밖"))</f>
        <v/>
      </c>
      <c r="BB521" s="2">
        <f>IF($AS521="","",IF(OR($AT521&lt;0,AND($I$6&lt;&gt;"",ISNUMBER(FIND("수정",INDEX($A:$AP,ROW(),IF($I$6="",1,$I$6))&amp;"")))),"수정","일반"))</f>
        <v/>
      </c>
      <c r="BC521" s="2">
        <f>IF($AS521="","",MID(IF($BA521="기간 밖"," / 기간 밖(신고기간 아님)","")&amp;IF(AND($AW521&lt;&gt;"",COUNTIF($AW$8:$AW$1007,$AW521)&gt;1)," / 승인번호 중복(두 번 붙여넣기?)","")&amp;IF(ABS($AU521-ROUND($AT521*0.1,0))&gt;설정!$B$8,IF($AU521=0," / 세액 0원(영세율·면세 여부 확인)"," / 세액이 공급가액 10%와 다름"),"")&amp;IF($BB521="수정"," / 수정세금계산서(합계에서 자동 가감)",""),4,200))</f>
        <v/>
      </c>
      <c r="BD521" s="2">
        <f>IF($BA521&lt;&gt;"포함","",IF(COUNTIFS($AX$8:$AX521,$AX521,$BA$8:$BA521,"포함")=1,MAX($BD$7:BD520)+1,""))</f>
        <v/>
      </c>
      <c r="BE521" s="2">
        <f>IF($BC521="","",MAX($BE$7:BE520)+1)</f>
        <v/>
      </c>
    </row>
    <row r="522">
      <c r="AR522" s="2">
        <f>IF(OR($A$5="",$B$6="",ROW()&lt;$A$5),"",IF(INDEX($A:$AP,ROW(),$B$6)="","",INDEX($A:$AP,ROW(),$B$6)))</f>
        <v/>
      </c>
      <c r="AS522" s="22">
        <f>IF($AR522="","",IF(ISNUMBER($AR522),IF($AR522&gt;=10000000,IFERROR(DATE(INT($AR522/10000),MOD(INT($AR522/100),100),MOD($AR522,100)),""),INT($AR522)),IFERROR(DATE(--LEFT(LEFT(SUBSTITUTE(SUBSTITUTE(SUBSTITUTE(SUBSTITUTE(TRIM($AR522),"-",""),".",""),"/","")," ",""),8),4),--MID(LEFT(SUBSTITUTE(SUBSTITUTE(SUBSTITUTE(SUBSTITUTE(TRIM($AR522),"-",""),".",""),"/","")," ",""),8),5,2),--MID(LEFT(SUBSTITUTE(SUBSTITUTE(SUBSTITUTE(SUBSTITUTE(TRIM($AR522),"-",""),".",""),"/","")," ",""),8),7,2)),"")))</f>
        <v/>
      </c>
      <c r="AT522" s="23">
        <f>IF($AS522="","",IF($F$6="",0,IF(ISNUMBER(INDEX($A:$AP,ROW(),$F$6)),INDEX($A:$AP,ROW(),$F$6),IFERROR(--SUBSTITUTE(SUBSTITUTE(TRIM(INDEX($A:$AP,ROW(),$F$6)),",",""),"원",""),0))))</f>
        <v/>
      </c>
      <c r="AU522" s="23">
        <f>IF($AS522="","",IF($G$6="",0,IF(ISNUMBER(INDEX($A:$AP,ROW(),$G$6)),INDEX($A:$AP,ROW(),$G$6),IFERROR(--SUBSTITUTE(SUBSTITUTE(TRIM(INDEX($A:$AP,ROW(),$G$6)),",",""),"원",""),0))))</f>
        <v/>
      </c>
      <c r="AV522" s="23">
        <f>IF($AS522="","",IF($H$6="",$AT522+$AU522,IF($H$6="",0,IF(ISNUMBER(INDEX($A:$AP,ROW(),$H$6)),INDEX($A:$AP,ROW(),$H$6),IFERROR(--SUBSTITUTE(SUBSTITUTE(TRIM(INDEX($A:$AP,ROW(),$H$6)),",",""),"원",""),0)))))</f>
        <v/>
      </c>
      <c r="AW522" s="2">
        <f>IF(OR($AS522="",$C$6=""),"",TRIM(INDEX($A:$AP,ROW(),$C$6)&amp;""))</f>
        <v/>
      </c>
      <c r="AX522" s="2">
        <f>IF($AS522="","",IF($AZ522&lt;&gt;"",SUBSTITUTE(SUBSTITUTE($AZ522,"-","")," ",""),$AY522))</f>
        <v/>
      </c>
      <c r="AY522" s="2">
        <f>IF(OR($AS522="",$E$6=""),"",TRIM(INDEX($A:$AP,ROW(),$E$6)&amp;""))</f>
        <v/>
      </c>
      <c r="AZ522" s="2">
        <f>IF(OR($AS522="",$D$6=""),"",TRIM(INDEX($A:$AP,ROW(),$D$6)&amp;""))</f>
        <v/>
      </c>
      <c r="BA522" s="2">
        <f>IF($AS522="","",IF(AND($AS522&gt;=설정!$B$10,$AS522&lt;=설정!$B$11),"포함","기간 밖"))</f>
        <v/>
      </c>
      <c r="BB522" s="2">
        <f>IF($AS522="","",IF(OR($AT522&lt;0,AND($I$6&lt;&gt;"",ISNUMBER(FIND("수정",INDEX($A:$AP,ROW(),IF($I$6="",1,$I$6))&amp;"")))),"수정","일반"))</f>
        <v/>
      </c>
      <c r="BC522" s="2">
        <f>IF($AS522="","",MID(IF($BA522="기간 밖"," / 기간 밖(신고기간 아님)","")&amp;IF(AND($AW522&lt;&gt;"",COUNTIF($AW$8:$AW$1007,$AW522)&gt;1)," / 승인번호 중복(두 번 붙여넣기?)","")&amp;IF(ABS($AU522-ROUND($AT522*0.1,0))&gt;설정!$B$8,IF($AU522=0," / 세액 0원(영세율·면세 여부 확인)"," / 세액이 공급가액 10%와 다름"),"")&amp;IF($BB522="수정"," / 수정세금계산서(합계에서 자동 가감)",""),4,200))</f>
        <v/>
      </c>
      <c r="BD522" s="2">
        <f>IF($BA522&lt;&gt;"포함","",IF(COUNTIFS($AX$8:$AX522,$AX522,$BA$8:$BA522,"포함")=1,MAX($BD$7:BD521)+1,""))</f>
        <v/>
      </c>
      <c r="BE522" s="2">
        <f>IF($BC522="","",MAX($BE$7:BE521)+1)</f>
        <v/>
      </c>
    </row>
    <row r="523">
      <c r="AR523" s="2">
        <f>IF(OR($A$5="",$B$6="",ROW()&lt;$A$5),"",IF(INDEX($A:$AP,ROW(),$B$6)="","",INDEX($A:$AP,ROW(),$B$6)))</f>
        <v/>
      </c>
      <c r="AS523" s="22">
        <f>IF($AR523="","",IF(ISNUMBER($AR523),IF($AR523&gt;=10000000,IFERROR(DATE(INT($AR523/10000),MOD(INT($AR523/100),100),MOD($AR523,100)),""),INT($AR523)),IFERROR(DATE(--LEFT(LEFT(SUBSTITUTE(SUBSTITUTE(SUBSTITUTE(SUBSTITUTE(TRIM($AR523),"-",""),".",""),"/","")," ",""),8),4),--MID(LEFT(SUBSTITUTE(SUBSTITUTE(SUBSTITUTE(SUBSTITUTE(TRIM($AR523),"-",""),".",""),"/","")," ",""),8),5,2),--MID(LEFT(SUBSTITUTE(SUBSTITUTE(SUBSTITUTE(SUBSTITUTE(TRIM($AR523),"-",""),".",""),"/","")," ",""),8),7,2)),"")))</f>
        <v/>
      </c>
      <c r="AT523" s="23">
        <f>IF($AS523="","",IF($F$6="",0,IF(ISNUMBER(INDEX($A:$AP,ROW(),$F$6)),INDEX($A:$AP,ROW(),$F$6),IFERROR(--SUBSTITUTE(SUBSTITUTE(TRIM(INDEX($A:$AP,ROW(),$F$6)),",",""),"원",""),0))))</f>
        <v/>
      </c>
      <c r="AU523" s="23">
        <f>IF($AS523="","",IF($G$6="",0,IF(ISNUMBER(INDEX($A:$AP,ROW(),$G$6)),INDEX($A:$AP,ROW(),$G$6),IFERROR(--SUBSTITUTE(SUBSTITUTE(TRIM(INDEX($A:$AP,ROW(),$G$6)),",",""),"원",""),0))))</f>
        <v/>
      </c>
      <c r="AV523" s="23">
        <f>IF($AS523="","",IF($H$6="",$AT523+$AU523,IF($H$6="",0,IF(ISNUMBER(INDEX($A:$AP,ROW(),$H$6)),INDEX($A:$AP,ROW(),$H$6),IFERROR(--SUBSTITUTE(SUBSTITUTE(TRIM(INDEX($A:$AP,ROW(),$H$6)),",",""),"원",""),0)))))</f>
        <v/>
      </c>
      <c r="AW523" s="2">
        <f>IF(OR($AS523="",$C$6=""),"",TRIM(INDEX($A:$AP,ROW(),$C$6)&amp;""))</f>
        <v/>
      </c>
      <c r="AX523" s="2">
        <f>IF($AS523="","",IF($AZ523&lt;&gt;"",SUBSTITUTE(SUBSTITUTE($AZ523,"-","")," ",""),$AY523))</f>
        <v/>
      </c>
      <c r="AY523" s="2">
        <f>IF(OR($AS523="",$E$6=""),"",TRIM(INDEX($A:$AP,ROW(),$E$6)&amp;""))</f>
        <v/>
      </c>
      <c r="AZ523" s="2">
        <f>IF(OR($AS523="",$D$6=""),"",TRIM(INDEX($A:$AP,ROW(),$D$6)&amp;""))</f>
        <v/>
      </c>
      <c r="BA523" s="2">
        <f>IF($AS523="","",IF(AND($AS523&gt;=설정!$B$10,$AS523&lt;=설정!$B$11),"포함","기간 밖"))</f>
        <v/>
      </c>
      <c r="BB523" s="2">
        <f>IF($AS523="","",IF(OR($AT523&lt;0,AND($I$6&lt;&gt;"",ISNUMBER(FIND("수정",INDEX($A:$AP,ROW(),IF($I$6="",1,$I$6))&amp;"")))),"수정","일반"))</f>
        <v/>
      </c>
      <c r="BC523" s="2">
        <f>IF($AS523="","",MID(IF($BA523="기간 밖"," / 기간 밖(신고기간 아님)","")&amp;IF(AND($AW523&lt;&gt;"",COUNTIF($AW$8:$AW$1007,$AW523)&gt;1)," / 승인번호 중복(두 번 붙여넣기?)","")&amp;IF(ABS($AU523-ROUND($AT523*0.1,0))&gt;설정!$B$8,IF($AU523=0," / 세액 0원(영세율·면세 여부 확인)"," / 세액이 공급가액 10%와 다름"),"")&amp;IF($BB523="수정"," / 수정세금계산서(합계에서 자동 가감)",""),4,200))</f>
        <v/>
      </c>
      <c r="BD523" s="2">
        <f>IF($BA523&lt;&gt;"포함","",IF(COUNTIFS($AX$8:$AX523,$AX523,$BA$8:$BA523,"포함")=1,MAX($BD$7:BD522)+1,""))</f>
        <v/>
      </c>
      <c r="BE523" s="2">
        <f>IF($BC523="","",MAX($BE$7:BE522)+1)</f>
        <v/>
      </c>
    </row>
    <row r="524">
      <c r="AR524" s="2">
        <f>IF(OR($A$5="",$B$6="",ROW()&lt;$A$5),"",IF(INDEX($A:$AP,ROW(),$B$6)="","",INDEX($A:$AP,ROW(),$B$6)))</f>
        <v/>
      </c>
      <c r="AS524" s="22">
        <f>IF($AR524="","",IF(ISNUMBER($AR524),IF($AR524&gt;=10000000,IFERROR(DATE(INT($AR524/10000),MOD(INT($AR524/100),100),MOD($AR524,100)),""),INT($AR524)),IFERROR(DATE(--LEFT(LEFT(SUBSTITUTE(SUBSTITUTE(SUBSTITUTE(SUBSTITUTE(TRIM($AR524),"-",""),".",""),"/","")," ",""),8),4),--MID(LEFT(SUBSTITUTE(SUBSTITUTE(SUBSTITUTE(SUBSTITUTE(TRIM($AR524),"-",""),".",""),"/","")," ",""),8),5,2),--MID(LEFT(SUBSTITUTE(SUBSTITUTE(SUBSTITUTE(SUBSTITUTE(TRIM($AR524),"-",""),".",""),"/","")," ",""),8),7,2)),"")))</f>
        <v/>
      </c>
      <c r="AT524" s="23">
        <f>IF($AS524="","",IF($F$6="",0,IF(ISNUMBER(INDEX($A:$AP,ROW(),$F$6)),INDEX($A:$AP,ROW(),$F$6),IFERROR(--SUBSTITUTE(SUBSTITUTE(TRIM(INDEX($A:$AP,ROW(),$F$6)),",",""),"원",""),0))))</f>
        <v/>
      </c>
      <c r="AU524" s="23">
        <f>IF($AS524="","",IF($G$6="",0,IF(ISNUMBER(INDEX($A:$AP,ROW(),$G$6)),INDEX($A:$AP,ROW(),$G$6),IFERROR(--SUBSTITUTE(SUBSTITUTE(TRIM(INDEX($A:$AP,ROW(),$G$6)),",",""),"원",""),0))))</f>
        <v/>
      </c>
      <c r="AV524" s="23">
        <f>IF($AS524="","",IF($H$6="",$AT524+$AU524,IF($H$6="",0,IF(ISNUMBER(INDEX($A:$AP,ROW(),$H$6)),INDEX($A:$AP,ROW(),$H$6),IFERROR(--SUBSTITUTE(SUBSTITUTE(TRIM(INDEX($A:$AP,ROW(),$H$6)),",",""),"원",""),0)))))</f>
        <v/>
      </c>
      <c r="AW524" s="2">
        <f>IF(OR($AS524="",$C$6=""),"",TRIM(INDEX($A:$AP,ROW(),$C$6)&amp;""))</f>
        <v/>
      </c>
      <c r="AX524" s="2">
        <f>IF($AS524="","",IF($AZ524&lt;&gt;"",SUBSTITUTE(SUBSTITUTE($AZ524,"-","")," ",""),$AY524))</f>
        <v/>
      </c>
      <c r="AY524" s="2">
        <f>IF(OR($AS524="",$E$6=""),"",TRIM(INDEX($A:$AP,ROW(),$E$6)&amp;""))</f>
        <v/>
      </c>
      <c r="AZ524" s="2">
        <f>IF(OR($AS524="",$D$6=""),"",TRIM(INDEX($A:$AP,ROW(),$D$6)&amp;""))</f>
        <v/>
      </c>
      <c r="BA524" s="2">
        <f>IF($AS524="","",IF(AND($AS524&gt;=설정!$B$10,$AS524&lt;=설정!$B$11),"포함","기간 밖"))</f>
        <v/>
      </c>
      <c r="BB524" s="2">
        <f>IF($AS524="","",IF(OR($AT524&lt;0,AND($I$6&lt;&gt;"",ISNUMBER(FIND("수정",INDEX($A:$AP,ROW(),IF($I$6="",1,$I$6))&amp;"")))),"수정","일반"))</f>
        <v/>
      </c>
      <c r="BC524" s="2">
        <f>IF($AS524="","",MID(IF($BA524="기간 밖"," / 기간 밖(신고기간 아님)","")&amp;IF(AND($AW524&lt;&gt;"",COUNTIF($AW$8:$AW$1007,$AW524)&gt;1)," / 승인번호 중복(두 번 붙여넣기?)","")&amp;IF(ABS($AU524-ROUND($AT524*0.1,0))&gt;설정!$B$8,IF($AU524=0," / 세액 0원(영세율·면세 여부 확인)"," / 세액이 공급가액 10%와 다름"),"")&amp;IF($BB524="수정"," / 수정세금계산서(합계에서 자동 가감)",""),4,200))</f>
        <v/>
      </c>
      <c r="BD524" s="2">
        <f>IF($BA524&lt;&gt;"포함","",IF(COUNTIFS($AX$8:$AX524,$AX524,$BA$8:$BA524,"포함")=1,MAX($BD$7:BD523)+1,""))</f>
        <v/>
      </c>
      <c r="BE524" s="2">
        <f>IF($BC524="","",MAX($BE$7:BE523)+1)</f>
        <v/>
      </c>
    </row>
    <row r="525">
      <c r="AR525" s="2">
        <f>IF(OR($A$5="",$B$6="",ROW()&lt;$A$5),"",IF(INDEX($A:$AP,ROW(),$B$6)="","",INDEX($A:$AP,ROW(),$B$6)))</f>
        <v/>
      </c>
      <c r="AS525" s="22">
        <f>IF($AR525="","",IF(ISNUMBER($AR525),IF($AR525&gt;=10000000,IFERROR(DATE(INT($AR525/10000),MOD(INT($AR525/100),100),MOD($AR525,100)),""),INT($AR525)),IFERROR(DATE(--LEFT(LEFT(SUBSTITUTE(SUBSTITUTE(SUBSTITUTE(SUBSTITUTE(TRIM($AR525),"-",""),".",""),"/","")," ",""),8),4),--MID(LEFT(SUBSTITUTE(SUBSTITUTE(SUBSTITUTE(SUBSTITUTE(TRIM($AR525),"-",""),".",""),"/","")," ",""),8),5,2),--MID(LEFT(SUBSTITUTE(SUBSTITUTE(SUBSTITUTE(SUBSTITUTE(TRIM($AR525),"-",""),".",""),"/","")," ",""),8),7,2)),"")))</f>
        <v/>
      </c>
      <c r="AT525" s="23">
        <f>IF($AS525="","",IF($F$6="",0,IF(ISNUMBER(INDEX($A:$AP,ROW(),$F$6)),INDEX($A:$AP,ROW(),$F$6),IFERROR(--SUBSTITUTE(SUBSTITUTE(TRIM(INDEX($A:$AP,ROW(),$F$6)),",",""),"원",""),0))))</f>
        <v/>
      </c>
      <c r="AU525" s="23">
        <f>IF($AS525="","",IF($G$6="",0,IF(ISNUMBER(INDEX($A:$AP,ROW(),$G$6)),INDEX($A:$AP,ROW(),$G$6),IFERROR(--SUBSTITUTE(SUBSTITUTE(TRIM(INDEX($A:$AP,ROW(),$G$6)),",",""),"원",""),0))))</f>
        <v/>
      </c>
      <c r="AV525" s="23">
        <f>IF($AS525="","",IF($H$6="",$AT525+$AU525,IF($H$6="",0,IF(ISNUMBER(INDEX($A:$AP,ROW(),$H$6)),INDEX($A:$AP,ROW(),$H$6),IFERROR(--SUBSTITUTE(SUBSTITUTE(TRIM(INDEX($A:$AP,ROW(),$H$6)),",",""),"원",""),0)))))</f>
        <v/>
      </c>
      <c r="AW525" s="2">
        <f>IF(OR($AS525="",$C$6=""),"",TRIM(INDEX($A:$AP,ROW(),$C$6)&amp;""))</f>
        <v/>
      </c>
      <c r="AX525" s="2">
        <f>IF($AS525="","",IF($AZ525&lt;&gt;"",SUBSTITUTE(SUBSTITUTE($AZ525,"-","")," ",""),$AY525))</f>
        <v/>
      </c>
      <c r="AY525" s="2">
        <f>IF(OR($AS525="",$E$6=""),"",TRIM(INDEX($A:$AP,ROW(),$E$6)&amp;""))</f>
        <v/>
      </c>
      <c r="AZ525" s="2">
        <f>IF(OR($AS525="",$D$6=""),"",TRIM(INDEX($A:$AP,ROW(),$D$6)&amp;""))</f>
        <v/>
      </c>
      <c r="BA525" s="2">
        <f>IF($AS525="","",IF(AND($AS525&gt;=설정!$B$10,$AS525&lt;=설정!$B$11),"포함","기간 밖"))</f>
        <v/>
      </c>
      <c r="BB525" s="2">
        <f>IF($AS525="","",IF(OR($AT525&lt;0,AND($I$6&lt;&gt;"",ISNUMBER(FIND("수정",INDEX($A:$AP,ROW(),IF($I$6="",1,$I$6))&amp;"")))),"수정","일반"))</f>
        <v/>
      </c>
      <c r="BC525" s="2">
        <f>IF($AS525="","",MID(IF($BA525="기간 밖"," / 기간 밖(신고기간 아님)","")&amp;IF(AND($AW525&lt;&gt;"",COUNTIF($AW$8:$AW$1007,$AW525)&gt;1)," / 승인번호 중복(두 번 붙여넣기?)","")&amp;IF(ABS($AU525-ROUND($AT525*0.1,0))&gt;설정!$B$8,IF($AU525=0," / 세액 0원(영세율·면세 여부 확인)"," / 세액이 공급가액 10%와 다름"),"")&amp;IF($BB525="수정"," / 수정세금계산서(합계에서 자동 가감)",""),4,200))</f>
        <v/>
      </c>
      <c r="BD525" s="2">
        <f>IF($BA525&lt;&gt;"포함","",IF(COUNTIFS($AX$8:$AX525,$AX525,$BA$8:$BA525,"포함")=1,MAX($BD$7:BD524)+1,""))</f>
        <v/>
      </c>
      <c r="BE525" s="2">
        <f>IF($BC525="","",MAX($BE$7:BE524)+1)</f>
        <v/>
      </c>
    </row>
    <row r="526">
      <c r="AR526" s="2">
        <f>IF(OR($A$5="",$B$6="",ROW()&lt;$A$5),"",IF(INDEX($A:$AP,ROW(),$B$6)="","",INDEX($A:$AP,ROW(),$B$6)))</f>
        <v/>
      </c>
      <c r="AS526" s="22">
        <f>IF($AR526="","",IF(ISNUMBER($AR526),IF($AR526&gt;=10000000,IFERROR(DATE(INT($AR526/10000),MOD(INT($AR526/100),100),MOD($AR526,100)),""),INT($AR526)),IFERROR(DATE(--LEFT(LEFT(SUBSTITUTE(SUBSTITUTE(SUBSTITUTE(SUBSTITUTE(TRIM($AR526),"-",""),".",""),"/","")," ",""),8),4),--MID(LEFT(SUBSTITUTE(SUBSTITUTE(SUBSTITUTE(SUBSTITUTE(TRIM($AR526),"-",""),".",""),"/","")," ",""),8),5,2),--MID(LEFT(SUBSTITUTE(SUBSTITUTE(SUBSTITUTE(SUBSTITUTE(TRIM($AR526),"-",""),".",""),"/","")," ",""),8),7,2)),"")))</f>
        <v/>
      </c>
      <c r="AT526" s="23">
        <f>IF($AS526="","",IF($F$6="",0,IF(ISNUMBER(INDEX($A:$AP,ROW(),$F$6)),INDEX($A:$AP,ROW(),$F$6),IFERROR(--SUBSTITUTE(SUBSTITUTE(TRIM(INDEX($A:$AP,ROW(),$F$6)),",",""),"원",""),0))))</f>
        <v/>
      </c>
      <c r="AU526" s="23">
        <f>IF($AS526="","",IF($G$6="",0,IF(ISNUMBER(INDEX($A:$AP,ROW(),$G$6)),INDEX($A:$AP,ROW(),$G$6),IFERROR(--SUBSTITUTE(SUBSTITUTE(TRIM(INDEX($A:$AP,ROW(),$G$6)),",",""),"원",""),0))))</f>
        <v/>
      </c>
      <c r="AV526" s="23">
        <f>IF($AS526="","",IF($H$6="",$AT526+$AU526,IF($H$6="",0,IF(ISNUMBER(INDEX($A:$AP,ROW(),$H$6)),INDEX($A:$AP,ROW(),$H$6),IFERROR(--SUBSTITUTE(SUBSTITUTE(TRIM(INDEX($A:$AP,ROW(),$H$6)),",",""),"원",""),0)))))</f>
        <v/>
      </c>
      <c r="AW526" s="2">
        <f>IF(OR($AS526="",$C$6=""),"",TRIM(INDEX($A:$AP,ROW(),$C$6)&amp;""))</f>
        <v/>
      </c>
      <c r="AX526" s="2">
        <f>IF($AS526="","",IF($AZ526&lt;&gt;"",SUBSTITUTE(SUBSTITUTE($AZ526,"-","")," ",""),$AY526))</f>
        <v/>
      </c>
      <c r="AY526" s="2">
        <f>IF(OR($AS526="",$E$6=""),"",TRIM(INDEX($A:$AP,ROW(),$E$6)&amp;""))</f>
        <v/>
      </c>
      <c r="AZ526" s="2">
        <f>IF(OR($AS526="",$D$6=""),"",TRIM(INDEX($A:$AP,ROW(),$D$6)&amp;""))</f>
        <v/>
      </c>
      <c r="BA526" s="2">
        <f>IF($AS526="","",IF(AND($AS526&gt;=설정!$B$10,$AS526&lt;=설정!$B$11),"포함","기간 밖"))</f>
        <v/>
      </c>
      <c r="BB526" s="2">
        <f>IF($AS526="","",IF(OR($AT526&lt;0,AND($I$6&lt;&gt;"",ISNUMBER(FIND("수정",INDEX($A:$AP,ROW(),IF($I$6="",1,$I$6))&amp;"")))),"수정","일반"))</f>
        <v/>
      </c>
      <c r="BC526" s="2">
        <f>IF($AS526="","",MID(IF($BA526="기간 밖"," / 기간 밖(신고기간 아님)","")&amp;IF(AND($AW526&lt;&gt;"",COUNTIF($AW$8:$AW$1007,$AW526)&gt;1)," / 승인번호 중복(두 번 붙여넣기?)","")&amp;IF(ABS($AU526-ROUND($AT526*0.1,0))&gt;설정!$B$8,IF($AU526=0," / 세액 0원(영세율·면세 여부 확인)"," / 세액이 공급가액 10%와 다름"),"")&amp;IF($BB526="수정"," / 수정세금계산서(합계에서 자동 가감)",""),4,200))</f>
        <v/>
      </c>
      <c r="BD526" s="2">
        <f>IF($BA526&lt;&gt;"포함","",IF(COUNTIFS($AX$8:$AX526,$AX526,$BA$8:$BA526,"포함")=1,MAX($BD$7:BD525)+1,""))</f>
        <v/>
      </c>
      <c r="BE526" s="2">
        <f>IF($BC526="","",MAX($BE$7:BE525)+1)</f>
        <v/>
      </c>
    </row>
    <row r="527">
      <c r="AR527" s="2">
        <f>IF(OR($A$5="",$B$6="",ROW()&lt;$A$5),"",IF(INDEX($A:$AP,ROW(),$B$6)="","",INDEX($A:$AP,ROW(),$B$6)))</f>
        <v/>
      </c>
      <c r="AS527" s="22">
        <f>IF($AR527="","",IF(ISNUMBER($AR527),IF($AR527&gt;=10000000,IFERROR(DATE(INT($AR527/10000),MOD(INT($AR527/100),100),MOD($AR527,100)),""),INT($AR527)),IFERROR(DATE(--LEFT(LEFT(SUBSTITUTE(SUBSTITUTE(SUBSTITUTE(SUBSTITUTE(TRIM($AR527),"-",""),".",""),"/","")," ",""),8),4),--MID(LEFT(SUBSTITUTE(SUBSTITUTE(SUBSTITUTE(SUBSTITUTE(TRIM($AR527),"-",""),".",""),"/","")," ",""),8),5,2),--MID(LEFT(SUBSTITUTE(SUBSTITUTE(SUBSTITUTE(SUBSTITUTE(TRIM($AR527),"-",""),".",""),"/","")," ",""),8),7,2)),"")))</f>
        <v/>
      </c>
      <c r="AT527" s="23">
        <f>IF($AS527="","",IF($F$6="",0,IF(ISNUMBER(INDEX($A:$AP,ROW(),$F$6)),INDEX($A:$AP,ROW(),$F$6),IFERROR(--SUBSTITUTE(SUBSTITUTE(TRIM(INDEX($A:$AP,ROW(),$F$6)),",",""),"원",""),0))))</f>
        <v/>
      </c>
      <c r="AU527" s="23">
        <f>IF($AS527="","",IF($G$6="",0,IF(ISNUMBER(INDEX($A:$AP,ROW(),$G$6)),INDEX($A:$AP,ROW(),$G$6),IFERROR(--SUBSTITUTE(SUBSTITUTE(TRIM(INDEX($A:$AP,ROW(),$G$6)),",",""),"원",""),0))))</f>
        <v/>
      </c>
      <c r="AV527" s="23">
        <f>IF($AS527="","",IF($H$6="",$AT527+$AU527,IF($H$6="",0,IF(ISNUMBER(INDEX($A:$AP,ROW(),$H$6)),INDEX($A:$AP,ROW(),$H$6),IFERROR(--SUBSTITUTE(SUBSTITUTE(TRIM(INDEX($A:$AP,ROW(),$H$6)),",",""),"원",""),0)))))</f>
        <v/>
      </c>
      <c r="AW527" s="2">
        <f>IF(OR($AS527="",$C$6=""),"",TRIM(INDEX($A:$AP,ROW(),$C$6)&amp;""))</f>
        <v/>
      </c>
      <c r="AX527" s="2">
        <f>IF($AS527="","",IF($AZ527&lt;&gt;"",SUBSTITUTE(SUBSTITUTE($AZ527,"-","")," ",""),$AY527))</f>
        <v/>
      </c>
      <c r="AY527" s="2">
        <f>IF(OR($AS527="",$E$6=""),"",TRIM(INDEX($A:$AP,ROW(),$E$6)&amp;""))</f>
        <v/>
      </c>
      <c r="AZ527" s="2">
        <f>IF(OR($AS527="",$D$6=""),"",TRIM(INDEX($A:$AP,ROW(),$D$6)&amp;""))</f>
        <v/>
      </c>
      <c r="BA527" s="2">
        <f>IF($AS527="","",IF(AND($AS527&gt;=설정!$B$10,$AS527&lt;=설정!$B$11),"포함","기간 밖"))</f>
        <v/>
      </c>
      <c r="BB527" s="2">
        <f>IF($AS527="","",IF(OR($AT527&lt;0,AND($I$6&lt;&gt;"",ISNUMBER(FIND("수정",INDEX($A:$AP,ROW(),IF($I$6="",1,$I$6))&amp;"")))),"수정","일반"))</f>
        <v/>
      </c>
      <c r="BC527" s="2">
        <f>IF($AS527="","",MID(IF($BA527="기간 밖"," / 기간 밖(신고기간 아님)","")&amp;IF(AND($AW527&lt;&gt;"",COUNTIF($AW$8:$AW$1007,$AW527)&gt;1)," / 승인번호 중복(두 번 붙여넣기?)","")&amp;IF(ABS($AU527-ROUND($AT527*0.1,0))&gt;설정!$B$8,IF($AU527=0," / 세액 0원(영세율·면세 여부 확인)"," / 세액이 공급가액 10%와 다름"),"")&amp;IF($BB527="수정"," / 수정세금계산서(합계에서 자동 가감)",""),4,200))</f>
        <v/>
      </c>
      <c r="BD527" s="2">
        <f>IF($BA527&lt;&gt;"포함","",IF(COUNTIFS($AX$8:$AX527,$AX527,$BA$8:$BA527,"포함")=1,MAX($BD$7:BD526)+1,""))</f>
        <v/>
      </c>
      <c r="BE527" s="2">
        <f>IF($BC527="","",MAX($BE$7:BE526)+1)</f>
        <v/>
      </c>
    </row>
    <row r="528">
      <c r="AR528" s="2">
        <f>IF(OR($A$5="",$B$6="",ROW()&lt;$A$5),"",IF(INDEX($A:$AP,ROW(),$B$6)="","",INDEX($A:$AP,ROW(),$B$6)))</f>
        <v/>
      </c>
      <c r="AS528" s="22">
        <f>IF($AR528="","",IF(ISNUMBER($AR528),IF($AR528&gt;=10000000,IFERROR(DATE(INT($AR528/10000),MOD(INT($AR528/100),100),MOD($AR528,100)),""),INT($AR528)),IFERROR(DATE(--LEFT(LEFT(SUBSTITUTE(SUBSTITUTE(SUBSTITUTE(SUBSTITUTE(TRIM($AR528),"-",""),".",""),"/","")," ",""),8),4),--MID(LEFT(SUBSTITUTE(SUBSTITUTE(SUBSTITUTE(SUBSTITUTE(TRIM($AR528),"-",""),".",""),"/","")," ",""),8),5,2),--MID(LEFT(SUBSTITUTE(SUBSTITUTE(SUBSTITUTE(SUBSTITUTE(TRIM($AR528),"-",""),".",""),"/","")," ",""),8),7,2)),"")))</f>
        <v/>
      </c>
      <c r="AT528" s="23">
        <f>IF($AS528="","",IF($F$6="",0,IF(ISNUMBER(INDEX($A:$AP,ROW(),$F$6)),INDEX($A:$AP,ROW(),$F$6),IFERROR(--SUBSTITUTE(SUBSTITUTE(TRIM(INDEX($A:$AP,ROW(),$F$6)),",",""),"원",""),0))))</f>
        <v/>
      </c>
      <c r="AU528" s="23">
        <f>IF($AS528="","",IF($G$6="",0,IF(ISNUMBER(INDEX($A:$AP,ROW(),$G$6)),INDEX($A:$AP,ROW(),$G$6),IFERROR(--SUBSTITUTE(SUBSTITUTE(TRIM(INDEX($A:$AP,ROW(),$G$6)),",",""),"원",""),0))))</f>
        <v/>
      </c>
      <c r="AV528" s="23">
        <f>IF($AS528="","",IF($H$6="",$AT528+$AU528,IF($H$6="",0,IF(ISNUMBER(INDEX($A:$AP,ROW(),$H$6)),INDEX($A:$AP,ROW(),$H$6),IFERROR(--SUBSTITUTE(SUBSTITUTE(TRIM(INDEX($A:$AP,ROW(),$H$6)),",",""),"원",""),0)))))</f>
        <v/>
      </c>
      <c r="AW528" s="2">
        <f>IF(OR($AS528="",$C$6=""),"",TRIM(INDEX($A:$AP,ROW(),$C$6)&amp;""))</f>
        <v/>
      </c>
      <c r="AX528" s="2">
        <f>IF($AS528="","",IF($AZ528&lt;&gt;"",SUBSTITUTE(SUBSTITUTE($AZ528,"-","")," ",""),$AY528))</f>
        <v/>
      </c>
      <c r="AY528" s="2">
        <f>IF(OR($AS528="",$E$6=""),"",TRIM(INDEX($A:$AP,ROW(),$E$6)&amp;""))</f>
        <v/>
      </c>
      <c r="AZ528" s="2">
        <f>IF(OR($AS528="",$D$6=""),"",TRIM(INDEX($A:$AP,ROW(),$D$6)&amp;""))</f>
        <v/>
      </c>
      <c r="BA528" s="2">
        <f>IF($AS528="","",IF(AND($AS528&gt;=설정!$B$10,$AS528&lt;=설정!$B$11),"포함","기간 밖"))</f>
        <v/>
      </c>
      <c r="BB528" s="2">
        <f>IF($AS528="","",IF(OR($AT528&lt;0,AND($I$6&lt;&gt;"",ISNUMBER(FIND("수정",INDEX($A:$AP,ROW(),IF($I$6="",1,$I$6))&amp;"")))),"수정","일반"))</f>
        <v/>
      </c>
      <c r="BC528" s="2">
        <f>IF($AS528="","",MID(IF($BA528="기간 밖"," / 기간 밖(신고기간 아님)","")&amp;IF(AND($AW528&lt;&gt;"",COUNTIF($AW$8:$AW$1007,$AW528)&gt;1)," / 승인번호 중복(두 번 붙여넣기?)","")&amp;IF(ABS($AU528-ROUND($AT528*0.1,0))&gt;설정!$B$8,IF($AU528=0," / 세액 0원(영세율·면세 여부 확인)"," / 세액이 공급가액 10%와 다름"),"")&amp;IF($BB528="수정"," / 수정세금계산서(합계에서 자동 가감)",""),4,200))</f>
        <v/>
      </c>
      <c r="BD528" s="2">
        <f>IF($BA528&lt;&gt;"포함","",IF(COUNTIFS($AX$8:$AX528,$AX528,$BA$8:$BA528,"포함")=1,MAX($BD$7:BD527)+1,""))</f>
        <v/>
      </c>
      <c r="BE528" s="2">
        <f>IF($BC528="","",MAX($BE$7:BE527)+1)</f>
        <v/>
      </c>
    </row>
    <row r="529">
      <c r="AR529" s="2">
        <f>IF(OR($A$5="",$B$6="",ROW()&lt;$A$5),"",IF(INDEX($A:$AP,ROW(),$B$6)="","",INDEX($A:$AP,ROW(),$B$6)))</f>
        <v/>
      </c>
      <c r="AS529" s="22">
        <f>IF($AR529="","",IF(ISNUMBER($AR529),IF($AR529&gt;=10000000,IFERROR(DATE(INT($AR529/10000),MOD(INT($AR529/100),100),MOD($AR529,100)),""),INT($AR529)),IFERROR(DATE(--LEFT(LEFT(SUBSTITUTE(SUBSTITUTE(SUBSTITUTE(SUBSTITUTE(TRIM($AR529),"-",""),".",""),"/","")," ",""),8),4),--MID(LEFT(SUBSTITUTE(SUBSTITUTE(SUBSTITUTE(SUBSTITUTE(TRIM($AR529),"-",""),".",""),"/","")," ",""),8),5,2),--MID(LEFT(SUBSTITUTE(SUBSTITUTE(SUBSTITUTE(SUBSTITUTE(TRIM($AR529),"-",""),".",""),"/","")," ",""),8),7,2)),"")))</f>
        <v/>
      </c>
      <c r="AT529" s="23">
        <f>IF($AS529="","",IF($F$6="",0,IF(ISNUMBER(INDEX($A:$AP,ROW(),$F$6)),INDEX($A:$AP,ROW(),$F$6),IFERROR(--SUBSTITUTE(SUBSTITUTE(TRIM(INDEX($A:$AP,ROW(),$F$6)),",",""),"원",""),0))))</f>
        <v/>
      </c>
      <c r="AU529" s="23">
        <f>IF($AS529="","",IF($G$6="",0,IF(ISNUMBER(INDEX($A:$AP,ROW(),$G$6)),INDEX($A:$AP,ROW(),$G$6),IFERROR(--SUBSTITUTE(SUBSTITUTE(TRIM(INDEX($A:$AP,ROW(),$G$6)),",",""),"원",""),0))))</f>
        <v/>
      </c>
      <c r="AV529" s="23">
        <f>IF($AS529="","",IF($H$6="",$AT529+$AU529,IF($H$6="",0,IF(ISNUMBER(INDEX($A:$AP,ROW(),$H$6)),INDEX($A:$AP,ROW(),$H$6),IFERROR(--SUBSTITUTE(SUBSTITUTE(TRIM(INDEX($A:$AP,ROW(),$H$6)),",",""),"원",""),0)))))</f>
        <v/>
      </c>
      <c r="AW529" s="2">
        <f>IF(OR($AS529="",$C$6=""),"",TRIM(INDEX($A:$AP,ROW(),$C$6)&amp;""))</f>
        <v/>
      </c>
      <c r="AX529" s="2">
        <f>IF($AS529="","",IF($AZ529&lt;&gt;"",SUBSTITUTE(SUBSTITUTE($AZ529,"-","")," ",""),$AY529))</f>
        <v/>
      </c>
      <c r="AY529" s="2">
        <f>IF(OR($AS529="",$E$6=""),"",TRIM(INDEX($A:$AP,ROW(),$E$6)&amp;""))</f>
        <v/>
      </c>
      <c r="AZ529" s="2">
        <f>IF(OR($AS529="",$D$6=""),"",TRIM(INDEX($A:$AP,ROW(),$D$6)&amp;""))</f>
        <v/>
      </c>
      <c r="BA529" s="2">
        <f>IF($AS529="","",IF(AND($AS529&gt;=설정!$B$10,$AS529&lt;=설정!$B$11),"포함","기간 밖"))</f>
        <v/>
      </c>
      <c r="BB529" s="2">
        <f>IF($AS529="","",IF(OR($AT529&lt;0,AND($I$6&lt;&gt;"",ISNUMBER(FIND("수정",INDEX($A:$AP,ROW(),IF($I$6="",1,$I$6))&amp;"")))),"수정","일반"))</f>
        <v/>
      </c>
      <c r="BC529" s="2">
        <f>IF($AS529="","",MID(IF($BA529="기간 밖"," / 기간 밖(신고기간 아님)","")&amp;IF(AND($AW529&lt;&gt;"",COUNTIF($AW$8:$AW$1007,$AW529)&gt;1)," / 승인번호 중복(두 번 붙여넣기?)","")&amp;IF(ABS($AU529-ROUND($AT529*0.1,0))&gt;설정!$B$8,IF($AU529=0," / 세액 0원(영세율·면세 여부 확인)"," / 세액이 공급가액 10%와 다름"),"")&amp;IF($BB529="수정"," / 수정세금계산서(합계에서 자동 가감)",""),4,200))</f>
        <v/>
      </c>
      <c r="BD529" s="2">
        <f>IF($BA529&lt;&gt;"포함","",IF(COUNTIFS($AX$8:$AX529,$AX529,$BA$8:$BA529,"포함")=1,MAX($BD$7:BD528)+1,""))</f>
        <v/>
      </c>
      <c r="BE529" s="2">
        <f>IF($BC529="","",MAX($BE$7:BE528)+1)</f>
        <v/>
      </c>
    </row>
    <row r="530">
      <c r="AR530" s="2">
        <f>IF(OR($A$5="",$B$6="",ROW()&lt;$A$5),"",IF(INDEX($A:$AP,ROW(),$B$6)="","",INDEX($A:$AP,ROW(),$B$6)))</f>
        <v/>
      </c>
      <c r="AS530" s="22">
        <f>IF($AR530="","",IF(ISNUMBER($AR530),IF($AR530&gt;=10000000,IFERROR(DATE(INT($AR530/10000),MOD(INT($AR530/100),100),MOD($AR530,100)),""),INT($AR530)),IFERROR(DATE(--LEFT(LEFT(SUBSTITUTE(SUBSTITUTE(SUBSTITUTE(SUBSTITUTE(TRIM($AR530),"-",""),".",""),"/","")," ",""),8),4),--MID(LEFT(SUBSTITUTE(SUBSTITUTE(SUBSTITUTE(SUBSTITUTE(TRIM($AR530),"-",""),".",""),"/","")," ",""),8),5,2),--MID(LEFT(SUBSTITUTE(SUBSTITUTE(SUBSTITUTE(SUBSTITUTE(TRIM($AR530),"-",""),".",""),"/","")," ",""),8),7,2)),"")))</f>
        <v/>
      </c>
      <c r="AT530" s="23">
        <f>IF($AS530="","",IF($F$6="",0,IF(ISNUMBER(INDEX($A:$AP,ROW(),$F$6)),INDEX($A:$AP,ROW(),$F$6),IFERROR(--SUBSTITUTE(SUBSTITUTE(TRIM(INDEX($A:$AP,ROW(),$F$6)),",",""),"원",""),0))))</f>
        <v/>
      </c>
      <c r="AU530" s="23">
        <f>IF($AS530="","",IF($G$6="",0,IF(ISNUMBER(INDEX($A:$AP,ROW(),$G$6)),INDEX($A:$AP,ROW(),$G$6),IFERROR(--SUBSTITUTE(SUBSTITUTE(TRIM(INDEX($A:$AP,ROW(),$G$6)),",",""),"원",""),0))))</f>
        <v/>
      </c>
      <c r="AV530" s="23">
        <f>IF($AS530="","",IF($H$6="",$AT530+$AU530,IF($H$6="",0,IF(ISNUMBER(INDEX($A:$AP,ROW(),$H$6)),INDEX($A:$AP,ROW(),$H$6),IFERROR(--SUBSTITUTE(SUBSTITUTE(TRIM(INDEX($A:$AP,ROW(),$H$6)),",",""),"원",""),0)))))</f>
        <v/>
      </c>
      <c r="AW530" s="2">
        <f>IF(OR($AS530="",$C$6=""),"",TRIM(INDEX($A:$AP,ROW(),$C$6)&amp;""))</f>
        <v/>
      </c>
      <c r="AX530" s="2">
        <f>IF($AS530="","",IF($AZ530&lt;&gt;"",SUBSTITUTE(SUBSTITUTE($AZ530,"-","")," ",""),$AY530))</f>
        <v/>
      </c>
      <c r="AY530" s="2">
        <f>IF(OR($AS530="",$E$6=""),"",TRIM(INDEX($A:$AP,ROW(),$E$6)&amp;""))</f>
        <v/>
      </c>
      <c r="AZ530" s="2">
        <f>IF(OR($AS530="",$D$6=""),"",TRIM(INDEX($A:$AP,ROW(),$D$6)&amp;""))</f>
        <v/>
      </c>
      <c r="BA530" s="2">
        <f>IF($AS530="","",IF(AND($AS530&gt;=설정!$B$10,$AS530&lt;=설정!$B$11),"포함","기간 밖"))</f>
        <v/>
      </c>
      <c r="BB530" s="2">
        <f>IF($AS530="","",IF(OR($AT530&lt;0,AND($I$6&lt;&gt;"",ISNUMBER(FIND("수정",INDEX($A:$AP,ROW(),IF($I$6="",1,$I$6))&amp;"")))),"수정","일반"))</f>
        <v/>
      </c>
      <c r="BC530" s="2">
        <f>IF($AS530="","",MID(IF($BA530="기간 밖"," / 기간 밖(신고기간 아님)","")&amp;IF(AND($AW530&lt;&gt;"",COUNTIF($AW$8:$AW$1007,$AW530)&gt;1)," / 승인번호 중복(두 번 붙여넣기?)","")&amp;IF(ABS($AU530-ROUND($AT530*0.1,0))&gt;설정!$B$8,IF($AU530=0," / 세액 0원(영세율·면세 여부 확인)"," / 세액이 공급가액 10%와 다름"),"")&amp;IF($BB530="수정"," / 수정세금계산서(합계에서 자동 가감)",""),4,200))</f>
        <v/>
      </c>
      <c r="BD530" s="2">
        <f>IF($BA530&lt;&gt;"포함","",IF(COUNTIFS($AX$8:$AX530,$AX530,$BA$8:$BA530,"포함")=1,MAX($BD$7:BD529)+1,""))</f>
        <v/>
      </c>
      <c r="BE530" s="2">
        <f>IF($BC530="","",MAX($BE$7:BE529)+1)</f>
        <v/>
      </c>
    </row>
    <row r="531">
      <c r="AR531" s="2">
        <f>IF(OR($A$5="",$B$6="",ROW()&lt;$A$5),"",IF(INDEX($A:$AP,ROW(),$B$6)="","",INDEX($A:$AP,ROW(),$B$6)))</f>
        <v/>
      </c>
      <c r="AS531" s="22">
        <f>IF($AR531="","",IF(ISNUMBER($AR531),IF($AR531&gt;=10000000,IFERROR(DATE(INT($AR531/10000),MOD(INT($AR531/100),100),MOD($AR531,100)),""),INT($AR531)),IFERROR(DATE(--LEFT(LEFT(SUBSTITUTE(SUBSTITUTE(SUBSTITUTE(SUBSTITUTE(TRIM($AR531),"-",""),".",""),"/","")," ",""),8),4),--MID(LEFT(SUBSTITUTE(SUBSTITUTE(SUBSTITUTE(SUBSTITUTE(TRIM($AR531),"-",""),".",""),"/","")," ",""),8),5,2),--MID(LEFT(SUBSTITUTE(SUBSTITUTE(SUBSTITUTE(SUBSTITUTE(TRIM($AR531),"-",""),".",""),"/","")," ",""),8),7,2)),"")))</f>
        <v/>
      </c>
      <c r="AT531" s="23">
        <f>IF($AS531="","",IF($F$6="",0,IF(ISNUMBER(INDEX($A:$AP,ROW(),$F$6)),INDEX($A:$AP,ROW(),$F$6),IFERROR(--SUBSTITUTE(SUBSTITUTE(TRIM(INDEX($A:$AP,ROW(),$F$6)),",",""),"원",""),0))))</f>
        <v/>
      </c>
      <c r="AU531" s="23">
        <f>IF($AS531="","",IF($G$6="",0,IF(ISNUMBER(INDEX($A:$AP,ROW(),$G$6)),INDEX($A:$AP,ROW(),$G$6),IFERROR(--SUBSTITUTE(SUBSTITUTE(TRIM(INDEX($A:$AP,ROW(),$G$6)),",",""),"원",""),0))))</f>
        <v/>
      </c>
      <c r="AV531" s="23">
        <f>IF($AS531="","",IF($H$6="",$AT531+$AU531,IF($H$6="",0,IF(ISNUMBER(INDEX($A:$AP,ROW(),$H$6)),INDEX($A:$AP,ROW(),$H$6),IFERROR(--SUBSTITUTE(SUBSTITUTE(TRIM(INDEX($A:$AP,ROW(),$H$6)),",",""),"원",""),0)))))</f>
        <v/>
      </c>
      <c r="AW531" s="2">
        <f>IF(OR($AS531="",$C$6=""),"",TRIM(INDEX($A:$AP,ROW(),$C$6)&amp;""))</f>
        <v/>
      </c>
      <c r="AX531" s="2">
        <f>IF($AS531="","",IF($AZ531&lt;&gt;"",SUBSTITUTE(SUBSTITUTE($AZ531,"-","")," ",""),$AY531))</f>
        <v/>
      </c>
      <c r="AY531" s="2">
        <f>IF(OR($AS531="",$E$6=""),"",TRIM(INDEX($A:$AP,ROW(),$E$6)&amp;""))</f>
        <v/>
      </c>
      <c r="AZ531" s="2">
        <f>IF(OR($AS531="",$D$6=""),"",TRIM(INDEX($A:$AP,ROW(),$D$6)&amp;""))</f>
        <v/>
      </c>
      <c r="BA531" s="2">
        <f>IF($AS531="","",IF(AND($AS531&gt;=설정!$B$10,$AS531&lt;=설정!$B$11),"포함","기간 밖"))</f>
        <v/>
      </c>
      <c r="BB531" s="2">
        <f>IF($AS531="","",IF(OR($AT531&lt;0,AND($I$6&lt;&gt;"",ISNUMBER(FIND("수정",INDEX($A:$AP,ROW(),IF($I$6="",1,$I$6))&amp;"")))),"수정","일반"))</f>
        <v/>
      </c>
      <c r="BC531" s="2">
        <f>IF($AS531="","",MID(IF($BA531="기간 밖"," / 기간 밖(신고기간 아님)","")&amp;IF(AND($AW531&lt;&gt;"",COUNTIF($AW$8:$AW$1007,$AW531)&gt;1)," / 승인번호 중복(두 번 붙여넣기?)","")&amp;IF(ABS($AU531-ROUND($AT531*0.1,0))&gt;설정!$B$8,IF($AU531=0," / 세액 0원(영세율·면세 여부 확인)"," / 세액이 공급가액 10%와 다름"),"")&amp;IF($BB531="수정"," / 수정세금계산서(합계에서 자동 가감)",""),4,200))</f>
        <v/>
      </c>
      <c r="BD531" s="2">
        <f>IF($BA531&lt;&gt;"포함","",IF(COUNTIFS($AX$8:$AX531,$AX531,$BA$8:$BA531,"포함")=1,MAX($BD$7:BD530)+1,""))</f>
        <v/>
      </c>
      <c r="BE531" s="2">
        <f>IF($BC531="","",MAX($BE$7:BE530)+1)</f>
        <v/>
      </c>
    </row>
    <row r="532">
      <c r="AR532" s="2">
        <f>IF(OR($A$5="",$B$6="",ROW()&lt;$A$5),"",IF(INDEX($A:$AP,ROW(),$B$6)="","",INDEX($A:$AP,ROW(),$B$6)))</f>
        <v/>
      </c>
      <c r="AS532" s="22">
        <f>IF($AR532="","",IF(ISNUMBER($AR532),IF($AR532&gt;=10000000,IFERROR(DATE(INT($AR532/10000),MOD(INT($AR532/100),100),MOD($AR532,100)),""),INT($AR532)),IFERROR(DATE(--LEFT(LEFT(SUBSTITUTE(SUBSTITUTE(SUBSTITUTE(SUBSTITUTE(TRIM($AR532),"-",""),".",""),"/","")," ",""),8),4),--MID(LEFT(SUBSTITUTE(SUBSTITUTE(SUBSTITUTE(SUBSTITUTE(TRIM($AR532),"-",""),".",""),"/","")," ",""),8),5,2),--MID(LEFT(SUBSTITUTE(SUBSTITUTE(SUBSTITUTE(SUBSTITUTE(TRIM($AR532),"-",""),".",""),"/","")," ",""),8),7,2)),"")))</f>
        <v/>
      </c>
      <c r="AT532" s="23">
        <f>IF($AS532="","",IF($F$6="",0,IF(ISNUMBER(INDEX($A:$AP,ROW(),$F$6)),INDEX($A:$AP,ROW(),$F$6),IFERROR(--SUBSTITUTE(SUBSTITUTE(TRIM(INDEX($A:$AP,ROW(),$F$6)),",",""),"원",""),0))))</f>
        <v/>
      </c>
      <c r="AU532" s="23">
        <f>IF($AS532="","",IF($G$6="",0,IF(ISNUMBER(INDEX($A:$AP,ROW(),$G$6)),INDEX($A:$AP,ROW(),$G$6),IFERROR(--SUBSTITUTE(SUBSTITUTE(TRIM(INDEX($A:$AP,ROW(),$G$6)),",",""),"원",""),0))))</f>
        <v/>
      </c>
      <c r="AV532" s="23">
        <f>IF($AS532="","",IF($H$6="",$AT532+$AU532,IF($H$6="",0,IF(ISNUMBER(INDEX($A:$AP,ROW(),$H$6)),INDEX($A:$AP,ROW(),$H$6),IFERROR(--SUBSTITUTE(SUBSTITUTE(TRIM(INDEX($A:$AP,ROW(),$H$6)),",",""),"원",""),0)))))</f>
        <v/>
      </c>
      <c r="AW532" s="2">
        <f>IF(OR($AS532="",$C$6=""),"",TRIM(INDEX($A:$AP,ROW(),$C$6)&amp;""))</f>
        <v/>
      </c>
      <c r="AX532" s="2">
        <f>IF($AS532="","",IF($AZ532&lt;&gt;"",SUBSTITUTE(SUBSTITUTE($AZ532,"-","")," ",""),$AY532))</f>
        <v/>
      </c>
      <c r="AY532" s="2">
        <f>IF(OR($AS532="",$E$6=""),"",TRIM(INDEX($A:$AP,ROW(),$E$6)&amp;""))</f>
        <v/>
      </c>
      <c r="AZ532" s="2">
        <f>IF(OR($AS532="",$D$6=""),"",TRIM(INDEX($A:$AP,ROW(),$D$6)&amp;""))</f>
        <v/>
      </c>
      <c r="BA532" s="2">
        <f>IF($AS532="","",IF(AND($AS532&gt;=설정!$B$10,$AS532&lt;=설정!$B$11),"포함","기간 밖"))</f>
        <v/>
      </c>
      <c r="BB532" s="2">
        <f>IF($AS532="","",IF(OR($AT532&lt;0,AND($I$6&lt;&gt;"",ISNUMBER(FIND("수정",INDEX($A:$AP,ROW(),IF($I$6="",1,$I$6))&amp;"")))),"수정","일반"))</f>
        <v/>
      </c>
      <c r="BC532" s="2">
        <f>IF($AS532="","",MID(IF($BA532="기간 밖"," / 기간 밖(신고기간 아님)","")&amp;IF(AND($AW532&lt;&gt;"",COUNTIF($AW$8:$AW$1007,$AW532)&gt;1)," / 승인번호 중복(두 번 붙여넣기?)","")&amp;IF(ABS($AU532-ROUND($AT532*0.1,0))&gt;설정!$B$8,IF($AU532=0," / 세액 0원(영세율·면세 여부 확인)"," / 세액이 공급가액 10%와 다름"),"")&amp;IF($BB532="수정"," / 수정세금계산서(합계에서 자동 가감)",""),4,200))</f>
        <v/>
      </c>
      <c r="BD532" s="2">
        <f>IF($BA532&lt;&gt;"포함","",IF(COUNTIFS($AX$8:$AX532,$AX532,$BA$8:$BA532,"포함")=1,MAX($BD$7:BD531)+1,""))</f>
        <v/>
      </c>
      <c r="BE532" s="2">
        <f>IF($BC532="","",MAX($BE$7:BE531)+1)</f>
        <v/>
      </c>
    </row>
    <row r="533">
      <c r="AR533" s="2">
        <f>IF(OR($A$5="",$B$6="",ROW()&lt;$A$5),"",IF(INDEX($A:$AP,ROW(),$B$6)="","",INDEX($A:$AP,ROW(),$B$6)))</f>
        <v/>
      </c>
      <c r="AS533" s="22">
        <f>IF($AR533="","",IF(ISNUMBER($AR533),IF($AR533&gt;=10000000,IFERROR(DATE(INT($AR533/10000),MOD(INT($AR533/100),100),MOD($AR533,100)),""),INT($AR533)),IFERROR(DATE(--LEFT(LEFT(SUBSTITUTE(SUBSTITUTE(SUBSTITUTE(SUBSTITUTE(TRIM($AR533),"-",""),".",""),"/","")," ",""),8),4),--MID(LEFT(SUBSTITUTE(SUBSTITUTE(SUBSTITUTE(SUBSTITUTE(TRIM($AR533),"-",""),".",""),"/","")," ",""),8),5,2),--MID(LEFT(SUBSTITUTE(SUBSTITUTE(SUBSTITUTE(SUBSTITUTE(TRIM($AR533),"-",""),".",""),"/","")," ",""),8),7,2)),"")))</f>
        <v/>
      </c>
      <c r="AT533" s="23">
        <f>IF($AS533="","",IF($F$6="",0,IF(ISNUMBER(INDEX($A:$AP,ROW(),$F$6)),INDEX($A:$AP,ROW(),$F$6),IFERROR(--SUBSTITUTE(SUBSTITUTE(TRIM(INDEX($A:$AP,ROW(),$F$6)),",",""),"원",""),0))))</f>
        <v/>
      </c>
      <c r="AU533" s="23">
        <f>IF($AS533="","",IF($G$6="",0,IF(ISNUMBER(INDEX($A:$AP,ROW(),$G$6)),INDEX($A:$AP,ROW(),$G$6),IFERROR(--SUBSTITUTE(SUBSTITUTE(TRIM(INDEX($A:$AP,ROW(),$G$6)),",",""),"원",""),0))))</f>
        <v/>
      </c>
      <c r="AV533" s="23">
        <f>IF($AS533="","",IF($H$6="",$AT533+$AU533,IF($H$6="",0,IF(ISNUMBER(INDEX($A:$AP,ROW(),$H$6)),INDEX($A:$AP,ROW(),$H$6),IFERROR(--SUBSTITUTE(SUBSTITUTE(TRIM(INDEX($A:$AP,ROW(),$H$6)),",",""),"원",""),0)))))</f>
        <v/>
      </c>
      <c r="AW533" s="2">
        <f>IF(OR($AS533="",$C$6=""),"",TRIM(INDEX($A:$AP,ROW(),$C$6)&amp;""))</f>
        <v/>
      </c>
      <c r="AX533" s="2">
        <f>IF($AS533="","",IF($AZ533&lt;&gt;"",SUBSTITUTE(SUBSTITUTE($AZ533,"-","")," ",""),$AY533))</f>
        <v/>
      </c>
      <c r="AY533" s="2">
        <f>IF(OR($AS533="",$E$6=""),"",TRIM(INDEX($A:$AP,ROW(),$E$6)&amp;""))</f>
        <v/>
      </c>
      <c r="AZ533" s="2">
        <f>IF(OR($AS533="",$D$6=""),"",TRIM(INDEX($A:$AP,ROW(),$D$6)&amp;""))</f>
        <v/>
      </c>
      <c r="BA533" s="2">
        <f>IF($AS533="","",IF(AND($AS533&gt;=설정!$B$10,$AS533&lt;=설정!$B$11),"포함","기간 밖"))</f>
        <v/>
      </c>
      <c r="BB533" s="2">
        <f>IF($AS533="","",IF(OR($AT533&lt;0,AND($I$6&lt;&gt;"",ISNUMBER(FIND("수정",INDEX($A:$AP,ROW(),IF($I$6="",1,$I$6))&amp;"")))),"수정","일반"))</f>
        <v/>
      </c>
      <c r="BC533" s="2">
        <f>IF($AS533="","",MID(IF($BA533="기간 밖"," / 기간 밖(신고기간 아님)","")&amp;IF(AND($AW533&lt;&gt;"",COUNTIF($AW$8:$AW$1007,$AW533)&gt;1)," / 승인번호 중복(두 번 붙여넣기?)","")&amp;IF(ABS($AU533-ROUND($AT533*0.1,0))&gt;설정!$B$8,IF($AU533=0," / 세액 0원(영세율·면세 여부 확인)"," / 세액이 공급가액 10%와 다름"),"")&amp;IF($BB533="수정"," / 수정세금계산서(합계에서 자동 가감)",""),4,200))</f>
        <v/>
      </c>
      <c r="BD533" s="2">
        <f>IF($BA533&lt;&gt;"포함","",IF(COUNTIFS($AX$8:$AX533,$AX533,$BA$8:$BA533,"포함")=1,MAX($BD$7:BD532)+1,""))</f>
        <v/>
      </c>
      <c r="BE533" s="2">
        <f>IF($BC533="","",MAX($BE$7:BE532)+1)</f>
        <v/>
      </c>
    </row>
    <row r="534">
      <c r="AR534" s="2">
        <f>IF(OR($A$5="",$B$6="",ROW()&lt;$A$5),"",IF(INDEX($A:$AP,ROW(),$B$6)="","",INDEX($A:$AP,ROW(),$B$6)))</f>
        <v/>
      </c>
      <c r="AS534" s="22">
        <f>IF($AR534="","",IF(ISNUMBER($AR534),IF($AR534&gt;=10000000,IFERROR(DATE(INT($AR534/10000),MOD(INT($AR534/100),100),MOD($AR534,100)),""),INT($AR534)),IFERROR(DATE(--LEFT(LEFT(SUBSTITUTE(SUBSTITUTE(SUBSTITUTE(SUBSTITUTE(TRIM($AR534),"-",""),".",""),"/","")," ",""),8),4),--MID(LEFT(SUBSTITUTE(SUBSTITUTE(SUBSTITUTE(SUBSTITUTE(TRIM($AR534),"-",""),".",""),"/","")," ",""),8),5,2),--MID(LEFT(SUBSTITUTE(SUBSTITUTE(SUBSTITUTE(SUBSTITUTE(TRIM($AR534),"-",""),".",""),"/","")," ",""),8),7,2)),"")))</f>
        <v/>
      </c>
      <c r="AT534" s="23">
        <f>IF($AS534="","",IF($F$6="",0,IF(ISNUMBER(INDEX($A:$AP,ROW(),$F$6)),INDEX($A:$AP,ROW(),$F$6),IFERROR(--SUBSTITUTE(SUBSTITUTE(TRIM(INDEX($A:$AP,ROW(),$F$6)),",",""),"원",""),0))))</f>
        <v/>
      </c>
      <c r="AU534" s="23">
        <f>IF($AS534="","",IF($G$6="",0,IF(ISNUMBER(INDEX($A:$AP,ROW(),$G$6)),INDEX($A:$AP,ROW(),$G$6),IFERROR(--SUBSTITUTE(SUBSTITUTE(TRIM(INDEX($A:$AP,ROW(),$G$6)),",",""),"원",""),0))))</f>
        <v/>
      </c>
      <c r="AV534" s="23">
        <f>IF($AS534="","",IF($H$6="",$AT534+$AU534,IF($H$6="",0,IF(ISNUMBER(INDEX($A:$AP,ROW(),$H$6)),INDEX($A:$AP,ROW(),$H$6),IFERROR(--SUBSTITUTE(SUBSTITUTE(TRIM(INDEX($A:$AP,ROW(),$H$6)),",",""),"원",""),0)))))</f>
        <v/>
      </c>
      <c r="AW534" s="2">
        <f>IF(OR($AS534="",$C$6=""),"",TRIM(INDEX($A:$AP,ROW(),$C$6)&amp;""))</f>
        <v/>
      </c>
      <c r="AX534" s="2">
        <f>IF($AS534="","",IF($AZ534&lt;&gt;"",SUBSTITUTE(SUBSTITUTE($AZ534,"-","")," ",""),$AY534))</f>
        <v/>
      </c>
      <c r="AY534" s="2">
        <f>IF(OR($AS534="",$E$6=""),"",TRIM(INDEX($A:$AP,ROW(),$E$6)&amp;""))</f>
        <v/>
      </c>
      <c r="AZ534" s="2">
        <f>IF(OR($AS534="",$D$6=""),"",TRIM(INDEX($A:$AP,ROW(),$D$6)&amp;""))</f>
        <v/>
      </c>
      <c r="BA534" s="2">
        <f>IF($AS534="","",IF(AND($AS534&gt;=설정!$B$10,$AS534&lt;=설정!$B$11),"포함","기간 밖"))</f>
        <v/>
      </c>
      <c r="BB534" s="2">
        <f>IF($AS534="","",IF(OR($AT534&lt;0,AND($I$6&lt;&gt;"",ISNUMBER(FIND("수정",INDEX($A:$AP,ROW(),IF($I$6="",1,$I$6))&amp;"")))),"수정","일반"))</f>
        <v/>
      </c>
      <c r="BC534" s="2">
        <f>IF($AS534="","",MID(IF($BA534="기간 밖"," / 기간 밖(신고기간 아님)","")&amp;IF(AND($AW534&lt;&gt;"",COUNTIF($AW$8:$AW$1007,$AW534)&gt;1)," / 승인번호 중복(두 번 붙여넣기?)","")&amp;IF(ABS($AU534-ROUND($AT534*0.1,0))&gt;설정!$B$8,IF($AU534=0," / 세액 0원(영세율·면세 여부 확인)"," / 세액이 공급가액 10%와 다름"),"")&amp;IF($BB534="수정"," / 수정세금계산서(합계에서 자동 가감)",""),4,200))</f>
        <v/>
      </c>
      <c r="BD534" s="2">
        <f>IF($BA534&lt;&gt;"포함","",IF(COUNTIFS($AX$8:$AX534,$AX534,$BA$8:$BA534,"포함")=1,MAX($BD$7:BD533)+1,""))</f>
        <v/>
      </c>
      <c r="BE534" s="2">
        <f>IF($BC534="","",MAX($BE$7:BE533)+1)</f>
        <v/>
      </c>
    </row>
    <row r="535">
      <c r="AR535" s="2">
        <f>IF(OR($A$5="",$B$6="",ROW()&lt;$A$5),"",IF(INDEX($A:$AP,ROW(),$B$6)="","",INDEX($A:$AP,ROW(),$B$6)))</f>
        <v/>
      </c>
      <c r="AS535" s="22">
        <f>IF($AR535="","",IF(ISNUMBER($AR535),IF($AR535&gt;=10000000,IFERROR(DATE(INT($AR535/10000),MOD(INT($AR535/100),100),MOD($AR535,100)),""),INT($AR535)),IFERROR(DATE(--LEFT(LEFT(SUBSTITUTE(SUBSTITUTE(SUBSTITUTE(SUBSTITUTE(TRIM($AR535),"-",""),".",""),"/","")," ",""),8),4),--MID(LEFT(SUBSTITUTE(SUBSTITUTE(SUBSTITUTE(SUBSTITUTE(TRIM($AR535),"-",""),".",""),"/","")," ",""),8),5,2),--MID(LEFT(SUBSTITUTE(SUBSTITUTE(SUBSTITUTE(SUBSTITUTE(TRIM($AR535),"-",""),".",""),"/","")," ",""),8),7,2)),"")))</f>
        <v/>
      </c>
      <c r="AT535" s="23">
        <f>IF($AS535="","",IF($F$6="",0,IF(ISNUMBER(INDEX($A:$AP,ROW(),$F$6)),INDEX($A:$AP,ROW(),$F$6),IFERROR(--SUBSTITUTE(SUBSTITUTE(TRIM(INDEX($A:$AP,ROW(),$F$6)),",",""),"원",""),0))))</f>
        <v/>
      </c>
      <c r="AU535" s="23">
        <f>IF($AS535="","",IF($G$6="",0,IF(ISNUMBER(INDEX($A:$AP,ROW(),$G$6)),INDEX($A:$AP,ROW(),$G$6),IFERROR(--SUBSTITUTE(SUBSTITUTE(TRIM(INDEX($A:$AP,ROW(),$G$6)),",",""),"원",""),0))))</f>
        <v/>
      </c>
      <c r="AV535" s="23">
        <f>IF($AS535="","",IF($H$6="",$AT535+$AU535,IF($H$6="",0,IF(ISNUMBER(INDEX($A:$AP,ROW(),$H$6)),INDEX($A:$AP,ROW(),$H$6),IFERROR(--SUBSTITUTE(SUBSTITUTE(TRIM(INDEX($A:$AP,ROW(),$H$6)),",",""),"원",""),0)))))</f>
        <v/>
      </c>
      <c r="AW535" s="2">
        <f>IF(OR($AS535="",$C$6=""),"",TRIM(INDEX($A:$AP,ROW(),$C$6)&amp;""))</f>
        <v/>
      </c>
      <c r="AX535" s="2">
        <f>IF($AS535="","",IF($AZ535&lt;&gt;"",SUBSTITUTE(SUBSTITUTE($AZ535,"-","")," ",""),$AY535))</f>
        <v/>
      </c>
      <c r="AY535" s="2">
        <f>IF(OR($AS535="",$E$6=""),"",TRIM(INDEX($A:$AP,ROW(),$E$6)&amp;""))</f>
        <v/>
      </c>
      <c r="AZ535" s="2">
        <f>IF(OR($AS535="",$D$6=""),"",TRIM(INDEX($A:$AP,ROW(),$D$6)&amp;""))</f>
        <v/>
      </c>
      <c r="BA535" s="2">
        <f>IF($AS535="","",IF(AND($AS535&gt;=설정!$B$10,$AS535&lt;=설정!$B$11),"포함","기간 밖"))</f>
        <v/>
      </c>
      <c r="BB535" s="2">
        <f>IF($AS535="","",IF(OR($AT535&lt;0,AND($I$6&lt;&gt;"",ISNUMBER(FIND("수정",INDEX($A:$AP,ROW(),IF($I$6="",1,$I$6))&amp;"")))),"수정","일반"))</f>
        <v/>
      </c>
      <c r="BC535" s="2">
        <f>IF($AS535="","",MID(IF($BA535="기간 밖"," / 기간 밖(신고기간 아님)","")&amp;IF(AND($AW535&lt;&gt;"",COUNTIF($AW$8:$AW$1007,$AW535)&gt;1)," / 승인번호 중복(두 번 붙여넣기?)","")&amp;IF(ABS($AU535-ROUND($AT535*0.1,0))&gt;설정!$B$8,IF($AU535=0," / 세액 0원(영세율·면세 여부 확인)"," / 세액이 공급가액 10%와 다름"),"")&amp;IF($BB535="수정"," / 수정세금계산서(합계에서 자동 가감)",""),4,200))</f>
        <v/>
      </c>
      <c r="BD535" s="2">
        <f>IF($BA535&lt;&gt;"포함","",IF(COUNTIFS($AX$8:$AX535,$AX535,$BA$8:$BA535,"포함")=1,MAX($BD$7:BD534)+1,""))</f>
        <v/>
      </c>
      <c r="BE535" s="2">
        <f>IF($BC535="","",MAX($BE$7:BE534)+1)</f>
        <v/>
      </c>
    </row>
    <row r="536">
      <c r="AR536" s="2">
        <f>IF(OR($A$5="",$B$6="",ROW()&lt;$A$5),"",IF(INDEX($A:$AP,ROW(),$B$6)="","",INDEX($A:$AP,ROW(),$B$6)))</f>
        <v/>
      </c>
      <c r="AS536" s="22">
        <f>IF($AR536="","",IF(ISNUMBER($AR536),IF($AR536&gt;=10000000,IFERROR(DATE(INT($AR536/10000),MOD(INT($AR536/100),100),MOD($AR536,100)),""),INT($AR536)),IFERROR(DATE(--LEFT(LEFT(SUBSTITUTE(SUBSTITUTE(SUBSTITUTE(SUBSTITUTE(TRIM($AR536),"-",""),".",""),"/","")," ",""),8),4),--MID(LEFT(SUBSTITUTE(SUBSTITUTE(SUBSTITUTE(SUBSTITUTE(TRIM($AR536),"-",""),".",""),"/","")," ",""),8),5,2),--MID(LEFT(SUBSTITUTE(SUBSTITUTE(SUBSTITUTE(SUBSTITUTE(TRIM($AR536),"-",""),".",""),"/","")," ",""),8),7,2)),"")))</f>
        <v/>
      </c>
      <c r="AT536" s="23">
        <f>IF($AS536="","",IF($F$6="",0,IF(ISNUMBER(INDEX($A:$AP,ROW(),$F$6)),INDEX($A:$AP,ROW(),$F$6),IFERROR(--SUBSTITUTE(SUBSTITUTE(TRIM(INDEX($A:$AP,ROW(),$F$6)),",",""),"원",""),0))))</f>
        <v/>
      </c>
      <c r="AU536" s="23">
        <f>IF($AS536="","",IF($G$6="",0,IF(ISNUMBER(INDEX($A:$AP,ROW(),$G$6)),INDEX($A:$AP,ROW(),$G$6),IFERROR(--SUBSTITUTE(SUBSTITUTE(TRIM(INDEX($A:$AP,ROW(),$G$6)),",",""),"원",""),0))))</f>
        <v/>
      </c>
      <c r="AV536" s="23">
        <f>IF($AS536="","",IF($H$6="",$AT536+$AU536,IF($H$6="",0,IF(ISNUMBER(INDEX($A:$AP,ROW(),$H$6)),INDEX($A:$AP,ROW(),$H$6),IFERROR(--SUBSTITUTE(SUBSTITUTE(TRIM(INDEX($A:$AP,ROW(),$H$6)),",",""),"원",""),0)))))</f>
        <v/>
      </c>
      <c r="AW536" s="2">
        <f>IF(OR($AS536="",$C$6=""),"",TRIM(INDEX($A:$AP,ROW(),$C$6)&amp;""))</f>
        <v/>
      </c>
      <c r="AX536" s="2">
        <f>IF($AS536="","",IF($AZ536&lt;&gt;"",SUBSTITUTE(SUBSTITUTE($AZ536,"-","")," ",""),$AY536))</f>
        <v/>
      </c>
      <c r="AY536" s="2">
        <f>IF(OR($AS536="",$E$6=""),"",TRIM(INDEX($A:$AP,ROW(),$E$6)&amp;""))</f>
        <v/>
      </c>
      <c r="AZ536" s="2">
        <f>IF(OR($AS536="",$D$6=""),"",TRIM(INDEX($A:$AP,ROW(),$D$6)&amp;""))</f>
        <v/>
      </c>
      <c r="BA536" s="2">
        <f>IF($AS536="","",IF(AND($AS536&gt;=설정!$B$10,$AS536&lt;=설정!$B$11),"포함","기간 밖"))</f>
        <v/>
      </c>
      <c r="BB536" s="2">
        <f>IF($AS536="","",IF(OR($AT536&lt;0,AND($I$6&lt;&gt;"",ISNUMBER(FIND("수정",INDEX($A:$AP,ROW(),IF($I$6="",1,$I$6))&amp;"")))),"수정","일반"))</f>
        <v/>
      </c>
      <c r="BC536" s="2">
        <f>IF($AS536="","",MID(IF($BA536="기간 밖"," / 기간 밖(신고기간 아님)","")&amp;IF(AND($AW536&lt;&gt;"",COUNTIF($AW$8:$AW$1007,$AW536)&gt;1)," / 승인번호 중복(두 번 붙여넣기?)","")&amp;IF(ABS($AU536-ROUND($AT536*0.1,0))&gt;설정!$B$8,IF($AU536=0," / 세액 0원(영세율·면세 여부 확인)"," / 세액이 공급가액 10%와 다름"),"")&amp;IF($BB536="수정"," / 수정세금계산서(합계에서 자동 가감)",""),4,200))</f>
        <v/>
      </c>
      <c r="BD536" s="2">
        <f>IF($BA536&lt;&gt;"포함","",IF(COUNTIFS($AX$8:$AX536,$AX536,$BA$8:$BA536,"포함")=1,MAX($BD$7:BD535)+1,""))</f>
        <v/>
      </c>
      <c r="BE536" s="2">
        <f>IF($BC536="","",MAX($BE$7:BE535)+1)</f>
        <v/>
      </c>
    </row>
    <row r="537">
      <c r="AR537" s="2">
        <f>IF(OR($A$5="",$B$6="",ROW()&lt;$A$5),"",IF(INDEX($A:$AP,ROW(),$B$6)="","",INDEX($A:$AP,ROW(),$B$6)))</f>
        <v/>
      </c>
      <c r="AS537" s="22">
        <f>IF($AR537="","",IF(ISNUMBER($AR537),IF($AR537&gt;=10000000,IFERROR(DATE(INT($AR537/10000),MOD(INT($AR537/100),100),MOD($AR537,100)),""),INT($AR537)),IFERROR(DATE(--LEFT(LEFT(SUBSTITUTE(SUBSTITUTE(SUBSTITUTE(SUBSTITUTE(TRIM($AR537),"-",""),".",""),"/","")," ",""),8),4),--MID(LEFT(SUBSTITUTE(SUBSTITUTE(SUBSTITUTE(SUBSTITUTE(TRIM($AR537),"-",""),".",""),"/","")," ",""),8),5,2),--MID(LEFT(SUBSTITUTE(SUBSTITUTE(SUBSTITUTE(SUBSTITUTE(TRIM($AR537),"-",""),".",""),"/","")," ",""),8),7,2)),"")))</f>
        <v/>
      </c>
      <c r="AT537" s="23">
        <f>IF($AS537="","",IF($F$6="",0,IF(ISNUMBER(INDEX($A:$AP,ROW(),$F$6)),INDEX($A:$AP,ROW(),$F$6),IFERROR(--SUBSTITUTE(SUBSTITUTE(TRIM(INDEX($A:$AP,ROW(),$F$6)),",",""),"원",""),0))))</f>
        <v/>
      </c>
      <c r="AU537" s="23">
        <f>IF($AS537="","",IF($G$6="",0,IF(ISNUMBER(INDEX($A:$AP,ROW(),$G$6)),INDEX($A:$AP,ROW(),$G$6),IFERROR(--SUBSTITUTE(SUBSTITUTE(TRIM(INDEX($A:$AP,ROW(),$G$6)),",",""),"원",""),0))))</f>
        <v/>
      </c>
      <c r="AV537" s="23">
        <f>IF($AS537="","",IF($H$6="",$AT537+$AU537,IF($H$6="",0,IF(ISNUMBER(INDEX($A:$AP,ROW(),$H$6)),INDEX($A:$AP,ROW(),$H$6),IFERROR(--SUBSTITUTE(SUBSTITUTE(TRIM(INDEX($A:$AP,ROW(),$H$6)),",",""),"원",""),0)))))</f>
        <v/>
      </c>
      <c r="AW537" s="2">
        <f>IF(OR($AS537="",$C$6=""),"",TRIM(INDEX($A:$AP,ROW(),$C$6)&amp;""))</f>
        <v/>
      </c>
      <c r="AX537" s="2">
        <f>IF($AS537="","",IF($AZ537&lt;&gt;"",SUBSTITUTE(SUBSTITUTE($AZ537,"-","")," ",""),$AY537))</f>
        <v/>
      </c>
      <c r="AY537" s="2">
        <f>IF(OR($AS537="",$E$6=""),"",TRIM(INDEX($A:$AP,ROW(),$E$6)&amp;""))</f>
        <v/>
      </c>
      <c r="AZ537" s="2">
        <f>IF(OR($AS537="",$D$6=""),"",TRIM(INDEX($A:$AP,ROW(),$D$6)&amp;""))</f>
        <v/>
      </c>
      <c r="BA537" s="2">
        <f>IF($AS537="","",IF(AND($AS537&gt;=설정!$B$10,$AS537&lt;=설정!$B$11),"포함","기간 밖"))</f>
        <v/>
      </c>
      <c r="BB537" s="2">
        <f>IF($AS537="","",IF(OR($AT537&lt;0,AND($I$6&lt;&gt;"",ISNUMBER(FIND("수정",INDEX($A:$AP,ROW(),IF($I$6="",1,$I$6))&amp;"")))),"수정","일반"))</f>
        <v/>
      </c>
      <c r="BC537" s="2">
        <f>IF($AS537="","",MID(IF($BA537="기간 밖"," / 기간 밖(신고기간 아님)","")&amp;IF(AND($AW537&lt;&gt;"",COUNTIF($AW$8:$AW$1007,$AW537)&gt;1)," / 승인번호 중복(두 번 붙여넣기?)","")&amp;IF(ABS($AU537-ROUND($AT537*0.1,0))&gt;설정!$B$8,IF($AU537=0," / 세액 0원(영세율·면세 여부 확인)"," / 세액이 공급가액 10%와 다름"),"")&amp;IF($BB537="수정"," / 수정세금계산서(합계에서 자동 가감)",""),4,200))</f>
        <v/>
      </c>
      <c r="BD537" s="2">
        <f>IF($BA537&lt;&gt;"포함","",IF(COUNTIFS($AX$8:$AX537,$AX537,$BA$8:$BA537,"포함")=1,MAX($BD$7:BD536)+1,""))</f>
        <v/>
      </c>
      <c r="BE537" s="2">
        <f>IF($BC537="","",MAX($BE$7:BE536)+1)</f>
        <v/>
      </c>
    </row>
    <row r="538">
      <c r="AR538" s="2">
        <f>IF(OR($A$5="",$B$6="",ROW()&lt;$A$5),"",IF(INDEX($A:$AP,ROW(),$B$6)="","",INDEX($A:$AP,ROW(),$B$6)))</f>
        <v/>
      </c>
      <c r="AS538" s="22">
        <f>IF($AR538="","",IF(ISNUMBER($AR538),IF($AR538&gt;=10000000,IFERROR(DATE(INT($AR538/10000),MOD(INT($AR538/100),100),MOD($AR538,100)),""),INT($AR538)),IFERROR(DATE(--LEFT(LEFT(SUBSTITUTE(SUBSTITUTE(SUBSTITUTE(SUBSTITUTE(TRIM($AR538),"-",""),".",""),"/","")," ",""),8),4),--MID(LEFT(SUBSTITUTE(SUBSTITUTE(SUBSTITUTE(SUBSTITUTE(TRIM($AR538),"-",""),".",""),"/","")," ",""),8),5,2),--MID(LEFT(SUBSTITUTE(SUBSTITUTE(SUBSTITUTE(SUBSTITUTE(TRIM($AR538),"-",""),".",""),"/","")," ",""),8),7,2)),"")))</f>
        <v/>
      </c>
      <c r="AT538" s="23">
        <f>IF($AS538="","",IF($F$6="",0,IF(ISNUMBER(INDEX($A:$AP,ROW(),$F$6)),INDEX($A:$AP,ROW(),$F$6),IFERROR(--SUBSTITUTE(SUBSTITUTE(TRIM(INDEX($A:$AP,ROW(),$F$6)),",",""),"원",""),0))))</f>
        <v/>
      </c>
      <c r="AU538" s="23">
        <f>IF($AS538="","",IF($G$6="",0,IF(ISNUMBER(INDEX($A:$AP,ROW(),$G$6)),INDEX($A:$AP,ROW(),$G$6),IFERROR(--SUBSTITUTE(SUBSTITUTE(TRIM(INDEX($A:$AP,ROW(),$G$6)),",",""),"원",""),0))))</f>
        <v/>
      </c>
      <c r="AV538" s="23">
        <f>IF($AS538="","",IF($H$6="",$AT538+$AU538,IF($H$6="",0,IF(ISNUMBER(INDEX($A:$AP,ROW(),$H$6)),INDEX($A:$AP,ROW(),$H$6),IFERROR(--SUBSTITUTE(SUBSTITUTE(TRIM(INDEX($A:$AP,ROW(),$H$6)),",",""),"원",""),0)))))</f>
        <v/>
      </c>
      <c r="AW538" s="2">
        <f>IF(OR($AS538="",$C$6=""),"",TRIM(INDEX($A:$AP,ROW(),$C$6)&amp;""))</f>
        <v/>
      </c>
      <c r="AX538" s="2">
        <f>IF($AS538="","",IF($AZ538&lt;&gt;"",SUBSTITUTE(SUBSTITUTE($AZ538,"-","")," ",""),$AY538))</f>
        <v/>
      </c>
      <c r="AY538" s="2">
        <f>IF(OR($AS538="",$E$6=""),"",TRIM(INDEX($A:$AP,ROW(),$E$6)&amp;""))</f>
        <v/>
      </c>
      <c r="AZ538" s="2">
        <f>IF(OR($AS538="",$D$6=""),"",TRIM(INDEX($A:$AP,ROW(),$D$6)&amp;""))</f>
        <v/>
      </c>
      <c r="BA538" s="2">
        <f>IF($AS538="","",IF(AND($AS538&gt;=설정!$B$10,$AS538&lt;=설정!$B$11),"포함","기간 밖"))</f>
        <v/>
      </c>
      <c r="BB538" s="2">
        <f>IF($AS538="","",IF(OR($AT538&lt;0,AND($I$6&lt;&gt;"",ISNUMBER(FIND("수정",INDEX($A:$AP,ROW(),IF($I$6="",1,$I$6))&amp;"")))),"수정","일반"))</f>
        <v/>
      </c>
      <c r="BC538" s="2">
        <f>IF($AS538="","",MID(IF($BA538="기간 밖"," / 기간 밖(신고기간 아님)","")&amp;IF(AND($AW538&lt;&gt;"",COUNTIF($AW$8:$AW$1007,$AW538)&gt;1)," / 승인번호 중복(두 번 붙여넣기?)","")&amp;IF(ABS($AU538-ROUND($AT538*0.1,0))&gt;설정!$B$8,IF($AU538=0," / 세액 0원(영세율·면세 여부 확인)"," / 세액이 공급가액 10%와 다름"),"")&amp;IF($BB538="수정"," / 수정세금계산서(합계에서 자동 가감)",""),4,200))</f>
        <v/>
      </c>
      <c r="BD538" s="2">
        <f>IF($BA538&lt;&gt;"포함","",IF(COUNTIFS($AX$8:$AX538,$AX538,$BA$8:$BA538,"포함")=1,MAX($BD$7:BD537)+1,""))</f>
        <v/>
      </c>
      <c r="BE538" s="2">
        <f>IF($BC538="","",MAX($BE$7:BE537)+1)</f>
        <v/>
      </c>
    </row>
    <row r="539">
      <c r="AR539" s="2">
        <f>IF(OR($A$5="",$B$6="",ROW()&lt;$A$5),"",IF(INDEX($A:$AP,ROW(),$B$6)="","",INDEX($A:$AP,ROW(),$B$6)))</f>
        <v/>
      </c>
      <c r="AS539" s="22">
        <f>IF($AR539="","",IF(ISNUMBER($AR539),IF($AR539&gt;=10000000,IFERROR(DATE(INT($AR539/10000),MOD(INT($AR539/100),100),MOD($AR539,100)),""),INT($AR539)),IFERROR(DATE(--LEFT(LEFT(SUBSTITUTE(SUBSTITUTE(SUBSTITUTE(SUBSTITUTE(TRIM($AR539),"-",""),".",""),"/","")," ",""),8),4),--MID(LEFT(SUBSTITUTE(SUBSTITUTE(SUBSTITUTE(SUBSTITUTE(TRIM($AR539),"-",""),".",""),"/","")," ",""),8),5,2),--MID(LEFT(SUBSTITUTE(SUBSTITUTE(SUBSTITUTE(SUBSTITUTE(TRIM($AR539),"-",""),".",""),"/","")," ",""),8),7,2)),"")))</f>
        <v/>
      </c>
      <c r="AT539" s="23">
        <f>IF($AS539="","",IF($F$6="",0,IF(ISNUMBER(INDEX($A:$AP,ROW(),$F$6)),INDEX($A:$AP,ROW(),$F$6),IFERROR(--SUBSTITUTE(SUBSTITUTE(TRIM(INDEX($A:$AP,ROW(),$F$6)),",",""),"원",""),0))))</f>
        <v/>
      </c>
      <c r="AU539" s="23">
        <f>IF($AS539="","",IF($G$6="",0,IF(ISNUMBER(INDEX($A:$AP,ROW(),$G$6)),INDEX($A:$AP,ROW(),$G$6),IFERROR(--SUBSTITUTE(SUBSTITUTE(TRIM(INDEX($A:$AP,ROW(),$G$6)),",",""),"원",""),0))))</f>
        <v/>
      </c>
      <c r="AV539" s="23">
        <f>IF($AS539="","",IF($H$6="",$AT539+$AU539,IF($H$6="",0,IF(ISNUMBER(INDEX($A:$AP,ROW(),$H$6)),INDEX($A:$AP,ROW(),$H$6),IFERROR(--SUBSTITUTE(SUBSTITUTE(TRIM(INDEX($A:$AP,ROW(),$H$6)),",",""),"원",""),0)))))</f>
        <v/>
      </c>
      <c r="AW539" s="2">
        <f>IF(OR($AS539="",$C$6=""),"",TRIM(INDEX($A:$AP,ROW(),$C$6)&amp;""))</f>
        <v/>
      </c>
      <c r="AX539" s="2">
        <f>IF($AS539="","",IF($AZ539&lt;&gt;"",SUBSTITUTE(SUBSTITUTE($AZ539,"-","")," ",""),$AY539))</f>
        <v/>
      </c>
      <c r="AY539" s="2">
        <f>IF(OR($AS539="",$E$6=""),"",TRIM(INDEX($A:$AP,ROW(),$E$6)&amp;""))</f>
        <v/>
      </c>
      <c r="AZ539" s="2">
        <f>IF(OR($AS539="",$D$6=""),"",TRIM(INDEX($A:$AP,ROW(),$D$6)&amp;""))</f>
        <v/>
      </c>
      <c r="BA539" s="2">
        <f>IF($AS539="","",IF(AND($AS539&gt;=설정!$B$10,$AS539&lt;=설정!$B$11),"포함","기간 밖"))</f>
        <v/>
      </c>
      <c r="BB539" s="2">
        <f>IF($AS539="","",IF(OR($AT539&lt;0,AND($I$6&lt;&gt;"",ISNUMBER(FIND("수정",INDEX($A:$AP,ROW(),IF($I$6="",1,$I$6))&amp;"")))),"수정","일반"))</f>
        <v/>
      </c>
      <c r="BC539" s="2">
        <f>IF($AS539="","",MID(IF($BA539="기간 밖"," / 기간 밖(신고기간 아님)","")&amp;IF(AND($AW539&lt;&gt;"",COUNTIF($AW$8:$AW$1007,$AW539)&gt;1)," / 승인번호 중복(두 번 붙여넣기?)","")&amp;IF(ABS($AU539-ROUND($AT539*0.1,0))&gt;설정!$B$8,IF($AU539=0," / 세액 0원(영세율·면세 여부 확인)"," / 세액이 공급가액 10%와 다름"),"")&amp;IF($BB539="수정"," / 수정세금계산서(합계에서 자동 가감)",""),4,200))</f>
        <v/>
      </c>
      <c r="BD539" s="2">
        <f>IF($BA539&lt;&gt;"포함","",IF(COUNTIFS($AX$8:$AX539,$AX539,$BA$8:$BA539,"포함")=1,MAX($BD$7:BD538)+1,""))</f>
        <v/>
      </c>
      <c r="BE539" s="2">
        <f>IF($BC539="","",MAX($BE$7:BE538)+1)</f>
        <v/>
      </c>
    </row>
    <row r="540">
      <c r="AR540" s="2">
        <f>IF(OR($A$5="",$B$6="",ROW()&lt;$A$5),"",IF(INDEX($A:$AP,ROW(),$B$6)="","",INDEX($A:$AP,ROW(),$B$6)))</f>
        <v/>
      </c>
      <c r="AS540" s="22">
        <f>IF($AR540="","",IF(ISNUMBER($AR540),IF($AR540&gt;=10000000,IFERROR(DATE(INT($AR540/10000),MOD(INT($AR540/100),100),MOD($AR540,100)),""),INT($AR540)),IFERROR(DATE(--LEFT(LEFT(SUBSTITUTE(SUBSTITUTE(SUBSTITUTE(SUBSTITUTE(TRIM($AR540),"-",""),".",""),"/","")," ",""),8),4),--MID(LEFT(SUBSTITUTE(SUBSTITUTE(SUBSTITUTE(SUBSTITUTE(TRIM($AR540),"-",""),".",""),"/","")," ",""),8),5,2),--MID(LEFT(SUBSTITUTE(SUBSTITUTE(SUBSTITUTE(SUBSTITUTE(TRIM($AR540),"-",""),".",""),"/","")," ",""),8),7,2)),"")))</f>
        <v/>
      </c>
      <c r="AT540" s="23">
        <f>IF($AS540="","",IF($F$6="",0,IF(ISNUMBER(INDEX($A:$AP,ROW(),$F$6)),INDEX($A:$AP,ROW(),$F$6),IFERROR(--SUBSTITUTE(SUBSTITUTE(TRIM(INDEX($A:$AP,ROW(),$F$6)),",",""),"원",""),0))))</f>
        <v/>
      </c>
      <c r="AU540" s="23">
        <f>IF($AS540="","",IF($G$6="",0,IF(ISNUMBER(INDEX($A:$AP,ROW(),$G$6)),INDEX($A:$AP,ROW(),$G$6),IFERROR(--SUBSTITUTE(SUBSTITUTE(TRIM(INDEX($A:$AP,ROW(),$G$6)),",",""),"원",""),0))))</f>
        <v/>
      </c>
      <c r="AV540" s="23">
        <f>IF($AS540="","",IF($H$6="",$AT540+$AU540,IF($H$6="",0,IF(ISNUMBER(INDEX($A:$AP,ROW(),$H$6)),INDEX($A:$AP,ROW(),$H$6),IFERROR(--SUBSTITUTE(SUBSTITUTE(TRIM(INDEX($A:$AP,ROW(),$H$6)),",",""),"원",""),0)))))</f>
        <v/>
      </c>
      <c r="AW540" s="2">
        <f>IF(OR($AS540="",$C$6=""),"",TRIM(INDEX($A:$AP,ROW(),$C$6)&amp;""))</f>
        <v/>
      </c>
      <c r="AX540" s="2">
        <f>IF($AS540="","",IF($AZ540&lt;&gt;"",SUBSTITUTE(SUBSTITUTE($AZ540,"-","")," ",""),$AY540))</f>
        <v/>
      </c>
      <c r="AY540" s="2">
        <f>IF(OR($AS540="",$E$6=""),"",TRIM(INDEX($A:$AP,ROW(),$E$6)&amp;""))</f>
        <v/>
      </c>
      <c r="AZ540" s="2">
        <f>IF(OR($AS540="",$D$6=""),"",TRIM(INDEX($A:$AP,ROW(),$D$6)&amp;""))</f>
        <v/>
      </c>
      <c r="BA540" s="2">
        <f>IF($AS540="","",IF(AND($AS540&gt;=설정!$B$10,$AS540&lt;=설정!$B$11),"포함","기간 밖"))</f>
        <v/>
      </c>
      <c r="BB540" s="2">
        <f>IF($AS540="","",IF(OR($AT540&lt;0,AND($I$6&lt;&gt;"",ISNUMBER(FIND("수정",INDEX($A:$AP,ROW(),IF($I$6="",1,$I$6))&amp;"")))),"수정","일반"))</f>
        <v/>
      </c>
      <c r="BC540" s="2">
        <f>IF($AS540="","",MID(IF($BA540="기간 밖"," / 기간 밖(신고기간 아님)","")&amp;IF(AND($AW540&lt;&gt;"",COUNTIF($AW$8:$AW$1007,$AW540)&gt;1)," / 승인번호 중복(두 번 붙여넣기?)","")&amp;IF(ABS($AU540-ROUND($AT540*0.1,0))&gt;설정!$B$8,IF($AU540=0," / 세액 0원(영세율·면세 여부 확인)"," / 세액이 공급가액 10%와 다름"),"")&amp;IF($BB540="수정"," / 수정세금계산서(합계에서 자동 가감)",""),4,200))</f>
        <v/>
      </c>
      <c r="BD540" s="2">
        <f>IF($BA540&lt;&gt;"포함","",IF(COUNTIFS($AX$8:$AX540,$AX540,$BA$8:$BA540,"포함")=1,MAX($BD$7:BD539)+1,""))</f>
        <v/>
      </c>
      <c r="BE540" s="2">
        <f>IF($BC540="","",MAX($BE$7:BE539)+1)</f>
        <v/>
      </c>
    </row>
    <row r="541">
      <c r="AR541" s="2">
        <f>IF(OR($A$5="",$B$6="",ROW()&lt;$A$5),"",IF(INDEX($A:$AP,ROW(),$B$6)="","",INDEX($A:$AP,ROW(),$B$6)))</f>
        <v/>
      </c>
      <c r="AS541" s="22">
        <f>IF($AR541="","",IF(ISNUMBER($AR541),IF($AR541&gt;=10000000,IFERROR(DATE(INT($AR541/10000),MOD(INT($AR541/100),100),MOD($AR541,100)),""),INT($AR541)),IFERROR(DATE(--LEFT(LEFT(SUBSTITUTE(SUBSTITUTE(SUBSTITUTE(SUBSTITUTE(TRIM($AR541),"-",""),".",""),"/","")," ",""),8),4),--MID(LEFT(SUBSTITUTE(SUBSTITUTE(SUBSTITUTE(SUBSTITUTE(TRIM($AR541),"-",""),".",""),"/","")," ",""),8),5,2),--MID(LEFT(SUBSTITUTE(SUBSTITUTE(SUBSTITUTE(SUBSTITUTE(TRIM($AR541),"-",""),".",""),"/","")," ",""),8),7,2)),"")))</f>
        <v/>
      </c>
      <c r="AT541" s="23">
        <f>IF($AS541="","",IF($F$6="",0,IF(ISNUMBER(INDEX($A:$AP,ROW(),$F$6)),INDEX($A:$AP,ROW(),$F$6),IFERROR(--SUBSTITUTE(SUBSTITUTE(TRIM(INDEX($A:$AP,ROW(),$F$6)),",",""),"원",""),0))))</f>
        <v/>
      </c>
      <c r="AU541" s="23">
        <f>IF($AS541="","",IF($G$6="",0,IF(ISNUMBER(INDEX($A:$AP,ROW(),$G$6)),INDEX($A:$AP,ROW(),$G$6),IFERROR(--SUBSTITUTE(SUBSTITUTE(TRIM(INDEX($A:$AP,ROW(),$G$6)),",",""),"원",""),0))))</f>
        <v/>
      </c>
      <c r="AV541" s="23">
        <f>IF($AS541="","",IF($H$6="",$AT541+$AU541,IF($H$6="",0,IF(ISNUMBER(INDEX($A:$AP,ROW(),$H$6)),INDEX($A:$AP,ROW(),$H$6),IFERROR(--SUBSTITUTE(SUBSTITUTE(TRIM(INDEX($A:$AP,ROW(),$H$6)),",",""),"원",""),0)))))</f>
        <v/>
      </c>
      <c r="AW541" s="2">
        <f>IF(OR($AS541="",$C$6=""),"",TRIM(INDEX($A:$AP,ROW(),$C$6)&amp;""))</f>
        <v/>
      </c>
      <c r="AX541" s="2">
        <f>IF($AS541="","",IF($AZ541&lt;&gt;"",SUBSTITUTE(SUBSTITUTE($AZ541,"-","")," ",""),$AY541))</f>
        <v/>
      </c>
      <c r="AY541" s="2">
        <f>IF(OR($AS541="",$E$6=""),"",TRIM(INDEX($A:$AP,ROW(),$E$6)&amp;""))</f>
        <v/>
      </c>
      <c r="AZ541" s="2">
        <f>IF(OR($AS541="",$D$6=""),"",TRIM(INDEX($A:$AP,ROW(),$D$6)&amp;""))</f>
        <v/>
      </c>
      <c r="BA541" s="2">
        <f>IF($AS541="","",IF(AND($AS541&gt;=설정!$B$10,$AS541&lt;=설정!$B$11),"포함","기간 밖"))</f>
        <v/>
      </c>
      <c r="BB541" s="2">
        <f>IF($AS541="","",IF(OR($AT541&lt;0,AND($I$6&lt;&gt;"",ISNUMBER(FIND("수정",INDEX($A:$AP,ROW(),IF($I$6="",1,$I$6))&amp;"")))),"수정","일반"))</f>
        <v/>
      </c>
      <c r="BC541" s="2">
        <f>IF($AS541="","",MID(IF($BA541="기간 밖"," / 기간 밖(신고기간 아님)","")&amp;IF(AND($AW541&lt;&gt;"",COUNTIF($AW$8:$AW$1007,$AW541)&gt;1)," / 승인번호 중복(두 번 붙여넣기?)","")&amp;IF(ABS($AU541-ROUND($AT541*0.1,0))&gt;설정!$B$8,IF($AU541=0," / 세액 0원(영세율·면세 여부 확인)"," / 세액이 공급가액 10%와 다름"),"")&amp;IF($BB541="수정"," / 수정세금계산서(합계에서 자동 가감)",""),4,200))</f>
        <v/>
      </c>
      <c r="BD541" s="2">
        <f>IF($BA541&lt;&gt;"포함","",IF(COUNTIFS($AX$8:$AX541,$AX541,$BA$8:$BA541,"포함")=1,MAX($BD$7:BD540)+1,""))</f>
        <v/>
      </c>
      <c r="BE541" s="2">
        <f>IF($BC541="","",MAX($BE$7:BE540)+1)</f>
        <v/>
      </c>
    </row>
    <row r="542">
      <c r="AR542" s="2">
        <f>IF(OR($A$5="",$B$6="",ROW()&lt;$A$5),"",IF(INDEX($A:$AP,ROW(),$B$6)="","",INDEX($A:$AP,ROW(),$B$6)))</f>
        <v/>
      </c>
      <c r="AS542" s="22">
        <f>IF($AR542="","",IF(ISNUMBER($AR542),IF($AR542&gt;=10000000,IFERROR(DATE(INT($AR542/10000),MOD(INT($AR542/100),100),MOD($AR542,100)),""),INT($AR542)),IFERROR(DATE(--LEFT(LEFT(SUBSTITUTE(SUBSTITUTE(SUBSTITUTE(SUBSTITUTE(TRIM($AR542),"-",""),".",""),"/","")," ",""),8),4),--MID(LEFT(SUBSTITUTE(SUBSTITUTE(SUBSTITUTE(SUBSTITUTE(TRIM($AR542),"-",""),".",""),"/","")," ",""),8),5,2),--MID(LEFT(SUBSTITUTE(SUBSTITUTE(SUBSTITUTE(SUBSTITUTE(TRIM($AR542),"-",""),".",""),"/","")," ",""),8),7,2)),"")))</f>
        <v/>
      </c>
      <c r="AT542" s="23">
        <f>IF($AS542="","",IF($F$6="",0,IF(ISNUMBER(INDEX($A:$AP,ROW(),$F$6)),INDEX($A:$AP,ROW(),$F$6),IFERROR(--SUBSTITUTE(SUBSTITUTE(TRIM(INDEX($A:$AP,ROW(),$F$6)),",",""),"원",""),0))))</f>
        <v/>
      </c>
      <c r="AU542" s="23">
        <f>IF($AS542="","",IF($G$6="",0,IF(ISNUMBER(INDEX($A:$AP,ROW(),$G$6)),INDEX($A:$AP,ROW(),$G$6),IFERROR(--SUBSTITUTE(SUBSTITUTE(TRIM(INDEX($A:$AP,ROW(),$G$6)),",",""),"원",""),0))))</f>
        <v/>
      </c>
      <c r="AV542" s="23">
        <f>IF($AS542="","",IF($H$6="",$AT542+$AU542,IF($H$6="",0,IF(ISNUMBER(INDEX($A:$AP,ROW(),$H$6)),INDEX($A:$AP,ROW(),$H$6),IFERROR(--SUBSTITUTE(SUBSTITUTE(TRIM(INDEX($A:$AP,ROW(),$H$6)),",",""),"원",""),0)))))</f>
        <v/>
      </c>
      <c r="AW542" s="2">
        <f>IF(OR($AS542="",$C$6=""),"",TRIM(INDEX($A:$AP,ROW(),$C$6)&amp;""))</f>
        <v/>
      </c>
      <c r="AX542" s="2">
        <f>IF($AS542="","",IF($AZ542&lt;&gt;"",SUBSTITUTE(SUBSTITUTE($AZ542,"-","")," ",""),$AY542))</f>
        <v/>
      </c>
      <c r="AY542" s="2">
        <f>IF(OR($AS542="",$E$6=""),"",TRIM(INDEX($A:$AP,ROW(),$E$6)&amp;""))</f>
        <v/>
      </c>
      <c r="AZ542" s="2">
        <f>IF(OR($AS542="",$D$6=""),"",TRIM(INDEX($A:$AP,ROW(),$D$6)&amp;""))</f>
        <v/>
      </c>
      <c r="BA542" s="2">
        <f>IF($AS542="","",IF(AND($AS542&gt;=설정!$B$10,$AS542&lt;=설정!$B$11),"포함","기간 밖"))</f>
        <v/>
      </c>
      <c r="BB542" s="2">
        <f>IF($AS542="","",IF(OR($AT542&lt;0,AND($I$6&lt;&gt;"",ISNUMBER(FIND("수정",INDEX($A:$AP,ROW(),IF($I$6="",1,$I$6))&amp;"")))),"수정","일반"))</f>
        <v/>
      </c>
      <c r="BC542" s="2">
        <f>IF($AS542="","",MID(IF($BA542="기간 밖"," / 기간 밖(신고기간 아님)","")&amp;IF(AND($AW542&lt;&gt;"",COUNTIF($AW$8:$AW$1007,$AW542)&gt;1)," / 승인번호 중복(두 번 붙여넣기?)","")&amp;IF(ABS($AU542-ROUND($AT542*0.1,0))&gt;설정!$B$8,IF($AU542=0," / 세액 0원(영세율·면세 여부 확인)"," / 세액이 공급가액 10%와 다름"),"")&amp;IF($BB542="수정"," / 수정세금계산서(합계에서 자동 가감)",""),4,200))</f>
        <v/>
      </c>
      <c r="BD542" s="2">
        <f>IF($BA542&lt;&gt;"포함","",IF(COUNTIFS($AX$8:$AX542,$AX542,$BA$8:$BA542,"포함")=1,MAX($BD$7:BD541)+1,""))</f>
        <v/>
      </c>
      <c r="BE542" s="2">
        <f>IF($BC542="","",MAX($BE$7:BE541)+1)</f>
        <v/>
      </c>
    </row>
    <row r="543">
      <c r="AR543" s="2">
        <f>IF(OR($A$5="",$B$6="",ROW()&lt;$A$5),"",IF(INDEX($A:$AP,ROW(),$B$6)="","",INDEX($A:$AP,ROW(),$B$6)))</f>
        <v/>
      </c>
      <c r="AS543" s="22">
        <f>IF($AR543="","",IF(ISNUMBER($AR543),IF($AR543&gt;=10000000,IFERROR(DATE(INT($AR543/10000),MOD(INT($AR543/100),100),MOD($AR543,100)),""),INT($AR543)),IFERROR(DATE(--LEFT(LEFT(SUBSTITUTE(SUBSTITUTE(SUBSTITUTE(SUBSTITUTE(TRIM($AR543),"-",""),".",""),"/","")," ",""),8),4),--MID(LEFT(SUBSTITUTE(SUBSTITUTE(SUBSTITUTE(SUBSTITUTE(TRIM($AR543),"-",""),".",""),"/","")," ",""),8),5,2),--MID(LEFT(SUBSTITUTE(SUBSTITUTE(SUBSTITUTE(SUBSTITUTE(TRIM($AR543),"-",""),".",""),"/","")," ",""),8),7,2)),"")))</f>
        <v/>
      </c>
      <c r="AT543" s="23">
        <f>IF($AS543="","",IF($F$6="",0,IF(ISNUMBER(INDEX($A:$AP,ROW(),$F$6)),INDEX($A:$AP,ROW(),$F$6),IFERROR(--SUBSTITUTE(SUBSTITUTE(TRIM(INDEX($A:$AP,ROW(),$F$6)),",",""),"원",""),0))))</f>
        <v/>
      </c>
      <c r="AU543" s="23">
        <f>IF($AS543="","",IF($G$6="",0,IF(ISNUMBER(INDEX($A:$AP,ROW(),$G$6)),INDEX($A:$AP,ROW(),$G$6),IFERROR(--SUBSTITUTE(SUBSTITUTE(TRIM(INDEX($A:$AP,ROW(),$G$6)),",",""),"원",""),0))))</f>
        <v/>
      </c>
      <c r="AV543" s="23">
        <f>IF($AS543="","",IF($H$6="",$AT543+$AU543,IF($H$6="",0,IF(ISNUMBER(INDEX($A:$AP,ROW(),$H$6)),INDEX($A:$AP,ROW(),$H$6),IFERROR(--SUBSTITUTE(SUBSTITUTE(TRIM(INDEX($A:$AP,ROW(),$H$6)),",",""),"원",""),0)))))</f>
        <v/>
      </c>
      <c r="AW543" s="2">
        <f>IF(OR($AS543="",$C$6=""),"",TRIM(INDEX($A:$AP,ROW(),$C$6)&amp;""))</f>
        <v/>
      </c>
      <c r="AX543" s="2">
        <f>IF($AS543="","",IF($AZ543&lt;&gt;"",SUBSTITUTE(SUBSTITUTE($AZ543,"-","")," ",""),$AY543))</f>
        <v/>
      </c>
      <c r="AY543" s="2">
        <f>IF(OR($AS543="",$E$6=""),"",TRIM(INDEX($A:$AP,ROW(),$E$6)&amp;""))</f>
        <v/>
      </c>
      <c r="AZ543" s="2">
        <f>IF(OR($AS543="",$D$6=""),"",TRIM(INDEX($A:$AP,ROW(),$D$6)&amp;""))</f>
        <v/>
      </c>
      <c r="BA543" s="2">
        <f>IF($AS543="","",IF(AND($AS543&gt;=설정!$B$10,$AS543&lt;=설정!$B$11),"포함","기간 밖"))</f>
        <v/>
      </c>
      <c r="BB543" s="2">
        <f>IF($AS543="","",IF(OR($AT543&lt;0,AND($I$6&lt;&gt;"",ISNUMBER(FIND("수정",INDEX($A:$AP,ROW(),IF($I$6="",1,$I$6))&amp;"")))),"수정","일반"))</f>
        <v/>
      </c>
      <c r="BC543" s="2">
        <f>IF($AS543="","",MID(IF($BA543="기간 밖"," / 기간 밖(신고기간 아님)","")&amp;IF(AND($AW543&lt;&gt;"",COUNTIF($AW$8:$AW$1007,$AW543)&gt;1)," / 승인번호 중복(두 번 붙여넣기?)","")&amp;IF(ABS($AU543-ROUND($AT543*0.1,0))&gt;설정!$B$8,IF($AU543=0," / 세액 0원(영세율·면세 여부 확인)"," / 세액이 공급가액 10%와 다름"),"")&amp;IF($BB543="수정"," / 수정세금계산서(합계에서 자동 가감)",""),4,200))</f>
        <v/>
      </c>
      <c r="BD543" s="2">
        <f>IF($BA543&lt;&gt;"포함","",IF(COUNTIFS($AX$8:$AX543,$AX543,$BA$8:$BA543,"포함")=1,MAX($BD$7:BD542)+1,""))</f>
        <v/>
      </c>
      <c r="BE543" s="2">
        <f>IF($BC543="","",MAX($BE$7:BE542)+1)</f>
        <v/>
      </c>
    </row>
    <row r="544">
      <c r="AR544" s="2">
        <f>IF(OR($A$5="",$B$6="",ROW()&lt;$A$5),"",IF(INDEX($A:$AP,ROW(),$B$6)="","",INDEX($A:$AP,ROW(),$B$6)))</f>
        <v/>
      </c>
      <c r="AS544" s="22">
        <f>IF($AR544="","",IF(ISNUMBER($AR544),IF($AR544&gt;=10000000,IFERROR(DATE(INT($AR544/10000),MOD(INT($AR544/100),100),MOD($AR544,100)),""),INT($AR544)),IFERROR(DATE(--LEFT(LEFT(SUBSTITUTE(SUBSTITUTE(SUBSTITUTE(SUBSTITUTE(TRIM($AR544),"-",""),".",""),"/","")," ",""),8),4),--MID(LEFT(SUBSTITUTE(SUBSTITUTE(SUBSTITUTE(SUBSTITUTE(TRIM($AR544),"-",""),".",""),"/","")," ",""),8),5,2),--MID(LEFT(SUBSTITUTE(SUBSTITUTE(SUBSTITUTE(SUBSTITUTE(TRIM($AR544),"-",""),".",""),"/","")," ",""),8),7,2)),"")))</f>
        <v/>
      </c>
      <c r="AT544" s="23">
        <f>IF($AS544="","",IF($F$6="",0,IF(ISNUMBER(INDEX($A:$AP,ROW(),$F$6)),INDEX($A:$AP,ROW(),$F$6),IFERROR(--SUBSTITUTE(SUBSTITUTE(TRIM(INDEX($A:$AP,ROW(),$F$6)),",",""),"원",""),0))))</f>
        <v/>
      </c>
      <c r="AU544" s="23">
        <f>IF($AS544="","",IF($G$6="",0,IF(ISNUMBER(INDEX($A:$AP,ROW(),$G$6)),INDEX($A:$AP,ROW(),$G$6),IFERROR(--SUBSTITUTE(SUBSTITUTE(TRIM(INDEX($A:$AP,ROW(),$G$6)),",",""),"원",""),0))))</f>
        <v/>
      </c>
      <c r="AV544" s="23">
        <f>IF($AS544="","",IF($H$6="",$AT544+$AU544,IF($H$6="",0,IF(ISNUMBER(INDEX($A:$AP,ROW(),$H$6)),INDEX($A:$AP,ROW(),$H$6),IFERROR(--SUBSTITUTE(SUBSTITUTE(TRIM(INDEX($A:$AP,ROW(),$H$6)),",",""),"원",""),0)))))</f>
        <v/>
      </c>
      <c r="AW544" s="2">
        <f>IF(OR($AS544="",$C$6=""),"",TRIM(INDEX($A:$AP,ROW(),$C$6)&amp;""))</f>
        <v/>
      </c>
      <c r="AX544" s="2">
        <f>IF($AS544="","",IF($AZ544&lt;&gt;"",SUBSTITUTE(SUBSTITUTE($AZ544,"-","")," ",""),$AY544))</f>
        <v/>
      </c>
      <c r="AY544" s="2">
        <f>IF(OR($AS544="",$E$6=""),"",TRIM(INDEX($A:$AP,ROW(),$E$6)&amp;""))</f>
        <v/>
      </c>
      <c r="AZ544" s="2">
        <f>IF(OR($AS544="",$D$6=""),"",TRIM(INDEX($A:$AP,ROW(),$D$6)&amp;""))</f>
        <v/>
      </c>
      <c r="BA544" s="2">
        <f>IF($AS544="","",IF(AND($AS544&gt;=설정!$B$10,$AS544&lt;=설정!$B$11),"포함","기간 밖"))</f>
        <v/>
      </c>
      <c r="BB544" s="2">
        <f>IF($AS544="","",IF(OR($AT544&lt;0,AND($I$6&lt;&gt;"",ISNUMBER(FIND("수정",INDEX($A:$AP,ROW(),IF($I$6="",1,$I$6))&amp;"")))),"수정","일반"))</f>
        <v/>
      </c>
      <c r="BC544" s="2">
        <f>IF($AS544="","",MID(IF($BA544="기간 밖"," / 기간 밖(신고기간 아님)","")&amp;IF(AND($AW544&lt;&gt;"",COUNTIF($AW$8:$AW$1007,$AW544)&gt;1)," / 승인번호 중복(두 번 붙여넣기?)","")&amp;IF(ABS($AU544-ROUND($AT544*0.1,0))&gt;설정!$B$8,IF($AU544=0," / 세액 0원(영세율·면세 여부 확인)"," / 세액이 공급가액 10%와 다름"),"")&amp;IF($BB544="수정"," / 수정세금계산서(합계에서 자동 가감)",""),4,200))</f>
        <v/>
      </c>
      <c r="BD544" s="2">
        <f>IF($BA544&lt;&gt;"포함","",IF(COUNTIFS($AX$8:$AX544,$AX544,$BA$8:$BA544,"포함")=1,MAX($BD$7:BD543)+1,""))</f>
        <v/>
      </c>
      <c r="BE544" s="2">
        <f>IF($BC544="","",MAX($BE$7:BE543)+1)</f>
        <v/>
      </c>
    </row>
    <row r="545">
      <c r="AR545" s="2">
        <f>IF(OR($A$5="",$B$6="",ROW()&lt;$A$5),"",IF(INDEX($A:$AP,ROW(),$B$6)="","",INDEX($A:$AP,ROW(),$B$6)))</f>
        <v/>
      </c>
      <c r="AS545" s="22">
        <f>IF($AR545="","",IF(ISNUMBER($AR545),IF($AR545&gt;=10000000,IFERROR(DATE(INT($AR545/10000),MOD(INT($AR545/100),100),MOD($AR545,100)),""),INT($AR545)),IFERROR(DATE(--LEFT(LEFT(SUBSTITUTE(SUBSTITUTE(SUBSTITUTE(SUBSTITUTE(TRIM($AR545),"-",""),".",""),"/","")," ",""),8),4),--MID(LEFT(SUBSTITUTE(SUBSTITUTE(SUBSTITUTE(SUBSTITUTE(TRIM($AR545),"-",""),".",""),"/","")," ",""),8),5,2),--MID(LEFT(SUBSTITUTE(SUBSTITUTE(SUBSTITUTE(SUBSTITUTE(TRIM($AR545),"-",""),".",""),"/","")," ",""),8),7,2)),"")))</f>
        <v/>
      </c>
      <c r="AT545" s="23">
        <f>IF($AS545="","",IF($F$6="",0,IF(ISNUMBER(INDEX($A:$AP,ROW(),$F$6)),INDEX($A:$AP,ROW(),$F$6),IFERROR(--SUBSTITUTE(SUBSTITUTE(TRIM(INDEX($A:$AP,ROW(),$F$6)),",",""),"원",""),0))))</f>
        <v/>
      </c>
      <c r="AU545" s="23">
        <f>IF($AS545="","",IF($G$6="",0,IF(ISNUMBER(INDEX($A:$AP,ROW(),$G$6)),INDEX($A:$AP,ROW(),$G$6),IFERROR(--SUBSTITUTE(SUBSTITUTE(TRIM(INDEX($A:$AP,ROW(),$G$6)),",",""),"원",""),0))))</f>
        <v/>
      </c>
      <c r="AV545" s="23">
        <f>IF($AS545="","",IF($H$6="",$AT545+$AU545,IF($H$6="",0,IF(ISNUMBER(INDEX($A:$AP,ROW(),$H$6)),INDEX($A:$AP,ROW(),$H$6),IFERROR(--SUBSTITUTE(SUBSTITUTE(TRIM(INDEX($A:$AP,ROW(),$H$6)),",",""),"원",""),0)))))</f>
        <v/>
      </c>
      <c r="AW545" s="2">
        <f>IF(OR($AS545="",$C$6=""),"",TRIM(INDEX($A:$AP,ROW(),$C$6)&amp;""))</f>
        <v/>
      </c>
      <c r="AX545" s="2">
        <f>IF($AS545="","",IF($AZ545&lt;&gt;"",SUBSTITUTE(SUBSTITUTE($AZ545,"-","")," ",""),$AY545))</f>
        <v/>
      </c>
      <c r="AY545" s="2">
        <f>IF(OR($AS545="",$E$6=""),"",TRIM(INDEX($A:$AP,ROW(),$E$6)&amp;""))</f>
        <v/>
      </c>
      <c r="AZ545" s="2">
        <f>IF(OR($AS545="",$D$6=""),"",TRIM(INDEX($A:$AP,ROW(),$D$6)&amp;""))</f>
        <v/>
      </c>
      <c r="BA545" s="2">
        <f>IF($AS545="","",IF(AND($AS545&gt;=설정!$B$10,$AS545&lt;=설정!$B$11),"포함","기간 밖"))</f>
        <v/>
      </c>
      <c r="BB545" s="2">
        <f>IF($AS545="","",IF(OR($AT545&lt;0,AND($I$6&lt;&gt;"",ISNUMBER(FIND("수정",INDEX($A:$AP,ROW(),IF($I$6="",1,$I$6))&amp;"")))),"수정","일반"))</f>
        <v/>
      </c>
      <c r="BC545" s="2">
        <f>IF($AS545="","",MID(IF($BA545="기간 밖"," / 기간 밖(신고기간 아님)","")&amp;IF(AND($AW545&lt;&gt;"",COUNTIF($AW$8:$AW$1007,$AW545)&gt;1)," / 승인번호 중복(두 번 붙여넣기?)","")&amp;IF(ABS($AU545-ROUND($AT545*0.1,0))&gt;설정!$B$8,IF($AU545=0," / 세액 0원(영세율·면세 여부 확인)"," / 세액이 공급가액 10%와 다름"),"")&amp;IF($BB545="수정"," / 수정세금계산서(합계에서 자동 가감)",""),4,200))</f>
        <v/>
      </c>
      <c r="BD545" s="2">
        <f>IF($BA545&lt;&gt;"포함","",IF(COUNTIFS($AX$8:$AX545,$AX545,$BA$8:$BA545,"포함")=1,MAX($BD$7:BD544)+1,""))</f>
        <v/>
      </c>
      <c r="BE545" s="2">
        <f>IF($BC545="","",MAX($BE$7:BE544)+1)</f>
        <v/>
      </c>
    </row>
    <row r="546">
      <c r="AR546" s="2">
        <f>IF(OR($A$5="",$B$6="",ROW()&lt;$A$5),"",IF(INDEX($A:$AP,ROW(),$B$6)="","",INDEX($A:$AP,ROW(),$B$6)))</f>
        <v/>
      </c>
      <c r="AS546" s="22">
        <f>IF($AR546="","",IF(ISNUMBER($AR546),IF($AR546&gt;=10000000,IFERROR(DATE(INT($AR546/10000),MOD(INT($AR546/100),100),MOD($AR546,100)),""),INT($AR546)),IFERROR(DATE(--LEFT(LEFT(SUBSTITUTE(SUBSTITUTE(SUBSTITUTE(SUBSTITUTE(TRIM($AR546),"-",""),".",""),"/","")," ",""),8),4),--MID(LEFT(SUBSTITUTE(SUBSTITUTE(SUBSTITUTE(SUBSTITUTE(TRIM($AR546),"-",""),".",""),"/","")," ",""),8),5,2),--MID(LEFT(SUBSTITUTE(SUBSTITUTE(SUBSTITUTE(SUBSTITUTE(TRIM($AR546),"-",""),".",""),"/","")," ",""),8),7,2)),"")))</f>
        <v/>
      </c>
      <c r="AT546" s="23">
        <f>IF($AS546="","",IF($F$6="",0,IF(ISNUMBER(INDEX($A:$AP,ROW(),$F$6)),INDEX($A:$AP,ROW(),$F$6),IFERROR(--SUBSTITUTE(SUBSTITUTE(TRIM(INDEX($A:$AP,ROW(),$F$6)),",",""),"원",""),0))))</f>
        <v/>
      </c>
      <c r="AU546" s="23">
        <f>IF($AS546="","",IF($G$6="",0,IF(ISNUMBER(INDEX($A:$AP,ROW(),$G$6)),INDEX($A:$AP,ROW(),$G$6),IFERROR(--SUBSTITUTE(SUBSTITUTE(TRIM(INDEX($A:$AP,ROW(),$G$6)),",",""),"원",""),0))))</f>
        <v/>
      </c>
      <c r="AV546" s="23">
        <f>IF($AS546="","",IF($H$6="",$AT546+$AU546,IF($H$6="",0,IF(ISNUMBER(INDEX($A:$AP,ROW(),$H$6)),INDEX($A:$AP,ROW(),$H$6),IFERROR(--SUBSTITUTE(SUBSTITUTE(TRIM(INDEX($A:$AP,ROW(),$H$6)),",",""),"원",""),0)))))</f>
        <v/>
      </c>
      <c r="AW546" s="2">
        <f>IF(OR($AS546="",$C$6=""),"",TRIM(INDEX($A:$AP,ROW(),$C$6)&amp;""))</f>
        <v/>
      </c>
      <c r="AX546" s="2">
        <f>IF($AS546="","",IF($AZ546&lt;&gt;"",SUBSTITUTE(SUBSTITUTE($AZ546,"-","")," ",""),$AY546))</f>
        <v/>
      </c>
      <c r="AY546" s="2">
        <f>IF(OR($AS546="",$E$6=""),"",TRIM(INDEX($A:$AP,ROW(),$E$6)&amp;""))</f>
        <v/>
      </c>
      <c r="AZ546" s="2">
        <f>IF(OR($AS546="",$D$6=""),"",TRIM(INDEX($A:$AP,ROW(),$D$6)&amp;""))</f>
        <v/>
      </c>
      <c r="BA546" s="2">
        <f>IF($AS546="","",IF(AND($AS546&gt;=설정!$B$10,$AS546&lt;=설정!$B$11),"포함","기간 밖"))</f>
        <v/>
      </c>
      <c r="BB546" s="2">
        <f>IF($AS546="","",IF(OR($AT546&lt;0,AND($I$6&lt;&gt;"",ISNUMBER(FIND("수정",INDEX($A:$AP,ROW(),IF($I$6="",1,$I$6))&amp;"")))),"수정","일반"))</f>
        <v/>
      </c>
      <c r="BC546" s="2">
        <f>IF($AS546="","",MID(IF($BA546="기간 밖"," / 기간 밖(신고기간 아님)","")&amp;IF(AND($AW546&lt;&gt;"",COUNTIF($AW$8:$AW$1007,$AW546)&gt;1)," / 승인번호 중복(두 번 붙여넣기?)","")&amp;IF(ABS($AU546-ROUND($AT546*0.1,0))&gt;설정!$B$8,IF($AU546=0," / 세액 0원(영세율·면세 여부 확인)"," / 세액이 공급가액 10%와 다름"),"")&amp;IF($BB546="수정"," / 수정세금계산서(합계에서 자동 가감)",""),4,200))</f>
        <v/>
      </c>
      <c r="BD546" s="2">
        <f>IF($BA546&lt;&gt;"포함","",IF(COUNTIFS($AX$8:$AX546,$AX546,$BA$8:$BA546,"포함")=1,MAX($BD$7:BD545)+1,""))</f>
        <v/>
      </c>
      <c r="BE546" s="2">
        <f>IF($BC546="","",MAX($BE$7:BE545)+1)</f>
        <v/>
      </c>
    </row>
    <row r="547">
      <c r="AR547" s="2">
        <f>IF(OR($A$5="",$B$6="",ROW()&lt;$A$5),"",IF(INDEX($A:$AP,ROW(),$B$6)="","",INDEX($A:$AP,ROW(),$B$6)))</f>
        <v/>
      </c>
      <c r="AS547" s="22">
        <f>IF($AR547="","",IF(ISNUMBER($AR547),IF($AR547&gt;=10000000,IFERROR(DATE(INT($AR547/10000),MOD(INT($AR547/100),100),MOD($AR547,100)),""),INT($AR547)),IFERROR(DATE(--LEFT(LEFT(SUBSTITUTE(SUBSTITUTE(SUBSTITUTE(SUBSTITUTE(TRIM($AR547),"-",""),".",""),"/","")," ",""),8),4),--MID(LEFT(SUBSTITUTE(SUBSTITUTE(SUBSTITUTE(SUBSTITUTE(TRIM($AR547),"-",""),".",""),"/","")," ",""),8),5,2),--MID(LEFT(SUBSTITUTE(SUBSTITUTE(SUBSTITUTE(SUBSTITUTE(TRIM($AR547),"-",""),".",""),"/","")," ",""),8),7,2)),"")))</f>
        <v/>
      </c>
      <c r="AT547" s="23">
        <f>IF($AS547="","",IF($F$6="",0,IF(ISNUMBER(INDEX($A:$AP,ROW(),$F$6)),INDEX($A:$AP,ROW(),$F$6),IFERROR(--SUBSTITUTE(SUBSTITUTE(TRIM(INDEX($A:$AP,ROW(),$F$6)),",",""),"원",""),0))))</f>
        <v/>
      </c>
      <c r="AU547" s="23">
        <f>IF($AS547="","",IF($G$6="",0,IF(ISNUMBER(INDEX($A:$AP,ROW(),$G$6)),INDEX($A:$AP,ROW(),$G$6),IFERROR(--SUBSTITUTE(SUBSTITUTE(TRIM(INDEX($A:$AP,ROW(),$G$6)),",",""),"원",""),0))))</f>
        <v/>
      </c>
      <c r="AV547" s="23">
        <f>IF($AS547="","",IF($H$6="",$AT547+$AU547,IF($H$6="",0,IF(ISNUMBER(INDEX($A:$AP,ROW(),$H$6)),INDEX($A:$AP,ROW(),$H$6),IFERROR(--SUBSTITUTE(SUBSTITUTE(TRIM(INDEX($A:$AP,ROW(),$H$6)),",",""),"원",""),0)))))</f>
        <v/>
      </c>
      <c r="AW547" s="2">
        <f>IF(OR($AS547="",$C$6=""),"",TRIM(INDEX($A:$AP,ROW(),$C$6)&amp;""))</f>
        <v/>
      </c>
      <c r="AX547" s="2">
        <f>IF($AS547="","",IF($AZ547&lt;&gt;"",SUBSTITUTE(SUBSTITUTE($AZ547,"-","")," ",""),$AY547))</f>
        <v/>
      </c>
      <c r="AY547" s="2">
        <f>IF(OR($AS547="",$E$6=""),"",TRIM(INDEX($A:$AP,ROW(),$E$6)&amp;""))</f>
        <v/>
      </c>
      <c r="AZ547" s="2">
        <f>IF(OR($AS547="",$D$6=""),"",TRIM(INDEX($A:$AP,ROW(),$D$6)&amp;""))</f>
        <v/>
      </c>
      <c r="BA547" s="2">
        <f>IF($AS547="","",IF(AND($AS547&gt;=설정!$B$10,$AS547&lt;=설정!$B$11),"포함","기간 밖"))</f>
        <v/>
      </c>
      <c r="BB547" s="2">
        <f>IF($AS547="","",IF(OR($AT547&lt;0,AND($I$6&lt;&gt;"",ISNUMBER(FIND("수정",INDEX($A:$AP,ROW(),IF($I$6="",1,$I$6))&amp;"")))),"수정","일반"))</f>
        <v/>
      </c>
      <c r="BC547" s="2">
        <f>IF($AS547="","",MID(IF($BA547="기간 밖"," / 기간 밖(신고기간 아님)","")&amp;IF(AND($AW547&lt;&gt;"",COUNTIF($AW$8:$AW$1007,$AW547)&gt;1)," / 승인번호 중복(두 번 붙여넣기?)","")&amp;IF(ABS($AU547-ROUND($AT547*0.1,0))&gt;설정!$B$8,IF($AU547=0," / 세액 0원(영세율·면세 여부 확인)"," / 세액이 공급가액 10%와 다름"),"")&amp;IF($BB547="수정"," / 수정세금계산서(합계에서 자동 가감)",""),4,200))</f>
        <v/>
      </c>
      <c r="BD547" s="2">
        <f>IF($BA547&lt;&gt;"포함","",IF(COUNTIFS($AX$8:$AX547,$AX547,$BA$8:$BA547,"포함")=1,MAX($BD$7:BD546)+1,""))</f>
        <v/>
      </c>
      <c r="BE547" s="2">
        <f>IF($BC547="","",MAX($BE$7:BE546)+1)</f>
        <v/>
      </c>
    </row>
    <row r="548">
      <c r="AR548" s="2">
        <f>IF(OR($A$5="",$B$6="",ROW()&lt;$A$5),"",IF(INDEX($A:$AP,ROW(),$B$6)="","",INDEX($A:$AP,ROW(),$B$6)))</f>
        <v/>
      </c>
      <c r="AS548" s="22">
        <f>IF($AR548="","",IF(ISNUMBER($AR548),IF($AR548&gt;=10000000,IFERROR(DATE(INT($AR548/10000),MOD(INT($AR548/100),100),MOD($AR548,100)),""),INT($AR548)),IFERROR(DATE(--LEFT(LEFT(SUBSTITUTE(SUBSTITUTE(SUBSTITUTE(SUBSTITUTE(TRIM($AR548),"-",""),".",""),"/","")," ",""),8),4),--MID(LEFT(SUBSTITUTE(SUBSTITUTE(SUBSTITUTE(SUBSTITUTE(TRIM($AR548),"-",""),".",""),"/","")," ",""),8),5,2),--MID(LEFT(SUBSTITUTE(SUBSTITUTE(SUBSTITUTE(SUBSTITUTE(TRIM($AR548),"-",""),".",""),"/","")," ",""),8),7,2)),"")))</f>
        <v/>
      </c>
      <c r="AT548" s="23">
        <f>IF($AS548="","",IF($F$6="",0,IF(ISNUMBER(INDEX($A:$AP,ROW(),$F$6)),INDEX($A:$AP,ROW(),$F$6),IFERROR(--SUBSTITUTE(SUBSTITUTE(TRIM(INDEX($A:$AP,ROW(),$F$6)),",",""),"원",""),0))))</f>
        <v/>
      </c>
      <c r="AU548" s="23">
        <f>IF($AS548="","",IF($G$6="",0,IF(ISNUMBER(INDEX($A:$AP,ROW(),$G$6)),INDEX($A:$AP,ROW(),$G$6),IFERROR(--SUBSTITUTE(SUBSTITUTE(TRIM(INDEX($A:$AP,ROW(),$G$6)),",",""),"원",""),0))))</f>
        <v/>
      </c>
      <c r="AV548" s="23">
        <f>IF($AS548="","",IF($H$6="",$AT548+$AU548,IF($H$6="",0,IF(ISNUMBER(INDEX($A:$AP,ROW(),$H$6)),INDEX($A:$AP,ROW(),$H$6),IFERROR(--SUBSTITUTE(SUBSTITUTE(TRIM(INDEX($A:$AP,ROW(),$H$6)),",",""),"원",""),0)))))</f>
        <v/>
      </c>
      <c r="AW548" s="2">
        <f>IF(OR($AS548="",$C$6=""),"",TRIM(INDEX($A:$AP,ROW(),$C$6)&amp;""))</f>
        <v/>
      </c>
      <c r="AX548" s="2">
        <f>IF($AS548="","",IF($AZ548&lt;&gt;"",SUBSTITUTE(SUBSTITUTE($AZ548,"-","")," ",""),$AY548))</f>
        <v/>
      </c>
      <c r="AY548" s="2">
        <f>IF(OR($AS548="",$E$6=""),"",TRIM(INDEX($A:$AP,ROW(),$E$6)&amp;""))</f>
        <v/>
      </c>
      <c r="AZ548" s="2">
        <f>IF(OR($AS548="",$D$6=""),"",TRIM(INDEX($A:$AP,ROW(),$D$6)&amp;""))</f>
        <v/>
      </c>
      <c r="BA548" s="2">
        <f>IF($AS548="","",IF(AND($AS548&gt;=설정!$B$10,$AS548&lt;=설정!$B$11),"포함","기간 밖"))</f>
        <v/>
      </c>
      <c r="BB548" s="2">
        <f>IF($AS548="","",IF(OR($AT548&lt;0,AND($I$6&lt;&gt;"",ISNUMBER(FIND("수정",INDEX($A:$AP,ROW(),IF($I$6="",1,$I$6))&amp;"")))),"수정","일반"))</f>
        <v/>
      </c>
      <c r="BC548" s="2">
        <f>IF($AS548="","",MID(IF($BA548="기간 밖"," / 기간 밖(신고기간 아님)","")&amp;IF(AND($AW548&lt;&gt;"",COUNTIF($AW$8:$AW$1007,$AW548)&gt;1)," / 승인번호 중복(두 번 붙여넣기?)","")&amp;IF(ABS($AU548-ROUND($AT548*0.1,0))&gt;설정!$B$8,IF($AU548=0," / 세액 0원(영세율·면세 여부 확인)"," / 세액이 공급가액 10%와 다름"),"")&amp;IF($BB548="수정"," / 수정세금계산서(합계에서 자동 가감)",""),4,200))</f>
        <v/>
      </c>
      <c r="BD548" s="2">
        <f>IF($BA548&lt;&gt;"포함","",IF(COUNTIFS($AX$8:$AX548,$AX548,$BA$8:$BA548,"포함")=1,MAX($BD$7:BD547)+1,""))</f>
        <v/>
      </c>
      <c r="BE548" s="2">
        <f>IF($BC548="","",MAX($BE$7:BE547)+1)</f>
        <v/>
      </c>
    </row>
    <row r="549">
      <c r="AR549" s="2">
        <f>IF(OR($A$5="",$B$6="",ROW()&lt;$A$5),"",IF(INDEX($A:$AP,ROW(),$B$6)="","",INDEX($A:$AP,ROW(),$B$6)))</f>
        <v/>
      </c>
      <c r="AS549" s="22">
        <f>IF($AR549="","",IF(ISNUMBER($AR549),IF($AR549&gt;=10000000,IFERROR(DATE(INT($AR549/10000),MOD(INT($AR549/100),100),MOD($AR549,100)),""),INT($AR549)),IFERROR(DATE(--LEFT(LEFT(SUBSTITUTE(SUBSTITUTE(SUBSTITUTE(SUBSTITUTE(TRIM($AR549),"-",""),".",""),"/","")," ",""),8),4),--MID(LEFT(SUBSTITUTE(SUBSTITUTE(SUBSTITUTE(SUBSTITUTE(TRIM($AR549),"-",""),".",""),"/","")," ",""),8),5,2),--MID(LEFT(SUBSTITUTE(SUBSTITUTE(SUBSTITUTE(SUBSTITUTE(TRIM($AR549),"-",""),".",""),"/","")," ",""),8),7,2)),"")))</f>
        <v/>
      </c>
      <c r="AT549" s="23">
        <f>IF($AS549="","",IF($F$6="",0,IF(ISNUMBER(INDEX($A:$AP,ROW(),$F$6)),INDEX($A:$AP,ROW(),$F$6),IFERROR(--SUBSTITUTE(SUBSTITUTE(TRIM(INDEX($A:$AP,ROW(),$F$6)),",",""),"원",""),0))))</f>
        <v/>
      </c>
      <c r="AU549" s="23">
        <f>IF($AS549="","",IF($G$6="",0,IF(ISNUMBER(INDEX($A:$AP,ROW(),$G$6)),INDEX($A:$AP,ROW(),$G$6),IFERROR(--SUBSTITUTE(SUBSTITUTE(TRIM(INDEX($A:$AP,ROW(),$G$6)),",",""),"원",""),0))))</f>
        <v/>
      </c>
      <c r="AV549" s="23">
        <f>IF($AS549="","",IF($H$6="",$AT549+$AU549,IF($H$6="",0,IF(ISNUMBER(INDEX($A:$AP,ROW(),$H$6)),INDEX($A:$AP,ROW(),$H$6),IFERROR(--SUBSTITUTE(SUBSTITUTE(TRIM(INDEX($A:$AP,ROW(),$H$6)),",",""),"원",""),0)))))</f>
        <v/>
      </c>
      <c r="AW549" s="2">
        <f>IF(OR($AS549="",$C$6=""),"",TRIM(INDEX($A:$AP,ROW(),$C$6)&amp;""))</f>
        <v/>
      </c>
      <c r="AX549" s="2">
        <f>IF($AS549="","",IF($AZ549&lt;&gt;"",SUBSTITUTE(SUBSTITUTE($AZ549,"-","")," ",""),$AY549))</f>
        <v/>
      </c>
      <c r="AY549" s="2">
        <f>IF(OR($AS549="",$E$6=""),"",TRIM(INDEX($A:$AP,ROW(),$E$6)&amp;""))</f>
        <v/>
      </c>
      <c r="AZ549" s="2">
        <f>IF(OR($AS549="",$D$6=""),"",TRIM(INDEX($A:$AP,ROW(),$D$6)&amp;""))</f>
        <v/>
      </c>
      <c r="BA549" s="2">
        <f>IF($AS549="","",IF(AND($AS549&gt;=설정!$B$10,$AS549&lt;=설정!$B$11),"포함","기간 밖"))</f>
        <v/>
      </c>
      <c r="BB549" s="2">
        <f>IF($AS549="","",IF(OR($AT549&lt;0,AND($I$6&lt;&gt;"",ISNUMBER(FIND("수정",INDEX($A:$AP,ROW(),IF($I$6="",1,$I$6))&amp;"")))),"수정","일반"))</f>
        <v/>
      </c>
      <c r="BC549" s="2">
        <f>IF($AS549="","",MID(IF($BA549="기간 밖"," / 기간 밖(신고기간 아님)","")&amp;IF(AND($AW549&lt;&gt;"",COUNTIF($AW$8:$AW$1007,$AW549)&gt;1)," / 승인번호 중복(두 번 붙여넣기?)","")&amp;IF(ABS($AU549-ROUND($AT549*0.1,0))&gt;설정!$B$8,IF($AU549=0," / 세액 0원(영세율·면세 여부 확인)"," / 세액이 공급가액 10%와 다름"),"")&amp;IF($BB549="수정"," / 수정세금계산서(합계에서 자동 가감)",""),4,200))</f>
        <v/>
      </c>
      <c r="BD549" s="2">
        <f>IF($BA549&lt;&gt;"포함","",IF(COUNTIFS($AX$8:$AX549,$AX549,$BA$8:$BA549,"포함")=1,MAX($BD$7:BD548)+1,""))</f>
        <v/>
      </c>
      <c r="BE549" s="2">
        <f>IF($BC549="","",MAX($BE$7:BE548)+1)</f>
        <v/>
      </c>
    </row>
    <row r="550">
      <c r="AR550" s="2">
        <f>IF(OR($A$5="",$B$6="",ROW()&lt;$A$5),"",IF(INDEX($A:$AP,ROW(),$B$6)="","",INDEX($A:$AP,ROW(),$B$6)))</f>
        <v/>
      </c>
      <c r="AS550" s="22">
        <f>IF($AR550="","",IF(ISNUMBER($AR550),IF($AR550&gt;=10000000,IFERROR(DATE(INT($AR550/10000),MOD(INT($AR550/100),100),MOD($AR550,100)),""),INT($AR550)),IFERROR(DATE(--LEFT(LEFT(SUBSTITUTE(SUBSTITUTE(SUBSTITUTE(SUBSTITUTE(TRIM($AR550),"-",""),".",""),"/","")," ",""),8),4),--MID(LEFT(SUBSTITUTE(SUBSTITUTE(SUBSTITUTE(SUBSTITUTE(TRIM($AR550),"-",""),".",""),"/","")," ",""),8),5,2),--MID(LEFT(SUBSTITUTE(SUBSTITUTE(SUBSTITUTE(SUBSTITUTE(TRIM($AR550),"-",""),".",""),"/","")," ",""),8),7,2)),"")))</f>
        <v/>
      </c>
      <c r="AT550" s="23">
        <f>IF($AS550="","",IF($F$6="",0,IF(ISNUMBER(INDEX($A:$AP,ROW(),$F$6)),INDEX($A:$AP,ROW(),$F$6),IFERROR(--SUBSTITUTE(SUBSTITUTE(TRIM(INDEX($A:$AP,ROW(),$F$6)),",",""),"원",""),0))))</f>
        <v/>
      </c>
      <c r="AU550" s="23">
        <f>IF($AS550="","",IF($G$6="",0,IF(ISNUMBER(INDEX($A:$AP,ROW(),$G$6)),INDEX($A:$AP,ROW(),$G$6),IFERROR(--SUBSTITUTE(SUBSTITUTE(TRIM(INDEX($A:$AP,ROW(),$G$6)),",",""),"원",""),0))))</f>
        <v/>
      </c>
      <c r="AV550" s="23">
        <f>IF($AS550="","",IF($H$6="",$AT550+$AU550,IF($H$6="",0,IF(ISNUMBER(INDEX($A:$AP,ROW(),$H$6)),INDEX($A:$AP,ROW(),$H$6),IFERROR(--SUBSTITUTE(SUBSTITUTE(TRIM(INDEX($A:$AP,ROW(),$H$6)),",",""),"원",""),0)))))</f>
        <v/>
      </c>
      <c r="AW550" s="2">
        <f>IF(OR($AS550="",$C$6=""),"",TRIM(INDEX($A:$AP,ROW(),$C$6)&amp;""))</f>
        <v/>
      </c>
      <c r="AX550" s="2">
        <f>IF($AS550="","",IF($AZ550&lt;&gt;"",SUBSTITUTE(SUBSTITUTE($AZ550,"-","")," ",""),$AY550))</f>
        <v/>
      </c>
      <c r="AY550" s="2">
        <f>IF(OR($AS550="",$E$6=""),"",TRIM(INDEX($A:$AP,ROW(),$E$6)&amp;""))</f>
        <v/>
      </c>
      <c r="AZ550" s="2">
        <f>IF(OR($AS550="",$D$6=""),"",TRIM(INDEX($A:$AP,ROW(),$D$6)&amp;""))</f>
        <v/>
      </c>
      <c r="BA550" s="2">
        <f>IF($AS550="","",IF(AND($AS550&gt;=설정!$B$10,$AS550&lt;=설정!$B$11),"포함","기간 밖"))</f>
        <v/>
      </c>
      <c r="BB550" s="2">
        <f>IF($AS550="","",IF(OR($AT550&lt;0,AND($I$6&lt;&gt;"",ISNUMBER(FIND("수정",INDEX($A:$AP,ROW(),IF($I$6="",1,$I$6))&amp;"")))),"수정","일반"))</f>
        <v/>
      </c>
      <c r="BC550" s="2">
        <f>IF($AS550="","",MID(IF($BA550="기간 밖"," / 기간 밖(신고기간 아님)","")&amp;IF(AND($AW550&lt;&gt;"",COUNTIF($AW$8:$AW$1007,$AW550)&gt;1)," / 승인번호 중복(두 번 붙여넣기?)","")&amp;IF(ABS($AU550-ROUND($AT550*0.1,0))&gt;설정!$B$8,IF($AU550=0," / 세액 0원(영세율·면세 여부 확인)"," / 세액이 공급가액 10%와 다름"),"")&amp;IF($BB550="수정"," / 수정세금계산서(합계에서 자동 가감)",""),4,200))</f>
        <v/>
      </c>
      <c r="BD550" s="2">
        <f>IF($BA550&lt;&gt;"포함","",IF(COUNTIFS($AX$8:$AX550,$AX550,$BA$8:$BA550,"포함")=1,MAX($BD$7:BD549)+1,""))</f>
        <v/>
      </c>
      <c r="BE550" s="2">
        <f>IF($BC550="","",MAX($BE$7:BE549)+1)</f>
        <v/>
      </c>
    </row>
    <row r="551">
      <c r="AR551" s="2">
        <f>IF(OR($A$5="",$B$6="",ROW()&lt;$A$5),"",IF(INDEX($A:$AP,ROW(),$B$6)="","",INDEX($A:$AP,ROW(),$B$6)))</f>
        <v/>
      </c>
      <c r="AS551" s="22">
        <f>IF($AR551="","",IF(ISNUMBER($AR551),IF($AR551&gt;=10000000,IFERROR(DATE(INT($AR551/10000),MOD(INT($AR551/100),100),MOD($AR551,100)),""),INT($AR551)),IFERROR(DATE(--LEFT(LEFT(SUBSTITUTE(SUBSTITUTE(SUBSTITUTE(SUBSTITUTE(TRIM($AR551),"-",""),".",""),"/","")," ",""),8),4),--MID(LEFT(SUBSTITUTE(SUBSTITUTE(SUBSTITUTE(SUBSTITUTE(TRIM($AR551),"-",""),".",""),"/","")," ",""),8),5,2),--MID(LEFT(SUBSTITUTE(SUBSTITUTE(SUBSTITUTE(SUBSTITUTE(TRIM($AR551),"-",""),".",""),"/","")," ",""),8),7,2)),"")))</f>
        <v/>
      </c>
      <c r="AT551" s="23">
        <f>IF($AS551="","",IF($F$6="",0,IF(ISNUMBER(INDEX($A:$AP,ROW(),$F$6)),INDEX($A:$AP,ROW(),$F$6),IFERROR(--SUBSTITUTE(SUBSTITUTE(TRIM(INDEX($A:$AP,ROW(),$F$6)),",",""),"원",""),0))))</f>
        <v/>
      </c>
      <c r="AU551" s="23">
        <f>IF($AS551="","",IF($G$6="",0,IF(ISNUMBER(INDEX($A:$AP,ROW(),$G$6)),INDEX($A:$AP,ROW(),$G$6),IFERROR(--SUBSTITUTE(SUBSTITUTE(TRIM(INDEX($A:$AP,ROW(),$G$6)),",",""),"원",""),0))))</f>
        <v/>
      </c>
      <c r="AV551" s="23">
        <f>IF($AS551="","",IF($H$6="",$AT551+$AU551,IF($H$6="",0,IF(ISNUMBER(INDEX($A:$AP,ROW(),$H$6)),INDEX($A:$AP,ROW(),$H$6),IFERROR(--SUBSTITUTE(SUBSTITUTE(TRIM(INDEX($A:$AP,ROW(),$H$6)),",",""),"원",""),0)))))</f>
        <v/>
      </c>
      <c r="AW551" s="2">
        <f>IF(OR($AS551="",$C$6=""),"",TRIM(INDEX($A:$AP,ROW(),$C$6)&amp;""))</f>
        <v/>
      </c>
      <c r="AX551" s="2">
        <f>IF($AS551="","",IF($AZ551&lt;&gt;"",SUBSTITUTE(SUBSTITUTE($AZ551,"-","")," ",""),$AY551))</f>
        <v/>
      </c>
      <c r="AY551" s="2">
        <f>IF(OR($AS551="",$E$6=""),"",TRIM(INDEX($A:$AP,ROW(),$E$6)&amp;""))</f>
        <v/>
      </c>
      <c r="AZ551" s="2">
        <f>IF(OR($AS551="",$D$6=""),"",TRIM(INDEX($A:$AP,ROW(),$D$6)&amp;""))</f>
        <v/>
      </c>
      <c r="BA551" s="2">
        <f>IF($AS551="","",IF(AND($AS551&gt;=설정!$B$10,$AS551&lt;=설정!$B$11),"포함","기간 밖"))</f>
        <v/>
      </c>
      <c r="BB551" s="2">
        <f>IF($AS551="","",IF(OR($AT551&lt;0,AND($I$6&lt;&gt;"",ISNUMBER(FIND("수정",INDEX($A:$AP,ROW(),IF($I$6="",1,$I$6))&amp;"")))),"수정","일반"))</f>
        <v/>
      </c>
      <c r="BC551" s="2">
        <f>IF($AS551="","",MID(IF($BA551="기간 밖"," / 기간 밖(신고기간 아님)","")&amp;IF(AND($AW551&lt;&gt;"",COUNTIF($AW$8:$AW$1007,$AW551)&gt;1)," / 승인번호 중복(두 번 붙여넣기?)","")&amp;IF(ABS($AU551-ROUND($AT551*0.1,0))&gt;설정!$B$8,IF($AU551=0," / 세액 0원(영세율·면세 여부 확인)"," / 세액이 공급가액 10%와 다름"),"")&amp;IF($BB551="수정"," / 수정세금계산서(합계에서 자동 가감)",""),4,200))</f>
        <v/>
      </c>
      <c r="BD551" s="2">
        <f>IF($BA551&lt;&gt;"포함","",IF(COUNTIFS($AX$8:$AX551,$AX551,$BA$8:$BA551,"포함")=1,MAX($BD$7:BD550)+1,""))</f>
        <v/>
      </c>
      <c r="BE551" s="2">
        <f>IF($BC551="","",MAX($BE$7:BE550)+1)</f>
        <v/>
      </c>
    </row>
    <row r="552">
      <c r="AR552" s="2">
        <f>IF(OR($A$5="",$B$6="",ROW()&lt;$A$5),"",IF(INDEX($A:$AP,ROW(),$B$6)="","",INDEX($A:$AP,ROW(),$B$6)))</f>
        <v/>
      </c>
      <c r="AS552" s="22">
        <f>IF($AR552="","",IF(ISNUMBER($AR552),IF($AR552&gt;=10000000,IFERROR(DATE(INT($AR552/10000),MOD(INT($AR552/100),100),MOD($AR552,100)),""),INT($AR552)),IFERROR(DATE(--LEFT(LEFT(SUBSTITUTE(SUBSTITUTE(SUBSTITUTE(SUBSTITUTE(TRIM($AR552),"-",""),".",""),"/","")," ",""),8),4),--MID(LEFT(SUBSTITUTE(SUBSTITUTE(SUBSTITUTE(SUBSTITUTE(TRIM($AR552),"-",""),".",""),"/","")," ",""),8),5,2),--MID(LEFT(SUBSTITUTE(SUBSTITUTE(SUBSTITUTE(SUBSTITUTE(TRIM($AR552),"-",""),".",""),"/","")," ",""),8),7,2)),"")))</f>
        <v/>
      </c>
      <c r="AT552" s="23">
        <f>IF($AS552="","",IF($F$6="",0,IF(ISNUMBER(INDEX($A:$AP,ROW(),$F$6)),INDEX($A:$AP,ROW(),$F$6),IFERROR(--SUBSTITUTE(SUBSTITUTE(TRIM(INDEX($A:$AP,ROW(),$F$6)),",",""),"원",""),0))))</f>
        <v/>
      </c>
      <c r="AU552" s="23">
        <f>IF($AS552="","",IF($G$6="",0,IF(ISNUMBER(INDEX($A:$AP,ROW(),$G$6)),INDEX($A:$AP,ROW(),$G$6),IFERROR(--SUBSTITUTE(SUBSTITUTE(TRIM(INDEX($A:$AP,ROW(),$G$6)),",",""),"원",""),0))))</f>
        <v/>
      </c>
      <c r="AV552" s="23">
        <f>IF($AS552="","",IF($H$6="",$AT552+$AU552,IF($H$6="",0,IF(ISNUMBER(INDEX($A:$AP,ROW(),$H$6)),INDEX($A:$AP,ROW(),$H$6),IFERROR(--SUBSTITUTE(SUBSTITUTE(TRIM(INDEX($A:$AP,ROW(),$H$6)),",",""),"원",""),0)))))</f>
        <v/>
      </c>
      <c r="AW552" s="2">
        <f>IF(OR($AS552="",$C$6=""),"",TRIM(INDEX($A:$AP,ROW(),$C$6)&amp;""))</f>
        <v/>
      </c>
      <c r="AX552" s="2">
        <f>IF($AS552="","",IF($AZ552&lt;&gt;"",SUBSTITUTE(SUBSTITUTE($AZ552,"-","")," ",""),$AY552))</f>
        <v/>
      </c>
      <c r="AY552" s="2">
        <f>IF(OR($AS552="",$E$6=""),"",TRIM(INDEX($A:$AP,ROW(),$E$6)&amp;""))</f>
        <v/>
      </c>
      <c r="AZ552" s="2">
        <f>IF(OR($AS552="",$D$6=""),"",TRIM(INDEX($A:$AP,ROW(),$D$6)&amp;""))</f>
        <v/>
      </c>
      <c r="BA552" s="2">
        <f>IF($AS552="","",IF(AND($AS552&gt;=설정!$B$10,$AS552&lt;=설정!$B$11),"포함","기간 밖"))</f>
        <v/>
      </c>
      <c r="BB552" s="2">
        <f>IF($AS552="","",IF(OR($AT552&lt;0,AND($I$6&lt;&gt;"",ISNUMBER(FIND("수정",INDEX($A:$AP,ROW(),IF($I$6="",1,$I$6))&amp;"")))),"수정","일반"))</f>
        <v/>
      </c>
      <c r="BC552" s="2">
        <f>IF($AS552="","",MID(IF($BA552="기간 밖"," / 기간 밖(신고기간 아님)","")&amp;IF(AND($AW552&lt;&gt;"",COUNTIF($AW$8:$AW$1007,$AW552)&gt;1)," / 승인번호 중복(두 번 붙여넣기?)","")&amp;IF(ABS($AU552-ROUND($AT552*0.1,0))&gt;설정!$B$8,IF($AU552=0," / 세액 0원(영세율·면세 여부 확인)"," / 세액이 공급가액 10%와 다름"),"")&amp;IF($BB552="수정"," / 수정세금계산서(합계에서 자동 가감)",""),4,200))</f>
        <v/>
      </c>
      <c r="BD552" s="2">
        <f>IF($BA552&lt;&gt;"포함","",IF(COUNTIFS($AX$8:$AX552,$AX552,$BA$8:$BA552,"포함")=1,MAX($BD$7:BD551)+1,""))</f>
        <v/>
      </c>
      <c r="BE552" s="2">
        <f>IF($BC552="","",MAX($BE$7:BE551)+1)</f>
        <v/>
      </c>
    </row>
    <row r="553">
      <c r="AR553" s="2">
        <f>IF(OR($A$5="",$B$6="",ROW()&lt;$A$5),"",IF(INDEX($A:$AP,ROW(),$B$6)="","",INDEX($A:$AP,ROW(),$B$6)))</f>
        <v/>
      </c>
      <c r="AS553" s="22">
        <f>IF($AR553="","",IF(ISNUMBER($AR553),IF($AR553&gt;=10000000,IFERROR(DATE(INT($AR553/10000),MOD(INT($AR553/100),100),MOD($AR553,100)),""),INT($AR553)),IFERROR(DATE(--LEFT(LEFT(SUBSTITUTE(SUBSTITUTE(SUBSTITUTE(SUBSTITUTE(TRIM($AR553),"-",""),".",""),"/","")," ",""),8),4),--MID(LEFT(SUBSTITUTE(SUBSTITUTE(SUBSTITUTE(SUBSTITUTE(TRIM($AR553),"-",""),".",""),"/","")," ",""),8),5,2),--MID(LEFT(SUBSTITUTE(SUBSTITUTE(SUBSTITUTE(SUBSTITUTE(TRIM($AR553),"-",""),".",""),"/","")," ",""),8),7,2)),"")))</f>
        <v/>
      </c>
      <c r="AT553" s="23">
        <f>IF($AS553="","",IF($F$6="",0,IF(ISNUMBER(INDEX($A:$AP,ROW(),$F$6)),INDEX($A:$AP,ROW(),$F$6),IFERROR(--SUBSTITUTE(SUBSTITUTE(TRIM(INDEX($A:$AP,ROW(),$F$6)),",",""),"원",""),0))))</f>
        <v/>
      </c>
      <c r="AU553" s="23">
        <f>IF($AS553="","",IF($G$6="",0,IF(ISNUMBER(INDEX($A:$AP,ROW(),$G$6)),INDEX($A:$AP,ROW(),$G$6),IFERROR(--SUBSTITUTE(SUBSTITUTE(TRIM(INDEX($A:$AP,ROW(),$G$6)),",",""),"원",""),0))))</f>
        <v/>
      </c>
      <c r="AV553" s="23">
        <f>IF($AS553="","",IF($H$6="",$AT553+$AU553,IF($H$6="",0,IF(ISNUMBER(INDEX($A:$AP,ROW(),$H$6)),INDEX($A:$AP,ROW(),$H$6),IFERROR(--SUBSTITUTE(SUBSTITUTE(TRIM(INDEX($A:$AP,ROW(),$H$6)),",",""),"원",""),0)))))</f>
        <v/>
      </c>
      <c r="AW553" s="2">
        <f>IF(OR($AS553="",$C$6=""),"",TRIM(INDEX($A:$AP,ROW(),$C$6)&amp;""))</f>
        <v/>
      </c>
      <c r="AX553" s="2">
        <f>IF($AS553="","",IF($AZ553&lt;&gt;"",SUBSTITUTE(SUBSTITUTE($AZ553,"-","")," ",""),$AY553))</f>
        <v/>
      </c>
      <c r="AY553" s="2">
        <f>IF(OR($AS553="",$E$6=""),"",TRIM(INDEX($A:$AP,ROW(),$E$6)&amp;""))</f>
        <v/>
      </c>
      <c r="AZ553" s="2">
        <f>IF(OR($AS553="",$D$6=""),"",TRIM(INDEX($A:$AP,ROW(),$D$6)&amp;""))</f>
        <v/>
      </c>
      <c r="BA553" s="2">
        <f>IF($AS553="","",IF(AND($AS553&gt;=설정!$B$10,$AS553&lt;=설정!$B$11),"포함","기간 밖"))</f>
        <v/>
      </c>
      <c r="BB553" s="2">
        <f>IF($AS553="","",IF(OR($AT553&lt;0,AND($I$6&lt;&gt;"",ISNUMBER(FIND("수정",INDEX($A:$AP,ROW(),IF($I$6="",1,$I$6))&amp;"")))),"수정","일반"))</f>
        <v/>
      </c>
      <c r="BC553" s="2">
        <f>IF($AS553="","",MID(IF($BA553="기간 밖"," / 기간 밖(신고기간 아님)","")&amp;IF(AND($AW553&lt;&gt;"",COUNTIF($AW$8:$AW$1007,$AW553)&gt;1)," / 승인번호 중복(두 번 붙여넣기?)","")&amp;IF(ABS($AU553-ROUND($AT553*0.1,0))&gt;설정!$B$8,IF($AU553=0," / 세액 0원(영세율·면세 여부 확인)"," / 세액이 공급가액 10%와 다름"),"")&amp;IF($BB553="수정"," / 수정세금계산서(합계에서 자동 가감)",""),4,200))</f>
        <v/>
      </c>
      <c r="BD553" s="2">
        <f>IF($BA553&lt;&gt;"포함","",IF(COUNTIFS($AX$8:$AX553,$AX553,$BA$8:$BA553,"포함")=1,MAX($BD$7:BD552)+1,""))</f>
        <v/>
      </c>
      <c r="BE553" s="2">
        <f>IF($BC553="","",MAX($BE$7:BE552)+1)</f>
        <v/>
      </c>
    </row>
    <row r="554">
      <c r="AR554" s="2">
        <f>IF(OR($A$5="",$B$6="",ROW()&lt;$A$5),"",IF(INDEX($A:$AP,ROW(),$B$6)="","",INDEX($A:$AP,ROW(),$B$6)))</f>
        <v/>
      </c>
      <c r="AS554" s="22">
        <f>IF($AR554="","",IF(ISNUMBER($AR554),IF($AR554&gt;=10000000,IFERROR(DATE(INT($AR554/10000),MOD(INT($AR554/100),100),MOD($AR554,100)),""),INT($AR554)),IFERROR(DATE(--LEFT(LEFT(SUBSTITUTE(SUBSTITUTE(SUBSTITUTE(SUBSTITUTE(TRIM($AR554),"-",""),".",""),"/","")," ",""),8),4),--MID(LEFT(SUBSTITUTE(SUBSTITUTE(SUBSTITUTE(SUBSTITUTE(TRIM($AR554),"-",""),".",""),"/","")," ",""),8),5,2),--MID(LEFT(SUBSTITUTE(SUBSTITUTE(SUBSTITUTE(SUBSTITUTE(TRIM($AR554),"-",""),".",""),"/","")," ",""),8),7,2)),"")))</f>
        <v/>
      </c>
      <c r="AT554" s="23">
        <f>IF($AS554="","",IF($F$6="",0,IF(ISNUMBER(INDEX($A:$AP,ROW(),$F$6)),INDEX($A:$AP,ROW(),$F$6),IFERROR(--SUBSTITUTE(SUBSTITUTE(TRIM(INDEX($A:$AP,ROW(),$F$6)),",",""),"원",""),0))))</f>
        <v/>
      </c>
      <c r="AU554" s="23">
        <f>IF($AS554="","",IF($G$6="",0,IF(ISNUMBER(INDEX($A:$AP,ROW(),$G$6)),INDEX($A:$AP,ROW(),$G$6),IFERROR(--SUBSTITUTE(SUBSTITUTE(TRIM(INDEX($A:$AP,ROW(),$G$6)),",",""),"원",""),0))))</f>
        <v/>
      </c>
      <c r="AV554" s="23">
        <f>IF($AS554="","",IF($H$6="",$AT554+$AU554,IF($H$6="",0,IF(ISNUMBER(INDEX($A:$AP,ROW(),$H$6)),INDEX($A:$AP,ROW(),$H$6),IFERROR(--SUBSTITUTE(SUBSTITUTE(TRIM(INDEX($A:$AP,ROW(),$H$6)),",",""),"원",""),0)))))</f>
        <v/>
      </c>
      <c r="AW554" s="2">
        <f>IF(OR($AS554="",$C$6=""),"",TRIM(INDEX($A:$AP,ROW(),$C$6)&amp;""))</f>
        <v/>
      </c>
      <c r="AX554" s="2">
        <f>IF($AS554="","",IF($AZ554&lt;&gt;"",SUBSTITUTE(SUBSTITUTE($AZ554,"-","")," ",""),$AY554))</f>
        <v/>
      </c>
      <c r="AY554" s="2">
        <f>IF(OR($AS554="",$E$6=""),"",TRIM(INDEX($A:$AP,ROW(),$E$6)&amp;""))</f>
        <v/>
      </c>
      <c r="AZ554" s="2">
        <f>IF(OR($AS554="",$D$6=""),"",TRIM(INDEX($A:$AP,ROW(),$D$6)&amp;""))</f>
        <v/>
      </c>
      <c r="BA554" s="2">
        <f>IF($AS554="","",IF(AND($AS554&gt;=설정!$B$10,$AS554&lt;=설정!$B$11),"포함","기간 밖"))</f>
        <v/>
      </c>
      <c r="BB554" s="2">
        <f>IF($AS554="","",IF(OR($AT554&lt;0,AND($I$6&lt;&gt;"",ISNUMBER(FIND("수정",INDEX($A:$AP,ROW(),IF($I$6="",1,$I$6))&amp;"")))),"수정","일반"))</f>
        <v/>
      </c>
      <c r="BC554" s="2">
        <f>IF($AS554="","",MID(IF($BA554="기간 밖"," / 기간 밖(신고기간 아님)","")&amp;IF(AND($AW554&lt;&gt;"",COUNTIF($AW$8:$AW$1007,$AW554)&gt;1)," / 승인번호 중복(두 번 붙여넣기?)","")&amp;IF(ABS($AU554-ROUND($AT554*0.1,0))&gt;설정!$B$8,IF($AU554=0," / 세액 0원(영세율·면세 여부 확인)"," / 세액이 공급가액 10%와 다름"),"")&amp;IF($BB554="수정"," / 수정세금계산서(합계에서 자동 가감)",""),4,200))</f>
        <v/>
      </c>
      <c r="BD554" s="2">
        <f>IF($BA554&lt;&gt;"포함","",IF(COUNTIFS($AX$8:$AX554,$AX554,$BA$8:$BA554,"포함")=1,MAX($BD$7:BD553)+1,""))</f>
        <v/>
      </c>
      <c r="BE554" s="2">
        <f>IF($BC554="","",MAX($BE$7:BE553)+1)</f>
        <v/>
      </c>
    </row>
    <row r="555">
      <c r="AR555" s="2">
        <f>IF(OR($A$5="",$B$6="",ROW()&lt;$A$5),"",IF(INDEX($A:$AP,ROW(),$B$6)="","",INDEX($A:$AP,ROW(),$B$6)))</f>
        <v/>
      </c>
      <c r="AS555" s="22">
        <f>IF($AR555="","",IF(ISNUMBER($AR555),IF($AR555&gt;=10000000,IFERROR(DATE(INT($AR555/10000),MOD(INT($AR555/100),100),MOD($AR555,100)),""),INT($AR555)),IFERROR(DATE(--LEFT(LEFT(SUBSTITUTE(SUBSTITUTE(SUBSTITUTE(SUBSTITUTE(TRIM($AR555),"-",""),".",""),"/","")," ",""),8),4),--MID(LEFT(SUBSTITUTE(SUBSTITUTE(SUBSTITUTE(SUBSTITUTE(TRIM($AR555),"-",""),".",""),"/","")," ",""),8),5,2),--MID(LEFT(SUBSTITUTE(SUBSTITUTE(SUBSTITUTE(SUBSTITUTE(TRIM($AR555),"-",""),".",""),"/","")," ",""),8),7,2)),"")))</f>
        <v/>
      </c>
      <c r="AT555" s="23">
        <f>IF($AS555="","",IF($F$6="",0,IF(ISNUMBER(INDEX($A:$AP,ROW(),$F$6)),INDEX($A:$AP,ROW(),$F$6),IFERROR(--SUBSTITUTE(SUBSTITUTE(TRIM(INDEX($A:$AP,ROW(),$F$6)),",",""),"원",""),0))))</f>
        <v/>
      </c>
      <c r="AU555" s="23">
        <f>IF($AS555="","",IF($G$6="",0,IF(ISNUMBER(INDEX($A:$AP,ROW(),$G$6)),INDEX($A:$AP,ROW(),$G$6),IFERROR(--SUBSTITUTE(SUBSTITUTE(TRIM(INDEX($A:$AP,ROW(),$G$6)),",",""),"원",""),0))))</f>
        <v/>
      </c>
      <c r="AV555" s="23">
        <f>IF($AS555="","",IF($H$6="",$AT555+$AU555,IF($H$6="",0,IF(ISNUMBER(INDEX($A:$AP,ROW(),$H$6)),INDEX($A:$AP,ROW(),$H$6),IFERROR(--SUBSTITUTE(SUBSTITUTE(TRIM(INDEX($A:$AP,ROW(),$H$6)),",",""),"원",""),0)))))</f>
        <v/>
      </c>
      <c r="AW555" s="2">
        <f>IF(OR($AS555="",$C$6=""),"",TRIM(INDEX($A:$AP,ROW(),$C$6)&amp;""))</f>
        <v/>
      </c>
      <c r="AX555" s="2">
        <f>IF($AS555="","",IF($AZ555&lt;&gt;"",SUBSTITUTE(SUBSTITUTE($AZ555,"-","")," ",""),$AY555))</f>
        <v/>
      </c>
      <c r="AY555" s="2">
        <f>IF(OR($AS555="",$E$6=""),"",TRIM(INDEX($A:$AP,ROW(),$E$6)&amp;""))</f>
        <v/>
      </c>
      <c r="AZ555" s="2">
        <f>IF(OR($AS555="",$D$6=""),"",TRIM(INDEX($A:$AP,ROW(),$D$6)&amp;""))</f>
        <v/>
      </c>
      <c r="BA555" s="2">
        <f>IF($AS555="","",IF(AND($AS555&gt;=설정!$B$10,$AS555&lt;=설정!$B$11),"포함","기간 밖"))</f>
        <v/>
      </c>
      <c r="BB555" s="2">
        <f>IF($AS555="","",IF(OR($AT555&lt;0,AND($I$6&lt;&gt;"",ISNUMBER(FIND("수정",INDEX($A:$AP,ROW(),IF($I$6="",1,$I$6))&amp;"")))),"수정","일반"))</f>
        <v/>
      </c>
      <c r="BC555" s="2">
        <f>IF($AS555="","",MID(IF($BA555="기간 밖"," / 기간 밖(신고기간 아님)","")&amp;IF(AND($AW555&lt;&gt;"",COUNTIF($AW$8:$AW$1007,$AW555)&gt;1)," / 승인번호 중복(두 번 붙여넣기?)","")&amp;IF(ABS($AU555-ROUND($AT555*0.1,0))&gt;설정!$B$8,IF($AU555=0," / 세액 0원(영세율·면세 여부 확인)"," / 세액이 공급가액 10%와 다름"),"")&amp;IF($BB555="수정"," / 수정세금계산서(합계에서 자동 가감)",""),4,200))</f>
        <v/>
      </c>
      <c r="BD555" s="2">
        <f>IF($BA555&lt;&gt;"포함","",IF(COUNTIFS($AX$8:$AX555,$AX555,$BA$8:$BA555,"포함")=1,MAX($BD$7:BD554)+1,""))</f>
        <v/>
      </c>
      <c r="BE555" s="2">
        <f>IF($BC555="","",MAX($BE$7:BE554)+1)</f>
        <v/>
      </c>
    </row>
    <row r="556">
      <c r="AR556" s="2">
        <f>IF(OR($A$5="",$B$6="",ROW()&lt;$A$5),"",IF(INDEX($A:$AP,ROW(),$B$6)="","",INDEX($A:$AP,ROW(),$B$6)))</f>
        <v/>
      </c>
      <c r="AS556" s="22">
        <f>IF($AR556="","",IF(ISNUMBER($AR556),IF($AR556&gt;=10000000,IFERROR(DATE(INT($AR556/10000),MOD(INT($AR556/100),100),MOD($AR556,100)),""),INT($AR556)),IFERROR(DATE(--LEFT(LEFT(SUBSTITUTE(SUBSTITUTE(SUBSTITUTE(SUBSTITUTE(TRIM($AR556),"-",""),".",""),"/","")," ",""),8),4),--MID(LEFT(SUBSTITUTE(SUBSTITUTE(SUBSTITUTE(SUBSTITUTE(TRIM($AR556),"-",""),".",""),"/","")," ",""),8),5,2),--MID(LEFT(SUBSTITUTE(SUBSTITUTE(SUBSTITUTE(SUBSTITUTE(TRIM($AR556),"-",""),".",""),"/","")," ",""),8),7,2)),"")))</f>
        <v/>
      </c>
      <c r="AT556" s="23">
        <f>IF($AS556="","",IF($F$6="",0,IF(ISNUMBER(INDEX($A:$AP,ROW(),$F$6)),INDEX($A:$AP,ROW(),$F$6),IFERROR(--SUBSTITUTE(SUBSTITUTE(TRIM(INDEX($A:$AP,ROW(),$F$6)),",",""),"원",""),0))))</f>
        <v/>
      </c>
      <c r="AU556" s="23">
        <f>IF($AS556="","",IF($G$6="",0,IF(ISNUMBER(INDEX($A:$AP,ROW(),$G$6)),INDEX($A:$AP,ROW(),$G$6),IFERROR(--SUBSTITUTE(SUBSTITUTE(TRIM(INDEX($A:$AP,ROW(),$G$6)),",",""),"원",""),0))))</f>
        <v/>
      </c>
      <c r="AV556" s="23">
        <f>IF($AS556="","",IF($H$6="",$AT556+$AU556,IF($H$6="",0,IF(ISNUMBER(INDEX($A:$AP,ROW(),$H$6)),INDEX($A:$AP,ROW(),$H$6),IFERROR(--SUBSTITUTE(SUBSTITUTE(TRIM(INDEX($A:$AP,ROW(),$H$6)),",",""),"원",""),0)))))</f>
        <v/>
      </c>
      <c r="AW556" s="2">
        <f>IF(OR($AS556="",$C$6=""),"",TRIM(INDEX($A:$AP,ROW(),$C$6)&amp;""))</f>
        <v/>
      </c>
      <c r="AX556" s="2">
        <f>IF($AS556="","",IF($AZ556&lt;&gt;"",SUBSTITUTE(SUBSTITUTE($AZ556,"-","")," ",""),$AY556))</f>
        <v/>
      </c>
      <c r="AY556" s="2">
        <f>IF(OR($AS556="",$E$6=""),"",TRIM(INDEX($A:$AP,ROW(),$E$6)&amp;""))</f>
        <v/>
      </c>
      <c r="AZ556" s="2">
        <f>IF(OR($AS556="",$D$6=""),"",TRIM(INDEX($A:$AP,ROW(),$D$6)&amp;""))</f>
        <v/>
      </c>
      <c r="BA556" s="2">
        <f>IF($AS556="","",IF(AND($AS556&gt;=설정!$B$10,$AS556&lt;=설정!$B$11),"포함","기간 밖"))</f>
        <v/>
      </c>
      <c r="BB556" s="2">
        <f>IF($AS556="","",IF(OR($AT556&lt;0,AND($I$6&lt;&gt;"",ISNUMBER(FIND("수정",INDEX($A:$AP,ROW(),IF($I$6="",1,$I$6))&amp;"")))),"수정","일반"))</f>
        <v/>
      </c>
      <c r="BC556" s="2">
        <f>IF($AS556="","",MID(IF($BA556="기간 밖"," / 기간 밖(신고기간 아님)","")&amp;IF(AND($AW556&lt;&gt;"",COUNTIF($AW$8:$AW$1007,$AW556)&gt;1)," / 승인번호 중복(두 번 붙여넣기?)","")&amp;IF(ABS($AU556-ROUND($AT556*0.1,0))&gt;설정!$B$8,IF($AU556=0," / 세액 0원(영세율·면세 여부 확인)"," / 세액이 공급가액 10%와 다름"),"")&amp;IF($BB556="수정"," / 수정세금계산서(합계에서 자동 가감)",""),4,200))</f>
        <v/>
      </c>
      <c r="BD556" s="2">
        <f>IF($BA556&lt;&gt;"포함","",IF(COUNTIFS($AX$8:$AX556,$AX556,$BA$8:$BA556,"포함")=1,MAX($BD$7:BD555)+1,""))</f>
        <v/>
      </c>
      <c r="BE556" s="2">
        <f>IF($BC556="","",MAX($BE$7:BE555)+1)</f>
        <v/>
      </c>
    </row>
    <row r="557">
      <c r="AR557" s="2">
        <f>IF(OR($A$5="",$B$6="",ROW()&lt;$A$5),"",IF(INDEX($A:$AP,ROW(),$B$6)="","",INDEX($A:$AP,ROW(),$B$6)))</f>
        <v/>
      </c>
      <c r="AS557" s="22">
        <f>IF($AR557="","",IF(ISNUMBER($AR557),IF($AR557&gt;=10000000,IFERROR(DATE(INT($AR557/10000),MOD(INT($AR557/100),100),MOD($AR557,100)),""),INT($AR557)),IFERROR(DATE(--LEFT(LEFT(SUBSTITUTE(SUBSTITUTE(SUBSTITUTE(SUBSTITUTE(TRIM($AR557),"-",""),".",""),"/","")," ",""),8),4),--MID(LEFT(SUBSTITUTE(SUBSTITUTE(SUBSTITUTE(SUBSTITUTE(TRIM($AR557),"-",""),".",""),"/","")," ",""),8),5,2),--MID(LEFT(SUBSTITUTE(SUBSTITUTE(SUBSTITUTE(SUBSTITUTE(TRIM($AR557),"-",""),".",""),"/","")," ",""),8),7,2)),"")))</f>
        <v/>
      </c>
      <c r="AT557" s="23">
        <f>IF($AS557="","",IF($F$6="",0,IF(ISNUMBER(INDEX($A:$AP,ROW(),$F$6)),INDEX($A:$AP,ROW(),$F$6),IFERROR(--SUBSTITUTE(SUBSTITUTE(TRIM(INDEX($A:$AP,ROW(),$F$6)),",",""),"원",""),0))))</f>
        <v/>
      </c>
      <c r="AU557" s="23">
        <f>IF($AS557="","",IF($G$6="",0,IF(ISNUMBER(INDEX($A:$AP,ROW(),$G$6)),INDEX($A:$AP,ROW(),$G$6),IFERROR(--SUBSTITUTE(SUBSTITUTE(TRIM(INDEX($A:$AP,ROW(),$G$6)),",",""),"원",""),0))))</f>
        <v/>
      </c>
      <c r="AV557" s="23">
        <f>IF($AS557="","",IF($H$6="",$AT557+$AU557,IF($H$6="",0,IF(ISNUMBER(INDEX($A:$AP,ROW(),$H$6)),INDEX($A:$AP,ROW(),$H$6),IFERROR(--SUBSTITUTE(SUBSTITUTE(TRIM(INDEX($A:$AP,ROW(),$H$6)),",",""),"원",""),0)))))</f>
        <v/>
      </c>
      <c r="AW557" s="2">
        <f>IF(OR($AS557="",$C$6=""),"",TRIM(INDEX($A:$AP,ROW(),$C$6)&amp;""))</f>
        <v/>
      </c>
      <c r="AX557" s="2">
        <f>IF($AS557="","",IF($AZ557&lt;&gt;"",SUBSTITUTE(SUBSTITUTE($AZ557,"-","")," ",""),$AY557))</f>
        <v/>
      </c>
      <c r="AY557" s="2">
        <f>IF(OR($AS557="",$E$6=""),"",TRIM(INDEX($A:$AP,ROW(),$E$6)&amp;""))</f>
        <v/>
      </c>
      <c r="AZ557" s="2">
        <f>IF(OR($AS557="",$D$6=""),"",TRIM(INDEX($A:$AP,ROW(),$D$6)&amp;""))</f>
        <v/>
      </c>
      <c r="BA557" s="2">
        <f>IF($AS557="","",IF(AND($AS557&gt;=설정!$B$10,$AS557&lt;=설정!$B$11),"포함","기간 밖"))</f>
        <v/>
      </c>
      <c r="BB557" s="2">
        <f>IF($AS557="","",IF(OR($AT557&lt;0,AND($I$6&lt;&gt;"",ISNUMBER(FIND("수정",INDEX($A:$AP,ROW(),IF($I$6="",1,$I$6))&amp;"")))),"수정","일반"))</f>
        <v/>
      </c>
      <c r="BC557" s="2">
        <f>IF($AS557="","",MID(IF($BA557="기간 밖"," / 기간 밖(신고기간 아님)","")&amp;IF(AND($AW557&lt;&gt;"",COUNTIF($AW$8:$AW$1007,$AW557)&gt;1)," / 승인번호 중복(두 번 붙여넣기?)","")&amp;IF(ABS($AU557-ROUND($AT557*0.1,0))&gt;설정!$B$8,IF($AU557=0," / 세액 0원(영세율·면세 여부 확인)"," / 세액이 공급가액 10%와 다름"),"")&amp;IF($BB557="수정"," / 수정세금계산서(합계에서 자동 가감)",""),4,200))</f>
        <v/>
      </c>
      <c r="BD557" s="2">
        <f>IF($BA557&lt;&gt;"포함","",IF(COUNTIFS($AX$8:$AX557,$AX557,$BA$8:$BA557,"포함")=1,MAX($BD$7:BD556)+1,""))</f>
        <v/>
      </c>
      <c r="BE557" s="2">
        <f>IF($BC557="","",MAX($BE$7:BE556)+1)</f>
        <v/>
      </c>
    </row>
    <row r="558">
      <c r="AR558" s="2">
        <f>IF(OR($A$5="",$B$6="",ROW()&lt;$A$5),"",IF(INDEX($A:$AP,ROW(),$B$6)="","",INDEX($A:$AP,ROW(),$B$6)))</f>
        <v/>
      </c>
      <c r="AS558" s="22">
        <f>IF($AR558="","",IF(ISNUMBER($AR558),IF($AR558&gt;=10000000,IFERROR(DATE(INT($AR558/10000),MOD(INT($AR558/100),100),MOD($AR558,100)),""),INT($AR558)),IFERROR(DATE(--LEFT(LEFT(SUBSTITUTE(SUBSTITUTE(SUBSTITUTE(SUBSTITUTE(TRIM($AR558),"-",""),".",""),"/","")," ",""),8),4),--MID(LEFT(SUBSTITUTE(SUBSTITUTE(SUBSTITUTE(SUBSTITUTE(TRIM($AR558),"-",""),".",""),"/","")," ",""),8),5,2),--MID(LEFT(SUBSTITUTE(SUBSTITUTE(SUBSTITUTE(SUBSTITUTE(TRIM($AR558),"-",""),".",""),"/","")," ",""),8),7,2)),"")))</f>
        <v/>
      </c>
      <c r="AT558" s="23">
        <f>IF($AS558="","",IF($F$6="",0,IF(ISNUMBER(INDEX($A:$AP,ROW(),$F$6)),INDEX($A:$AP,ROW(),$F$6),IFERROR(--SUBSTITUTE(SUBSTITUTE(TRIM(INDEX($A:$AP,ROW(),$F$6)),",",""),"원",""),0))))</f>
        <v/>
      </c>
      <c r="AU558" s="23">
        <f>IF($AS558="","",IF($G$6="",0,IF(ISNUMBER(INDEX($A:$AP,ROW(),$G$6)),INDEX($A:$AP,ROW(),$G$6),IFERROR(--SUBSTITUTE(SUBSTITUTE(TRIM(INDEX($A:$AP,ROW(),$G$6)),",",""),"원",""),0))))</f>
        <v/>
      </c>
      <c r="AV558" s="23">
        <f>IF($AS558="","",IF($H$6="",$AT558+$AU558,IF($H$6="",0,IF(ISNUMBER(INDEX($A:$AP,ROW(),$H$6)),INDEX($A:$AP,ROW(),$H$6),IFERROR(--SUBSTITUTE(SUBSTITUTE(TRIM(INDEX($A:$AP,ROW(),$H$6)),",",""),"원",""),0)))))</f>
        <v/>
      </c>
      <c r="AW558" s="2">
        <f>IF(OR($AS558="",$C$6=""),"",TRIM(INDEX($A:$AP,ROW(),$C$6)&amp;""))</f>
        <v/>
      </c>
      <c r="AX558" s="2">
        <f>IF($AS558="","",IF($AZ558&lt;&gt;"",SUBSTITUTE(SUBSTITUTE($AZ558,"-","")," ",""),$AY558))</f>
        <v/>
      </c>
      <c r="AY558" s="2">
        <f>IF(OR($AS558="",$E$6=""),"",TRIM(INDEX($A:$AP,ROW(),$E$6)&amp;""))</f>
        <v/>
      </c>
      <c r="AZ558" s="2">
        <f>IF(OR($AS558="",$D$6=""),"",TRIM(INDEX($A:$AP,ROW(),$D$6)&amp;""))</f>
        <v/>
      </c>
      <c r="BA558" s="2">
        <f>IF($AS558="","",IF(AND($AS558&gt;=설정!$B$10,$AS558&lt;=설정!$B$11),"포함","기간 밖"))</f>
        <v/>
      </c>
      <c r="BB558" s="2">
        <f>IF($AS558="","",IF(OR($AT558&lt;0,AND($I$6&lt;&gt;"",ISNUMBER(FIND("수정",INDEX($A:$AP,ROW(),IF($I$6="",1,$I$6))&amp;"")))),"수정","일반"))</f>
        <v/>
      </c>
      <c r="BC558" s="2">
        <f>IF($AS558="","",MID(IF($BA558="기간 밖"," / 기간 밖(신고기간 아님)","")&amp;IF(AND($AW558&lt;&gt;"",COUNTIF($AW$8:$AW$1007,$AW558)&gt;1)," / 승인번호 중복(두 번 붙여넣기?)","")&amp;IF(ABS($AU558-ROUND($AT558*0.1,0))&gt;설정!$B$8,IF($AU558=0," / 세액 0원(영세율·면세 여부 확인)"," / 세액이 공급가액 10%와 다름"),"")&amp;IF($BB558="수정"," / 수정세금계산서(합계에서 자동 가감)",""),4,200))</f>
        <v/>
      </c>
      <c r="BD558" s="2">
        <f>IF($BA558&lt;&gt;"포함","",IF(COUNTIFS($AX$8:$AX558,$AX558,$BA$8:$BA558,"포함")=1,MAX($BD$7:BD557)+1,""))</f>
        <v/>
      </c>
      <c r="BE558" s="2">
        <f>IF($BC558="","",MAX($BE$7:BE557)+1)</f>
        <v/>
      </c>
    </row>
    <row r="559">
      <c r="AR559" s="2">
        <f>IF(OR($A$5="",$B$6="",ROW()&lt;$A$5),"",IF(INDEX($A:$AP,ROW(),$B$6)="","",INDEX($A:$AP,ROW(),$B$6)))</f>
        <v/>
      </c>
      <c r="AS559" s="22">
        <f>IF($AR559="","",IF(ISNUMBER($AR559),IF($AR559&gt;=10000000,IFERROR(DATE(INT($AR559/10000),MOD(INT($AR559/100),100),MOD($AR559,100)),""),INT($AR559)),IFERROR(DATE(--LEFT(LEFT(SUBSTITUTE(SUBSTITUTE(SUBSTITUTE(SUBSTITUTE(TRIM($AR559),"-",""),".",""),"/","")," ",""),8),4),--MID(LEFT(SUBSTITUTE(SUBSTITUTE(SUBSTITUTE(SUBSTITUTE(TRIM($AR559),"-",""),".",""),"/","")," ",""),8),5,2),--MID(LEFT(SUBSTITUTE(SUBSTITUTE(SUBSTITUTE(SUBSTITUTE(TRIM($AR559),"-",""),".",""),"/","")," ",""),8),7,2)),"")))</f>
        <v/>
      </c>
      <c r="AT559" s="23">
        <f>IF($AS559="","",IF($F$6="",0,IF(ISNUMBER(INDEX($A:$AP,ROW(),$F$6)),INDEX($A:$AP,ROW(),$F$6),IFERROR(--SUBSTITUTE(SUBSTITUTE(TRIM(INDEX($A:$AP,ROW(),$F$6)),",",""),"원",""),0))))</f>
        <v/>
      </c>
      <c r="AU559" s="23">
        <f>IF($AS559="","",IF($G$6="",0,IF(ISNUMBER(INDEX($A:$AP,ROW(),$G$6)),INDEX($A:$AP,ROW(),$G$6),IFERROR(--SUBSTITUTE(SUBSTITUTE(TRIM(INDEX($A:$AP,ROW(),$G$6)),",",""),"원",""),0))))</f>
        <v/>
      </c>
      <c r="AV559" s="23">
        <f>IF($AS559="","",IF($H$6="",$AT559+$AU559,IF($H$6="",0,IF(ISNUMBER(INDEX($A:$AP,ROW(),$H$6)),INDEX($A:$AP,ROW(),$H$6),IFERROR(--SUBSTITUTE(SUBSTITUTE(TRIM(INDEX($A:$AP,ROW(),$H$6)),",",""),"원",""),0)))))</f>
        <v/>
      </c>
      <c r="AW559" s="2">
        <f>IF(OR($AS559="",$C$6=""),"",TRIM(INDEX($A:$AP,ROW(),$C$6)&amp;""))</f>
        <v/>
      </c>
      <c r="AX559" s="2">
        <f>IF($AS559="","",IF($AZ559&lt;&gt;"",SUBSTITUTE(SUBSTITUTE($AZ559,"-","")," ",""),$AY559))</f>
        <v/>
      </c>
      <c r="AY559" s="2">
        <f>IF(OR($AS559="",$E$6=""),"",TRIM(INDEX($A:$AP,ROW(),$E$6)&amp;""))</f>
        <v/>
      </c>
      <c r="AZ559" s="2">
        <f>IF(OR($AS559="",$D$6=""),"",TRIM(INDEX($A:$AP,ROW(),$D$6)&amp;""))</f>
        <v/>
      </c>
      <c r="BA559" s="2">
        <f>IF($AS559="","",IF(AND($AS559&gt;=설정!$B$10,$AS559&lt;=설정!$B$11),"포함","기간 밖"))</f>
        <v/>
      </c>
      <c r="BB559" s="2">
        <f>IF($AS559="","",IF(OR($AT559&lt;0,AND($I$6&lt;&gt;"",ISNUMBER(FIND("수정",INDEX($A:$AP,ROW(),IF($I$6="",1,$I$6))&amp;"")))),"수정","일반"))</f>
        <v/>
      </c>
      <c r="BC559" s="2">
        <f>IF($AS559="","",MID(IF($BA559="기간 밖"," / 기간 밖(신고기간 아님)","")&amp;IF(AND($AW559&lt;&gt;"",COUNTIF($AW$8:$AW$1007,$AW559)&gt;1)," / 승인번호 중복(두 번 붙여넣기?)","")&amp;IF(ABS($AU559-ROUND($AT559*0.1,0))&gt;설정!$B$8,IF($AU559=0," / 세액 0원(영세율·면세 여부 확인)"," / 세액이 공급가액 10%와 다름"),"")&amp;IF($BB559="수정"," / 수정세금계산서(합계에서 자동 가감)",""),4,200))</f>
        <v/>
      </c>
      <c r="BD559" s="2">
        <f>IF($BA559&lt;&gt;"포함","",IF(COUNTIFS($AX$8:$AX559,$AX559,$BA$8:$BA559,"포함")=1,MAX($BD$7:BD558)+1,""))</f>
        <v/>
      </c>
      <c r="BE559" s="2">
        <f>IF($BC559="","",MAX($BE$7:BE558)+1)</f>
        <v/>
      </c>
    </row>
    <row r="560">
      <c r="AR560" s="2">
        <f>IF(OR($A$5="",$B$6="",ROW()&lt;$A$5),"",IF(INDEX($A:$AP,ROW(),$B$6)="","",INDEX($A:$AP,ROW(),$B$6)))</f>
        <v/>
      </c>
      <c r="AS560" s="22">
        <f>IF($AR560="","",IF(ISNUMBER($AR560),IF($AR560&gt;=10000000,IFERROR(DATE(INT($AR560/10000),MOD(INT($AR560/100),100),MOD($AR560,100)),""),INT($AR560)),IFERROR(DATE(--LEFT(LEFT(SUBSTITUTE(SUBSTITUTE(SUBSTITUTE(SUBSTITUTE(TRIM($AR560),"-",""),".",""),"/","")," ",""),8),4),--MID(LEFT(SUBSTITUTE(SUBSTITUTE(SUBSTITUTE(SUBSTITUTE(TRIM($AR560),"-",""),".",""),"/","")," ",""),8),5,2),--MID(LEFT(SUBSTITUTE(SUBSTITUTE(SUBSTITUTE(SUBSTITUTE(TRIM($AR560),"-",""),".",""),"/","")," ",""),8),7,2)),"")))</f>
        <v/>
      </c>
      <c r="AT560" s="23">
        <f>IF($AS560="","",IF($F$6="",0,IF(ISNUMBER(INDEX($A:$AP,ROW(),$F$6)),INDEX($A:$AP,ROW(),$F$6),IFERROR(--SUBSTITUTE(SUBSTITUTE(TRIM(INDEX($A:$AP,ROW(),$F$6)),",",""),"원",""),0))))</f>
        <v/>
      </c>
      <c r="AU560" s="23">
        <f>IF($AS560="","",IF($G$6="",0,IF(ISNUMBER(INDEX($A:$AP,ROW(),$G$6)),INDEX($A:$AP,ROW(),$G$6),IFERROR(--SUBSTITUTE(SUBSTITUTE(TRIM(INDEX($A:$AP,ROW(),$G$6)),",",""),"원",""),0))))</f>
        <v/>
      </c>
      <c r="AV560" s="23">
        <f>IF($AS560="","",IF($H$6="",$AT560+$AU560,IF($H$6="",0,IF(ISNUMBER(INDEX($A:$AP,ROW(),$H$6)),INDEX($A:$AP,ROW(),$H$6),IFERROR(--SUBSTITUTE(SUBSTITUTE(TRIM(INDEX($A:$AP,ROW(),$H$6)),",",""),"원",""),0)))))</f>
        <v/>
      </c>
      <c r="AW560" s="2">
        <f>IF(OR($AS560="",$C$6=""),"",TRIM(INDEX($A:$AP,ROW(),$C$6)&amp;""))</f>
        <v/>
      </c>
      <c r="AX560" s="2">
        <f>IF($AS560="","",IF($AZ560&lt;&gt;"",SUBSTITUTE(SUBSTITUTE($AZ560,"-","")," ",""),$AY560))</f>
        <v/>
      </c>
      <c r="AY560" s="2">
        <f>IF(OR($AS560="",$E$6=""),"",TRIM(INDEX($A:$AP,ROW(),$E$6)&amp;""))</f>
        <v/>
      </c>
      <c r="AZ560" s="2">
        <f>IF(OR($AS560="",$D$6=""),"",TRIM(INDEX($A:$AP,ROW(),$D$6)&amp;""))</f>
        <v/>
      </c>
      <c r="BA560" s="2">
        <f>IF($AS560="","",IF(AND($AS560&gt;=설정!$B$10,$AS560&lt;=설정!$B$11),"포함","기간 밖"))</f>
        <v/>
      </c>
      <c r="BB560" s="2">
        <f>IF($AS560="","",IF(OR($AT560&lt;0,AND($I$6&lt;&gt;"",ISNUMBER(FIND("수정",INDEX($A:$AP,ROW(),IF($I$6="",1,$I$6))&amp;"")))),"수정","일반"))</f>
        <v/>
      </c>
      <c r="BC560" s="2">
        <f>IF($AS560="","",MID(IF($BA560="기간 밖"," / 기간 밖(신고기간 아님)","")&amp;IF(AND($AW560&lt;&gt;"",COUNTIF($AW$8:$AW$1007,$AW560)&gt;1)," / 승인번호 중복(두 번 붙여넣기?)","")&amp;IF(ABS($AU560-ROUND($AT560*0.1,0))&gt;설정!$B$8,IF($AU560=0," / 세액 0원(영세율·면세 여부 확인)"," / 세액이 공급가액 10%와 다름"),"")&amp;IF($BB560="수정"," / 수정세금계산서(합계에서 자동 가감)",""),4,200))</f>
        <v/>
      </c>
      <c r="BD560" s="2">
        <f>IF($BA560&lt;&gt;"포함","",IF(COUNTIFS($AX$8:$AX560,$AX560,$BA$8:$BA560,"포함")=1,MAX($BD$7:BD559)+1,""))</f>
        <v/>
      </c>
      <c r="BE560" s="2">
        <f>IF($BC560="","",MAX($BE$7:BE559)+1)</f>
        <v/>
      </c>
    </row>
    <row r="561">
      <c r="AR561" s="2">
        <f>IF(OR($A$5="",$B$6="",ROW()&lt;$A$5),"",IF(INDEX($A:$AP,ROW(),$B$6)="","",INDEX($A:$AP,ROW(),$B$6)))</f>
        <v/>
      </c>
      <c r="AS561" s="22">
        <f>IF($AR561="","",IF(ISNUMBER($AR561),IF($AR561&gt;=10000000,IFERROR(DATE(INT($AR561/10000),MOD(INT($AR561/100),100),MOD($AR561,100)),""),INT($AR561)),IFERROR(DATE(--LEFT(LEFT(SUBSTITUTE(SUBSTITUTE(SUBSTITUTE(SUBSTITUTE(TRIM($AR561),"-",""),".",""),"/","")," ",""),8),4),--MID(LEFT(SUBSTITUTE(SUBSTITUTE(SUBSTITUTE(SUBSTITUTE(TRIM($AR561),"-",""),".",""),"/","")," ",""),8),5,2),--MID(LEFT(SUBSTITUTE(SUBSTITUTE(SUBSTITUTE(SUBSTITUTE(TRIM($AR561),"-",""),".",""),"/","")," ",""),8),7,2)),"")))</f>
        <v/>
      </c>
      <c r="AT561" s="23">
        <f>IF($AS561="","",IF($F$6="",0,IF(ISNUMBER(INDEX($A:$AP,ROW(),$F$6)),INDEX($A:$AP,ROW(),$F$6),IFERROR(--SUBSTITUTE(SUBSTITUTE(TRIM(INDEX($A:$AP,ROW(),$F$6)),",",""),"원",""),0))))</f>
        <v/>
      </c>
      <c r="AU561" s="23">
        <f>IF($AS561="","",IF($G$6="",0,IF(ISNUMBER(INDEX($A:$AP,ROW(),$G$6)),INDEX($A:$AP,ROW(),$G$6),IFERROR(--SUBSTITUTE(SUBSTITUTE(TRIM(INDEX($A:$AP,ROW(),$G$6)),",",""),"원",""),0))))</f>
        <v/>
      </c>
      <c r="AV561" s="23">
        <f>IF($AS561="","",IF($H$6="",$AT561+$AU561,IF($H$6="",0,IF(ISNUMBER(INDEX($A:$AP,ROW(),$H$6)),INDEX($A:$AP,ROW(),$H$6),IFERROR(--SUBSTITUTE(SUBSTITUTE(TRIM(INDEX($A:$AP,ROW(),$H$6)),",",""),"원",""),0)))))</f>
        <v/>
      </c>
      <c r="AW561" s="2">
        <f>IF(OR($AS561="",$C$6=""),"",TRIM(INDEX($A:$AP,ROW(),$C$6)&amp;""))</f>
        <v/>
      </c>
      <c r="AX561" s="2">
        <f>IF($AS561="","",IF($AZ561&lt;&gt;"",SUBSTITUTE(SUBSTITUTE($AZ561,"-","")," ",""),$AY561))</f>
        <v/>
      </c>
      <c r="AY561" s="2">
        <f>IF(OR($AS561="",$E$6=""),"",TRIM(INDEX($A:$AP,ROW(),$E$6)&amp;""))</f>
        <v/>
      </c>
      <c r="AZ561" s="2">
        <f>IF(OR($AS561="",$D$6=""),"",TRIM(INDEX($A:$AP,ROW(),$D$6)&amp;""))</f>
        <v/>
      </c>
      <c r="BA561" s="2">
        <f>IF($AS561="","",IF(AND($AS561&gt;=설정!$B$10,$AS561&lt;=설정!$B$11),"포함","기간 밖"))</f>
        <v/>
      </c>
      <c r="BB561" s="2">
        <f>IF($AS561="","",IF(OR($AT561&lt;0,AND($I$6&lt;&gt;"",ISNUMBER(FIND("수정",INDEX($A:$AP,ROW(),IF($I$6="",1,$I$6))&amp;"")))),"수정","일반"))</f>
        <v/>
      </c>
      <c r="BC561" s="2">
        <f>IF($AS561="","",MID(IF($BA561="기간 밖"," / 기간 밖(신고기간 아님)","")&amp;IF(AND($AW561&lt;&gt;"",COUNTIF($AW$8:$AW$1007,$AW561)&gt;1)," / 승인번호 중복(두 번 붙여넣기?)","")&amp;IF(ABS($AU561-ROUND($AT561*0.1,0))&gt;설정!$B$8,IF($AU561=0," / 세액 0원(영세율·면세 여부 확인)"," / 세액이 공급가액 10%와 다름"),"")&amp;IF($BB561="수정"," / 수정세금계산서(합계에서 자동 가감)",""),4,200))</f>
        <v/>
      </c>
      <c r="BD561" s="2">
        <f>IF($BA561&lt;&gt;"포함","",IF(COUNTIFS($AX$8:$AX561,$AX561,$BA$8:$BA561,"포함")=1,MAX($BD$7:BD560)+1,""))</f>
        <v/>
      </c>
      <c r="BE561" s="2">
        <f>IF($BC561="","",MAX($BE$7:BE560)+1)</f>
        <v/>
      </c>
    </row>
    <row r="562">
      <c r="AR562" s="2">
        <f>IF(OR($A$5="",$B$6="",ROW()&lt;$A$5),"",IF(INDEX($A:$AP,ROW(),$B$6)="","",INDEX($A:$AP,ROW(),$B$6)))</f>
        <v/>
      </c>
      <c r="AS562" s="22">
        <f>IF($AR562="","",IF(ISNUMBER($AR562),IF($AR562&gt;=10000000,IFERROR(DATE(INT($AR562/10000),MOD(INT($AR562/100),100),MOD($AR562,100)),""),INT($AR562)),IFERROR(DATE(--LEFT(LEFT(SUBSTITUTE(SUBSTITUTE(SUBSTITUTE(SUBSTITUTE(TRIM($AR562),"-",""),".",""),"/","")," ",""),8),4),--MID(LEFT(SUBSTITUTE(SUBSTITUTE(SUBSTITUTE(SUBSTITUTE(TRIM($AR562),"-",""),".",""),"/","")," ",""),8),5,2),--MID(LEFT(SUBSTITUTE(SUBSTITUTE(SUBSTITUTE(SUBSTITUTE(TRIM($AR562),"-",""),".",""),"/","")," ",""),8),7,2)),"")))</f>
        <v/>
      </c>
      <c r="AT562" s="23">
        <f>IF($AS562="","",IF($F$6="",0,IF(ISNUMBER(INDEX($A:$AP,ROW(),$F$6)),INDEX($A:$AP,ROW(),$F$6),IFERROR(--SUBSTITUTE(SUBSTITUTE(TRIM(INDEX($A:$AP,ROW(),$F$6)),",",""),"원",""),0))))</f>
        <v/>
      </c>
      <c r="AU562" s="23">
        <f>IF($AS562="","",IF($G$6="",0,IF(ISNUMBER(INDEX($A:$AP,ROW(),$G$6)),INDEX($A:$AP,ROW(),$G$6),IFERROR(--SUBSTITUTE(SUBSTITUTE(TRIM(INDEX($A:$AP,ROW(),$G$6)),",",""),"원",""),0))))</f>
        <v/>
      </c>
      <c r="AV562" s="23">
        <f>IF($AS562="","",IF($H$6="",$AT562+$AU562,IF($H$6="",0,IF(ISNUMBER(INDEX($A:$AP,ROW(),$H$6)),INDEX($A:$AP,ROW(),$H$6),IFERROR(--SUBSTITUTE(SUBSTITUTE(TRIM(INDEX($A:$AP,ROW(),$H$6)),",",""),"원",""),0)))))</f>
        <v/>
      </c>
      <c r="AW562" s="2">
        <f>IF(OR($AS562="",$C$6=""),"",TRIM(INDEX($A:$AP,ROW(),$C$6)&amp;""))</f>
        <v/>
      </c>
      <c r="AX562" s="2">
        <f>IF($AS562="","",IF($AZ562&lt;&gt;"",SUBSTITUTE(SUBSTITUTE($AZ562,"-","")," ",""),$AY562))</f>
        <v/>
      </c>
      <c r="AY562" s="2">
        <f>IF(OR($AS562="",$E$6=""),"",TRIM(INDEX($A:$AP,ROW(),$E$6)&amp;""))</f>
        <v/>
      </c>
      <c r="AZ562" s="2">
        <f>IF(OR($AS562="",$D$6=""),"",TRIM(INDEX($A:$AP,ROW(),$D$6)&amp;""))</f>
        <v/>
      </c>
      <c r="BA562" s="2">
        <f>IF($AS562="","",IF(AND($AS562&gt;=설정!$B$10,$AS562&lt;=설정!$B$11),"포함","기간 밖"))</f>
        <v/>
      </c>
      <c r="BB562" s="2">
        <f>IF($AS562="","",IF(OR($AT562&lt;0,AND($I$6&lt;&gt;"",ISNUMBER(FIND("수정",INDEX($A:$AP,ROW(),IF($I$6="",1,$I$6))&amp;"")))),"수정","일반"))</f>
        <v/>
      </c>
      <c r="BC562" s="2">
        <f>IF($AS562="","",MID(IF($BA562="기간 밖"," / 기간 밖(신고기간 아님)","")&amp;IF(AND($AW562&lt;&gt;"",COUNTIF($AW$8:$AW$1007,$AW562)&gt;1)," / 승인번호 중복(두 번 붙여넣기?)","")&amp;IF(ABS($AU562-ROUND($AT562*0.1,0))&gt;설정!$B$8,IF($AU562=0," / 세액 0원(영세율·면세 여부 확인)"," / 세액이 공급가액 10%와 다름"),"")&amp;IF($BB562="수정"," / 수정세금계산서(합계에서 자동 가감)",""),4,200))</f>
        <v/>
      </c>
      <c r="BD562" s="2">
        <f>IF($BA562&lt;&gt;"포함","",IF(COUNTIFS($AX$8:$AX562,$AX562,$BA$8:$BA562,"포함")=1,MAX($BD$7:BD561)+1,""))</f>
        <v/>
      </c>
      <c r="BE562" s="2">
        <f>IF($BC562="","",MAX($BE$7:BE561)+1)</f>
        <v/>
      </c>
    </row>
    <row r="563">
      <c r="AR563" s="2">
        <f>IF(OR($A$5="",$B$6="",ROW()&lt;$A$5),"",IF(INDEX($A:$AP,ROW(),$B$6)="","",INDEX($A:$AP,ROW(),$B$6)))</f>
        <v/>
      </c>
      <c r="AS563" s="22">
        <f>IF($AR563="","",IF(ISNUMBER($AR563),IF($AR563&gt;=10000000,IFERROR(DATE(INT($AR563/10000),MOD(INT($AR563/100),100),MOD($AR563,100)),""),INT($AR563)),IFERROR(DATE(--LEFT(LEFT(SUBSTITUTE(SUBSTITUTE(SUBSTITUTE(SUBSTITUTE(TRIM($AR563),"-",""),".",""),"/","")," ",""),8),4),--MID(LEFT(SUBSTITUTE(SUBSTITUTE(SUBSTITUTE(SUBSTITUTE(TRIM($AR563),"-",""),".",""),"/","")," ",""),8),5,2),--MID(LEFT(SUBSTITUTE(SUBSTITUTE(SUBSTITUTE(SUBSTITUTE(TRIM($AR563),"-",""),".",""),"/","")," ",""),8),7,2)),"")))</f>
        <v/>
      </c>
      <c r="AT563" s="23">
        <f>IF($AS563="","",IF($F$6="",0,IF(ISNUMBER(INDEX($A:$AP,ROW(),$F$6)),INDEX($A:$AP,ROW(),$F$6),IFERROR(--SUBSTITUTE(SUBSTITUTE(TRIM(INDEX($A:$AP,ROW(),$F$6)),",",""),"원",""),0))))</f>
        <v/>
      </c>
      <c r="AU563" s="23">
        <f>IF($AS563="","",IF($G$6="",0,IF(ISNUMBER(INDEX($A:$AP,ROW(),$G$6)),INDEX($A:$AP,ROW(),$G$6),IFERROR(--SUBSTITUTE(SUBSTITUTE(TRIM(INDEX($A:$AP,ROW(),$G$6)),",",""),"원",""),0))))</f>
        <v/>
      </c>
      <c r="AV563" s="23">
        <f>IF($AS563="","",IF($H$6="",$AT563+$AU563,IF($H$6="",0,IF(ISNUMBER(INDEX($A:$AP,ROW(),$H$6)),INDEX($A:$AP,ROW(),$H$6),IFERROR(--SUBSTITUTE(SUBSTITUTE(TRIM(INDEX($A:$AP,ROW(),$H$6)),",",""),"원",""),0)))))</f>
        <v/>
      </c>
      <c r="AW563" s="2">
        <f>IF(OR($AS563="",$C$6=""),"",TRIM(INDEX($A:$AP,ROW(),$C$6)&amp;""))</f>
        <v/>
      </c>
      <c r="AX563" s="2">
        <f>IF($AS563="","",IF($AZ563&lt;&gt;"",SUBSTITUTE(SUBSTITUTE($AZ563,"-","")," ",""),$AY563))</f>
        <v/>
      </c>
      <c r="AY563" s="2">
        <f>IF(OR($AS563="",$E$6=""),"",TRIM(INDEX($A:$AP,ROW(),$E$6)&amp;""))</f>
        <v/>
      </c>
      <c r="AZ563" s="2">
        <f>IF(OR($AS563="",$D$6=""),"",TRIM(INDEX($A:$AP,ROW(),$D$6)&amp;""))</f>
        <v/>
      </c>
      <c r="BA563" s="2">
        <f>IF($AS563="","",IF(AND($AS563&gt;=설정!$B$10,$AS563&lt;=설정!$B$11),"포함","기간 밖"))</f>
        <v/>
      </c>
      <c r="BB563" s="2">
        <f>IF($AS563="","",IF(OR($AT563&lt;0,AND($I$6&lt;&gt;"",ISNUMBER(FIND("수정",INDEX($A:$AP,ROW(),IF($I$6="",1,$I$6))&amp;"")))),"수정","일반"))</f>
        <v/>
      </c>
      <c r="BC563" s="2">
        <f>IF($AS563="","",MID(IF($BA563="기간 밖"," / 기간 밖(신고기간 아님)","")&amp;IF(AND($AW563&lt;&gt;"",COUNTIF($AW$8:$AW$1007,$AW563)&gt;1)," / 승인번호 중복(두 번 붙여넣기?)","")&amp;IF(ABS($AU563-ROUND($AT563*0.1,0))&gt;설정!$B$8,IF($AU563=0," / 세액 0원(영세율·면세 여부 확인)"," / 세액이 공급가액 10%와 다름"),"")&amp;IF($BB563="수정"," / 수정세금계산서(합계에서 자동 가감)",""),4,200))</f>
        <v/>
      </c>
      <c r="BD563" s="2">
        <f>IF($BA563&lt;&gt;"포함","",IF(COUNTIFS($AX$8:$AX563,$AX563,$BA$8:$BA563,"포함")=1,MAX($BD$7:BD562)+1,""))</f>
        <v/>
      </c>
      <c r="BE563" s="2">
        <f>IF($BC563="","",MAX($BE$7:BE562)+1)</f>
        <v/>
      </c>
    </row>
    <row r="564">
      <c r="AR564" s="2">
        <f>IF(OR($A$5="",$B$6="",ROW()&lt;$A$5),"",IF(INDEX($A:$AP,ROW(),$B$6)="","",INDEX($A:$AP,ROW(),$B$6)))</f>
        <v/>
      </c>
      <c r="AS564" s="22">
        <f>IF($AR564="","",IF(ISNUMBER($AR564),IF($AR564&gt;=10000000,IFERROR(DATE(INT($AR564/10000),MOD(INT($AR564/100),100),MOD($AR564,100)),""),INT($AR564)),IFERROR(DATE(--LEFT(LEFT(SUBSTITUTE(SUBSTITUTE(SUBSTITUTE(SUBSTITUTE(TRIM($AR564),"-",""),".",""),"/","")," ",""),8),4),--MID(LEFT(SUBSTITUTE(SUBSTITUTE(SUBSTITUTE(SUBSTITUTE(TRIM($AR564),"-",""),".",""),"/","")," ",""),8),5,2),--MID(LEFT(SUBSTITUTE(SUBSTITUTE(SUBSTITUTE(SUBSTITUTE(TRIM($AR564),"-",""),".",""),"/","")," ",""),8),7,2)),"")))</f>
        <v/>
      </c>
      <c r="AT564" s="23">
        <f>IF($AS564="","",IF($F$6="",0,IF(ISNUMBER(INDEX($A:$AP,ROW(),$F$6)),INDEX($A:$AP,ROW(),$F$6),IFERROR(--SUBSTITUTE(SUBSTITUTE(TRIM(INDEX($A:$AP,ROW(),$F$6)),",",""),"원",""),0))))</f>
        <v/>
      </c>
      <c r="AU564" s="23">
        <f>IF($AS564="","",IF($G$6="",0,IF(ISNUMBER(INDEX($A:$AP,ROW(),$G$6)),INDEX($A:$AP,ROW(),$G$6),IFERROR(--SUBSTITUTE(SUBSTITUTE(TRIM(INDEX($A:$AP,ROW(),$G$6)),",",""),"원",""),0))))</f>
        <v/>
      </c>
      <c r="AV564" s="23">
        <f>IF($AS564="","",IF($H$6="",$AT564+$AU564,IF($H$6="",0,IF(ISNUMBER(INDEX($A:$AP,ROW(),$H$6)),INDEX($A:$AP,ROW(),$H$6),IFERROR(--SUBSTITUTE(SUBSTITUTE(TRIM(INDEX($A:$AP,ROW(),$H$6)),",",""),"원",""),0)))))</f>
        <v/>
      </c>
      <c r="AW564" s="2">
        <f>IF(OR($AS564="",$C$6=""),"",TRIM(INDEX($A:$AP,ROW(),$C$6)&amp;""))</f>
        <v/>
      </c>
      <c r="AX564" s="2">
        <f>IF($AS564="","",IF($AZ564&lt;&gt;"",SUBSTITUTE(SUBSTITUTE($AZ564,"-","")," ",""),$AY564))</f>
        <v/>
      </c>
      <c r="AY564" s="2">
        <f>IF(OR($AS564="",$E$6=""),"",TRIM(INDEX($A:$AP,ROW(),$E$6)&amp;""))</f>
        <v/>
      </c>
      <c r="AZ564" s="2">
        <f>IF(OR($AS564="",$D$6=""),"",TRIM(INDEX($A:$AP,ROW(),$D$6)&amp;""))</f>
        <v/>
      </c>
      <c r="BA564" s="2">
        <f>IF($AS564="","",IF(AND($AS564&gt;=설정!$B$10,$AS564&lt;=설정!$B$11),"포함","기간 밖"))</f>
        <v/>
      </c>
      <c r="BB564" s="2">
        <f>IF($AS564="","",IF(OR($AT564&lt;0,AND($I$6&lt;&gt;"",ISNUMBER(FIND("수정",INDEX($A:$AP,ROW(),IF($I$6="",1,$I$6))&amp;"")))),"수정","일반"))</f>
        <v/>
      </c>
      <c r="BC564" s="2">
        <f>IF($AS564="","",MID(IF($BA564="기간 밖"," / 기간 밖(신고기간 아님)","")&amp;IF(AND($AW564&lt;&gt;"",COUNTIF($AW$8:$AW$1007,$AW564)&gt;1)," / 승인번호 중복(두 번 붙여넣기?)","")&amp;IF(ABS($AU564-ROUND($AT564*0.1,0))&gt;설정!$B$8,IF($AU564=0," / 세액 0원(영세율·면세 여부 확인)"," / 세액이 공급가액 10%와 다름"),"")&amp;IF($BB564="수정"," / 수정세금계산서(합계에서 자동 가감)",""),4,200))</f>
        <v/>
      </c>
      <c r="BD564" s="2">
        <f>IF($BA564&lt;&gt;"포함","",IF(COUNTIFS($AX$8:$AX564,$AX564,$BA$8:$BA564,"포함")=1,MAX($BD$7:BD563)+1,""))</f>
        <v/>
      </c>
      <c r="BE564" s="2">
        <f>IF($BC564="","",MAX($BE$7:BE563)+1)</f>
        <v/>
      </c>
    </row>
    <row r="565">
      <c r="AR565" s="2">
        <f>IF(OR($A$5="",$B$6="",ROW()&lt;$A$5),"",IF(INDEX($A:$AP,ROW(),$B$6)="","",INDEX($A:$AP,ROW(),$B$6)))</f>
        <v/>
      </c>
      <c r="AS565" s="22">
        <f>IF($AR565="","",IF(ISNUMBER($AR565),IF($AR565&gt;=10000000,IFERROR(DATE(INT($AR565/10000),MOD(INT($AR565/100),100),MOD($AR565,100)),""),INT($AR565)),IFERROR(DATE(--LEFT(LEFT(SUBSTITUTE(SUBSTITUTE(SUBSTITUTE(SUBSTITUTE(TRIM($AR565),"-",""),".",""),"/","")," ",""),8),4),--MID(LEFT(SUBSTITUTE(SUBSTITUTE(SUBSTITUTE(SUBSTITUTE(TRIM($AR565),"-",""),".",""),"/","")," ",""),8),5,2),--MID(LEFT(SUBSTITUTE(SUBSTITUTE(SUBSTITUTE(SUBSTITUTE(TRIM($AR565),"-",""),".",""),"/","")," ",""),8),7,2)),"")))</f>
        <v/>
      </c>
      <c r="AT565" s="23">
        <f>IF($AS565="","",IF($F$6="",0,IF(ISNUMBER(INDEX($A:$AP,ROW(),$F$6)),INDEX($A:$AP,ROW(),$F$6),IFERROR(--SUBSTITUTE(SUBSTITUTE(TRIM(INDEX($A:$AP,ROW(),$F$6)),",",""),"원",""),0))))</f>
        <v/>
      </c>
      <c r="AU565" s="23">
        <f>IF($AS565="","",IF($G$6="",0,IF(ISNUMBER(INDEX($A:$AP,ROW(),$G$6)),INDEX($A:$AP,ROW(),$G$6),IFERROR(--SUBSTITUTE(SUBSTITUTE(TRIM(INDEX($A:$AP,ROW(),$G$6)),",",""),"원",""),0))))</f>
        <v/>
      </c>
      <c r="AV565" s="23">
        <f>IF($AS565="","",IF($H$6="",$AT565+$AU565,IF($H$6="",0,IF(ISNUMBER(INDEX($A:$AP,ROW(),$H$6)),INDEX($A:$AP,ROW(),$H$6),IFERROR(--SUBSTITUTE(SUBSTITUTE(TRIM(INDEX($A:$AP,ROW(),$H$6)),",",""),"원",""),0)))))</f>
        <v/>
      </c>
      <c r="AW565" s="2">
        <f>IF(OR($AS565="",$C$6=""),"",TRIM(INDEX($A:$AP,ROW(),$C$6)&amp;""))</f>
        <v/>
      </c>
      <c r="AX565" s="2">
        <f>IF($AS565="","",IF($AZ565&lt;&gt;"",SUBSTITUTE(SUBSTITUTE($AZ565,"-","")," ",""),$AY565))</f>
        <v/>
      </c>
      <c r="AY565" s="2">
        <f>IF(OR($AS565="",$E$6=""),"",TRIM(INDEX($A:$AP,ROW(),$E$6)&amp;""))</f>
        <v/>
      </c>
      <c r="AZ565" s="2">
        <f>IF(OR($AS565="",$D$6=""),"",TRIM(INDEX($A:$AP,ROW(),$D$6)&amp;""))</f>
        <v/>
      </c>
      <c r="BA565" s="2">
        <f>IF($AS565="","",IF(AND($AS565&gt;=설정!$B$10,$AS565&lt;=설정!$B$11),"포함","기간 밖"))</f>
        <v/>
      </c>
      <c r="BB565" s="2">
        <f>IF($AS565="","",IF(OR($AT565&lt;0,AND($I$6&lt;&gt;"",ISNUMBER(FIND("수정",INDEX($A:$AP,ROW(),IF($I$6="",1,$I$6))&amp;"")))),"수정","일반"))</f>
        <v/>
      </c>
      <c r="BC565" s="2">
        <f>IF($AS565="","",MID(IF($BA565="기간 밖"," / 기간 밖(신고기간 아님)","")&amp;IF(AND($AW565&lt;&gt;"",COUNTIF($AW$8:$AW$1007,$AW565)&gt;1)," / 승인번호 중복(두 번 붙여넣기?)","")&amp;IF(ABS($AU565-ROUND($AT565*0.1,0))&gt;설정!$B$8,IF($AU565=0," / 세액 0원(영세율·면세 여부 확인)"," / 세액이 공급가액 10%와 다름"),"")&amp;IF($BB565="수정"," / 수정세금계산서(합계에서 자동 가감)",""),4,200))</f>
        <v/>
      </c>
      <c r="BD565" s="2">
        <f>IF($BA565&lt;&gt;"포함","",IF(COUNTIFS($AX$8:$AX565,$AX565,$BA$8:$BA565,"포함")=1,MAX($BD$7:BD564)+1,""))</f>
        <v/>
      </c>
      <c r="BE565" s="2">
        <f>IF($BC565="","",MAX($BE$7:BE564)+1)</f>
        <v/>
      </c>
    </row>
    <row r="566">
      <c r="AR566" s="2">
        <f>IF(OR($A$5="",$B$6="",ROW()&lt;$A$5),"",IF(INDEX($A:$AP,ROW(),$B$6)="","",INDEX($A:$AP,ROW(),$B$6)))</f>
        <v/>
      </c>
      <c r="AS566" s="22">
        <f>IF($AR566="","",IF(ISNUMBER($AR566),IF($AR566&gt;=10000000,IFERROR(DATE(INT($AR566/10000),MOD(INT($AR566/100),100),MOD($AR566,100)),""),INT($AR566)),IFERROR(DATE(--LEFT(LEFT(SUBSTITUTE(SUBSTITUTE(SUBSTITUTE(SUBSTITUTE(TRIM($AR566),"-",""),".",""),"/","")," ",""),8),4),--MID(LEFT(SUBSTITUTE(SUBSTITUTE(SUBSTITUTE(SUBSTITUTE(TRIM($AR566),"-",""),".",""),"/","")," ",""),8),5,2),--MID(LEFT(SUBSTITUTE(SUBSTITUTE(SUBSTITUTE(SUBSTITUTE(TRIM($AR566),"-",""),".",""),"/","")," ",""),8),7,2)),"")))</f>
        <v/>
      </c>
      <c r="AT566" s="23">
        <f>IF($AS566="","",IF($F$6="",0,IF(ISNUMBER(INDEX($A:$AP,ROW(),$F$6)),INDEX($A:$AP,ROW(),$F$6),IFERROR(--SUBSTITUTE(SUBSTITUTE(TRIM(INDEX($A:$AP,ROW(),$F$6)),",",""),"원",""),0))))</f>
        <v/>
      </c>
      <c r="AU566" s="23">
        <f>IF($AS566="","",IF($G$6="",0,IF(ISNUMBER(INDEX($A:$AP,ROW(),$G$6)),INDEX($A:$AP,ROW(),$G$6),IFERROR(--SUBSTITUTE(SUBSTITUTE(TRIM(INDEX($A:$AP,ROW(),$G$6)),",",""),"원",""),0))))</f>
        <v/>
      </c>
      <c r="AV566" s="23">
        <f>IF($AS566="","",IF($H$6="",$AT566+$AU566,IF($H$6="",0,IF(ISNUMBER(INDEX($A:$AP,ROW(),$H$6)),INDEX($A:$AP,ROW(),$H$6),IFERROR(--SUBSTITUTE(SUBSTITUTE(TRIM(INDEX($A:$AP,ROW(),$H$6)),",",""),"원",""),0)))))</f>
        <v/>
      </c>
      <c r="AW566" s="2">
        <f>IF(OR($AS566="",$C$6=""),"",TRIM(INDEX($A:$AP,ROW(),$C$6)&amp;""))</f>
        <v/>
      </c>
      <c r="AX566" s="2">
        <f>IF($AS566="","",IF($AZ566&lt;&gt;"",SUBSTITUTE(SUBSTITUTE($AZ566,"-","")," ",""),$AY566))</f>
        <v/>
      </c>
      <c r="AY566" s="2">
        <f>IF(OR($AS566="",$E$6=""),"",TRIM(INDEX($A:$AP,ROW(),$E$6)&amp;""))</f>
        <v/>
      </c>
      <c r="AZ566" s="2">
        <f>IF(OR($AS566="",$D$6=""),"",TRIM(INDEX($A:$AP,ROW(),$D$6)&amp;""))</f>
        <v/>
      </c>
      <c r="BA566" s="2">
        <f>IF($AS566="","",IF(AND($AS566&gt;=설정!$B$10,$AS566&lt;=설정!$B$11),"포함","기간 밖"))</f>
        <v/>
      </c>
      <c r="BB566" s="2">
        <f>IF($AS566="","",IF(OR($AT566&lt;0,AND($I$6&lt;&gt;"",ISNUMBER(FIND("수정",INDEX($A:$AP,ROW(),IF($I$6="",1,$I$6))&amp;"")))),"수정","일반"))</f>
        <v/>
      </c>
      <c r="BC566" s="2">
        <f>IF($AS566="","",MID(IF($BA566="기간 밖"," / 기간 밖(신고기간 아님)","")&amp;IF(AND($AW566&lt;&gt;"",COUNTIF($AW$8:$AW$1007,$AW566)&gt;1)," / 승인번호 중복(두 번 붙여넣기?)","")&amp;IF(ABS($AU566-ROUND($AT566*0.1,0))&gt;설정!$B$8,IF($AU566=0," / 세액 0원(영세율·면세 여부 확인)"," / 세액이 공급가액 10%와 다름"),"")&amp;IF($BB566="수정"," / 수정세금계산서(합계에서 자동 가감)",""),4,200))</f>
        <v/>
      </c>
      <c r="BD566" s="2">
        <f>IF($BA566&lt;&gt;"포함","",IF(COUNTIFS($AX$8:$AX566,$AX566,$BA$8:$BA566,"포함")=1,MAX($BD$7:BD565)+1,""))</f>
        <v/>
      </c>
      <c r="BE566" s="2">
        <f>IF($BC566="","",MAX($BE$7:BE565)+1)</f>
        <v/>
      </c>
    </row>
    <row r="567">
      <c r="AR567" s="2">
        <f>IF(OR($A$5="",$B$6="",ROW()&lt;$A$5),"",IF(INDEX($A:$AP,ROW(),$B$6)="","",INDEX($A:$AP,ROW(),$B$6)))</f>
        <v/>
      </c>
      <c r="AS567" s="22">
        <f>IF($AR567="","",IF(ISNUMBER($AR567),IF($AR567&gt;=10000000,IFERROR(DATE(INT($AR567/10000),MOD(INT($AR567/100),100),MOD($AR567,100)),""),INT($AR567)),IFERROR(DATE(--LEFT(LEFT(SUBSTITUTE(SUBSTITUTE(SUBSTITUTE(SUBSTITUTE(TRIM($AR567),"-",""),".",""),"/","")," ",""),8),4),--MID(LEFT(SUBSTITUTE(SUBSTITUTE(SUBSTITUTE(SUBSTITUTE(TRIM($AR567),"-",""),".",""),"/","")," ",""),8),5,2),--MID(LEFT(SUBSTITUTE(SUBSTITUTE(SUBSTITUTE(SUBSTITUTE(TRIM($AR567),"-",""),".",""),"/","")," ",""),8),7,2)),"")))</f>
        <v/>
      </c>
      <c r="AT567" s="23">
        <f>IF($AS567="","",IF($F$6="",0,IF(ISNUMBER(INDEX($A:$AP,ROW(),$F$6)),INDEX($A:$AP,ROW(),$F$6),IFERROR(--SUBSTITUTE(SUBSTITUTE(TRIM(INDEX($A:$AP,ROW(),$F$6)),",",""),"원",""),0))))</f>
        <v/>
      </c>
      <c r="AU567" s="23">
        <f>IF($AS567="","",IF($G$6="",0,IF(ISNUMBER(INDEX($A:$AP,ROW(),$G$6)),INDEX($A:$AP,ROW(),$G$6),IFERROR(--SUBSTITUTE(SUBSTITUTE(TRIM(INDEX($A:$AP,ROW(),$G$6)),",",""),"원",""),0))))</f>
        <v/>
      </c>
      <c r="AV567" s="23">
        <f>IF($AS567="","",IF($H$6="",$AT567+$AU567,IF($H$6="",0,IF(ISNUMBER(INDEX($A:$AP,ROW(),$H$6)),INDEX($A:$AP,ROW(),$H$6),IFERROR(--SUBSTITUTE(SUBSTITUTE(TRIM(INDEX($A:$AP,ROW(),$H$6)),",",""),"원",""),0)))))</f>
        <v/>
      </c>
      <c r="AW567" s="2">
        <f>IF(OR($AS567="",$C$6=""),"",TRIM(INDEX($A:$AP,ROW(),$C$6)&amp;""))</f>
        <v/>
      </c>
      <c r="AX567" s="2">
        <f>IF($AS567="","",IF($AZ567&lt;&gt;"",SUBSTITUTE(SUBSTITUTE($AZ567,"-","")," ",""),$AY567))</f>
        <v/>
      </c>
      <c r="AY567" s="2">
        <f>IF(OR($AS567="",$E$6=""),"",TRIM(INDEX($A:$AP,ROW(),$E$6)&amp;""))</f>
        <v/>
      </c>
      <c r="AZ567" s="2">
        <f>IF(OR($AS567="",$D$6=""),"",TRIM(INDEX($A:$AP,ROW(),$D$6)&amp;""))</f>
        <v/>
      </c>
      <c r="BA567" s="2">
        <f>IF($AS567="","",IF(AND($AS567&gt;=설정!$B$10,$AS567&lt;=설정!$B$11),"포함","기간 밖"))</f>
        <v/>
      </c>
      <c r="BB567" s="2">
        <f>IF($AS567="","",IF(OR($AT567&lt;0,AND($I$6&lt;&gt;"",ISNUMBER(FIND("수정",INDEX($A:$AP,ROW(),IF($I$6="",1,$I$6))&amp;"")))),"수정","일반"))</f>
        <v/>
      </c>
      <c r="BC567" s="2">
        <f>IF($AS567="","",MID(IF($BA567="기간 밖"," / 기간 밖(신고기간 아님)","")&amp;IF(AND($AW567&lt;&gt;"",COUNTIF($AW$8:$AW$1007,$AW567)&gt;1)," / 승인번호 중복(두 번 붙여넣기?)","")&amp;IF(ABS($AU567-ROUND($AT567*0.1,0))&gt;설정!$B$8,IF($AU567=0," / 세액 0원(영세율·면세 여부 확인)"," / 세액이 공급가액 10%와 다름"),"")&amp;IF($BB567="수정"," / 수정세금계산서(합계에서 자동 가감)",""),4,200))</f>
        <v/>
      </c>
      <c r="BD567" s="2">
        <f>IF($BA567&lt;&gt;"포함","",IF(COUNTIFS($AX$8:$AX567,$AX567,$BA$8:$BA567,"포함")=1,MAX($BD$7:BD566)+1,""))</f>
        <v/>
      </c>
      <c r="BE567" s="2">
        <f>IF($BC567="","",MAX($BE$7:BE566)+1)</f>
        <v/>
      </c>
    </row>
    <row r="568">
      <c r="AR568" s="2">
        <f>IF(OR($A$5="",$B$6="",ROW()&lt;$A$5),"",IF(INDEX($A:$AP,ROW(),$B$6)="","",INDEX($A:$AP,ROW(),$B$6)))</f>
        <v/>
      </c>
      <c r="AS568" s="22">
        <f>IF($AR568="","",IF(ISNUMBER($AR568),IF($AR568&gt;=10000000,IFERROR(DATE(INT($AR568/10000),MOD(INT($AR568/100),100),MOD($AR568,100)),""),INT($AR568)),IFERROR(DATE(--LEFT(LEFT(SUBSTITUTE(SUBSTITUTE(SUBSTITUTE(SUBSTITUTE(TRIM($AR568),"-",""),".",""),"/","")," ",""),8),4),--MID(LEFT(SUBSTITUTE(SUBSTITUTE(SUBSTITUTE(SUBSTITUTE(TRIM($AR568),"-",""),".",""),"/","")," ",""),8),5,2),--MID(LEFT(SUBSTITUTE(SUBSTITUTE(SUBSTITUTE(SUBSTITUTE(TRIM($AR568),"-",""),".",""),"/","")," ",""),8),7,2)),"")))</f>
        <v/>
      </c>
      <c r="AT568" s="23">
        <f>IF($AS568="","",IF($F$6="",0,IF(ISNUMBER(INDEX($A:$AP,ROW(),$F$6)),INDEX($A:$AP,ROW(),$F$6),IFERROR(--SUBSTITUTE(SUBSTITUTE(TRIM(INDEX($A:$AP,ROW(),$F$6)),",",""),"원",""),0))))</f>
        <v/>
      </c>
      <c r="AU568" s="23">
        <f>IF($AS568="","",IF($G$6="",0,IF(ISNUMBER(INDEX($A:$AP,ROW(),$G$6)),INDEX($A:$AP,ROW(),$G$6),IFERROR(--SUBSTITUTE(SUBSTITUTE(TRIM(INDEX($A:$AP,ROW(),$G$6)),",",""),"원",""),0))))</f>
        <v/>
      </c>
      <c r="AV568" s="23">
        <f>IF($AS568="","",IF($H$6="",$AT568+$AU568,IF($H$6="",0,IF(ISNUMBER(INDEX($A:$AP,ROW(),$H$6)),INDEX($A:$AP,ROW(),$H$6),IFERROR(--SUBSTITUTE(SUBSTITUTE(TRIM(INDEX($A:$AP,ROW(),$H$6)),",",""),"원",""),0)))))</f>
        <v/>
      </c>
      <c r="AW568" s="2">
        <f>IF(OR($AS568="",$C$6=""),"",TRIM(INDEX($A:$AP,ROW(),$C$6)&amp;""))</f>
        <v/>
      </c>
      <c r="AX568" s="2">
        <f>IF($AS568="","",IF($AZ568&lt;&gt;"",SUBSTITUTE(SUBSTITUTE($AZ568,"-","")," ",""),$AY568))</f>
        <v/>
      </c>
      <c r="AY568" s="2">
        <f>IF(OR($AS568="",$E$6=""),"",TRIM(INDEX($A:$AP,ROW(),$E$6)&amp;""))</f>
        <v/>
      </c>
      <c r="AZ568" s="2">
        <f>IF(OR($AS568="",$D$6=""),"",TRIM(INDEX($A:$AP,ROW(),$D$6)&amp;""))</f>
        <v/>
      </c>
      <c r="BA568" s="2">
        <f>IF($AS568="","",IF(AND($AS568&gt;=설정!$B$10,$AS568&lt;=설정!$B$11),"포함","기간 밖"))</f>
        <v/>
      </c>
      <c r="BB568" s="2">
        <f>IF($AS568="","",IF(OR($AT568&lt;0,AND($I$6&lt;&gt;"",ISNUMBER(FIND("수정",INDEX($A:$AP,ROW(),IF($I$6="",1,$I$6))&amp;"")))),"수정","일반"))</f>
        <v/>
      </c>
      <c r="BC568" s="2">
        <f>IF($AS568="","",MID(IF($BA568="기간 밖"," / 기간 밖(신고기간 아님)","")&amp;IF(AND($AW568&lt;&gt;"",COUNTIF($AW$8:$AW$1007,$AW568)&gt;1)," / 승인번호 중복(두 번 붙여넣기?)","")&amp;IF(ABS($AU568-ROUND($AT568*0.1,0))&gt;설정!$B$8,IF($AU568=0," / 세액 0원(영세율·면세 여부 확인)"," / 세액이 공급가액 10%와 다름"),"")&amp;IF($BB568="수정"," / 수정세금계산서(합계에서 자동 가감)",""),4,200))</f>
        <v/>
      </c>
      <c r="BD568" s="2">
        <f>IF($BA568&lt;&gt;"포함","",IF(COUNTIFS($AX$8:$AX568,$AX568,$BA$8:$BA568,"포함")=1,MAX($BD$7:BD567)+1,""))</f>
        <v/>
      </c>
      <c r="BE568" s="2">
        <f>IF($BC568="","",MAX($BE$7:BE567)+1)</f>
        <v/>
      </c>
    </row>
    <row r="569">
      <c r="AR569" s="2">
        <f>IF(OR($A$5="",$B$6="",ROW()&lt;$A$5),"",IF(INDEX($A:$AP,ROW(),$B$6)="","",INDEX($A:$AP,ROW(),$B$6)))</f>
        <v/>
      </c>
      <c r="AS569" s="22">
        <f>IF($AR569="","",IF(ISNUMBER($AR569),IF($AR569&gt;=10000000,IFERROR(DATE(INT($AR569/10000),MOD(INT($AR569/100),100),MOD($AR569,100)),""),INT($AR569)),IFERROR(DATE(--LEFT(LEFT(SUBSTITUTE(SUBSTITUTE(SUBSTITUTE(SUBSTITUTE(TRIM($AR569),"-",""),".",""),"/","")," ",""),8),4),--MID(LEFT(SUBSTITUTE(SUBSTITUTE(SUBSTITUTE(SUBSTITUTE(TRIM($AR569),"-",""),".",""),"/","")," ",""),8),5,2),--MID(LEFT(SUBSTITUTE(SUBSTITUTE(SUBSTITUTE(SUBSTITUTE(TRIM($AR569),"-",""),".",""),"/","")," ",""),8),7,2)),"")))</f>
        <v/>
      </c>
      <c r="AT569" s="23">
        <f>IF($AS569="","",IF($F$6="",0,IF(ISNUMBER(INDEX($A:$AP,ROW(),$F$6)),INDEX($A:$AP,ROW(),$F$6),IFERROR(--SUBSTITUTE(SUBSTITUTE(TRIM(INDEX($A:$AP,ROW(),$F$6)),",",""),"원",""),0))))</f>
        <v/>
      </c>
      <c r="AU569" s="23">
        <f>IF($AS569="","",IF($G$6="",0,IF(ISNUMBER(INDEX($A:$AP,ROW(),$G$6)),INDEX($A:$AP,ROW(),$G$6),IFERROR(--SUBSTITUTE(SUBSTITUTE(TRIM(INDEX($A:$AP,ROW(),$G$6)),",",""),"원",""),0))))</f>
        <v/>
      </c>
      <c r="AV569" s="23">
        <f>IF($AS569="","",IF($H$6="",$AT569+$AU569,IF($H$6="",0,IF(ISNUMBER(INDEX($A:$AP,ROW(),$H$6)),INDEX($A:$AP,ROW(),$H$6),IFERROR(--SUBSTITUTE(SUBSTITUTE(TRIM(INDEX($A:$AP,ROW(),$H$6)),",",""),"원",""),0)))))</f>
        <v/>
      </c>
      <c r="AW569" s="2">
        <f>IF(OR($AS569="",$C$6=""),"",TRIM(INDEX($A:$AP,ROW(),$C$6)&amp;""))</f>
        <v/>
      </c>
      <c r="AX569" s="2">
        <f>IF($AS569="","",IF($AZ569&lt;&gt;"",SUBSTITUTE(SUBSTITUTE($AZ569,"-","")," ",""),$AY569))</f>
        <v/>
      </c>
      <c r="AY569" s="2">
        <f>IF(OR($AS569="",$E$6=""),"",TRIM(INDEX($A:$AP,ROW(),$E$6)&amp;""))</f>
        <v/>
      </c>
      <c r="AZ569" s="2">
        <f>IF(OR($AS569="",$D$6=""),"",TRIM(INDEX($A:$AP,ROW(),$D$6)&amp;""))</f>
        <v/>
      </c>
      <c r="BA569" s="2">
        <f>IF($AS569="","",IF(AND($AS569&gt;=설정!$B$10,$AS569&lt;=설정!$B$11),"포함","기간 밖"))</f>
        <v/>
      </c>
      <c r="BB569" s="2">
        <f>IF($AS569="","",IF(OR($AT569&lt;0,AND($I$6&lt;&gt;"",ISNUMBER(FIND("수정",INDEX($A:$AP,ROW(),IF($I$6="",1,$I$6))&amp;"")))),"수정","일반"))</f>
        <v/>
      </c>
      <c r="BC569" s="2">
        <f>IF($AS569="","",MID(IF($BA569="기간 밖"," / 기간 밖(신고기간 아님)","")&amp;IF(AND($AW569&lt;&gt;"",COUNTIF($AW$8:$AW$1007,$AW569)&gt;1)," / 승인번호 중복(두 번 붙여넣기?)","")&amp;IF(ABS($AU569-ROUND($AT569*0.1,0))&gt;설정!$B$8,IF($AU569=0," / 세액 0원(영세율·면세 여부 확인)"," / 세액이 공급가액 10%와 다름"),"")&amp;IF($BB569="수정"," / 수정세금계산서(합계에서 자동 가감)",""),4,200))</f>
        <v/>
      </c>
      <c r="BD569" s="2">
        <f>IF($BA569&lt;&gt;"포함","",IF(COUNTIFS($AX$8:$AX569,$AX569,$BA$8:$BA569,"포함")=1,MAX($BD$7:BD568)+1,""))</f>
        <v/>
      </c>
      <c r="BE569" s="2">
        <f>IF($BC569="","",MAX($BE$7:BE568)+1)</f>
        <v/>
      </c>
    </row>
    <row r="570">
      <c r="AR570" s="2">
        <f>IF(OR($A$5="",$B$6="",ROW()&lt;$A$5),"",IF(INDEX($A:$AP,ROW(),$B$6)="","",INDEX($A:$AP,ROW(),$B$6)))</f>
        <v/>
      </c>
      <c r="AS570" s="22">
        <f>IF($AR570="","",IF(ISNUMBER($AR570),IF($AR570&gt;=10000000,IFERROR(DATE(INT($AR570/10000),MOD(INT($AR570/100),100),MOD($AR570,100)),""),INT($AR570)),IFERROR(DATE(--LEFT(LEFT(SUBSTITUTE(SUBSTITUTE(SUBSTITUTE(SUBSTITUTE(TRIM($AR570),"-",""),".",""),"/","")," ",""),8),4),--MID(LEFT(SUBSTITUTE(SUBSTITUTE(SUBSTITUTE(SUBSTITUTE(TRIM($AR570),"-",""),".",""),"/","")," ",""),8),5,2),--MID(LEFT(SUBSTITUTE(SUBSTITUTE(SUBSTITUTE(SUBSTITUTE(TRIM($AR570),"-",""),".",""),"/","")," ",""),8),7,2)),"")))</f>
        <v/>
      </c>
      <c r="AT570" s="23">
        <f>IF($AS570="","",IF($F$6="",0,IF(ISNUMBER(INDEX($A:$AP,ROW(),$F$6)),INDEX($A:$AP,ROW(),$F$6),IFERROR(--SUBSTITUTE(SUBSTITUTE(TRIM(INDEX($A:$AP,ROW(),$F$6)),",",""),"원",""),0))))</f>
        <v/>
      </c>
      <c r="AU570" s="23">
        <f>IF($AS570="","",IF($G$6="",0,IF(ISNUMBER(INDEX($A:$AP,ROW(),$G$6)),INDEX($A:$AP,ROW(),$G$6),IFERROR(--SUBSTITUTE(SUBSTITUTE(TRIM(INDEX($A:$AP,ROW(),$G$6)),",",""),"원",""),0))))</f>
        <v/>
      </c>
      <c r="AV570" s="23">
        <f>IF($AS570="","",IF($H$6="",$AT570+$AU570,IF($H$6="",0,IF(ISNUMBER(INDEX($A:$AP,ROW(),$H$6)),INDEX($A:$AP,ROW(),$H$6),IFERROR(--SUBSTITUTE(SUBSTITUTE(TRIM(INDEX($A:$AP,ROW(),$H$6)),",",""),"원",""),0)))))</f>
        <v/>
      </c>
      <c r="AW570" s="2">
        <f>IF(OR($AS570="",$C$6=""),"",TRIM(INDEX($A:$AP,ROW(),$C$6)&amp;""))</f>
        <v/>
      </c>
      <c r="AX570" s="2">
        <f>IF($AS570="","",IF($AZ570&lt;&gt;"",SUBSTITUTE(SUBSTITUTE($AZ570,"-","")," ",""),$AY570))</f>
        <v/>
      </c>
      <c r="AY570" s="2">
        <f>IF(OR($AS570="",$E$6=""),"",TRIM(INDEX($A:$AP,ROW(),$E$6)&amp;""))</f>
        <v/>
      </c>
      <c r="AZ570" s="2">
        <f>IF(OR($AS570="",$D$6=""),"",TRIM(INDEX($A:$AP,ROW(),$D$6)&amp;""))</f>
        <v/>
      </c>
      <c r="BA570" s="2">
        <f>IF($AS570="","",IF(AND($AS570&gt;=설정!$B$10,$AS570&lt;=설정!$B$11),"포함","기간 밖"))</f>
        <v/>
      </c>
      <c r="BB570" s="2">
        <f>IF($AS570="","",IF(OR($AT570&lt;0,AND($I$6&lt;&gt;"",ISNUMBER(FIND("수정",INDEX($A:$AP,ROW(),IF($I$6="",1,$I$6))&amp;"")))),"수정","일반"))</f>
        <v/>
      </c>
      <c r="BC570" s="2">
        <f>IF($AS570="","",MID(IF($BA570="기간 밖"," / 기간 밖(신고기간 아님)","")&amp;IF(AND($AW570&lt;&gt;"",COUNTIF($AW$8:$AW$1007,$AW570)&gt;1)," / 승인번호 중복(두 번 붙여넣기?)","")&amp;IF(ABS($AU570-ROUND($AT570*0.1,0))&gt;설정!$B$8,IF($AU570=0," / 세액 0원(영세율·면세 여부 확인)"," / 세액이 공급가액 10%와 다름"),"")&amp;IF($BB570="수정"," / 수정세금계산서(합계에서 자동 가감)",""),4,200))</f>
        <v/>
      </c>
      <c r="BD570" s="2">
        <f>IF($BA570&lt;&gt;"포함","",IF(COUNTIFS($AX$8:$AX570,$AX570,$BA$8:$BA570,"포함")=1,MAX($BD$7:BD569)+1,""))</f>
        <v/>
      </c>
      <c r="BE570" s="2">
        <f>IF($BC570="","",MAX($BE$7:BE569)+1)</f>
        <v/>
      </c>
    </row>
    <row r="571">
      <c r="AR571" s="2">
        <f>IF(OR($A$5="",$B$6="",ROW()&lt;$A$5),"",IF(INDEX($A:$AP,ROW(),$B$6)="","",INDEX($A:$AP,ROW(),$B$6)))</f>
        <v/>
      </c>
      <c r="AS571" s="22">
        <f>IF($AR571="","",IF(ISNUMBER($AR571),IF($AR571&gt;=10000000,IFERROR(DATE(INT($AR571/10000),MOD(INT($AR571/100),100),MOD($AR571,100)),""),INT($AR571)),IFERROR(DATE(--LEFT(LEFT(SUBSTITUTE(SUBSTITUTE(SUBSTITUTE(SUBSTITUTE(TRIM($AR571),"-",""),".",""),"/","")," ",""),8),4),--MID(LEFT(SUBSTITUTE(SUBSTITUTE(SUBSTITUTE(SUBSTITUTE(TRIM($AR571),"-",""),".",""),"/","")," ",""),8),5,2),--MID(LEFT(SUBSTITUTE(SUBSTITUTE(SUBSTITUTE(SUBSTITUTE(TRIM($AR571),"-",""),".",""),"/","")," ",""),8),7,2)),"")))</f>
        <v/>
      </c>
      <c r="AT571" s="23">
        <f>IF($AS571="","",IF($F$6="",0,IF(ISNUMBER(INDEX($A:$AP,ROW(),$F$6)),INDEX($A:$AP,ROW(),$F$6),IFERROR(--SUBSTITUTE(SUBSTITUTE(TRIM(INDEX($A:$AP,ROW(),$F$6)),",",""),"원",""),0))))</f>
        <v/>
      </c>
      <c r="AU571" s="23">
        <f>IF($AS571="","",IF($G$6="",0,IF(ISNUMBER(INDEX($A:$AP,ROW(),$G$6)),INDEX($A:$AP,ROW(),$G$6),IFERROR(--SUBSTITUTE(SUBSTITUTE(TRIM(INDEX($A:$AP,ROW(),$G$6)),",",""),"원",""),0))))</f>
        <v/>
      </c>
      <c r="AV571" s="23">
        <f>IF($AS571="","",IF($H$6="",$AT571+$AU571,IF($H$6="",0,IF(ISNUMBER(INDEX($A:$AP,ROW(),$H$6)),INDEX($A:$AP,ROW(),$H$6),IFERROR(--SUBSTITUTE(SUBSTITUTE(TRIM(INDEX($A:$AP,ROW(),$H$6)),",",""),"원",""),0)))))</f>
        <v/>
      </c>
      <c r="AW571" s="2">
        <f>IF(OR($AS571="",$C$6=""),"",TRIM(INDEX($A:$AP,ROW(),$C$6)&amp;""))</f>
        <v/>
      </c>
      <c r="AX571" s="2">
        <f>IF($AS571="","",IF($AZ571&lt;&gt;"",SUBSTITUTE(SUBSTITUTE($AZ571,"-","")," ",""),$AY571))</f>
        <v/>
      </c>
      <c r="AY571" s="2">
        <f>IF(OR($AS571="",$E$6=""),"",TRIM(INDEX($A:$AP,ROW(),$E$6)&amp;""))</f>
        <v/>
      </c>
      <c r="AZ571" s="2">
        <f>IF(OR($AS571="",$D$6=""),"",TRIM(INDEX($A:$AP,ROW(),$D$6)&amp;""))</f>
        <v/>
      </c>
      <c r="BA571" s="2">
        <f>IF($AS571="","",IF(AND($AS571&gt;=설정!$B$10,$AS571&lt;=설정!$B$11),"포함","기간 밖"))</f>
        <v/>
      </c>
      <c r="BB571" s="2">
        <f>IF($AS571="","",IF(OR($AT571&lt;0,AND($I$6&lt;&gt;"",ISNUMBER(FIND("수정",INDEX($A:$AP,ROW(),IF($I$6="",1,$I$6))&amp;"")))),"수정","일반"))</f>
        <v/>
      </c>
      <c r="BC571" s="2">
        <f>IF($AS571="","",MID(IF($BA571="기간 밖"," / 기간 밖(신고기간 아님)","")&amp;IF(AND($AW571&lt;&gt;"",COUNTIF($AW$8:$AW$1007,$AW571)&gt;1)," / 승인번호 중복(두 번 붙여넣기?)","")&amp;IF(ABS($AU571-ROUND($AT571*0.1,0))&gt;설정!$B$8,IF($AU571=0," / 세액 0원(영세율·면세 여부 확인)"," / 세액이 공급가액 10%와 다름"),"")&amp;IF($BB571="수정"," / 수정세금계산서(합계에서 자동 가감)",""),4,200))</f>
        <v/>
      </c>
      <c r="BD571" s="2">
        <f>IF($BA571&lt;&gt;"포함","",IF(COUNTIFS($AX$8:$AX571,$AX571,$BA$8:$BA571,"포함")=1,MAX($BD$7:BD570)+1,""))</f>
        <v/>
      </c>
      <c r="BE571" s="2">
        <f>IF($BC571="","",MAX($BE$7:BE570)+1)</f>
        <v/>
      </c>
    </row>
    <row r="572">
      <c r="AR572" s="2">
        <f>IF(OR($A$5="",$B$6="",ROW()&lt;$A$5),"",IF(INDEX($A:$AP,ROW(),$B$6)="","",INDEX($A:$AP,ROW(),$B$6)))</f>
        <v/>
      </c>
      <c r="AS572" s="22">
        <f>IF($AR572="","",IF(ISNUMBER($AR572),IF($AR572&gt;=10000000,IFERROR(DATE(INT($AR572/10000),MOD(INT($AR572/100),100),MOD($AR572,100)),""),INT($AR572)),IFERROR(DATE(--LEFT(LEFT(SUBSTITUTE(SUBSTITUTE(SUBSTITUTE(SUBSTITUTE(TRIM($AR572),"-",""),".",""),"/","")," ",""),8),4),--MID(LEFT(SUBSTITUTE(SUBSTITUTE(SUBSTITUTE(SUBSTITUTE(TRIM($AR572),"-",""),".",""),"/","")," ",""),8),5,2),--MID(LEFT(SUBSTITUTE(SUBSTITUTE(SUBSTITUTE(SUBSTITUTE(TRIM($AR572),"-",""),".",""),"/","")," ",""),8),7,2)),"")))</f>
        <v/>
      </c>
      <c r="AT572" s="23">
        <f>IF($AS572="","",IF($F$6="",0,IF(ISNUMBER(INDEX($A:$AP,ROW(),$F$6)),INDEX($A:$AP,ROW(),$F$6),IFERROR(--SUBSTITUTE(SUBSTITUTE(TRIM(INDEX($A:$AP,ROW(),$F$6)),",",""),"원",""),0))))</f>
        <v/>
      </c>
      <c r="AU572" s="23">
        <f>IF($AS572="","",IF($G$6="",0,IF(ISNUMBER(INDEX($A:$AP,ROW(),$G$6)),INDEX($A:$AP,ROW(),$G$6),IFERROR(--SUBSTITUTE(SUBSTITUTE(TRIM(INDEX($A:$AP,ROW(),$G$6)),",",""),"원",""),0))))</f>
        <v/>
      </c>
      <c r="AV572" s="23">
        <f>IF($AS572="","",IF($H$6="",$AT572+$AU572,IF($H$6="",0,IF(ISNUMBER(INDEX($A:$AP,ROW(),$H$6)),INDEX($A:$AP,ROW(),$H$6),IFERROR(--SUBSTITUTE(SUBSTITUTE(TRIM(INDEX($A:$AP,ROW(),$H$6)),",",""),"원",""),0)))))</f>
        <v/>
      </c>
      <c r="AW572" s="2">
        <f>IF(OR($AS572="",$C$6=""),"",TRIM(INDEX($A:$AP,ROW(),$C$6)&amp;""))</f>
        <v/>
      </c>
      <c r="AX572" s="2">
        <f>IF($AS572="","",IF($AZ572&lt;&gt;"",SUBSTITUTE(SUBSTITUTE($AZ572,"-","")," ",""),$AY572))</f>
        <v/>
      </c>
      <c r="AY572" s="2">
        <f>IF(OR($AS572="",$E$6=""),"",TRIM(INDEX($A:$AP,ROW(),$E$6)&amp;""))</f>
        <v/>
      </c>
      <c r="AZ572" s="2">
        <f>IF(OR($AS572="",$D$6=""),"",TRIM(INDEX($A:$AP,ROW(),$D$6)&amp;""))</f>
        <v/>
      </c>
      <c r="BA572" s="2">
        <f>IF($AS572="","",IF(AND($AS572&gt;=설정!$B$10,$AS572&lt;=설정!$B$11),"포함","기간 밖"))</f>
        <v/>
      </c>
      <c r="BB572" s="2">
        <f>IF($AS572="","",IF(OR($AT572&lt;0,AND($I$6&lt;&gt;"",ISNUMBER(FIND("수정",INDEX($A:$AP,ROW(),IF($I$6="",1,$I$6))&amp;"")))),"수정","일반"))</f>
        <v/>
      </c>
      <c r="BC572" s="2">
        <f>IF($AS572="","",MID(IF($BA572="기간 밖"," / 기간 밖(신고기간 아님)","")&amp;IF(AND($AW572&lt;&gt;"",COUNTIF($AW$8:$AW$1007,$AW572)&gt;1)," / 승인번호 중복(두 번 붙여넣기?)","")&amp;IF(ABS($AU572-ROUND($AT572*0.1,0))&gt;설정!$B$8,IF($AU572=0," / 세액 0원(영세율·면세 여부 확인)"," / 세액이 공급가액 10%와 다름"),"")&amp;IF($BB572="수정"," / 수정세금계산서(합계에서 자동 가감)",""),4,200))</f>
        <v/>
      </c>
      <c r="BD572" s="2">
        <f>IF($BA572&lt;&gt;"포함","",IF(COUNTIFS($AX$8:$AX572,$AX572,$BA$8:$BA572,"포함")=1,MAX($BD$7:BD571)+1,""))</f>
        <v/>
      </c>
      <c r="BE572" s="2">
        <f>IF($BC572="","",MAX($BE$7:BE571)+1)</f>
        <v/>
      </c>
    </row>
    <row r="573">
      <c r="AR573" s="2">
        <f>IF(OR($A$5="",$B$6="",ROW()&lt;$A$5),"",IF(INDEX($A:$AP,ROW(),$B$6)="","",INDEX($A:$AP,ROW(),$B$6)))</f>
        <v/>
      </c>
      <c r="AS573" s="22">
        <f>IF($AR573="","",IF(ISNUMBER($AR573),IF($AR573&gt;=10000000,IFERROR(DATE(INT($AR573/10000),MOD(INT($AR573/100),100),MOD($AR573,100)),""),INT($AR573)),IFERROR(DATE(--LEFT(LEFT(SUBSTITUTE(SUBSTITUTE(SUBSTITUTE(SUBSTITUTE(TRIM($AR573),"-",""),".",""),"/","")," ",""),8),4),--MID(LEFT(SUBSTITUTE(SUBSTITUTE(SUBSTITUTE(SUBSTITUTE(TRIM($AR573),"-",""),".",""),"/","")," ",""),8),5,2),--MID(LEFT(SUBSTITUTE(SUBSTITUTE(SUBSTITUTE(SUBSTITUTE(TRIM($AR573),"-",""),".",""),"/","")," ",""),8),7,2)),"")))</f>
        <v/>
      </c>
      <c r="AT573" s="23">
        <f>IF($AS573="","",IF($F$6="",0,IF(ISNUMBER(INDEX($A:$AP,ROW(),$F$6)),INDEX($A:$AP,ROW(),$F$6),IFERROR(--SUBSTITUTE(SUBSTITUTE(TRIM(INDEX($A:$AP,ROW(),$F$6)),",",""),"원",""),0))))</f>
        <v/>
      </c>
      <c r="AU573" s="23">
        <f>IF($AS573="","",IF($G$6="",0,IF(ISNUMBER(INDEX($A:$AP,ROW(),$G$6)),INDEX($A:$AP,ROW(),$G$6),IFERROR(--SUBSTITUTE(SUBSTITUTE(TRIM(INDEX($A:$AP,ROW(),$G$6)),",",""),"원",""),0))))</f>
        <v/>
      </c>
      <c r="AV573" s="23">
        <f>IF($AS573="","",IF($H$6="",$AT573+$AU573,IF($H$6="",0,IF(ISNUMBER(INDEX($A:$AP,ROW(),$H$6)),INDEX($A:$AP,ROW(),$H$6),IFERROR(--SUBSTITUTE(SUBSTITUTE(TRIM(INDEX($A:$AP,ROW(),$H$6)),",",""),"원",""),0)))))</f>
        <v/>
      </c>
      <c r="AW573" s="2">
        <f>IF(OR($AS573="",$C$6=""),"",TRIM(INDEX($A:$AP,ROW(),$C$6)&amp;""))</f>
        <v/>
      </c>
      <c r="AX573" s="2">
        <f>IF($AS573="","",IF($AZ573&lt;&gt;"",SUBSTITUTE(SUBSTITUTE($AZ573,"-","")," ",""),$AY573))</f>
        <v/>
      </c>
      <c r="AY573" s="2">
        <f>IF(OR($AS573="",$E$6=""),"",TRIM(INDEX($A:$AP,ROW(),$E$6)&amp;""))</f>
        <v/>
      </c>
      <c r="AZ573" s="2">
        <f>IF(OR($AS573="",$D$6=""),"",TRIM(INDEX($A:$AP,ROW(),$D$6)&amp;""))</f>
        <v/>
      </c>
      <c r="BA573" s="2">
        <f>IF($AS573="","",IF(AND($AS573&gt;=설정!$B$10,$AS573&lt;=설정!$B$11),"포함","기간 밖"))</f>
        <v/>
      </c>
      <c r="BB573" s="2">
        <f>IF($AS573="","",IF(OR($AT573&lt;0,AND($I$6&lt;&gt;"",ISNUMBER(FIND("수정",INDEX($A:$AP,ROW(),IF($I$6="",1,$I$6))&amp;"")))),"수정","일반"))</f>
        <v/>
      </c>
      <c r="BC573" s="2">
        <f>IF($AS573="","",MID(IF($BA573="기간 밖"," / 기간 밖(신고기간 아님)","")&amp;IF(AND($AW573&lt;&gt;"",COUNTIF($AW$8:$AW$1007,$AW573)&gt;1)," / 승인번호 중복(두 번 붙여넣기?)","")&amp;IF(ABS($AU573-ROUND($AT573*0.1,0))&gt;설정!$B$8,IF($AU573=0," / 세액 0원(영세율·면세 여부 확인)"," / 세액이 공급가액 10%와 다름"),"")&amp;IF($BB573="수정"," / 수정세금계산서(합계에서 자동 가감)",""),4,200))</f>
        <v/>
      </c>
      <c r="BD573" s="2">
        <f>IF($BA573&lt;&gt;"포함","",IF(COUNTIFS($AX$8:$AX573,$AX573,$BA$8:$BA573,"포함")=1,MAX($BD$7:BD572)+1,""))</f>
        <v/>
      </c>
      <c r="BE573" s="2">
        <f>IF($BC573="","",MAX($BE$7:BE572)+1)</f>
        <v/>
      </c>
    </row>
    <row r="574">
      <c r="AR574" s="2">
        <f>IF(OR($A$5="",$B$6="",ROW()&lt;$A$5),"",IF(INDEX($A:$AP,ROW(),$B$6)="","",INDEX($A:$AP,ROW(),$B$6)))</f>
        <v/>
      </c>
      <c r="AS574" s="22">
        <f>IF($AR574="","",IF(ISNUMBER($AR574),IF($AR574&gt;=10000000,IFERROR(DATE(INT($AR574/10000),MOD(INT($AR574/100),100),MOD($AR574,100)),""),INT($AR574)),IFERROR(DATE(--LEFT(LEFT(SUBSTITUTE(SUBSTITUTE(SUBSTITUTE(SUBSTITUTE(TRIM($AR574),"-",""),".",""),"/","")," ",""),8),4),--MID(LEFT(SUBSTITUTE(SUBSTITUTE(SUBSTITUTE(SUBSTITUTE(TRIM($AR574),"-",""),".",""),"/","")," ",""),8),5,2),--MID(LEFT(SUBSTITUTE(SUBSTITUTE(SUBSTITUTE(SUBSTITUTE(TRIM($AR574),"-",""),".",""),"/","")," ",""),8),7,2)),"")))</f>
        <v/>
      </c>
      <c r="AT574" s="23">
        <f>IF($AS574="","",IF($F$6="",0,IF(ISNUMBER(INDEX($A:$AP,ROW(),$F$6)),INDEX($A:$AP,ROW(),$F$6),IFERROR(--SUBSTITUTE(SUBSTITUTE(TRIM(INDEX($A:$AP,ROW(),$F$6)),",",""),"원",""),0))))</f>
        <v/>
      </c>
      <c r="AU574" s="23">
        <f>IF($AS574="","",IF($G$6="",0,IF(ISNUMBER(INDEX($A:$AP,ROW(),$G$6)),INDEX($A:$AP,ROW(),$G$6),IFERROR(--SUBSTITUTE(SUBSTITUTE(TRIM(INDEX($A:$AP,ROW(),$G$6)),",",""),"원",""),0))))</f>
        <v/>
      </c>
      <c r="AV574" s="23">
        <f>IF($AS574="","",IF($H$6="",$AT574+$AU574,IF($H$6="",0,IF(ISNUMBER(INDEX($A:$AP,ROW(),$H$6)),INDEX($A:$AP,ROW(),$H$6),IFERROR(--SUBSTITUTE(SUBSTITUTE(TRIM(INDEX($A:$AP,ROW(),$H$6)),",",""),"원",""),0)))))</f>
        <v/>
      </c>
      <c r="AW574" s="2">
        <f>IF(OR($AS574="",$C$6=""),"",TRIM(INDEX($A:$AP,ROW(),$C$6)&amp;""))</f>
        <v/>
      </c>
      <c r="AX574" s="2">
        <f>IF($AS574="","",IF($AZ574&lt;&gt;"",SUBSTITUTE(SUBSTITUTE($AZ574,"-","")," ",""),$AY574))</f>
        <v/>
      </c>
      <c r="AY574" s="2">
        <f>IF(OR($AS574="",$E$6=""),"",TRIM(INDEX($A:$AP,ROW(),$E$6)&amp;""))</f>
        <v/>
      </c>
      <c r="AZ574" s="2">
        <f>IF(OR($AS574="",$D$6=""),"",TRIM(INDEX($A:$AP,ROW(),$D$6)&amp;""))</f>
        <v/>
      </c>
      <c r="BA574" s="2">
        <f>IF($AS574="","",IF(AND($AS574&gt;=설정!$B$10,$AS574&lt;=설정!$B$11),"포함","기간 밖"))</f>
        <v/>
      </c>
      <c r="BB574" s="2">
        <f>IF($AS574="","",IF(OR($AT574&lt;0,AND($I$6&lt;&gt;"",ISNUMBER(FIND("수정",INDEX($A:$AP,ROW(),IF($I$6="",1,$I$6))&amp;"")))),"수정","일반"))</f>
        <v/>
      </c>
      <c r="BC574" s="2">
        <f>IF($AS574="","",MID(IF($BA574="기간 밖"," / 기간 밖(신고기간 아님)","")&amp;IF(AND($AW574&lt;&gt;"",COUNTIF($AW$8:$AW$1007,$AW574)&gt;1)," / 승인번호 중복(두 번 붙여넣기?)","")&amp;IF(ABS($AU574-ROUND($AT574*0.1,0))&gt;설정!$B$8,IF($AU574=0," / 세액 0원(영세율·면세 여부 확인)"," / 세액이 공급가액 10%와 다름"),"")&amp;IF($BB574="수정"," / 수정세금계산서(합계에서 자동 가감)",""),4,200))</f>
        <v/>
      </c>
      <c r="BD574" s="2">
        <f>IF($BA574&lt;&gt;"포함","",IF(COUNTIFS($AX$8:$AX574,$AX574,$BA$8:$BA574,"포함")=1,MAX($BD$7:BD573)+1,""))</f>
        <v/>
      </c>
      <c r="BE574" s="2">
        <f>IF($BC574="","",MAX($BE$7:BE573)+1)</f>
        <v/>
      </c>
    </row>
    <row r="575">
      <c r="AR575" s="2">
        <f>IF(OR($A$5="",$B$6="",ROW()&lt;$A$5),"",IF(INDEX($A:$AP,ROW(),$B$6)="","",INDEX($A:$AP,ROW(),$B$6)))</f>
        <v/>
      </c>
      <c r="AS575" s="22">
        <f>IF($AR575="","",IF(ISNUMBER($AR575),IF($AR575&gt;=10000000,IFERROR(DATE(INT($AR575/10000),MOD(INT($AR575/100),100),MOD($AR575,100)),""),INT($AR575)),IFERROR(DATE(--LEFT(LEFT(SUBSTITUTE(SUBSTITUTE(SUBSTITUTE(SUBSTITUTE(TRIM($AR575),"-",""),".",""),"/","")," ",""),8),4),--MID(LEFT(SUBSTITUTE(SUBSTITUTE(SUBSTITUTE(SUBSTITUTE(TRIM($AR575),"-",""),".",""),"/","")," ",""),8),5,2),--MID(LEFT(SUBSTITUTE(SUBSTITUTE(SUBSTITUTE(SUBSTITUTE(TRIM($AR575),"-",""),".",""),"/","")," ",""),8),7,2)),"")))</f>
        <v/>
      </c>
      <c r="AT575" s="23">
        <f>IF($AS575="","",IF($F$6="",0,IF(ISNUMBER(INDEX($A:$AP,ROW(),$F$6)),INDEX($A:$AP,ROW(),$F$6),IFERROR(--SUBSTITUTE(SUBSTITUTE(TRIM(INDEX($A:$AP,ROW(),$F$6)),",",""),"원",""),0))))</f>
        <v/>
      </c>
      <c r="AU575" s="23">
        <f>IF($AS575="","",IF($G$6="",0,IF(ISNUMBER(INDEX($A:$AP,ROW(),$G$6)),INDEX($A:$AP,ROW(),$G$6),IFERROR(--SUBSTITUTE(SUBSTITUTE(TRIM(INDEX($A:$AP,ROW(),$G$6)),",",""),"원",""),0))))</f>
        <v/>
      </c>
      <c r="AV575" s="23">
        <f>IF($AS575="","",IF($H$6="",$AT575+$AU575,IF($H$6="",0,IF(ISNUMBER(INDEX($A:$AP,ROW(),$H$6)),INDEX($A:$AP,ROW(),$H$6),IFERROR(--SUBSTITUTE(SUBSTITUTE(TRIM(INDEX($A:$AP,ROW(),$H$6)),",",""),"원",""),0)))))</f>
        <v/>
      </c>
      <c r="AW575" s="2">
        <f>IF(OR($AS575="",$C$6=""),"",TRIM(INDEX($A:$AP,ROW(),$C$6)&amp;""))</f>
        <v/>
      </c>
      <c r="AX575" s="2">
        <f>IF($AS575="","",IF($AZ575&lt;&gt;"",SUBSTITUTE(SUBSTITUTE($AZ575,"-","")," ",""),$AY575))</f>
        <v/>
      </c>
      <c r="AY575" s="2">
        <f>IF(OR($AS575="",$E$6=""),"",TRIM(INDEX($A:$AP,ROW(),$E$6)&amp;""))</f>
        <v/>
      </c>
      <c r="AZ575" s="2">
        <f>IF(OR($AS575="",$D$6=""),"",TRIM(INDEX($A:$AP,ROW(),$D$6)&amp;""))</f>
        <v/>
      </c>
      <c r="BA575" s="2">
        <f>IF($AS575="","",IF(AND($AS575&gt;=설정!$B$10,$AS575&lt;=설정!$B$11),"포함","기간 밖"))</f>
        <v/>
      </c>
      <c r="BB575" s="2">
        <f>IF($AS575="","",IF(OR($AT575&lt;0,AND($I$6&lt;&gt;"",ISNUMBER(FIND("수정",INDEX($A:$AP,ROW(),IF($I$6="",1,$I$6))&amp;"")))),"수정","일반"))</f>
        <v/>
      </c>
      <c r="BC575" s="2">
        <f>IF($AS575="","",MID(IF($BA575="기간 밖"," / 기간 밖(신고기간 아님)","")&amp;IF(AND($AW575&lt;&gt;"",COUNTIF($AW$8:$AW$1007,$AW575)&gt;1)," / 승인번호 중복(두 번 붙여넣기?)","")&amp;IF(ABS($AU575-ROUND($AT575*0.1,0))&gt;설정!$B$8,IF($AU575=0," / 세액 0원(영세율·면세 여부 확인)"," / 세액이 공급가액 10%와 다름"),"")&amp;IF($BB575="수정"," / 수정세금계산서(합계에서 자동 가감)",""),4,200))</f>
        <v/>
      </c>
      <c r="BD575" s="2">
        <f>IF($BA575&lt;&gt;"포함","",IF(COUNTIFS($AX$8:$AX575,$AX575,$BA$8:$BA575,"포함")=1,MAX($BD$7:BD574)+1,""))</f>
        <v/>
      </c>
      <c r="BE575" s="2">
        <f>IF($BC575="","",MAX($BE$7:BE574)+1)</f>
        <v/>
      </c>
    </row>
    <row r="576">
      <c r="AR576" s="2">
        <f>IF(OR($A$5="",$B$6="",ROW()&lt;$A$5),"",IF(INDEX($A:$AP,ROW(),$B$6)="","",INDEX($A:$AP,ROW(),$B$6)))</f>
        <v/>
      </c>
      <c r="AS576" s="22">
        <f>IF($AR576="","",IF(ISNUMBER($AR576),IF($AR576&gt;=10000000,IFERROR(DATE(INT($AR576/10000),MOD(INT($AR576/100),100),MOD($AR576,100)),""),INT($AR576)),IFERROR(DATE(--LEFT(LEFT(SUBSTITUTE(SUBSTITUTE(SUBSTITUTE(SUBSTITUTE(TRIM($AR576),"-",""),".",""),"/","")," ",""),8),4),--MID(LEFT(SUBSTITUTE(SUBSTITUTE(SUBSTITUTE(SUBSTITUTE(TRIM($AR576),"-",""),".",""),"/","")," ",""),8),5,2),--MID(LEFT(SUBSTITUTE(SUBSTITUTE(SUBSTITUTE(SUBSTITUTE(TRIM($AR576),"-",""),".",""),"/","")," ",""),8),7,2)),"")))</f>
        <v/>
      </c>
      <c r="AT576" s="23">
        <f>IF($AS576="","",IF($F$6="",0,IF(ISNUMBER(INDEX($A:$AP,ROW(),$F$6)),INDEX($A:$AP,ROW(),$F$6),IFERROR(--SUBSTITUTE(SUBSTITUTE(TRIM(INDEX($A:$AP,ROW(),$F$6)),",",""),"원",""),0))))</f>
        <v/>
      </c>
      <c r="AU576" s="23">
        <f>IF($AS576="","",IF($G$6="",0,IF(ISNUMBER(INDEX($A:$AP,ROW(),$G$6)),INDEX($A:$AP,ROW(),$G$6),IFERROR(--SUBSTITUTE(SUBSTITUTE(TRIM(INDEX($A:$AP,ROW(),$G$6)),",",""),"원",""),0))))</f>
        <v/>
      </c>
      <c r="AV576" s="23">
        <f>IF($AS576="","",IF($H$6="",$AT576+$AU576,IF($H$6="",0,IF(ISNUMBER(INDEX($A:$AP,ROW(),$H$6)),INDEX($A:$AP,ROW(),$H$6),IFERROR(--SUBSTITUTE(SUBSTITUTE(TRIM(INDEX($A:$AP,ROW(),$H$6)),",",""),"원",""),0)))))</f>
        <v/>
      </c>
      <c r="AW576" s="2">
        <f>IF(OR($AS576="",$C$6=""),"",TRIM(INDEX($A:$AP,ROW(),$C$6)&amp;""))</f>
        <v/>
      </c>
      <c r="AX576" s="2">
        <f>IF($AS576="","",IF($AZ576&lt;&gt;"",SUBSTITUTE(SUBSTITUTE($AZ576,"-","")," ",""),$AY576))</f>
        <v/>
      </c>
      <c r="AY576" s="2">
        <f>IF(OR($AS576="",$E$6=""),"",TRIM(INDEX($A:$AP,ROW(),$E$6)&amp;""))</f>
        <v/>
      </c>
      <c r="AZ576" s="2">
        <f>IF(OR($AS576="",$D$6=""),"",TRIM(INDEX($A:$AP,ROW(),$D$6)&amp;""))</f>
        <v/>
      </c>
      <c r="BA576" s="2">
        <f>IF($AS576="","",IF(AND($AS576&gt;=설정!$B$10,$AS576&lt;=설정!$B$11),"포함","기간 밖"))</f>
        <v/>
      </c>
      <c r="BB576" s="2">
        <f>IF($AS576="","",IF(OR($AT576&lt;0,AND($I$6&lt;&gt;"",ISNUMBER(FIND("수정",INDEX($A:$AP,ROW(),IF($I$6="",1,$I$6))&amp;"")))),"수정","일반"))</f>
        <v/>
      </c>
      <c r="BC576" s="2">
        <f>IF($AS576="","",MID(IF($BA576="기간 밖"," / 기간 밖(신고기간 아님)","")&amp;IF(AND($AW576&lt;&gt;"",COUNTIF($AW$8:$AW$1007,$AW576)&gt;1)," / 승인번호 중복(두 번 붙여넣기?)","")&amp;IF(ABS($AU576-ROUND($AT576*0.1,0))&gt;설정!$B$8,IF($AU576=0," / 세액 0원(영세율·면세 여부 확인)"," / 세액이 공급가액 10%와 다름"),"")&amp;IF($BB576="수정"," / 수정세금계산서(합계에서 자동 가감)",""),4,200))</f>
        <v/>
      </c>
      <c r="BD576" s="2">
        <f>IF($BA576&lt;&gt;"포함","",IF(COUNTIFS($AX$8:$AX576,$AX576,$BA$8:$BA576,"포함")=1,MAX($BD$7:BD575)+1,""))</f>
        <v/>
      </c>
      <c r="BE576" s="2">
        <f>IF($BC576="","",MAX($BE$7:BE575)+1)</f>
        <v/>
      </c>
    </row>
    <row r="577">
      <c r="AR577" s="2">
        <f>IF(OR($A$5="",$B$6="",ROW()&lt;$A$5),"",IF(INDEX($A:$AP,ROW(),$B$6)="","",INDEX($A:$AP,ROW(),$B$6)))</f>
        <v/>
      </c>
      <c r="AS577" s="22">
        <f>IF($AR577="","",IF(ISNUMBER($AR577),IF($AR577&gt;=10000000,IFERROR(DATE(INT($AR577/10000),MOD(INT($AR577/100),100),MOD($AR577,100)),""),INT($AR577)),IFERROR(DATE(--LEFT(LEFT(SUBSTITUTE(SUBSTITUTE(SUBSTITUTE(SUBSTITUTE(TRIM($AR577),"-",""),".",""),"/","")," ",""),8),4),--MID(LEFT(SUBSTITUTE(SUBSTITUTE(SUBSTITUTE(SUBSTITUTE(TRIM($AR577),"-",""),".",""),"/","")," ",""),8),5,2),--MID(LEFT(SUBSTITUTE(SUBSTITUTE(SUBSTITUTE(SUBSTITUTE(TRIM($AR577),"-",""),".",""),"/","")," ",""),8),7,2)),"")))</f>
        <v/>
      </c>
      <c r="AT577" s="23">
        <f>IF($AS577="","",IF($F$6="",0,IF(ISNUMBER(INDEX($A:$AP,ROW(),$F$6)),INDEX($A:$AP,ROW(),$F$6),IFERROR(--SUBSTITUTE(SUBSTITUTE(TRIM(INDEX($A:$AP,ROW(),$F$6)),",",""),"원",""),0))))</f>
        <v/>
      </c>
      <c r="AU577" s="23">
        <f>IF($AS577="","",IF($G$6="",0,IF(ISNUMBER(INDEX($A:$AP,ROW(),$G$6)),INDEX($A:$AP,ROW(),$G$6),IFERROR(--SUBSTITUTE(SUBSTITUTE(TRIM(INDEX($A:$AP,ROW(),$G$6)),",",""),"원",""),0))))</f>
        <v/>
      </c>
      <c r="AV577" s="23">
        <f>IF($AS577="","",IF($H$6="",$AT577+$AU577,IF($H$6="",0,IF(ISNUMBER(INDEX($A:$AP,ROW(),$H$6)),INDEX($A:$AP,ROW(),$H$6),IFERROR(--SUBSTITUTE(SUBSTITUTE(TRIM(INDEX($A:$AP,ROW(),$H$6)),",",""),"원",""),0)))))</f>
        <v/>
      </c>
      <c r="AW577" s="2">
        <f>IF(OR($AS577="",$C$6=""),"",TRIM(INDEX($A:$AP,ROW(),$C$6)&amp;""))</f>
        <v/>
      </c>
      <c r="AX577" s="2">
        <f>IF($AS577="","",IF($AZ577&lt;&gt;"",SUBSTITUTE(SUBSTITUTE($AZ577,"-","")," ",""),$AY577))</f>
        <v/>
      </c>
      <c r="AY577" s="2">
        <f>IF(OR($AS577="",$E$6=""),"",TRIM(INDEX($A:$AP,ROW(),$E$6)&amp;""))</f>
        <v/>
      </c>
      <c r="AZ577" s="2">
        <f>IF(OR($AS577="",$D$6=""),"",TRIM(INDEX($A:$AP,ROW(),$D$6)&amp;""))</f>
        <v/>
      </c>
      <c r="BA577" s="2">
        <f>IF($AS577="","",IF(AND($AS577&gt;=설정!$B$10,$AS577&lt;=설정!$B$11),"포함","기간 밖"))</f>
        <v/>
      </c>
      <c r="BB577" s="2">
        <f>IF($AS577="","",IF(OR($AT577&lt;0,AND($I$6&lt;&gt;"",ISNUMBER(FIND("수정",INDEX($A:$AP,ROW(),IF($I$6="",1,$I$6))&amp;"")))),"수정","일반"))</f>
        <v/>
      </c>
      <c r="BC577" s="2">
        <f>IF($AS577="","",MID(IF($BA577="기간 밖"," / 기간 밖(신고기간 아님)","")&amp;IF(AND($AW577&lt;&gt;"",COUNTIF($AW$8:$AW$1007,$AW577)&gt;1)," / 승인번호 중복(두 번 붙여넣기?)","")&amp;IF(ABS($AU577-ROUND($AT577*0.1,0))&gt;설정!$B$8,IF($AU577=0," / 세액 0원(영세율·면세 여부 확인)"," / 세액이 공급가액 10%와 다름"),"")&amp;IF($BB577="수정"," / 수정세금계산서(합계에서 자동 가감)",""),4,200))</f>
        <v/>
      </c>
      <c r="BD577" s="2">
        <f>IF($BA577&lt;&gt;"포함","",IF(COUNTIFS($AX$8:$AX577,$AX577,$BA$8:$BA577,"포함")=1,MAX($BD$7:BD576)+1,""))</f>
        <v/>
      </c>
      <c r="BE577" s="2">
        <f>IF($BC577="","",MAX($BE$7:BE576)+1)</f>
        <v/>
      </c>
    </row>
    <row r="578">
      <c r="AR578" s="2">
        <f>IF(OR($A$5="",$B$6="",ROW()&lt;$A$5),"",IF(INDEX($A:$AP,ROW(),$B$6)="","",INDEX($A:$AP,ROW(),$B$6)))</f>
        <v/>
      </c>
      <c r="AS578" s="22">
        <f>IF($AR578="","",IF(ISNUMBER($AR578),IF($AR578&gt;=10000000,IFERROR(DATE(INT($AR578/10000),MOD(INT($AR578/100),100),MOD($AR578,100)),""),INT($AR578)),IFERROR(DATE(--LEFT(LEFT(SUBSTITUTE(SUBSTITUTE(SUBSTITUTE(SUBSTITUTE(TRIM($AR578),"-",""),".",""),"/","")," ",""),8),4),--MID(LEFT(SUBSTITUTE(SUBSTITUTE(SUBSTITUTE(SUBSTITUTE(TRIM($AR578),"-",""),".",""),"/","")," ",""),8),5,2),--MID(LEFT(SUBSTITUTE(SUBSTITUTE(SUBSTITUTE(SUBSTITUTE(TRIM($AR578),"-",""),".",""),"/","")," ",""),8),7,2)),"")))</f>
        <v/>
      </c>
      <c r="AT578" s="23">
        <f>IF($AS578="","",IF($F$6="",0,IF(ISNUMBER(INDEX($A:$AP,ROW(),$F$6)),INDEX($A:$AP,ROW(),$F$6),IFERROR(--SUBSTITUTE(SUBSTITUTE(TRIM(INDEX($A:$AP,ROW(),$F$6)),",",""),"원",""),0))))</f>
        <v/>
      </c>
      <c r="AU578" s="23">
        <f>IF($AS578="","",IF($G$6="",0,IF(ISNUMBER(INDEX($A:$AP,ROW(),$G$6)),INDEX($A:$AP,ROW(),$G$6),IFERROR(--SUBSTITUTE(SUBSTITUTE(TRIM(INDEX($A:$AP,ROW(),$G$6)),",",""),"원",""),0))))</f>
        <v/>
      </c>
      <c r="AV578" s="23">
        <f>IF($AS578="","",IF($H$6="",$AT578+$AU578,IF($H$6="",0,IF(ISNUMBER(INDEX($A:$AP,ROW(),$H$6)),INDEX($A:$AP,ROW(),$H$6),IFERROR(--SUBSTITUTE(SUBSTITUTE(TRIM(INDEX($A:$AP,ROW(),$H$6)),",",""),"원",""),0)))))</f>
        <v/>
      </c>
      <c r="AW578" s="2">
        <f>IF(OR($AS578="",$C$6=""),"",TRIM(INDEX($A:$AP,ROW(),$C$6)&amp;""))</f>
        <v/>
      </c>
      <c r="AX578" s="2">
        <f>IF($AS578="","",IF($AZ578&lt;&gt;"",SUBSTITUTE(SUBSTITUTE($AZ578,"-","")," ",""),$AY578))</f>
        <v/>
      </c>
      <c r="AY578" s="2">
        <f>IF(OR($AS578="",$E$6=""),"",TRIM(INDEX($A:$AP,ROW(),$E$6)&amp;""))</f>
        <v/>
      </c>
      <c r="AZ578" s="2">
        <f>IF(OR($AS578="",$D$6=""),"",TRIM(INDEX($A:$AP,ROW(),$D$6)&amp;""))</f>
        <v/>
      </c>
      <c r="BA578" s="2">
        <f>IF($AS578="","",IF(AND($AS578&gt;=설정!$B$10,$AS578&lt;=설정!$B$11),"포함","기간 밖"))</f>
        <v/>
      </c>
      <c r="BB578" s="2">
        <f>IF($AS578="","",IF(OR($AT578&lt;0,AND($I$6&lt;&gt;"",ISNUMBER(FIND("수정",INDEX($A:$AP,ROW(),IF($I$6="",1,$I$6))&amp;"")))),"수정","일반"))</f>
        <v/>
      </c>
      <c r="BC578" s="2">
        <f>IF($AS578="","",MID(IF($BA578="기간 밖"," / 기간 밖(신고기간 아님)","")&amp;IF(AND($AW578&lt;&gt;"",COUNTIF($AW$8:$AW$1007,$AW578)&gt;1)," / 승인번호 중복(두 번 붙여넣기?)","")&amp;IF(ABS($AU578-ROUND($AT578*0.1,0))&gt;설정!$B$8,IF($AU578=0," / 세액 0원(영세율·면세 여부 확인)"," / 세액이 공급가액 10%와 다름"),"")&amp;IF($BB578="수정"," / 수정세금계산서(합계에서 자동 가감)",""),4,200))</f>
        <v/>
      </c>
      <c r="BD578" s="2">
        <f>IF($BA578&lt;&gt;"포함","",IF(COUNTIFS($AX$8:$AX578,$AX578,$BA$8:$BA578,"포함")=1,MAX($BD$7:BD577)+1,""))</f>
        <v/>
      </c>
      <c r="BE578" s="2">
        <f>IF($BC578="","",MAX($BE$7:BE577)+1)</f>
        <v/>
      </c>
    </row>
    <row r="579">
      <c r="AR579" s="2">
        <f>IF(OR($A$5="",$B$6="",ROW()&lt;$A$5),"",IF(INDEX($A:$AP,ROW(),$B$6)="","",INDEX($A:$AP,ROW(),$B$6)))</f>
        <v/>
      </c>
      <c r="AS579" s="22">
        <f>IF($AR579="","",IF(ISNUMBER($AR579),IF($AR579&gt;=10000000,IFERROR(DATE(INT($AR579/10000),MOD(INT($AR579/100),100),MOD($AR579,100)),""),INT($AR579)),IFERROR(DATE(--LEFT(LEFT(SUBSTITUTE(SUBSTITUTE(SUBSTITUTE(SUBSTITUTE(TRIM($AR579),"-",""),".",""),"/","")," ",""),8),4),--MID(LEFT(SUBSTITUTE(SUBSTITUTE(SUBSTITUTE(SUBSTITUTE(TRIM($AR579),"-",""),".",""),"/","")," ",""),8),5,2),--MID(LEFT(SUBSTITUTE(SUBSTITUTE(SUBSTITUTE(SUBSTITUTE(TRIM($AR579),"-",""),".",""),"/","")," ",""),8),7,2)),"")))</f>
        <v/>
      </c>
      <c r="AT579" s="23">
        <f>IF($AS579="","",IF($F$6="",0,IF(ISNUMBER(INDEX($A:$AP,ROW(),$F$6)),INDEX($A:$AP,ROW(),$F$6),IFERROR(--SUBSTITUTE(SUBSTITUTE(TRIM(INDEX($A:$AP,ROW(),$F$6)),",",""),"원",""),0))))</f>
        <v/>
      </c>
      <c r="AU579" s="23">
        <f>IF($AS579="","",IF($G$6="",0,IF(ISNUMBER(INDEX($A:$AP,ROW(),$G$6)),INDEX($A:$AP,ROW(),$G$6),IFERROR(--SUBSTITUTE(SUBSTITUTE(TRIM(INDEX($A:$AP,ROW(),$G$6)),",",""),"원",""),0))))</f>
        <v/>
      </c>
      <c r="AV579" s="23">
        <f>IF($AS579="","",IF($H$6="",$AT579+$AU579,IF($H$6="",0,IF(ISNUMBER(INDEX($A:$AP,ROW(),$H$6)),INDEX($A:$AP,ROW(),$H$6),IFERROR(--SUBSTITUTE(SUBSTITUTE(TRIM(INDEX($A:$AP,ROW(),$H$6)),",",""),"원",""),0)))))</f>
        <v/>
      </c>
      <c r="AW579" s="2">
        <f>IF(OR($AS579="",$C$6=""),"",TRIM(INDEX($A:$AP,ROW(),$C$6)&amp;""))</f>
        <v/>
      </c>
      <c r="AX579" s="2">
        <f>IF($AS579="","",IF($AZ579&lt;&gt;"",SUBSTITUTE(SUBSTITUTE($AZ579,"-","")," ",""),$AY579))</f>
        <v/>
      </c>
      <c r="AY579" s="2">
        <f>IF(OR($AS579="",$E$6=""),"",TRIM(INDEX($A:$AP,ROW(),$E$6)&amp;""))</f>
        <v/>
      </c>
      <c r="AZ579" s="2">
        <f>IF(OR($AS579="",$D$6=""),"",TRIM(INDEX($A:$AP,ROW(),$D$6)&amp;""))</f>
        <v/>
      </c>
      <c r="BA579" s="2">
        <f>IF($AS579="","",IF(AND($AS579&gt;=설정!$B$10,$AS579&lt;=설정!$B$11),"포함","기간 밖"))</f>
        <v/>
      </c>
      <c r="BB579" s="2">
        <f>IF($AS579="","",IF(OR($AT579&lt;0,AND($I$6&lt;&gt;"",ISNUMBER(FIND("수정",INDEX($A:$AP,ROW(),IF($I$6="",1,$I$6))&amp;"")))),"수정","일반"))</f>
        <v/>
      </c>
      <c r="BC579" s="2">
        <f>IF($AS579="","",MID(IF($BA579="기간 밖"," / 기간 밖(신고기간 아님)","")&amp;IF(AND($AW579&lt;&gt;"",COUNTIF($AW$8:$AW$1007,$AW579)&gt;1)," / 승인번호 중복(두 번 붙여넣기?)","")&amp;IF(ABS($AU579-ROUND($AT579*0.1,0))&gt;설정!$B$8,IF($AU579=0," / 세액 0원(영세율·면세 여부 확인)"," / 세액이 공급가액 10%와 다름"),"")&amp;IF($BB579="수정"," / 수정세금계산서(합계에서 자동 가감)",""),4,200))</f>
        <v/>
      </c>
      <c r="BD579" s="2">
        <f>IF($BA579&lt;&gt;"포함","",IF(COUNTIFS($AX$8:$AX579,$AX579,$BA$8:$BA579,"포함")=1,MAX($BD$7:BD578)+1,""))</f>
        <v/>
      </c>
      <c r="BE579" s="2">
        <f>IF($BC579="","",MAX($BE$7:BE578)+1)</f>
        <v/>
      </c>
    </row>
    <row r="580">
      <c r="AR580" s="2">
        <f>IF(OR($A$5="",$B$6="",ROW()&lt;$A$5),"",IF(INDEX($A:$AP,ROW(),$B$6)="","",INDEX($A:$AP,ROW(),$B$6)))</f>
        <v/>
      </c>
      <c r="AS580" s="22">
        <f>IF($AR580="","",IF(ISNUMBER($AR580),IF($AR580&gt;=10000000,IFERROR(DATE(INT($AR580/10000),MOD(INT($AR580/100),100),MOD($AR580,100)),""),INT($AR580)),IFERROR(DATE(--LEFT(LEFT(SUBSTITUTE(SUBSTITUTE(SUBSTITUTE(SUBSTITUTE(TRIM($AR580),"-",""),".",""),"/","")," ",""),8),4),--MID(LEFT(SUBSTITUTE(SUBSTITUTE(SUBSTITUTE(SUBSTITUTE(TRIM($AR580),"-",""),".",""),"/","")," ",""),8),5,2),--MID(LEFT(SUBSTITUTE(SUBSTITUTE(SUBSTITUTE(SUBSTITUTE(TRIM($AR580),"-",""),".",""),"/","")," ",""),8),7,2)),"")))</f>
        <v/>
      </c>
      <c r="AT580" s="23">
        <f>IF($AS580="","",IF($F$6="",0,IF(ISNUMBER(INDEX($A:$AP,ROW(),$F$6)),INDEX($A:$AP,ROW(),$F$6),IFERROR(--SUBSTITUTE(SUBSTITUTE(TRIM(INDEX($A:$AP,ROW(),$F$6)),",",""),"원",""),0))))</f>
        <v/>
      </c>
      <c r="AU580" s="23">
        <f>IF($AS580="","",IF($G$6="",0,IF(ISNUMBER(INDEX($A:$AP,ROW(),$G$6)),INDEX($A:$AP,ROW(),$G$6),IFERROR(--SUBSTITUTE(SUBSTITUTE(TRIM(INDEX($A:$AP,ROW(),$G$6)),",",""),"원",""),0))))</f>
        <v/>
      </c>
      <c r="AV580" s="23">
        <f>IF($AS580="","",IF($H$6="",$AT580+$AU580,IF($H$6="",0,IF(ISNUMBER(INDEX($A:$AP,ROW(),$H$6)),INDEX($A:$AP,ROW(),$H$6),IFERROR(--SUBSTITUTE(SUBSTITUTE(TRIM(INDEX($A:$AP,ROW(),$H$6)),",",""),"원",""),0)))))</f>
        <v/>
      </c>
      <c r="AW580" s="2">
        <f>IF(OR($AS580="",$C$6=""),"",TRIM(INDEX($A:$AP,ROW(),$C$6)&amp;""))</f>
        <v/>
      </c>
      <c r="AX580" s="2">
        <f>IF($AS580="","",IF($AZ580&lt;&gt;"",SUBSTITUTE(SUBSTITUTE($AZ580,"-","")," ",""),$AY580))</f>
        <v/>
      </c>
      <c r="AY580" s="2">
        <f>IF(OR($AS580="",$E$6=""),"",TRIM(INDEX($A:$AP,ROW(),$E$6)&amp;""))</f>
        <v/>
      </c>
      <c r="AZ580" s="2">
        <f>IF(OR($AS580="",$D$6=""),"",TRIM(INDEX($A:$AP,ROW(),$D$6)&amp;""))</f>
        <v/>
      </c>
      <c r="BA580" s="2">
        <f>IF($AS580="","",IF(AND($AS580&gt;=설정!$B$10,$AS580&lt;=설정!$B$11),"포함","기간 밖"))</f>
        <v/>
      </c>
      <c r="BB580" s="2">
        <f>IF($AS580="","",IF(OR($AT580&lt;0,AND($I$6&lt;&gt;"",ISNUMBER(FIND("수정",INDEX($A:$AP,ROW(),IF($I$6="",1,$I$6))&amp;"")))),"수정","일반"))</f>
        <v/>
      </c>
      <c r="BC580" s="2">
        <f>IF($AS580="","",MID(IF($BA580="기간 밖"," / 기간 밖(신고기간 아님)","")&amp;IF(AND($AW580&lt;&gt;"",COUNTIF($AW$8:$AW$1007,$AW580)&gt;1)," / 승인번호 중복(두 번 붙여넣기?)","")&amp;IF(ABS($AU580-ROUND($AT580*0.1,0))&gt;설정!$B$8,IF($AU580=0," / 세액 0원(영세율·면세 여부 확인)"," / 세액이 공급가액 10%와 다름"),"")&amp;IF($BB580="수정"," / 수정세금계산서(합계에서 자동 가감)",""),4,200))</f>
        <v/>
      </c>
      <c r="BD580" s="2">
        <f>IF($BA580&lt;&gt;"포함","",IF(COUNTIFS($AX$8:$AX580,$AX580,$BA$8:$BA580,"포함")=1,MAX($BD$7:BD579)+1,""))</f>
        <v/>
      </c>
      <c r="BE580" s="2">
        <f>IF($BC580="","",MAX($BE$7:BE579)+1)</f>
        <v/>
      </c>
    </row>
    <row r="581">
      <c r="AR581" s="2">
        <f>IF(OR($A$5="",$B$6="",ROW()&lt;$A$5),"",IF(INDEX($A:$AP,ROW(),$B$6)="","",INDEX($A:$AP,ROW(),$B$6)))</f>
        <v/>
      </c>
      <c r="AS581" s="22">
        <f>IF($AR581="","",IF(ISNUMBER($AR581),IF($AR581&gt;=10000000,IFERROR(DATE(INT($AR581/10000),MOD(INT($AR581/100),100),MOD($AR581,100)),""),INT($AR581)),IFERROR(DATE(--LEFT(LEFT(SUBSTITUTE(SUBSTITUTE(SUBSTITUTE(SUBSTITUTE(TRIM($AR581),"-",""),".",""),"/","")," ",""),8),4),--MID(LEFT(SUBSTITUTE(SUBSTITUTE(SUBSTITUTE(SUBSTITUTE(TRIM($AR581),"-",""),".",""),"/","")," ",""),8),5,2),--MID(LEFT(SUBSTITUTE(SUBSTITUTE(SUBSTITUTE(SUBSTITUTE(TRIM($AR581),"-",""),".",""),"/","")," ",""),8),7,2)),"")))</f>
        <v/>
      </c>
      <c r="AT581" s="23">
        <f>IF($AS581="","",IF($F$6="",0,IF(ISNUMBER(INDEX($A:$AP,ROW(),$F$6)),INDEX($A:$AP,ROW(),$F$6),IFERROR(--SUBSTITUTE(SUBSTITUTE(TRIM(INDEX($A:$AP,ROW(),$F$6)),",",""),"원",""),0))))</f>
        <v/>
      </c>
      <c r="AU581" s="23">
        <f>IF($AS581="","",IF($G$6="",0,IF(ISNUMBER(INDEX($A:$AP,ROW(),$G$6)),INDEX($A:$AP,ROW(),$G$6),IFERROR(--SUBSTITUTE(SUBSTITUTE(TRIM(INDEX($A:$AP,ROW(),$G$6)),",",""),"원",""),0))))</f>
        <v/>
      </c>
      <c r="AV581" s="23">
        <f>IF($AS581="","",IF($H$6="",$AT581+$AU581,IF($H$6="",0,IF(ISNUMBER(INDEX($A:$AP,ROW(),$H$6)),INDEX($A:$AP,ROW(),$H$6),IFERROR(--SUBSTITUTE(SUBSTITUTE(TRIM(INDEX($A:$AP,ROW(),$H$6)),",",""),"원",""),0)))))</f>
        <v/>
      </c>
      <c r="AW581" s="2">
        <f>IF(OR($AS581="",$C$6=""),"",TRIM(INDEX($A:$AP,ROW(),$C$6)&amp;""))</f>
        <v/>
      </c>
      <c r="AX581" s="2">
        <f>IF($AS581="","",IF($AZ581&lt;&gt;"",SUBSTITUTE(SUBSTITUTE($AZ581,"-","")," ",""),$AY581))</f>
        <v/>
      </c>
      <c r="AY581" s="2">
        <f>IF(OR($AS581="",$E$6=""),"",TRIM(INDEX($A:$AP,ROW(),$E$6)&amp;""))</f>
        <v/>
      </c>
      <c r="AZ581" s="2">
        <f>IF(OR($AS581="",$D$6=""),"",TRIM(INDEX($A:$AP,ROW(),$D$6)&amp;""))</f>
        <v/>
      </c>
      <c r="BA581" s="2">
        <f>IF($AS581="","",IF(AND($AS581&gt;=설정!$B$10,$AS581&lt;=설정!$B$11),"포함","기간 밖"))</f>
        <v/>
      </c>
      <c r="BB581" s="2">
        <f>IF($AS581="","",IF(OR($AT581&lt;0,AND($I$6&lt;&gt;"",ISNUMBER(FIND("수정",INDEX($A:$AP,ROW(),IF($I$6="",1,$I$6))&amp;"")))),"수정","일반"))</f>
        <v/>
      </c>
      <c r="BC581" s="2">
        <f>IF($AS581="","",MID(IF($BA581="기간 밖"," / 기간 밖(신고기간 아님)","")&amp;IF(AND($AW581&lt;&gt;"",COUNTIF($AW$8:$AW$1007,$AW581)&gt;1)," / 승인번호 중복(두 번 붙여넣기?)","")&amp;IF(ABS($AU581-ROUND($AT581*0.1,0))&gt;설정!$B$8,IF($AU581=0," / 세액 0원(영세율·면세 여부 확인)"," / 세액이 공급가액 10%와 다름"),"")&amp;IF($BB581="수정"," / 수정세금계산서(합계에서 자동 가감)",""),4,200))</f>
        <v/>
      </c>
      <c r="BD581" s="2">
        <f>IF($BA581&lt;&gt;"포함","",IF(COUNTIFS($AX$8:$AX581,$AX581,$BA$8:$BA581,"포함")=1,MAX($BD$7:BD580)+1,""))</f>
        <v/>
      </c>
      <c r="BE581" s="2">
        <f>IF($BC581="","",MAX($BE$7:BE580)+1)</f>
        <v/>
      </c>
    </row>
    <row r="582">
      <c r="AR582" s="2">
        <f>IF(OR($A$5="",$B$6="",ROW()&lt;$A$5),"",IF(INDEX($A:$AP,ROW(),$B$6)="","",INDEX($A:$AP,ROW(),$B$6)))</f>
        <v/>
      </c>
      <c r="AS582" s="22">
        <f>IF($AR582="","",IF(ISNUMBER($AR582),IF($AR582&gt;=10000000,IFERROR(DATE(INT($AR582/10000),MOD(INT($AR582/100),100),MOD($AR582,100)),""),INT($AR582)),IFERROR(DATE(--LEFT(LEFT(SUBSTITUTE(SUBSTITUTE(SUBSTITUTE(SUBSTITUTE(TRIM($AR582),"-",""),".",""),"/","")," ",""),8),4),--MID(LEFT(SUBSTITUTE(SUBSTITUTE(SUBSTITUTE(SUBSTITUTE(TRIM($AR582),"-",""),".",""),"/","")," ",""),8),5,2),--MID(LEFT(SUBSTITUTE(SUBSTITUTE(SUBSTITUTE(SUBSTITUTE(TRIM($AR582),"-",""),".",""),"/","")," ",""),8),7,2)),"")))</f>
        <v/>
      </c>
      <c r="AT582" s="23">
        <f>IF($AS582="","",IF($F$6="",0,IF(ISNUMBER(INDEX($A:$AP,ROW(),$F$6)),INDEX($A:$AP,ROW(),$F$6),IFERROR(--SUBSTITUTE(SUBSTITUTE(TRIM(INDEX($A:$AP,ROW(),$F$6)),",",""),"원",""),0))))</f>
        <v/>
      </c>
      <c r="AU582" s="23">
        <f>IF($AS582="","",IF($G$6="",0,IF(ISNUMBER(INDEX($A:$AP,ROW(),$G$6)),INDEX($A:$AP,ROW(),$G$6),IFERROR(--SUBSTITUTE(SUBSTITUTE(TRIM(INDEX($A:$AP,ROW(),$G$6)),",",""),"원",""),0))))</f>
        <v/>
      </c>
      <c r="AV582" s="23">
        <f>IF($AS582="","",IF($H$6="",$AT582+$AU582,IF($H$6="",0,IF(ISNUMBER(INDEX($A:$AP,ROW(),$H$6)),INDEX($A:$AP,ROW(),$H$6),IFERROR(--SUBSTITUTE(SUBSTITUTE(TRIM(INDEX($A:$AP,ROW(),$H$6)),",",""),"원",""),0)))))</f>
        <v/>
      </c>
      <c r="AW582" s="2">
        <f>IF(OR($AS582="",$C$6=""),"",TRIM(INDEX($A:$AP,ROW(),$C$6)&amp;""))</f>
        <v/>
      </c>
      <c r="AX582" s="2">
        <f>IF($AS582="","",IF($AZ582&lt;&gt;"",SUBSTITUTE(SUBSTITUTE($AZ582,"-","")," ",""),$AY582))</f>
        <v/>
      </c>
      <c r="AY582" s="2">
        <f>IF(OR($AS582="",$E$6=""),"",TRIM(INDEX($A:$AP,ROW(),$E$6)&amp;""))</f>
        <v/>
      </c>
      <c r="AZ582" s="2">
        <f>IF(OR($AS582="",$D$6=""),"",TRIM(INDEX($A:$AP,ROW(),$D$6)&amp;""))</f>
        <v/>
      </c>
      <c r="BA582" s="2">
        <f>IF($AS582="","",IF(AND($AS582&gt;=설정!$B$10,$AS582&lt;=설정!$B$11),"포함","기간 밖"))</f>
        <v/>
      </c>
      <c r="BB582" s="2">
        <f>IF($AS582="","",IF(OR($AT582&lt;0,AND($I$6&lt;&gt;"",ISNUMBER(FIND("수정",INDEX($A:$AP,ROW(),IF($I$6="",1,$I$6))&amp;"")))),"수정","일반"))</f>
        <v/>
      </c>
      <c r="BC582" s="2">
        <f>IF($AS582="","",MID(IF($BA582="기간 밖"," / 기간 밖(신고기간 아님)","")&amp;IF(AND($AW582&lt;&gt;"",COUNTIF($AW$8:$AW$1007,$AW582)&gt;1)," / 승인번호 중복(두 번 붙여넣기?)","")&amp;IF(ABS($AU582-ROUND($AT582*0.1,0))&gt;설정!$B$8,IF($AU582=0," / 세액 0원(영세율·면세 여부 확인)"," / 세액이 공급가액 10%와 다름"),"")&amp;IF($BB582="수정"," / 수정세금계산서(합계에서 자동 가감)",""),4,200))</f>
        <v/>
      </c>
      <c r="BD582" s="2">
        <f>IF($BA582&lt;&gt;"포함","",IF(COUNTIFS($AX$8:$AX582,$AX582,$BA$8:$BA582,"포함")=1,MAX($BD$7:BD581)+1,""))</f>
        <v/>
      </c>
      <c r="BE582" s="2">
        <f>IF($BC582="","",MAX($BE$7:BE581)+1)</f>
        <v/>
      </c>
    </row>
    <row r="583">
      <c r="AR583" s="2">
        <f>IF(OR($A$5="",$B$6="",ROW()&lt;$A$5),"",IF(INDEX($A:$AP,ROW(),$B$6)="","",INDEX($A:$AP,ROW(),$B$6)))</f>
        <v/>
      </c>
      <c r="AS583" s="22">
        <f>IF($AR583="","",IF(ISNUMBER($AR583),IF($AR583&gt;=10000000,IFERROR(DATE(INT($AR583/10000),MOD(INT($AR583/100),100),MOD($AR583,100)),""),INT($AR583)),IFERROR(DATE(--LEFT(LEFT(SUBSTITUTE(SUBSTITUTE(SUBSTITUTE(SUBSTITUTE(TRIM($AR583),"-",""),".",""),"/","")," ",""),8),4),--MID(LEFT(SUBSTITUTE(SUBSTITUTE(SUBSTITUTE(SUBSTITUTE(TRIM($AR583),"-",""),".",""),"/","")," ",""),8),5,2),--MID(LEFT(SUBSTITUTE(SUBSTITUTE(SUBSTITUTE(SUBSTITUTE(TRIM($AR583),"-",""),".",""),"/","")," ",""),8),7,2)),"")))</f>
        <v/>
      </c>
      <c r="AT583" s="23">
        <f>IF($AS583="","",IF($F$6="",0,IF(ISNUMBER(INDEX($A:$AP,ROW(),$F$6)),INDEX($A:$AP,ROW(),$F$6),IFERROR(--SUBSTITUTE(SUBSTITUTE(TRIM(INDEX($A:$AP,ROW(),$F$6)),",",""),"원",""),0))))</f>
        <v/>
      </c>
      <c r="AU583" s="23">
        <f>IF($AS583="","",IF($G$6="",0,IF(ISNUMBER(INDEX($A:$AP,ROW(),$G$6)),INDEX($A:$AP,ROW(),$G$6),IFERROR(--SUBSTITUTE(SUBSTITUTE(TRIM(INDEX($A:$AP,ROW(),$G$6)),",",""),"원",""),0))))</f>
        <v/>
      </c>
      <c r="AV583" s="23">
        <f>IF($AS583="","",IF($H$6="",$AT583+$AU583,IF($H$6="",0,IF(ISNUMBER(INDEX($A:$AP,ROW(),$H$6)),INDEX($A:$AP,ROW(),$H$6),IFERROR(--SUBSTITUTE(SUBSTITUTE(TRIM(INDEX($A:$AP,ROW(),$H$6)),",",""),"원",""),0)))))</f>
        <v/>
      </c>
      <c r="AW583" s="2">
        <f>IF(OR($AS583="",$C$6=""),"",TRIM(INDEX($A:$AP,ROW(),$C$6)&amp;""))</f>
        <v/>
      </c>
      <c r="AX583" s="2">
        <f>IF($AS583="","",IF($AZ583&lt;&gt;"",SUBSTITUTE(SUBSTITUTE($AZ583,"-","")," ",""),$AY583))</f>
        <v/>
      </c>
      <c r="AY583" s="2">
        <f>IF(OR($AS583="",$E$6=""),"",TRIM(INDEX($A:$AP,ROW(),$E$6)&amp;""))</f>
        <v/>
      </c>
      <c r="AZ583" s="2">
        <f>IF(OR($AS583="",$D$6=""),"",TRIM(INDEX($A:$AP,ROW(),$D$6)&amp;""))</f>
        <v/>
      </c>
      <c r="BA583" s="2">
        <f>IF($AS583="","",IF(AND($AS583&gt;=설정!$B$10,$AS583&lt;=설정!$B$11),"포함","기간 밖"))</f>
        <v/>
      </c>
      <c r="BB583" s="2">
        <f>IF($AS583="","",IF(OR($AT583&lt;0,AND($I$6&lt;&gt;"",ISNUMBER(FIND("수정",INDEX($A:$AP,ROW(),IF($I$6="",1,$I$6))&amp;"")))),"수정","일반"))</f>
        <v/>
      </c>
      <c r="BC583" s="2">
        <f>IF($AS583="","",MID(IF($BA583="기간 밖"," / 기간 밖(신고기간 아님)","")&amp;IF(AND($AW583&lt;&gt;"",COUNTIF($AW$8:$AW$1007,$AW583)&gt;1)," / 승인번호 중복(두 번 붙여넣기?)","")&amp;IF(ABS($AU583-ROUND($AT583*0.1,0))&gt;설정!$B$8,IF($AU583=0," / 세액 0원(영세율·면세 여부 확인)"," / 세액이 공급가액 10%와 다름"),"")&amp;IF($BB583="수정"," / 수정세금계산서(합계에서 자동 가감)",""),4,200))</f>
        <v/>
      </c>
      <c r="BD583" s="2">
        <f>IF($BA583&lt;&gt;"포함","",IF(COUNTIFS($AX$8:$AX583,$AX583,$BA$8:$BA583,"포함")=1,MAX($BD$7:BD582)+1,""))</f>
        <v/>
      </c>
      <c r="BE583" s="2">
        <f>IF($BC583="","",MAX($BE$7:BE582)+1)</f>
        <v/>
      </c>
    </row>
    <row r="584">
      <c r="AR584" s="2">
        <f>IF(OR($A$5="",$B$6="",ROW()&lt;$A$5),"",IF(INDEX($A:$AP,ROW(),$B$6)="","",INDEX($A:$AP,ROW(),$B$6)))</f>
        <v/>
      </c>
      <c r="AS584" s="22">
        <f>IF($AR584="","",IF(ISNUMBER($AR584),IF($AR584&gt;=10000000,IFERROR(DATE(INT($AR584/10000),MOD(INT($AR584/100),100),MOD($AR584,100)),""),INT($AR584)),IFERROR(DATE(--LEFT(LEFT(SUBSTITUTE(SUBSTITUTE(SUBSTITUTE(SUBSTITUTE(TRIM($AR584),"-",""),".",""),"/","")," ",""),8),4),--MID(LEFT(SUBSTITUTE(SUBSTITUTE(SUBSTITUTE(SUBSTITUTE(TRIM($AR584),"-",""),".",""),"/","")," ",""),8),5,2),--MID(LEFT(SUBSTITUTE(SUBSTITUTE(SUBSTITUTE(SUBSTITUTE(TRIM($AR584),"-",""),".",""),"/","")," ",""),8),7,2)),"")))</f>
        <v/>
      </c>
      <c r="AT584" s="23">
        <f>IF($AS584="","",IF($F$6="",0,IF(ISNUMBER(INDEX($A:$AP,ROW(),$F$6)),INDEX($A:$AP,ROW(),$F$6),IFERROR(--SUBSTITUTE(SUBSTITUTE(TRIM(INDEX($A:$AP,ROW(),$F$6)),",",""),"원",""),0))))</f>
        <v/>
      </c>
      <c r="AU584" s="23">
        <f>IF($AS584="","",IF($G$6="",0,IF(ISNUMBER(INDEX($A:$AP,ROW(),$G$6)),INDEX($A:$AP,ROW(),$G$6),IFERROR(--SUBSTITUTE(SUBSTITUTE(TRIM(INDEX($A:$AP,ROW(),$G$6)),",",""),"원",""),0))))</f>
        <v/>
      </c>
      <c r="AV584" s="23">
        <f>IF($AS584="","",IF($H$6="",$AT584+$AU584,IF($H$6="",0,IF(ISNUMBER(INDEX($A:$AP,ROW(),$H$6)),INDEX($A:$AP,ROW(),$H$6),IFERROR(--SUBSTITUTE(SUBSTITUTE(TRIM(INDEX($A:$AP,ROW(),$H$6)),",",""),"원",""),0)))))</f>
        <v/>
      </c>
      <c r="AW584" s="2">
        <f>IF(OR($AS584="",$C$6=""),"",TRIM(INDEX($A:$AP,ROW(),$C$6)&amp;""))</f>
        <v/>
      </c>
      <c r="AX584" s="2">
        <f>IF($AS584="","",IF($AZ584&lt;&gt;"",SUBSTITUTE(SUBSTITUTE($AZ584,"-","")," ",""),$AY584))</f>
        <v/>
      </c>
      <c r="AY584" s="2">
        <f>IF(OR($AS584="",$E$6=""),"",TRIM(INDEX($A:$AP,ROW(),$E$6)&amp;""))</f>
        <v/>
      </c>
      <c r="AZ584" s="2">
        <f>IF(OR($AS584="",$D$6=""),"",TRIM(INDEX($A:$AP,ROW(),$D$6)&amp;""))</f>
        <v/>
      </c>
      <c r="BA584" s="2">
        <f>IF($AS584="","",IF(AND($AS584&gt;=설정!$B$10,$AS584&lt;=설정!$B$11),"포함","기간 밖"))</f>
        <v/>
      </c>
      <c r="BB584" s="2">
        <f>IF($AS584="","",IF(OR($AT584&lt;0,AND($I$6&lt;&gt;"",ISNUMBER(FIND("수정",INDEX($A:$AP,ROW(),IF($I$6="",1,$I$6))&amp;"")))),"수정","일반"))</f>
        <v/>
      </c>
      <c r="BC584" s="2">
        <f>IF($AS584="","",MID(IF($BA584="기간 밖"," / 기간 밖(신고기간 아님)","")&amp;IF(AND($AW584&lt;&gt;"",COUNTIF($AW$8:$AW$1007,$AW584)&gt;1)," / 승인번호 중복(두 번 붙여넣기?)","")&amp;IF(ABS($AU584-ROUND($AT584*0.1,0))&gt;설정!$B$8,IF($AU584=0," / 세액 0원(영세율·면세 여부 확인)"," / 세액이 공급가액 10%와 다름"),"")&amp;IF($BB584="수정"," / 수정세금계산서(합계에서 자동 가감)",""),4,200))</f>
        <v/>
      </c>
      <c r="BD584" s="2">
        <f>IF($BA584&lt;&gt;"포함","",IF(COUNTIFS($AX$8:$AX584,$AX584,$BA$8:$BA584,"포함")=1,MAX($BD$7:BD583)+1,""))</f>
        <v/>
      </c>
      <c r="BE584" s="2">
        <f>IF($BC584="","",MAX($BE$7:BE583)+1)</f>
        <v/>
      </c>
    </row>
    <row r="585">
      <c r="AR585" s="2">
        <f>IF(OR($A$5="",$B$6="",ROW()&lt;$A$5),"",IF(INDEX($A:$AP,ROW(),$B$6)="","",INDEX($A:$AP,ROW(),$B$6)))</f>
        <v/>
      </c>
      <c r="AS585" s="22">
        <f>IF($AR585="","",IF(ISNUMBER($AR585),IF($AR585&gt;=10000000,IFERROR(DATE(INT($AR585/10000),MOD(INT($AR585/100),100),MOD($AR585,100)),""),INT($AR585)),IFERROR(DATE(--LEFT(LEFT(SUBSTITUTE(SUBSTITUTE(SUBSTITUTE(SUBSTITUTE(TRIM($AR585),"-",""),".",""),"/","")," ",""),8),4),--MID(LEFT(SUBSTITUTE(SUBSTITUTE(SUBSTITUTE(SUBSTITUTE(TRIM($AR585),"-",""),".",""),"/","")," ",""),8),5,2),--MID(LEFT(SUBSTITUTE(SUBSTITUTE(SUBSTITUTE(SUBSTITUTE(TRIM($AR585),"-",""),".",""),"/","")," ",""),8),7,2)),"")))</f>
        <v/>
      </c>
      <c r="AT585" s="23">
        <f>IF($AS585="","",IF($F$6="",0,IF(ISNUMBER(INDEX($A:$AP,ROW(),$F$6)),INDEX($A:$AP,ROW(),$F$6),IFERROR(--SUBSTITUTE(SUBSTITUTE(TRIM(INDEX($A:$AP,ROW(),$F$6)),",",""),"원",""),0))))</f>
        <v/>
      </c>
      <c r="AU585" s="23">
        <f>IF($AS585="","",IF($G$6="",0,IF(ISNUMBER(INDEX($A:$AP,ROW(),$G$6)),INDEX($A:$AP,ROW(),$G$6),IFERROR(--SUBSTITUTE(SUBSTITUTE(TRIM(INDEX($A:$AP,ROW(),$G$6)),",",""),"원",""),0))))</f>
        <v/>
      </c>
      <c r="AV585" s="23">
        <f>IF($AS585="","",IF($H$6="",$AT585+$AU585,IF($H$6="",0,IF(ISNUMBER(INDEX($A:$AP,ROW(),$H$6)),INDEX($A:$AP,ROW(),$H$6),IFERROR(--SUBSTITUTE(SUBSTITUTE(TRIM(INDEX($A:$AP,ROW(),$H$6)),",",""),"원",""),0)))))</f>
        <v/>
      </c>
      <c r="AW585" s="2">
        <f>IF(OR($AS585="",$C$6=""),"",TRIM(INDEX($A:$AP,ROW(),$C$6)&amp;""))</f>
        <v/>
      </c>
      <c r="AX585" s="2">
        <f>IF($AS585="","",IF($AZ585&lt;&gt;"",SUBSTITUTE(SUBSTITUTE($AZ585,"-","")," ",""),$AY585))</f>
        <v/>
      </c>
      <c r="AY585" s="2">
        <f>IF(OR($AS585="",$E$6=""),"",TRIM(INDEX($A:$AP,ROW(),$E$6)&amp;""))</f>
        <v/>
      </c>
      <c r="AZ585" s="2">
        <f>IF(OR($AS585="",$D$6=""),"",TRIM(INDEX($A:$AP,ROW(),$D$6)&amp;""))</f>
        <v/>
      </c>
      <c r="BA585" s="2">
        <f>IF($AS585="","",IF(AND($AS585&gt;=설정!$B$10,$AS585&lt;=설정!$B$11),"포함","기간 밖"))</f>
        <v/>
      </c>
      <c r="BB585" s="2">
        <f>IF($AS585="","",IF(OR($AT585&lt;0,AND($I$6&lt;&gt;"",ISNUMBER(FIND("수정",INDEX($A:$AP,ROW(),IF($I$6="",1,$I$6))&amp;"")))),"수정","일반"))</f>
        <v/>
      </c>
      <c r="BC585" s="2">
        <f>IF($AS585="","",MID(IF($BA585="기간 밖"," / 기간 밖(신고기간 아님)","")&amp;IF(AND($AW585&lt;&gt;"",COUNTIF($AW$8:$AW$1007,$AW585)&gt;1)," / 승인번호 중복(두 번 붙여넣기?)","")&amp;IF(ABS($AU585-ROUND($AT585*0.1,0))&gt;설정!$B$8,IF($AU585=0," / 세액 0원(영세율·면세 여부 확인)"," / 세액이 공급가액 10%와 다름"),"")&amp;IF($BB585="수정"," / 수정세금계산서(합계에서 자동 가감)",""),4,200))</f>
        <v/>
      </c>
      <c r="BD585" s="2">
        <f>IF($BA585&lt;&gt;"포함","",IF(COUNTIFS($AX$8:$AX585,$AX585,$BA$8:$BA585,"포함")=1,MAX($BD$7:BD584)+1,""))</f>
        <v/>
      </c>
      <c r="BE585" s="2">
        <f>IF($BC585="","",MAX($BE$7:BE584)+1)</f>
        <v/>
      </c>
    </row>
    <row r="586">
      <c r="AR586" s="2">
        <f>IF(OR($A$5="",$B$6="",ROW()&lt;$A$5),"",IF(INDEX($A:$AP,ROW(),$B$6)="","",INDEX($A:$AP,ROW(),$B$6)))</f>
        <v/>
      </c>
      <c r="AS586" s="22">
        <f>IF($AR586="","",IF(ISNUMBER($AR586),IF($AR586&gt;=10000000,IFERROR(DATE(INT($AR586/10000),MOD(INT($AR586/100),100),MOD($AR586,100)),""),INT($AR586)),IFERROR(DATE(--LEFT(LEFT(SUBSTITUTE(SUBSTITUTE(SUBSTITUTE(SUBSTITUTE(TRIM($AR586),"-",""),".",""),"/","")," ",""),8),4),--MID(LEFT(SUBSTITUTE(SUBSTITUTE(SUBSTITUTE(SUBSTITUTE(TRIM($AR586),"-",""),".",""),"/","")," ",""),8),5,2),--MID(LEFT(SUBSTITUTE(SUBSTITUTE(SUBSTITUTE(SUBSTITUTE(TRIM($AR586),"-",""),".",""),"/","")," ",""),8),7,2)),"")))</f>
        <v/>
      </c>
      <c r="AT586" s="23">
        <f>IF($AS586="","",IF($F$6="",0,IF(ISNUMBER(INDEX($A:$AP,ROW(),$F$6)),INDEX($A:$AP,ROW(),$F$6),IFERROR(--SUBSTITUTE(SUBSTITUTE(TRIM(INDEX($A:$AP,ROW(),$F$6)),",",""),"원",""),0))))</f>
        <v/>
      </c>
      <c r="AU586" s="23">
        <f>IF($AS586="","",IF($G$6="",0,IF(ISNUMBER(INDEX($A:$AP,ROW(),$G$6)),INDEX($A:$AP,ROW(),$G$6),IFERROR(--SUBSTITUTE(SUBSTITUTE(TRIM(INDEX($A:$AP,ROW(),$G$6)),",",""),"원",""),0))))</f>
        <v/>
      </c>
      <c r="AV586" s="23">
        <f>IF($AS586="","",IF($H$6="",$AT586+$AU586,IF($H$6="",0,IF(ISNUMBER(INDEX($A:$AP,ROW(),$H$6)),INDEX($A:$AP,ROW(),$H$6),IFERROR(--SUBSTITUTE(SUBSTITUTE(TRIM(INDEX($A:$AP,ROW(),$H$6)),",",""),"원",""),0)))))</f>
        <v/>
      </c>
      <c r="AW586" s="2">
        <f>IF(OR($AS586="",$C$6=""),"",TRIM(INDEX($A:$AP,ROW(),$C$6)&amp;""))</f>
        <v/>
      </c>
      <c r="AX586" s="2">
        <f>IF($AS586="","",IF($AZ586&lt;&gt;"",SUBSTITUTE(SUBSTITUTE($AZ586,"-","")," ",""),$AY586))</f>
        <v/>
      </c>
      <c r="AY586" s="2">
        <f>IF(OR($AS586="",$E$6=""),"",TRIM(INDEX($A:$AP,ROW(),$E$6)&amp;""))</f>
        <v/>
      </c>
      <c r="AZ586" s="2">
        <f>IF(OR($AS586="",$D$6=""),"",TRIM(INDEX($A:$AP,ROW(),$D$6)&amp;""))</f>
        <v/>
      </c>
      <c r="BA586" s="2">
        <f>IF($AS586="","",IF(AND($AS586&gt;=설정!$B$10,$AS586&lt;=설정!$B$11),"포함","기간 밖"))</f>
        <v/>
      </c>
      <c r="BB586" s="2">
        <f>IF($AS586="","",IF(OR($AT586&lt;0,AND($I$6&lt;&gt;"",ISNUMBER(FIND("수정",INDEX($A:$AP,ROW(),IF($I$6="",1,$I$6))&amp;"")))),"수정","일반"))</f>
        <v/>
      </c>
      <c r="BC586" s="2">
        <f>IF($AS586="","",MID(IF($BA586="기간 밖"," / 기간 밖(신고기간 아님)","")&amp;IF(AND($AW586&lt;&gt;"",COUNTIF($AW$8:$AW$1007,$AW586)&gt;1)," / 승인번호 중복(두 번 붙여넣기?)","")&amp;IF(ABS($AU586-ROUND($AT586*0.1,0))&gt;설정!$B$8,IF($AU586=0," / 세액 0원(영세율·면세 여부 확인)"," / 세액이 공급가액 10%와 다름"),"")&amp;IF($BB586="수정"," / 수정세금계산서(합계에서 자동 가감)",""),4,200))</f>
        <v/>
      </c>
      <c r="BD586" s="2">
        <f>IF($BA586&lt;&gt;"포함","",IF(COUNTIFS($AX$8:$AX586,$AX586,$BA$8:$BA586,"포함")=1,MAX($BD$7:BD585)+1,""))</f>
        <v/>
      </c>
      <c r="BE586" s="2">
        <f>IF($BC586="","",MAX($BE$7:BE585)+1)</f>
        <v/>
      </c>
    </row>
    <row r="587">
      <c r="AR587" s="2">
        <f>IF(OR($A$5="",$B$6="",ROW()&lt;$A$5),"",IF(INDEX($A:$AP,ROW(),$B$6)="","",INDEX($A:$AP,ROW(),$B$6)))</f>
        <v/>
      </c>
      <c r="AS587" s="22">
        <f>IF($AR587="","",IF(ISNUMBER($AR587),IF($AR587&gt;=10000000,IFERROR(DATE(INT($AR587/10000),MOD(INT($AR587/100),100),MOD($AR587,100)),""),INT($AR587)),IFERROR(DATE(--LEFT(LEFT(SUBSTITUTE(SUBSTITUTE(SUBSTITUTE(SUBSTITUTE(TRIM($AR587),"-",""),".",""),"/","")," ",""),8),4),--MID(LEFT(SUBSTITUTE(SUBSTITUTE(SUBSTITUTE(SUBSTITUTE(TRIM($AR587),"-",""),".",""),"/","")," ",""),8),5,2),--MID(LEFT(SUBSTITUTE(SUBSTITUTE(SUBSTITUTE(SUBSTITUTE(TRIM($AR587),"-",""),".",""),"/","")," ",""),8),7,2)),"")))</f>
        <v/>
      </c>
      <c r="AT587" s="23">
        <f>IF($AS587="","",IF($F$6="",0,IF(ISNUMBER(INDEX($A:$AP,ROW(),$F$6)),INDEX($A:$AP,ROW(),$F$6),IFERROR(--SUBSTITUTE(SUBSTITUTE(TRIM(INDEX($A:$AP,ROW(),$F$6)),",",""),"원",""),0))))</f>
        <v/>
      </c>
      <c r="AU587" s="23">
        <f>IF($AS587="","",IF($G$6="",0,IF(ISNUMBER(INDEX($A:$AP,ROW(),$G$6)),INDEX($A:$AP,ROW(),$G$6),IFERROR(--SUBSTITUTE(SUBSTITUTE(TRIM(INDEX($A:$AP,ROW(),$G$6)),",",""),"원",""),0))))</f>
        <v/>
      </c>
      <c r="AV587" s="23">
        <f>IF($AS587="","",IF($H$6="",$AT587+$AU587,IF($H$6="",0,IF(ISNUMBER(INDEX($A:$AP,ROW(),$H$6)),INDEX($A:$AP,ROW(),$H$6),IFERROR(--SUBSTITUTE(SUBSTITUTE(TRIM(INDEX($A:$AP,ROW(),$H$6)),",",""),"원",""),0)))))</f>
        <v/>
      </c>
      <c r="AW587" s="2">
        <f>IF(OR($AS587="",$C$6=""),"",TRIM(INDEX($A:$AP,ROW(),$C$6)&amp;""))</f>
        <v/>
      </c>
      <c r="AX587" s="2">
        <f>IF($AS587="","",IF($AZ587&lt;&gt;"",SUBSTITUTE(SUBSTITUTE($AZ587,"-","")," ",""),$AY587))</f>
        <v/>
      </c>
      <c r="AY587" s="2">
        <f>IF(OR($AS587="",$E$6=""),"",TRIM(INDEX($A:$AP,ROW(),$E$6)&amp;""))</f>
        <v/>
      </c>
      <c r="AZ587" s="2">
        <f>IF(OR($AS587="",$D$6=""),"",TRIM(INDEX($A:$AP,ROW(),$D$6)&amp;""))</f>
        <v/>
      </c>
      <c r="BA587" s="2">
        <f>IF($AS587="","",IF(AND($AS587&gt;=설정!$B$10,$AS587&lt;=설정!$B$11),"포함","기간 밖"))</f>
        <v/>
      </c>
      <c r="BB587" s="2">
        <f>IF($AS587="","",IF(OR($AT587&lt;0,AND($I$6&lt;&gt;"",ISNUMBER(FIND("수정",INDEX($A:$AP,ROW(),IF($I$6="",1,$I$6))&amp;"")))),"수정","일반"))</f>
        <v/>
      </c>
      <c r="BC587" s="2">
        <f>IF($AS587="","",MID(IF($BA587="기간 밖"," / 기간 밖(신고기간 아님)","")&amp;IF(AND($AW587&lt;&gt;"",COUNTIF($AW$8:$AW$1007,$AW587)&gt;1)," / 승인번호 중복(두 번 붙여넣기?)","")&amp;IF(ABS($AU587-ROUND($AT587*0.1,0))&gt;설정!$B$8,IF($AU587=0," / 세액 0원(영세율·면세 여부 확인)"," / 세액이 공급가액 10%와 다름"),"")&amp;IF($BB587="수정"," / 수정세금계산서(합계에서 자동 가감)",""),4,200))</f>
        <v/>
      </c>
      <c r="BD587" s="2">
        <f>IF($BA587&lt;&gt;"포함","",IF(COUNTIFS($AX$8:$AX587,$AX587,$BA$8:$BA587,"포함")=1,MAX($BD$7:BD586)+1,""))</f>
        <v/>
      </c>
      <c r="BE587" s="2">
        <f>IF($BC587="","",MAX($BE$7:BE586)+1)</f>
        <v/>
      </c>
    </row>
    <row r="588">
      <c r="AR588" s="2">
        <f>IF(OR($A$5="",$B$6="",ROW()&lt;$A$5),"",IF(INDEX($A:$AP,ROW(),$B$6)="","",INDEX($A:$AP,ROW(),$B$6)))</f>
        <v/>
      </c>
      <c r="AS588" s="22">
        <f>IF($AR588="","",IF(ISNUMBER($AR588),IF($AR588&gt;=10000000,IFERROR(DATE(INT($AR588/10000),MOD(INT($AR588/100),100),MOD($AR588,100)),""),INT($AR588)),IFERROR(DATE(--LEFT(LEFT(SUBSTITUTE(SUBSTITUTE(SUBSTITUTE(SUBSTITUTE(TRIM($AR588),"-",""),".",""),"/","")," ",""),8),4),--MID(LEFT(SUBSTITUTE(SUBSTITUTE(SUBSTITUTE(SUBSTITUTE(TRIM($AR588),"-",""),".",""),"/","")," ",""),8),5,2),--MID(LEFT(SUBSTITUTE(SUBSTITUTE(SUBSTITUTE(SUBSTITUTE(TRIM($AR588),"-",""),".",""),"/","")," ",""),8),7,2)),"")))</f>
        <v/>
      </c>
      <c r="AT588" s="23">
        <f>IF($AS588="","",IF($F$6="",0,IF(ISNUMBER(INDEX($A:$AP,ROW(),$F$6)),INDEX($A:$AP,ROW(),$F$6),IFERROR(--SUBSTITUTE(SUBSTITUTE(TRIM(INDEX($A:$AP,ROW(),$F$6)),",",""),"원",""),0))))</f>
        <v/>
      </c>
      <c r="AU588" s="23">
        <f>IF($AS588="","",IF($G$6="",0,IF(ISNUMBER(INDEX($A:$AP,ROW(),$G$6)),INDEX($A:$AP,ROW(),$G$6),IFERROR(--SUBSTITUTE(SUBSTITUTE(TRIM(INDEX($A:$AP,ROW(),$G$6)),",",""),"원",""),0))))</f>
        <v/>
      </c>
      <c r="AV588" s="23">
        <f>IF($AS588="","",IF($H$6="",$AT588+$AU588,IF($H$6="",0,IF(ISNUMBER(INDEX($A:$AP,ROW(),$H$6)),INDEX($A:$AP,ROW(),$H$6),IFERROR(--SUBSTITUTE(SUBSTITUTE(TRIM(INDEX($A:$AP,ROW(),$H$6)),",",""),"원",""),0)))))</f>
        <v/>
      </c>
      <c r="AW588" s="2">
        <f>IF(OR($AS588="",$C$6=""),"",TRIM(INDEX($A:$AP,ROW(),$C$6)&amp;""))</f>
        <v/>
      </c>
      <c r="AX588" s="2">
        <f>IF($AS588="","",IF($AZ588&lt;&gt;"",SUBSTITUTE(SUBSTITUTE($AZ588,"-","")," ",""),$AY588))</f>
        <v/>
      </c>
      <c r="AY588" s="2">
        <f>IF(OR($AS588="",$E$6=""),"",TRIM(INDEX($A:$AP,ROW(),$E$6)&amp;""))</f>
        <v/>
      </c>
      <c r="AZ588" s="2">
        <f>IF(OR($AS588="",$D$6=""),"",TRIM(INDEX($A:$AP,ROW(),$D$6)&amp;""))</f>
        <v/>
      </c>
      <c r="BA588" s="2">
        <f>IF($AS588="","",IF(AND($AS588&gt;=설정!$B$10,$AS588&lt;=설정!$B$11),"포함","기간 밖"))</f>
        <v/>
      </c>
      <c r="BB588" s="2">
        <f>IF($AS588="","",IF(OR($AT588&lt;0,AND($I$6&lt;&gt;"",ISNUMBER(FIND("수정",INDEX($A:$AP,ROW(),IF($I$6="",1,$I$6))&amp;"")))),"수정","일반"))</f>
        <v/>
      </c>
      <c r="BC588" s="2">
        <f>IF($AS588="","",MID(IF($BA588="기간 밖"," / 기간 밖(신고기간 아님)","")&amp;IF(AND($AW588&lt;&gt;"",COUNTIF($AW$8:$AW$1007,$AW588)&gt;1)," / 승인번호 중복(두 번 붙여넣기?)","")&amp;IF(ABS($AU588-ROUND($AT588*0.1,0))&gt;설정!$B$8,IF($AU588=0," / 세액 0원(영세율·면세 여부 확인)"," / 세액이 공급가액 10%와 다름"),"")&amp;IF($BB588="수정"," / 수정세금계산서(합계에서 자동 가감)",""),4,200))</f>
        <v/>
      </c>
      <c r="BD588" s="2">
        <f>IF($BA588&lt;&gt;"포함","",IF(COUNTIFS($AX$8:$AX588,$AX588,$BA$8:$BA588,"포함")=1,MAX($BD$7:BD587)+1,""))</f>
        <v/>
      </c>
      <c r="BE588" s="2">
        <f>IF($BC588="","",MAX($BE$7:BE587)+1)</f>
        <v/>
      </c>
    </row>
    <row r="589">
      <c r="AR589" s="2">
        <f>IF(OR($A$5="",$B$6="",ROW()&lt;$A$5),"",IF(INDEX($A:$AP,ROW(),$B$6)="","",INDEX($A:$AP,ROW(),$B$6)))</f>
        <v/>
      </c>
      <c r="AS589" s="22">
        <f>IF($AR589="","",IF(ISNUMBER($AR589),IF($AR589&gt;=10000000,IFERROR(DATE(INT($AR589/10000),MOD(INT($AR589/100),100),MOD($AR589,100)),""),INT($AR589)),IFERROR(DATE(--LEFT(LEFT(SUBSTITUTE(SUBSTITUTE(SUBSTITUTE(SUBSTITUTE(TRIM($AR589),"-",""),".",""),"/","")," ",""),8),4),--MID(LEFT(SUBSTITUTE(SUBSTITUTE(SUBSTITUTE(SUBSTITUTE(TRIM($AR589),"-",""),".",""),"/","")," ",""),8),5,2),--MID(LEFT(SUBSTITUTE(SUBSTITUTE(SUBSTITUTE(SUBSTITUTE(TRIM($AR589),"-",""),".",""),"/","")," ",""),8),7,2)),"")))</f>
        <v/>
      </c>
      <c r="AT589" s="23">
        <f>IF($AS589="","",IF($F$6="",0,IF(ISNUMBER(INDEX($A:$AP,ROW(),$F$6)),INDEX($A:$AP,ROW(),$F$6),IFERROR(--SUBSTITUTE(SUBSTITUTE(TRIM(INDEX($A:$AP,ROW(),$F$6)),",",""),"원",""),0))))</f>
        <v/>
      </c>
      <c r="AU589" s="23">
        <f>IF($AS589="","",IF($G$6="",0,IF(ISNUMBER(INDEX($A:$AP,ROW(),$G$6)),INDEX($A:$AP,ROW(),$G$6),IFERROR(--SUBSTITUTE(SUBSTITUTE(TRIM(INDEX($A:$AP,ROW(),$G$6)),",",""),"원",""),0))))</f>
        <v/>
      </c>
      <c r="AV589" s="23">
        <f>IF($AS589="","",IF($H$6="",$AT589+$AU589,IF($H$6="",0,IF(ISNUMBER(INDEX($A:$AP,ROW(),$H$6)),INDEX($A:$AP,ROW(),$H$6),IFERROR(--SUBSTITUTE(SUBSTITUTE(TRIM(INDEX($A:$AP,ROW(),$H$6)),",",""),"원",""),0)))))</f>
        <v/>
      </c>
      <c r="AW589" s="2">
        <f>IF(OR($AS589="",$C$6=""),"",TRIM(INDEX($A:$AP,ROW(),$C$6)&amp;""))</f>
        <v/>
      </c>
      <c r="AX589" s="2">
        <f>IF($AS589="","",IF($AZ589&lt;&gt;"",SUBSTITUTE(SUBSTITUTE($AZ589,"-","")," ",""),$AY589))</f>
        <v/>
      </c>
      <c r="AY589" s="2">
        <f>IF(OR($AS589="",$E$6=""),"",TRIM(INDEX($A:$AP,ROW(),$E$6)&amp;""))</f>
        <v/>
      </c>
      <c r="AZ589" s="2">
        <f>IF(OR($AS589="",$D$6=""),"",TRIM(INDEX($A:$AP,ROW(),$D$6)&amp;""))</f>
        <v/>
      </c>
      <c r="BA589" s="2">
        <f>IF($AS589="","",IF(AND($AS589&gt;=설정!$B$10,$AS589&lt;=설정!$B$11),"포함","기간 밖"))</f>
        <v/>
      </c>
      <c r="BB589" s="2">
        <f>IF($AS589="","",IF(OR($AT589&lt;0,AND($I$6&lt;&gt;"",ISNUMBER(FIND("수정",INDEX($A:$AP,ROW(),IF($I$6="",1,$I$6))&amp;"")))),"수정","일반"))</f>
        <v/>
      </c>
      <c r="BC589" s="2">
        <f>IF($AS589="","",MID(IF($BA589="기간 밖"," / 기간 밖(신고기간 아님)","")&amp;IF(AND($AW589&lt;&gt;"",COUNTIF($AW$8:$AW$1007,$AW589)&gt;1)," / 승인번호 중복(두 번 붙여넣기?)","")&amp;IF(ABS($AU589-ROUND($AT589*0.1,0))&gt;설정!$B$8,IF($AU589=0," / 세액 0원(영세율·면세 여부 확인)"," / 세액이 공급가액 10%와 다름"),"")&amp;IF($BB589="수정"," / 수정세금계산서(합계에서 자동 가감)",""),4,200))</f>
        <v/>
      </c>
      <c r="BD589" s="2">
        <f>IF($BA589&lt;&gt;"포함","",IF(COUNTIFS($AX$8:$AX589,$AX589,$BA$8:$BA589,"포함")=1,MAX($BD$7:BD588)+1,""))</f>
        <v/>
      </c>
      <c r="BE589" s="2">
        <f>IF($BC589="","",MAX($BE$7:BE588)+1)</f>
        <v/>
      </c>
    </row>
    <row r="590">
      <c r="AR590" s="2">
        <f>IF(OR($A$5="",$B$6="",ROW()&lt;$A$5),"",IF(INDEX($A:$AP,ROW(),$B$6)="","",INDEX($A:$AP,ROW(),$B$6)))</f>
        <v/>
      </c>
      <c r="AS590" s="22">
        <f>IF($AR590="","",IF(ISNUMBER($AR590),IF($AR590&gt;=10000000,IFERROR(DATE(INT($AR590/10000),MOD(INT($AR590/100),100),MOD($AR590,100)),""),INT($AR590)),IFERROR(DATE(--LEFT(LEFT(SUBSTITUTE(SUBSTITUTE(SUBSTITUTE(SUBSTITUTE(TRIM($AR590),"-",""),".",""),"/","")," ",""),8),4),--MID(LEFT(SUBSTITUTE(SUBSTITUTE(SUBSTITUTE(SUBSTITUTE(TRIM($AR590),"-",""),".",""),"/","")," ",""),8),5,2),--MID(LEFT(SUBSTITUTE(SUBSTITUTE(SUBSTITUTE(SUBSTITUTE(TRIM($AR590),"-",""),".",""),"/","")," ",""),8),7,2)),"")))</f>
        <v/>
      </c>
      <c r="AT590" s="23">
        <f>IF($AS590="","",IF($F$6="",0,IF(ISNUMBER(INDEX($A:$AP,ROW(),$F$6)),INDEX($A:$AP,ROW(),$F$6),IFERROR(--SUBSTITUTE(SUBSTITUTE(TRIM(INDEX($A:$AP,ROW(),$F$6)),",",""),"원",""),0))))</f>
        <v/>
      </c>
      <c r="AU590" s="23">
        <f>IF($AS590="","",IF($G$6="",0,IF(ISNUMBER(INDEX($A:$AP,ROW(),$G$6)),INDEX($A:$AP,ROW(),$G$6),IFERROR(--SUBSTITUTE(SUBSTITUTE(TRIM(INDEX($A:$AP,ROW(),$G$6)),",",""),"원",""),0))))</f>
        <v/>
      </c>
      <c r="AV590" s="23">
        <f>IF($AS590="","",IF($H$6="",$AT590+$AU590,IF($H$6="",0,IF(ISNUMBER(INDEX($A:$AP,ROW(),$H$6)),INDEX($A:$AP,ROW(),$H$6),IFERROR(--SUBSTITUTE(SUBSTITUTE(TRIM(INDEX($A:$AP,ROW(),$H$6)),",",""),"원",""),0)))))</f>
        <v/>
      </c>
      <c r="AW590" s="2">
        <f>IF(OR($AS590="",$C$6=""),"",TRIM(INDEX($A:$AP,ROW(),$C$6)&amp;""))</f>
        <v/>
      </c>
      <c r="AX590" s="2">
        <f>IF($AS590="","",IF($AZ590&lt;&gt;"",SUBSTITUTE(SUBSTITUTE($AZ590,"-","")," ",""),$AY590))</f>
        <v/>
      </c>
      <c r="AY590" s="2">
        <f>IF(OR($AS590="",$E$6=""),"",TRIM(INDEX($A:$AP,ROW(),$E$6)&amp;""))</f>
        <v/>
      </c>
      <c r="AZ590" s="2">
        <f>IF(OR($AS590="",$D$6=""),"",TRIM(INDEX($A:$AP,ROW(),$D$6)&amp;""))</f>
        <v/>
      </c>
      <c r="BA590" s="2">
        <f>IF($AS590="","",IF(AND($AS590&gt;=설정!$B$10,$AS590&lt;=설정!$B$11),"포함","기간 밖"))</f>
        <v/>
      </c>
      <c r="BB590" s="2">
        <f>IF($AS590="","",IF(OR($AT590&lt;0,AND($I$6&lt;&gt;"",ISNUMBER(FIND("수정",INDEX($A:$AP,ROW(),IF($I$6="",1,$I$6))&amp;"")))),"수정","일반"))</f>
        <v/>
      </c>
      <c r="BC590" s="2">
        <f>IF($AS590="","",MID(IF($BA590="기간 밖"," / 기간 밖(신고기간 아님)","")&amp;IF(AND($AW590&lt;&gt;"",COUNTIF($AW$8:$AW$1007,$AW590)&gt;1)," / 승인번호 중복(두 번 붙여넣기?)","")&amp;IF(ABS($AU590-ROUND($AT590*0.1,0))&gt;설정!$B$8,IF($AU590=0," / 세액 0원(영세율·면세 여부 확인)"," / 세액이 공급가액 10%와 다름"),"")&amp;IF($BB590="수정"," / 수정세금계산서(합계에서 자동 가감)",""),4,200))</f>
        <v/>
      </c>
      <c r="BD590" s="2">
        <f>IF($BA590&lt;&gt;"포함","",IF(COUNTIFS($AX$8:$AX590,$AX590,$BA$8:$BA590,"포함")=1,MAX($BD$7:BD589)+1,""))</f>
        <v/>
      </c>
      <c r="BE590" s="2">
        <f>IF($BC590="","",MAX($BE$7:BE589)+1)</f>
        <v/>
      </c>
    </row>
    <row r="591">
      <c r="AR591" s="2">
        <f>IF(OR($A$5="",$B$6="",ROW()&lt;$A$5),"",IF(INDEX($A:$AP,ROW(),$B$6)="","",INDEX($A:$AP,ROW(),$B$6)))</f>
        <v/>
      </c>
      <c r="AS591" s="22">
        <f>IF($AR591="","",IF(ISNUMBER($AR591),IF($AR591&gt;=10000000,IFERROR(DATE(INT($AR591/10000),MOD(INT($AR591/100),100),MOD($AR591,100)),""),INT($AR591)),IFERROR(DATE(--LEFT(LEFT(SUBSTITUTE(SUBSTITUTE(SUBSTITUTE(SUBSTITUTE(TRIM($AR591),"-",""),".",""),"/","")," ",""),8),4),--MID(LEFT(SUBSTITUTE(SUBSTITUTE(SUBSTITUTE(SUBSTITUTE(TRIM($AR591),"-",""),".",""),"/","")," ",""),8),5,2),--MID(LEFT(SUBSTITUTE(SUBSTITUTE(SUBSTITUTE(SUBSTITUTE(TRIM($AR591),"-",""),".",""),"/","")," ",""),8),7,2)),"")))</f>
        <v/>
      </c>
      <c r="AT591" s="23">
        <f>IF($AS591="","",IF($F$6="",0,IF(ISNUMBER(INDEX($A:$AP,ROW(),$F$6)),INDEX($A:$AP,ROW(),$F$6),IFERROR(--SUBSTITUTE(SUBSTITUTE(TRIM(INDEX($A:$AP,ROW(),$F$6)),",",""),"원",""),0))))</f>
        <v/>
      </c>
      <c r="AU591" s="23">
        <f>IF($AS591="","",IF($G$6="",0,IF(ISNUMBER(INDEX($A:$AP,ROW(),$G$6)),INDEX($A:$AP,ROW(),$G$6),IFERROR(--SUBSTITUTE(SUBSTITUTE(TRIM(INDEX($A:$AP,ROW(),$G$6)),",",""),"원",""),0))))</f>
        <v/>
      </c>
      <c r="AV591" s="23">
        <f>IF($AS591="","",IF($H$6="",$AT591+$AU591,IF($H$6="",0,IF(ISNUMBER(INDEX($A:$AP,ROW(),$H$6)),INDEX($A:$AP,ROW(),$H$6),IFERROR(--SUBSTITUTE(SUBSTITUTE(TRIM(INDEX($A:$AP,ROW(),$H$6)),",",""),"원",""),0)))))</f>
        <v/>
      </c>
      <c r="AW591" s="2">
        <f>IF(OR($AS591="",$C$6=""),"",TRIM(INDEX($A:$AP,ROW(),$C$6)&amp;""))</f>
        <v/>
      </c>
      <c r="AX591" s="2">
        <f>IF($AS591="","",IF($AZ591&lt;&gt;"",SUBSTITUTE(SUBSTITUTE($AZ591,"-","")," ",""),$AY591))</f>
        <v/>
      </c>
      <c r="AY591" s="2">
        <f>IF(OR($AS591="",$E$6=""),"",TRIM(INDEX($A:$AP,ROW(),$E$6)&amp;""))</f>
        <v/>
      </c>
      <c r="AZ591" s="2">
        <f>IF(OR($AS591="",$D$6=""),"",TRIM(INDEX($A:$AP,ROW(),$D$6)&amp;""))</f>
        <v/>
      </c>
      <c r="BA591" s="2">
        <f>IF($AS591="","",IF(AND($AS591&gt;=설정!$B$10,$AS591&lt;=설정!$B$11),"포함","기간 밖"))</f>
        <v/>
      </c>
      <c r="BB591" s="2">
        <f>IF($AS591="","",IF(OR($AT591&lt;0,AND($I$6&lt;&gt;"",ISNUMBER(FIND("수정",INDEX($A:$AP,ROW(),IF($I$6="",1,$I$6))&amp;"")))),"수정","일반"))</f>
        <v/>
      </c>
      <c r="BC591" s="2">
        <f>IF($AS591="","",MID(IF($BA591="기간 밖"," / 기간 밖(신고기간 아님)","")&amp;IF(AND($AW591&lt;&gt;"",COUNTIF($AW$8:$AW$1007,$AW591)&gt;1)," / 승인번호 중복(두 번 붙여넣기?)","")&amp;IF(ABS($AU591-ROUND($AT591*0.1,0))&gt;설정!$B$8,IF($AU591=0," / 세액 0원(영세율·면세 여부 확인)"," / 세액이 공급가액 10%와 다름"),"")&amp;IF($BB591="수정"," / 수정세금계산서(합계에서 자동 가감)",""),4,200))</f>
        <v/>
      </c>
      <c r="BD591" s="2">
        <f>IF($BA591&lt;&gt;"포함","",IF(COUNTIFS($AX$8:$AX591,$AX591,$BA$8:$BA591,"포함")=1,MAX($BD$7:BD590)+1,""))</f>
        <v/>
      </c>
      <c r="BE591" s="2">
        <f>IF($BC591="","",MAX($BE$7:BE590)+1)</f>
        <v/>
      </c>
    </row>
    <row r="592">
      <c r="AR592" s="2">
        <f>IF(OR($A$5="",$B$6="",ROW()&lt;$A$5),"",IF(INDEX($A:$AP,ROW(),$B$6)="","",INDEX($A:$AP,ROW(),$B$6)))</f>
        <v/>
      </c>
      <c r="AS592" s="22">
        <f>IF($AR592="","",IF(ISNUMBER($AR592),IF($AR592&gt;=10000000,IFERROR(DATE(INT($AR592/10000),MOD(INT($AR592/100),100),MOD($AR592,100)),""),INT($AR592)),IFERROR(DATE(--LEFT(LEFT(SUBSTITUTE(SUBSTITUTE(SUBSTITUTE(SUBSTITUTE(TRIM($AR592),"-",""),".",""),"/","")," ",""),8),4),--MID(LEFT(SUBSTITUTE(SUBSTITUTE(SUBSTITUTE(SUBSTITUTE(TRIM($AR592),"-",""),".",""),"/","")," ",""),8),5,2),--MID(LEFT(SUBSTITUTE(SUBSTITUTE(SUBSTITUTE(SUBSTITUTE(TRIM($AR592),"-",""),".",""),"/","")," ",""),8),7,2)),"")))</f>
        <v/>
      </c>
      <c r="AT592" s="23">
        <f>IF($AS592="","",IF($F$6="",0,IF(ISNUMBER(INDEX($A:$AP,ROW(),$F$6)),INDEX($A:$AP,ROW(),$F$6),IFERROR(--SUBSTITUTE(SUBSTITUTE(TRIM(INDEX($A:$AP,ROW(),$F$6)),",",""),"원",""),0))))</f>
        <v/>
      </c>
      <c r="AU592" s="23">
        <f>IF($AS592="","",IF($G$6="",0,IF(ISNUMBER(INDEX($A:$AP,ROW(),$G$6)),INDEX($A:$AP,ROW(),$G$6),IFERROR(--SUBSTITUTE(SUBSTITUTE(TRIM(INDEX($A:$AP,ROW(),$G$6)),",",""),"원",""),0))))</f>
        <v/>
      </c>
      <c r="AV592" s="23">
        <f>IF($AS592="","",IF($H$6="",$AT592+$AU592,IF($H$6="",0,IF(ISNUMBER(INDEX($A:$AP,ROW(),$H$6)),INDEX($A:$AP,ROW(),$H$6),IFERROR(--SUBSTITUTE(SUBSTITUTE(TRIM(INDEX($A:$AP,ROW(),$H$6)),",",""),"원",""),0)))))</f>
        <v/>
      </c>
      <c r="AW592" s="2">
        <f>IF(OR($AS592="",$C$6=""),"",TRIM(INDEX($A:$AP,ROW(),$C$6)&amp;""))</f>
        <v/>
      </c>
      <c r="AX592" s="2">
        <f>IF($AS592="","",IF($AZ592&lt;&gt;"",SUBSTITUTE(SUBSTITUTE($AZ592,"-","")," ",""),$AY592))</f>
        <v/>
      </c>
      <c r="AY592" s="2">
        <f>IF(OR($AS592="",$E$6=""),"",TRIM(INDEX($A:$AP,ROW(),$E$6)&amp;""))</f>
        <v/>
      </c>
      <c r="AZ592" s="2">
        <f>IF(OR($AS592="",$D$6=""),"",TRIM(INDEX($A:$AP,ROW(),$D$6)&amp;""))</f>
        <v/>
      </c>
      <c r="BA592" s="2">
        <f>IF($AS592="","",IF(AND($AS592&gt;=설정!$B$10,$AS592&lt;=설정!$B$11),"포함","기간 밖"))</f>
        <v/>
      </c>
      <c r="BB592" s="2">
        <f>IF($AS592="","",IF(OR($AT592&lt;0,AND($I$6&lt;&gt;"",ISNUMBER(FIND("수정",INDEX($A:$AP,ROW(),IF($I$6="",1,$I$6))&amp;"")))),"수정","일반"))</f>
        <v/>
      </c>
      <c r="BC592" s="2">
        <f>IF($AS592="","",MID(IF($BA592="기간 밖"," / 기간 밖(신고기간 아님)","")&amp;IF(AND($AW592&lt;&gt;"",COUNTIF($AW$8:$AW$1007,$AW592)&gt;1)," / 승인번호 중복(두 번 붙여넣기?)","")&amp;IF(ABS($AU592-ROUND($AT592*0.1,0))&gt;설정!$B$8,IF($AU592=0," / 세액 0원(영세율·면세 여부 확인)"," / 세액이 공급가액 10%와 다름"),"")&amp;IF($BB592="수정"," / 수정세금계산서(합계에서 자동 가감)",""),4,200))</f>
        <v/>
      </c>
      <c r="BD592" s="2">
        <f>IF($BA592&lt;&gt;"포함","",IF(COUNTIFS($AX$8:$AX592,$AX592,$BA$8:$BA592,"포함")=1,MAX($BD$7:BD591)+1,""))</f>
        <v/>
      </c>
      <c r="BE592" s="2">
        <f>IF($BC592="","",MAX($BE$7:BE591)+1)</f>
        <v/>
      </c>
    </row>
    <row r="593">
      <c r="AR593" s="2">
        <f>IF(OR($A$5="",$B$6="",ROW()&lt;$A$5),"",IF(INDEX($A:$AP,ROW(),$B$6)="","",INDEX($A:$AP,ROW(),$B$6)))</f>
        <v/>
      </c>
      <c r="AS593" s="22">
        <f>IF($AR593="","",IF(ISNUMBER($AR593),IF($AR593&gt;=10000000,IFERROR(DATE(INT($AR593/10000),MOD(INT($AR593/100),100),MOD($AR593,100)),""),INT($AR593)),IFERROR(DATE(--LEFT(LEFT(SUBSTITUTE(SUBSTITUTE(SUBSTITUTE(SUBSTITUTE(TRIM($AR593),"-",""),".",""),"/","")," ",""),8),4),--MID(LEFT(SUBSTITUTE(SUBSTITUTE(SUBSTITUTE(SUBSTITUTE(TRIM($AR593),"-",""),".",""),"/","")," ",""),8),5,2),--MID(LEFT(SUBSTITUTE(SUBSTITUTE(SUBSTITUTE(SUBSTITUTE(TRIM($AR593),"-",""),".",""),"/","")," ",""),8),7,2)),"")))</f>
        <v/>
      </c>
      <c r="AT593" s="23">
        <f>IF($AS593="","",IF($F$6="",0,IF(ISNUMBER(INDEX($A:$AP,ROW(),$F$6)),INDEX($A:$AP,ROW(),$F$6),IFERROR(--SUBSTITUTE(SUBSTITUTE(TRIM(INDEX($A:$AP,ROW(),$F$6)),",",""),"원",""),0))))</f>
        <v/>
      </c>
      <c r="AU593" s="23">
        <f>IF($AS593="","",IF($G$6="",0,IF(ISNUMBER(INDEX($A:$AP,ROW(),$G$6)),INDEX($A:$AP,ROW(),$G$6),IFERROR(--SUBSTITUTE(SUBSTITUTE(TRIM(INDEX($A:$AP,ROW(),$G$6)),",",""),"원",""),0))))</f>
        <v/>
      </c>
      <c r="AV593" s="23">
        <f>IF($AS593="","",IF($H$6="",$AT593+$AU593,IF($H$6="",0,IF(ISNUMBER(INDEX($A:$AP,ROW(),$H$6)),INDEX($A:$AP,ROW(),$H$6),IFERROR(--SUBSTITUTE(SUBSTITUTE(TRIM(INDEX($A:$AP,ROW(),$H$6)),",",""),"원",""),0)))))</f>
        <v/>
      </c>
      <c r="AW593" s="2">
        <f>IF(OR($AS593="",$C$6=""),"",TRIM(INDEX($A:$AP,ROW(),$C$6)&amp;""))</f>
        <v/>
      </c>
      <c r="AX593" s="2">
        <f>IF($AS593="","",IF($AZ593&lt;&gt;"",SUBSTITUTE(SUBSTITUTE($AZ593,"-","")," ",""),$AY593))</f>
        <v/>
      </c>
      <c r="AY593" s="2">
        <f>IF(OR($AS593="",$E$6=""),"",TRIM(INDEX($A:$AP,ROW(),$E$6)&amp;""))</f>
        <v/>
      </c>
      <c r="AZ593" s="2">
        <f>IF(OR($AS593="",$D$6=""),"",TRIM(INDEX($A:$AP,ROW(),$D$6)&amp;""))</f>
        <v/>
      </c>
      <c r="BA593" s="2">
        <f>IF($AS593="","",IF(AND($AS593&gt;=설정!$B$10,$AS593&lt;=설정!$B$11),"포함","기간 밖"))</f>
        <v/>
      </c>
      <c r="BB593" s="2">
        <f>IF($AS593="","",IF(OR($AT593&lt;0,AND($I$6&lt;&gt;"",ISNUMBER(FIND("수정",INDEX($A:$AP,ROW(),IF($I$6="",1,$I$6))&amp;"")))),"수정","일반"))</f>
        <v/>
      </c>
      <c r="BC593" s="2">
        <f>IF($AS593="","",MID(IF($BA593="기간 밖"," / 기간 밖(신고기간 아님)","")&amp;IF(AND($AW593&lt;&gt;"",COUNTIF($AW$8:$AW$1007,$AW593)&gt;1)," / 승인번호 중복(두 번 붙여넣기?)","")&amp;IF(ABS($AU593-ROUND($AT593*0.1,0))&gt;설정!$B$8,IF($AU593=0," / 세액 0원(영세율·면세 여부 확인)"," / 세액이 공급가액 10%와 다름"),"")&amp;IF($BB593="수정"," / 수정세금계산서(합계에서 자동 가감)",""),4,200))</f>
        <v/>
      </c>
      <c r="BD593" s="2">
        <f>IF($BA593&lt;&gt;"포함","",IF(COUNTIFS($AX$8:$AX593,$AX593,$BA$8:$BA593,"포함")=1,MAX($BD$7:BD592)+1,""))</f>
        <v/>
      </c>
      <c r="BE593" s="2">
        <f>IF($BC593="","",MAX($BE$7:BE592)+1)</f>
        <v/>
      </c>
    </row>
    <row r="594">
      <c r="AR594" s="2">
        <f>IF(OR($A$5="",$B$6="",ROW()&lt;$A$5),"",IF(INDEX($A:$AP,ROW(),$B$6)="","",INDEX($A:$AP,ROW(),$B$6)))</f>
        <v/>
      </c>
      <c r="AS594" s="22">
        <f>IF($AR594="","",IF(ISNUMBER($AR594),IF($AR594&gt;=10000000,IFERROR(DATE(INT($AR594/10000),MOD(INT($AR594/100),100),MOD($AR594,100)),""),INT($AR594)),IFERROR(DATE(--LEFT(LEFT(SUBSTITUTE(SUBSTITUTE(SUBSTITUTE(SUBSTITUTE(TRIM($AR594),"-",""),".",""),"/","")," ",""),8),4),--MID(LEFT(SUBSTITUTE(SUBSTITUTE(SUBSTITUTE(SUBSTITUTE(TRIM($AR594),"-",""),".",""),"/","")," ",""),8),5,2),--MID(LEFT(SUBSTITUTE(SUBSTITUTE(SUBSTITUTE(SUBSTITUTE(TRIM($AR594),"-",""),".",""),"/","")," ",""),8),7,2)),"")))</f>
        <v/>
      </c>
      <c r="AT594" s="23">
        <f>IF($AS594="","",IF($F$6="",0,IF(ISNUMBER(INDEX($A:$AP,ROW(),$F$6)),INDEX($A:$AP,ROW(),$F$6),IFERROR(--SUBSTITUTE(SUBSTITUTE(TRIM(INDEX($A:$AP,ROW(),$F$6)),",",""),"원",""),0))))</f>
        <v/>
      </c>
      <c r="AU594" s="23">
        <f>IF($AS594="","",IF($G$6="",0,IF(ISNUMBER(INDEX($A:$AP,ROW(),$G$6)),INDEX($A:$AP,ROW(),$G$6),IFERROR(--SUBSTITUTE(SUBSTITUTE(TRIM(INDEX($A:$AP,ROW(),$G$6)),",",""),"원",""),0))))</f>
        <v/>
      </c>
      <c r="AV594" s="23">
        <f>IF($AS594="","",IF($H$6="",$AT594+$AU594,IF($H$6="",0,IF(ISNUMBER(INDEX($A:$AP,ROW(),$H$6)),INDEX($A:$AP,ROW(),$H$6),IFERROR(--SUBSTITUTE(SUBSTITUTE(TRIM(INDEX($A:$AP,ROW(),$H$6)),",",""),"원",""),0)))))</f>
        <v/>
      </c>
      <c r="AW594" s="2">
        <f>IF(OR($AS594="",$C$6=""),"",TRIM(INDEX($A:$AP,ROW(),$C$6)&amp;""))</f>
        <v/>
      </c>
      <c r="AX594" s="2">
        <f>IF($AS594="","",IF($AZ594&lt;&gt;"",SUBSTITUTE(SUBSTITUTE($AZ594,"-","")," ",""),$AY594))</f>
        <v/>
      </c>
      <c r="AY594" s="2">
        <f>IF(OR($AS594="",$E$6=""),"",TRIM(INDEX($A:$AP,ROW(),$E$6)&amp;""))</f>
        <v/>
      </c>
      <c r="AZ594" s="2">
        <f>IF(OR($AS594="",$D$6=""),"",TRIM(INDEX($A:$AP,ROW(),$D$6)&amp;""))</f>
        <v/>
      </c>
      <c r="BA594" s="2">
        <f>IF($AS594="","",IF(AND($AS594&gt;=설정!$B$10,$AS594&lt;=설정!$B$11),"포함","기간 밖"))</f>
        <v/>
      </c>
      <c r="BB594" s="2">
        <f>IF($AS594="","",IF(OR($AT594&lt;0,AND($I$6&lt;&gt;"",ISNUMBER(FIND("수정",INDEX($A:$AP,ROW(),IF($I$6="",1,$I$6))&amp;"")))),"수정","일반"))</f>
        <v/>
      </c>
      <c r="BC594" s="2">
        <f>IF($AS594="","",MID(IF($BA594="기간 밖"," / 기간 밖(신고기간 아님)","")&amp;IF(AND($AW594&lt;&gt;"",COUNTIF($AW$8:$AW$1007,$AW594)&gt;1)," / 승인번호 중복(두 번 붙여넣기?)","")&amp;IF(ABS($AU594-ROUND($AT594*0.1,0))&gt;설정!$B$8,IF($AU594=0," / 세액 0원(영세율·면세 여부 확인)"," / 세액이 공급가액 10%와 다름"),"")&amp;IF($BB594="수정"," / 수정세금계산서(합계에서 자동 가감)",""),4,200))</f>
        <v/>
      </c>
      <c r="BD594" s="2">
        <f>IF($BA594&lt;&gt;"포함","",IF(COUNTIFS($AX$8:$AX594,$AX594,$BA$8:$BA594,"포함")=1,MAX($BD$7:BD593)+1,""))</f>
        <v/>
      </c>
      <c r="BE594" s="2">
        <f>IF($BC594="","",MAX($BE$7:BE593)+1)</f>
        <v/>
      </c>
    </row>
    <row r="595">
      <c r="AR595" s="2">
        <f>IF(OR($A$5="",$B$6="",ROW()&lt;$A$5),"",IF(INDEX($A:$AP,ROW(),$B$6)="","",INDEX($A:$AP,ROW(),$B$6)))</f>
        <v/>
      </c>
      <c r="AS595" s="22">
        <f>IF($AR595="","",IF(ISNUMBER($AR595),IF($AR595&gt;=10000000,IFERROR(DATE(INT($AR595/10000),MOD(INT($AR595/100),100),MOD($AR595,100)),""),INT($AR595)),IFERROR(DATE(--LEFT(LEFT(SUBSTITUTE(SUBSTITUTE(SUBSTITUTE(SUBSTITUTE(TRIM($AR595),"-",""),".",""),"/","")," ",""),8),4),--MID(LEFT(SUBSTITUTE(SUBSTITUTE(SUBSTITUTE(SUBSTITUTE(TRIM($AR595),"-",""),".",""),"/","")," ",""),8),5,2),--MID(LEFT(SUBSTITUTE(SUBSTITUTE(SUBSTITUTE(SUBSTITUTE(TRIM($AR595),"-",""),".",""),"/","")," ",""),8),7,2)),"")))</f>
        <v/>
      </c>
      <c r="AT595" s="23">
        <f>IF($AS595="","",IF($F$6="",0,IF(ISNUMBER(INDEX($A:$AP,ROW(),$F$6)),INDEX($A:$AP,ROW(),$F$6),IFERROR(--SUBSTITUTE(SUBSTITUTE(TRIM(INDEX($A:$AP,ROW(),$F$6)),",",""),"원",""),0))))</f>
        <v/>
      </c>
      <c r="AU595" s="23">
        <f>IF($AS595="","",IF($G$6="",0,IF(ISNUMBER(INDEX($A:$AP,ROW(),$G$6)),INDEX($A:$AP,ROW(),$G$6),IFERROR(--SUBSTITUTE(SUBSTITUTE(TRIM(INDEX($A:$AP,ROW(),$G$6)),",",""),"원",""),0))))</f>
        <v/>
      </c>
      <c r="AV595" s="23">
        <f>IF($AS595="","",IF($H$6="",$AT595+$AU595,IF($H$6="",0,IF(ISNUMBER(INDEX($A:$AP,ROW(),$H$6)),INDEX($A:$AP,ROW(),$H$6),IFERROR(--SUBSTITUTE(SUBSTITUTE(TRIM(INDEX($A:$AP,ROW(),$H$6)),",",""),"원",""),0)))))</f>
        <v/>
      </c>
      <c r="AW595" s="2">
        <f>IF(OR($AS595="",$C$6=""),"",TRIM(INDEX($A:$AP,ROW(),$C$6)&amp;""))</f>
        <v/>
      </c>
      <c r="AX595" s="2">
        <f>IF($AS595="","",IF($AZ595&lt;&gt;"",SUBSTITUTE(SUBSTITUTE($AZ595,"-","")," ",""),$AY595))</f>
        <v/>
      </c>
      <c r="AY595" s="2">
        <f>IF(OR($AS595="",$E$6=""),"",TRIM(INDEX($A:$AP,ROW(),$E$6)&amp;""))</f>
        <v/>
      </c>
      <c r="AZ595" s="2">
        <f>IF(OR($AS595="",$D$6=""),"",TRIM(INDEX($A:$AP,ROW(),$D$6)&amp;""))</f>
        <v/>
      </c>
      <c r="BA595" s="2">
        <f>IF($AS595="","",IF(AND($AS595&gt;=설정!$B$10,$AS595&lt;=설정!$B$11),"포함","기간 밖"))</f>
        <v/>
      </c>
      <c r="BB595" s="2">
        <f>IF($AS595="","",IF(OR($AT595&lt;0,AND($I$6&lt;&gt;"",ISNUMBER(FIND("수정",INDEX($A:$AP,ROW(),IF($I$6="",1,$I$6))&amp;"")))),"수정","일반"))</f>
        <v/>
      </c>
      <c r="BC595" s="2">
        <f>IF($AS595="","",MID(IF($BA595="기간 밖"," / 기간 밖(신고기간 아님)","")&amp;IF(AND($AW595&lt;&gt;"",COUNTIF($AW$8:$AW$1007,$AW595)&gt;1)," / 승인번호 중복(두 번 붙여넣기?)","")&amp;IF(ABS($AU595-ROUND($AT595*0.1,0))&gt;설정!$B$8,IF($AU595=0," / 세액 0원(영세율·면세 여부 확인)"," / 세액이 공급가액 10%와 다름"),"")&amp;IF($BB595="수정"," / 수정세금계산서(합계에서 자동 가감)",""),4,200))</f>
        <v/>
      </c>
      <c r="BD595" s="2">
        <f>IF($BA595&lt;&gt;"포함","",IF(COUNTIFS($AX$8:$AX595,$AX595,$BA$8:$BA595,"포함")=1,MAX($BD$7:BD594)+1,""))</f>
        <v/>
      </c>
      <c r="BE595" s="2">
        <f>IF($BC595="","",MAX($BE$7:BE594)+1)</f>
        <v/>
      </c>
    </row>
    <row r="596">
      <c r="AR596" s="2">
        <f>IF(OR($A$5="",$B$6="",ROW()&lt;$A$5),"",IF(INDEX($A:$AP,ROW(),$B$6)="","",INDEX($A:$AP,ROW(),$B$6)))</f>
        <v/>
      </c>
      <c r="AS596" s="22">
        <f>IF($AR596="","",IF(ISNUMBER($AR596),IF($AR596&gt;=10000000,IFERROR(DATE(INT($AR596/10000),MOD(INT($AR596/100),100),MOD($AR596,100)),""),INT($AR596)),IFERROR(DATE(--LEFT(LEFT(SUBSTITUTE(SUBSTITUTE(SUBSTITUTE(SUBSTITUTE(TRIM($AR596),"-",""),".",""),"/","")," ",""),8),4),--MID(LEFT(SUBSTITUTE(SUBSTITUTE(SUBSTITUTE(SUBSTITUTE(TRIM($AR596),"-",""),".",""),"/","")," ",""),8),5,2),--MID(LEFT(SUBSTITUTE(SUBSTITUTE(SUBSTITUTE(SUBSTITUTE(TRIM($AR596),"-",""),".",""),"/","")," ",""),8),7,2)),"")))</f>
        <v/>
      </c>
      <c r="AT596" s="23">
        <f>IF($AS596="","",IF($F$6="",0,IF(ISNUMBER(INDEX($A:$AP,ROW(),$F$6)),INDEX($A:$AP,ROW(),$F$6),IFERROR(--SUBSTITUTE(SUBSTITUTE(TRIM(INDEX($A:$AP,ROW(),$F$6)),",",""),"원",""),0))))</f>
        <v/>
      </c>
      <c r="AU596" s="23">
        <f>IF($AS596="","",IF($G$6="",0,IF(ISNUMBER(INDEX($A:$AP,ROW(),$G$6)),INDEX($A:$AP,ROW(),$G$6),IFERROR(--SUBSTITUTE(SUBSTITUTE(TRIM(INDEX($A:$AP,ROW(),$G$6)),",",""),"원",""),0))))</f>
        <v/>
      </c>
      <c r="AV596" s="23">
        <f>IF($AS596="","",IF($H$6="",$AT596+$AU596,IF($H$6="",0,IF(ISNUMBER(INDEX($A:$AP,ROW(),$H$6)),INDEX($A:$AP,ROW(),$H$6),IFERROR(--SUBSTITUTE(SUBSTITUTE(TRIM(INDEX($A:$AP,ROW(),$H$6)),",",""),"원",""),0)))))</f>
        <v/>
      </c>
      <c r="AW596" s="2">
        <f>IF(OR($AS596="",$C$6=""),"",TRIM(INDEX($A:$AP,ROW(),$C$6)&amp;""))</f>
        <v/>
      </c>
      <c r="AX596" s="2">
        <f>IF($AS596="","",IF($AZ596&lt;&gt;"",SUBSTITUTE(SUBSTITUTE($AZ596,"-","")," ",""),$AY596))</f>
        <v/>
      </c>
      <c r="AY596" s="2">
        <f>IF(OR($AS596="",$E$6=""),"",TRIM(INDEX($A:$AP,ROW(),$E$6)&amp;""))</f>
        <v/>
      </c>
      <c r="AZ596" s="2">
        <f>IF(OR($AS596="",$D$6=""),"",TRIM(INDEX($A:$AP,ROW(),$D$6)&amp;""))</f>
        <v/>
      </c>
      <c r="BA596" s="2">
        <f>IF($AS596="","",IF(AND($AS596&gt;=설정!$B$10,$AS596&lt;=설정!$B$11),"포함","기간 밖"))</f>
        <v/>
      </c>
      <c r="BB596" s="2">
        <f>IF($AS596="","",IF(OR($AT596&lt;0,AND($I$6&lt;&gt;"",ISNUMBER(FIND("수정",INDEX($A:$AP,ROW(),IF($I$6="",1,$I$6))&amp;"")))),"수정","일반"))</f>
        <v/>
      </c>
      <c r="BC596" s="2">
        <f>IF($AS596="","",MID(IF($BA596="기간 밖"," / 기간 밖(신고기간 아님)","")&amp;IF(AND($AW596&lt;&gt;"",COUNTIF($AW$8:$AW$1007,$AW596)&gt;1)," / 승인번호 중복(두 번 붙여넣기?)","")&amp;IF(ABS($AU596-ROUND($AT596*0.1,0))&gt;설정!$B$8,IF($AU596=0," / 세액 0원(영세율·면세 여부 확인)"," / 세액이 공급가액 10%와 다름"),"")&amp;IF($BB596="수정"," / 수정세금계산서(합계에서 자동 가감)",""),4,200))</f>
        <v/>
      </c>
      <c r="BD596" s="2">
        <f>IF($BA596&lt;&gt;"포함","",IF(COUNTIFS($AX$8:$AX596,$AX596,$BA$8:$BA596,"포함")=1,MAX($BD$7:BD595)+1,""))</f>
        <v/>
      </c>
      <c r="BE596" s="2">
        <f>IF($BC596="","",MAX($BE$7:BE595)+1)</f>
        <v/>
      </c>
    </row>
    <row r="597">
      <c r="AR597" s="2">
        <f>IF(OR($A$5="",$B$6="",ROW()&lt;$A$5),"",IF(INDEX($A:$AP,ROW(),$B$6)="","",INDEX($A:$AP,ROW(),$B$6)))</f>
        <v/>
      </c>
      <c r="AS597" s="22">
        <f>IF($AR597="","",IF(ISNUMBER($AR597),IF($AR597&gt;=10000000,IFERROR(DATE(INT($AR597/10000),MOD(INT($AR597/100),100),MOD($AR597,100)),""),INT($AR597)),IFERROR(DATE(--LEFT(LEFT(SUBSTITUTE(SUBSTITUTE(SUBSTITUTE(SUBSTITUTE(TRIM($AR597),"-",""),".",""),"/","")," ",""),8),4),--MID(LEFT(SUBSTITUTE(SUBSTITUTE(SUBSTITUTE(SUBSTITUTE(TRIM($AR597),"-",""),".",""),"/","")," ",""),8),5,2),--MID(LEFT(SUBSTITUTE(SUBSTITUTE(SUBSTITUTE(SUBSTITUTE(TRIM($AR597),"-",""),".",""),"/","")," ",""),8),7,2)),"")))</f>
        <v/>
      </c>
      <c r="AT597" s="23">
        <f>IF($AS597="","",IF($F$6="",0,IF(ISNUMBER(INDEX($A:$AP,ROW(),$F$6)),INDEX($A:$AP,ROW(),$F$6),IFERROR(--SUBSTITUTE(SUBSTITUTE(TRIM(INDEX($A:$AP,ROW(),$F$6)),",",""),"원",""),0))))</f>
        <v/>
      </c>
      <c r="AU597" s="23">
        <f>IF($AS597="","",IF($G$6="",0,IF(ISNUMBER(INDEX($A:$AP,ROW(),$G$6)),INDEX($A:$AP,ROW(),$G$6),IFERROR(--SUBSTITUTE(SUBSTITUTE(TRIM(INDEX($A:$AP,ROW(),$G$6)),",",""),"원",""),0))))</f>
        <v/>
      </c>
      <c r="AV597" s="23">
        <f>IF($AS597="","",IF($H$6="",$AT597+$AU597,IF($H$6="",0,IF(ISNUMBER(INDEX($A:$AP,ROW(),$H$6)),INDEX($A:$AP,ROW(),$H$6),IFERROR(--SUBSTITUTE(SUBSTITUTE(TRIM(INDEX($A:$AP,ROW(),$H$6)),",",""),"원",""),0)))))</f>
        <v/>
      </c>
      <c r="AW597" s="2">
        <f>IF(OR($AS597="",$C$6=""),"",TRIM(INDEX($A:$AP,ROW(),$C$6)&amp;""))</f>
        <v/>
      </c>
      <c r="AX597" s="2">
        <f>IF($AS597="","",IF($AZ597&lt;&gt;"",SUBSTITUTE(SUBSTITUTE($AZ597,"-","")," ",""),$AY597))</f>
        <v/>
      </c>
      <c r="AY597" s="2">
        <f>IF(OR($AS597="",$E$6=""),"",TRIM(INDEX($A:$AP,ROW(),$E$6)&amp;""))</f>
        <v/>
      </c>
      <c r="AZ597" s="2">
        <f>IF(OR($AS597="",$D$6=""),"",TRIM(INDEX($A:$AP,ROW(),$D$6)&amp;""))</f>
        <v/>
      </c>
      <c r="BA597" s="2">
        <f>IF($AS597="","",IF(AND($AS597&gt;=설정!$B$10,$AS597&lt;=설정!$B$11),"포함","기간 밖"))</f>
        <v/>
      </c>
      <c r="BB597" s="2">
        <f>IF($AS597="","",IF(OR($AT597&lt;0,AND($I$6&lt;&gt;"",ISNUMBER(FIND("수정",INDEX($A:$AP,ROW(),IF($I$6="",1,$I$6))&amp;"")))),"수정","일반"))</f>
        <v/>
      </c>
      <c r="BC597" s="2">
        <f>IF($AS597="","",MID(IF($BA597="기간 밖"," / 기간 밖(신고기간 아님)","")&amp;IF(AND($AW597&lt;&gt;"",COUNTIF($AW$8:$AW$1007,$AW597)&gt;1)," / 승인번호 중복(두 번 붙여넣기?)","")&amp;IF(ABS($AU597-ROUND($AT597*0.1,0))&gt;설정!$B$8,IF($AU597=0," / 세액 0원(영세율·면세 여부 확인)"," / 세액이 공급가액 10%와 다름"),"")&amp;IF($BB597="수정"," / 수정세금계산서(합계에서 자동 가감)",""),4,200))</f>
        <v/>
      </c>
      <c r="BD597" s="2">
        <f>IF($BA597&lt;&gt;"포함","",IF(COUNTIFS($AX$8:$AX597,$AX597,$BA$8:$BA597,"포함")=1,MAX($BD$7:BD596)+1,""))</f>
        <v/>
      </c>
      <c r="BE597" s="2">
        <f>IF($BC597="","",MAX($BE$7:BE596)+1)</f>
        <v/>
      </c>
    </row>
    <row r="598">
      <c r="AR598" s="2">
        <f>IF(OR($A$5="",$B$6="",ROW()&lt;$A$5),"",IF(INDEX($A:$AP,ROW(),$B$6)="","",INDEX($A:$AP,ROW(),$B$6)))</f>
        <v/>
      </c>
      <c r="AS598" s="22">
        <f>IF($AR598="","",IF(ISNUMBER($AR598),IF($AR598&gt;=10000000,IFERROR(DATE(INT($AR598/10000),MOD(INT($AR598/100),100),MOD($AR598,100)),""),INT($AR598)),IFERROR(DATE(--LEFT(LEFT(SUBSTITUTE(SUBSTITUTE(SUBSTITUTE(SUBSTITUTE(TRIM($AR598),"-",""),".",""),"/","")," ",""),8),4),--MID(LEFT(SUBSTITUTE(SUBSTITUTE(SUBSTITUTE(SUBSTITUTE(TRIM($AR598),"-",""),".",""),"/","")," ",""),8),5,2),--MID(LEFT(SUBSTITUTE(SUBSTITUTE(SUBSTITUTE(SUBSTITUTE(TRIM($AR598),"-",""),".",""),"/","")," ",""),8),7,2)),"")))</f>
        <v/>
      </c>
      <c r="AT598" s="23">
        <f>IF($AS598="","",IF($F$6="",0,IF(ISNUMBER(INDEX($A:$AP,ROW(),$F$6)),INDEX($A:$AP,ROW(),$F$6),IFERROR(--SUBSTITUTE(SUBSTITUTE(TRIM(INDEX($A:$AP,ROW(),$F$6)),",",""),"원",""),0))))</f>
        <v/>
      </c>
      <c r="AU598" s="23">
        <f>IF($AS598="","",IF($G$6="",0,IF(ISNUMBER(INDEX($A:$AP,ROW(),$G$6)),INDEX($A:$AP,ROW(),$G$6),IFERROR(--SUBSTITUTE(SUBSTITUTE(TRIM(INDEX($A:$AP,ROW(),$G$6)),",",""),"원",""),0))))</f>
        <v/>
      </c>
      <c r="AV598" s="23">
        <f>IF($AS598="","",IF($H$6="",$AT598+$AU598,IF($H$6="",0,IF(ISNUMBER(INDEX($A:$AP,ROW(),$H$6)),INDEX($A:$AP,ROW(),$H$6),IFERROR(--SUBSTITUTE(SUBSTITUTE(TRIM(INDEX($A:$AP,ROW(),$H$6)),",",""),"원",""),0)))))</f>
        <v/>
      </c>
      <c r="AW598" s="2">
        <f>IF(OR($AS598="",$C$6=""),"",TRIM(INDEX($A:$AP,ROW(),$C$6)&amp;""))</f>
        <v/>
      </c>
      <c r="AX598" s="2">
        <f>IF($AS598="","",IF($AZ598&lt;&gt;"",SUBSTITUTE(SUBSTITUTE($AZ598,"-","")," ",""),$AY598))</f>
        <v/>
      </c>
      <c r="AY598" s="2">
        <f>IF(OR($AS598="",$E$6=""),"",TRIM(INDEX($A:$AP,ROW(),$E$6)&amp;""))</f>
        <v/>
      </c>
      <c r="AZ598" s="2">
        <f>IF(OR($AS598="",$D$6=""),"",TRIM(INDEX($A:$AP,ROW(),$D$6)&amp;""))</f>
        <v/>
      </c>
      <c r="BA598" s="2">
        <f>IF($AS598="","",IF(AND($AS598&gt;=설정!$B$10,$AS598&lt;=설정!$B$11),"포함","기간 밖"))</f>
        <v/>
      </c>
      <c r="BB598" s="2">
        <f>IF($AS598="","",IF(OR($AT598&lt;0,AND($I$6&lt;&gt;"",ISNUMBER(FIND("수정",INDEX($A:$AP,ROW(),IF($I$6="",1,$I$6))&amp;"")))),"수정","일반"))</f>
        <v/>
      </c>
      <c r="BC598" s="2">
        <f>IF($AS598="","",MID(IF($BA598="기간 밖"," / 기간 밖(신고기간 아님)","")&amp;IF(AND($AW598&lt;&gt;"",COUNTIF($AW$8:$AW$1007,$AW598)&gt;1)," / 승인번호 중복(두 번 붙여넣기?)","")&amp;IF(ABS($AU598-ROUND($AT598*0.1,0))&gt;설정!$B$8,IF($AU598=0," / 세액 0원(영세율·면세 여부 확인)"," / 세액이 공급가액 10%와 다름"),"")&amp;IF($BB598="수정"," / 수정세금계산서(합계에서 자동 가감)",""),4,200))</f>
        <v/>
      </c>
      <c r="BD598" s="2">
        <f>IF($BA598&lt;&gt;"포함","",IF(COUNTIFS($AX$8:$AX598,$AX598,$BA$8:$BA598,"포함")=1,MAX($BD$7:BD597)+1,""))</f>
        <v/>
      </c>
      <c r="BE598" s="2">
        <f>IF($BC598="","",MAX($BE$7:BE597)+1)</f>
        <v/>
      </c>
    </row>
    <row r="599">
      <c r="AR599" s="2">
        <f>IF(OR($A$5="",$B$6="",ROW()&lt;$A$5),"",IF(INDEX($A:$AP,ROW(),$B$6)="","",INDEX($A:$AP,ROW(),$B$6)))</f>
        <v/>
      </c>
      <c r="AS599" s="22">
        <f>IF($AR599="","",IF(ISNUMBER($AR599),IF($AR599&gt;=10000000,IFERROR(DATE(INT($AR599/10000),MOD(INT($AR599/100),100),MOD($AR599,100)),""),INT($AR599)),IFERROR(DATE(--LEFT(LEFT(SUBSTITUTE(SUBSTITUTE(SUBSTITUTE(SUBSTITUTE(TRIM($AR599),"-",""),".",""),"/","")," ",""),8),4),--MID(LEFT(SUBSTITUTE(SUBSTITUTE(SUBSTITUTE(SUBSTITUTE(TRIM($AR599),"-",""),".",""),"/","")," ",""),8),5,2),--MID(LEFT(SUBSTITUTE(SUBSTITUTE(SUBSTITUTE(SUBSTITUTE(TRIM($AR599),"-",""),".",""),"/","")," ",""),8),7,2)),"")))</f>
        <v/>
      </c>
      <c r="AT599" s="23">
        <f>IF($AS599="","",IF($F$6="",0,IF(ISNUMBER(INDEX($A:$AP,ROW(),$F$6)),INDEX($A:$AP,ROW(),$F$6),IFERROR(--SUBSTITUTE(SUBSTITUTE(TRIM(INDEX($A:$AP,ROW(),$F$6)),",",""),"원",""),0))))</f>
        <v/>
      </c>
      <c r="AU599" s="23">
        <f>IF($AS599="","",IF($G$6="",0,IF(ISNUMBER(INDEX($A:$AP,ROW(),$G$6)),INDEX($A:$AP,ROW(),$G$6),IFERROR(--SUBSTITUTE(SUBSTITUTE(TRIM(INDEX($A:$AP,ROW(),$G$6)),",",""),"원",""),0))))</f>
        <v/>
      </c>
      <c r="AV599" s="23">
        <f>IF($AS599="","",IF($H$6="",$AT599+$AU599,IF($H$6="",0,IF(ISNUMBER(INDEX($A:$AP,ROW(),$H$6)),INDEX($A:$AP,ROW(),$H$6),IFERROR(--SUBSTITUTE(SUBSTITUTE(TRIM(INDEX($A:$AP,ROW(),$H$6)),",",""),"원",""),0)))))</f>
        <v/>
      </c>
      <c r="AW599" s="2">
        <f>IF(OR($AS599="",$C$6=""),"",TRIM(INDEX($A:$AP,ROW(),$C$6)&amp;""))</f>
        <v/>
      </c>
      <c r="AX599" s="2">
        <f>IF($AS599="","",IF($AZ599&lt;&gt;"",SUBSTITUTE(SUBSTITUTE($AZ599,"-","")," ",""),$AY599))</f>
        <v/>
      </c>
      <c r="AY599" s="2">
        <f>IF(OR($AS599="",$E$6=""),"",TRIM(INDEX($A:$AP,ROW(),$E$6)&amp;""))</f>
        <v/>
      </c>
      <c r="AZ599" s="2">
        <f>IF(OR($AS599="",$D$6=""),"",TRIM(INDEX($A:$AP,ROW(),$D$6)&amp;""))</f>
        <v/>
      </c>
      <c r="BA599" s="2">
        <f>IF($AS599="","",IF(AND($AS599&gt;=설정!$B$10,$AS599&lt;=설정!$B$11),"포함","기간 밖"))</f>
        <v/>
      </c>
      <c r="BB599" s="2">
        <f>IF($AS599="","",IF(OR($AT599&lt;0,AND($I$6&lt;&gt;"",ISNUMBER(FIND("수정",INDEX($A:$AP,ROW(),IF($I$6="",1,$I$6))&amp;"")))),"수정","일반"))</f>
        <v/>
      </c>
      <c r="BC599" s="2">
        <f>IF($AS599="","",MID(IF($BA599="기간 밖"," / 기간 밖(신고기간 아님)","")&amp;IF(AND($AW599&lt;&gt;"",COUNTIF($AW$8:$AW$1007,$AW599)&gt;1)," / 승인번호 중복(두 번 붙여넣기?)","")&amp;IF(ABS($AU599-ROUND($AT599*0.1,0))&gt;설정!$B$8,IF($AU599=0," / 세액 0원(영세율·면세 여부 확인)"," / 세액이 공급가액 10%와 다름"),"")&amp;IF($BB599="수정"," / 수정세금계산서(합계에서 자동 가감)",""),4,200))</f>
        <v/>
      </c>
      <c r="BD599" s="2">
        <f>IF($BA599&lt;&gt;"포함","",IF(COUNTIFS($AX$8:$AX599,$AX599,$BA$8:$BA599,"포함")=1,MAX($BD$7:BD598)+1,""))</f>
        <v/>
      </c>
      <c r="BE599" s="2">
        <f>IF($BC599="","",MAX($BE$7:BE598)+1)</f>
        <v/>
      </c>
    </row>
    <row r="600">
      <c r="AR600" s="2">
        <f>IF(OR($A$5="",$B$6="",ROW()&lt;$A$5),"",IF(INDEX($A:$AP,ROW(),$B$6)="","",INDEX($A:$AP,ROW(),$B$6)))</f>
        <v/>
      </c>
      <c r="AS600" s="22">
        <f>IF($AR600="","",IF(ISNUMBER($AR600),IF($AR600&gt;=10000000,IFERROR(DATE(INT($AR600/10000),MOD(INT($AR600/100),100),MOD($AR600,100)),""),INT($AR600)),IFERROR(DATE(--LEFT(LEFT(SUBSTITUTE(SUBSTITUTE(SUBSTITUTE(SUBSTITUTE(TRIM($AR600),"-",""),".",""),"/","")," ",""),8),4),--MID(LEFT(SUBSTITUTE(SUBSTITUTE(SUBSTITUTE(SUBSTITUTE(TRIM($AR600),"-",""),".",""),"/","")," ",""),8),5,2),--MID(LEFT(SUBSTITUTE(SUBSTITUTE(SUBSTITUTE(SUBSTITUTE(TRIM($AR600),"-",""),".",""),"/","")," ",""),8),7,2)),"")))</f>
        <v/>
      </c>
      <c r="AT600" s="23">
        <f>IF($AS600="","",IF($F$6="",0,IF(ISNUMBER(INDEX($A:$AP,ROW(),$F$6)),INDEX($A:$AP,ROW(),$F$6),IFERROR(--SUBSTITUTE(SUBSTITUTE(TRIM(INDEX($A:$AP,ROW(),$F$6)),",",""),"원",""),0))))</f>
        <v/>
      </c>
      <c r="AU600" s="23">
        <f>IF($AS600="","",IF($G$6="",0,IF(ISNUMBER(INDEX($A:$AP,ROW(),$G$6)),INDEX($A:$AP,ROW(),$G$6),IFERROR(--SUBSTITUTE(SUBSTITUTE(TRIM(INDEX($A:$AP,ROW(),$G$6)),",",""),"원",""),0))))</f>
        <v/>
      </c>
      <c r="AV600" s="23">
        <f>IF($AS600="","",IF($H$6="",$AT600+$AU600,IF($H$6="",0,IF(ISNUMBER(INDEX($A:$AP,ROW(),$H$6)),INDEX($A:$AP,ROW(),$H$6),IFERROR(--SUBSTITUTE(SUBSTITUTE(TRIM(INDEX($A:$AP,ROW(),$H$6)),",",""),"원",""),0)))))</f>
        <v/>
      </c>
      <c r="AW600" s="2">
        <f>IF(OR($AS600="",$C$6=""),"",TRIM(INDEX($A:$AP,ROW(),$C$6)&amp;""))</f>
        <v/>
      </c>
      <c r="AX600" s="2">
        <f>IF($AS600="","",IF($AZ600&lt;&gt;"",SUBSTITUTE(SUBSTITUTE($AZ600,"-","")," ",""),$AY600))</f>
        <v/>
      </c>
      <c r="AY600" s="2">
        <f>IF(OR($AS600="",$E$6=""),"",TRIM(INDEX($A:$AP,ROW(),$E$6)&amp;""))</f>
        <v/>
      </c>
      <c r="AZ600" s="2">
        <f>IF(OR($AS600="",$D$6=""),"",TRIM(INDEX($A:$AP,ROW(),$D$6)&amp;""))</f>
        <v/>
      </c>
      <c r="BA600" s="2">
        <f>IF($AS600="","",IF(AND($AS600&gt;=설정!$B$10,$AS600&lt;=설정!$B$11),"포함","기간 밖"))</f>
        <v/>
      </c>
      <c r="BB600" s="2">
        <f>IF($AS600="","",IF(OR($AT600&lt;0,AND($I$6&lt;&gt;"",ISNUMBER(FIND("수정",INDEX($A:$AP,ROW(),IF($I$6="",1,$I$6))&amp;"")))),"수정","일반"))</f>
        <v/>
      </c>
      <c r="BC600" s="2">
        <f>IF($AS600="","",MID(IF($BA600="기간 밖"," / 기간 밖(신고기간 아님)","")&amp;IF(AND($AW600&lt;&gt;"",COUNTIF($AW$8:$AW$1007,$AW600)&gt;1)," / 승인번호 중복(두 번 붙여넣기?)","")&amp;IF(ABS($AU600-ROUND($AT600*0.1,0))&gt;설정!$B$8,IF($AU600=0," / 세액 0원(영세율·면세 여부 확인)"," / 세액이 공급가액 10%와 다름"),"")&amp;IF($BB600="수정"," / 수정세금계산서(합계에서 자동 가감)",""),4,200))</f>
        <v/>
      </c>
      <c r="BD600" s="2">
        <f>IF($BA600&lt;&gt;"포함","",IF(COUNTIFS($AX$8:$AX600,$AX600,$BA$8:$BA600,"포함")=1,MAX($BD$7:BD599)+1,""))</f>
        <v/>
      </c>
      <c r="BE600" s="2">
        <f>IF($BC600="","",MAX($BE$7:BE599)+1)</f>
        <v/>
      </c>
    </row>
    <row r="601">
      <c r="AR601" s="2">
        <f>IF(OR($A$5="",$B$6="",ROW()&lt;$A$5),"",IF(INDEX($A:$AP,ROW(),$B$6)="","",INDEX($A:$AP,ROW(),$B$6)))</f>
        <v/>
      </c>
      <c r="AS601" s="22">
        <f>IF($AR601="","",IF(ISNUMBER($AR601),IF($AR601&gt;=10000000,IFERROR(DATE(INT($AR601/10000),MOD(INT($AR601/100),100),MOD($AR601,100)),""),INT($AR601)),IFERROR(DATE(--LEFT(LEFT(SUBSTITUTE(SUBSTITUTE(SUBSTITUTE(SUBSTITUTE(TRIM($AR601),"-",""),".",""),"/","")," ",""),8),4),--MID(LEFT(SUBSTITUTE(SUBSTITUTE(SUBSTITUTE(SUBSTITUTE(TRIM($AR601),"-",""),".",""),"/","")," ",""),8),5,2),--MID(LEFT(SUBSTITUTE(SUBSTITUTE(SUBSTITUTE(SUBSTITUTE(TRIM($AR601),"-",""),".",""),"/","")," ",""),8),7,2)),"")))</f>
        <v/>
      </c>
      <c r="AT601" s="23">
        <f>IF($AS601="","",IF($F$6="",0,IF(ISNUMBER(INDEX($A:$AP,ROW(),$F$6)),INDEX($A:$AP,ROW(),$F$6),IFERROR(--SUBSTITUTE(SUBSTITUTE(TRIM(INDEX($A:$AP,ROW(),$F$6)),",",""),"원",""),0))))</f>
        <v/>
      </c>
      <c r="AU601" s="23">
        <f>IF($AS601="","",IF($G$6="",0,IF(ISNUMBER(INDEX($A:$AP,ROW(),$G$6)),INDEX($A:$AP,ROW(),$G$6),IFERROR(--SUBSTITUTE(SUBSTITUTE(TRIM(INDEX($A:$AP,ROW(),$G$6)),",",""),"원",""),0))))</f>
        <v/>
      </c>
      <c r="AV601" s="23">
        <f>IF($AS601="","",IF($H$6="",$AT601+$AU601,IF($H$6="",0,IF(ISNUMBER(INDEX($A:$AP,ROW(),$H$6)),INDEX($A:$AP,ROW(),$H$6),IFERROR(--SUBSTITUTE(SUBSTITUTE(TRIM(INDEX($A:$AP,ROW(),$H$6)),",",""),"원",""),0)))))</f>
        <v/>
      </c>
      <c r="AW601" s="2">
        <f>IF(OR($AS601="",$C$6=""),"",TRIM(INDEX($A:$AP,ROW(),$C$6)&amp;""))</f>
        <v/>
      </c>
      <c r="AX601" s="2">
        <f>IF($AS601="","",IF($AZ601&lt;&gt;"",SUBSTITUTE(SUBSTITUTE($AZ601,"-","")," ",""),$AY601))</f>
        <v/>
      </c>
      <c r="AY601" s="2">
        <f>IF(OR($AS601="",$E$6=""),"",TRIM(INDEX($A:$AP,ROW(),$E$6)&amp;""))</f>
        <v/>
      </c>
      <c r="AZ601" s="2">
        <f>IF(OR($AS601="",$D$6=""),"",TRIM(INDEX($A:$AP,ROW(),$D$6)&amp;""))</f>
        <v/>
      </c>
      <c r="BA601" s="2">
        <f>IF($AS601="","",IF(AND($AS601&gt;=설정!$B$10,$AS601&lt;=설정!$B$11),"포함","기간 밖"))</f>
        <v/>
      </c>
      <c r="BB601" s="2">
        <f>IF($AS601="","",IF(OR($AT601&lt;0,AND($I$6&lt;&gt;"",ISNUMBER(FIND("수정",INDEX($A:$AP,ROW(),IF($I$6="",1,$I$6))&amp;"")))),"수정","일반"))</f>
        <v/>
      </c>
      <c r="BC601" s="2">
        <f>IF($AS601="","",MID(IF($BA601="기간 밖"," / 기간 밖(신고기간 아님)","")&amp;IF(AND($AW601&lt;&gt;"",COUNTIF($AW$8:$AW$1007,$AW601)&gt;1)," / 승인번호 중복(두 번 붙여넣기?)","")&amp;IF(ABS($AU601-ROUND($AT601*0.1,0))&gt;설정!$B$8,IF($AU601=0," / 세액 0원(영세율·면세 여부 확인)"," / 세액이 공급가액 10%와 다름"),"")&amp;IF($BB601="수정"," / 수정세금계산서(합계에서 자동 가감)",""),4,200))</f>
        <v/>
      </c>
      <c r="BD601" s="2">
        <f>IF($BA601&lt;&gt;"포함","",IF(COUNTIFS($AX$8:$AX601,$AX601,$BA$8:$BA601,"포함")=1,MAX($BD$7:BD600)+1,""))</f>
        <v/>
      </c>
      <c r="BE601" s="2">
        <f>IF($BC601="","",MAX($BE$7:BE600)+1)</f>
        <v/>
      </c>
    </row>
    <row r="602">
      <c r="AR602" s="2">
        <f>IF(OR($A$5="",$B$6="",ROW()&lt;$A$5),"",IF(INDEX($A:$AP,ROW(),$B$6)="","",INDEX($A:$AP,ROW(),$B$6)))</f>
        <v/>
      </c>
      <c r="AS602" s="22">
        <f>IF($AR602="","",IF(ISNUMBER($AR602),IF($AR602&gt;=10000000,IFERROR(DATE(INT($AR602/10000),MOD(INT($AR602/100),100),MOD($AR602,100)),""),INT($AR602)),IFERROR(DATE(--LEFT(LEFT(SUBSTITUTE(SUBSTITUTE(SUBSTITUTE(SUBSTITUTE(TRIM($AR602),"-",""),".",""),"/","")," ",""),8),4),--MID(LEFT(SUBSTITUTE(SUBSTITUTE(SUBSTITUTE(SUBSTITUTE(TRIM($AR602),"-",""),".",""),"/","")," ",""),8),5,2),--MID(LEFT(SUBSTITUTE(SUBSTITUTE(SUBSTITUTE(SUBSTITUTE(TRIM($AR602),"-",""),".",""),"/","")," ",""),8),7,2)),"")))</f>
        <v/>
      </c>
      <c r="AT602" s="23">
        <f>IF($AS602="","",IF($F$6="",0,IF(ISNUMBER(INDEX($A:$AP,ROW(),$F$6)),INDEX($A:$AP,ROW(),$F$6),IFERROR(--SUBSTITUTE(SUBSTITUTE(TRIM(INDEX($A:$AP,ROW(),$F$6)),",",""),"원",""),0))))</f>
        <v/>
      </c>
      <c r="AU602" s="23">
        <f>IF($AS602="","",IF($G$6="",0,IF(ISNUMBER(INDEX($A:$AP,ROW(),$G$6)),INDEX($A:$AP,ROW(),$G$6),IFERROR(--SUBSTITUTE(SUBSTITUTE(TRIM(INDEX($A:$AP,ROW(),$G$6)),",",""),"원",""),0))))</f>
        <v/>
      </c>
      <c r="AV602" s="23">
        <f>IF($AS602="","",IF($H$6="",$AT602+$AU602,IF($H$6="",0,IF(ISNUMBER(INDEX($A:$AP,ROW(),$H$6)),INDEX($A:$AP,ROW(),$H$6),IFERROR(--SUBSTITUTE(SUBSTITUTE(TRIM(INDEX($A:$AP,ROW(),$H$6)),",",""),"원",""),0)))))</f>
        <v/>
      </c>
      <c r="AW602" s="2">
        <f>IF(OR($AS602="",$C$6=""),"",TRIM(INDEX($A:$AP,ROW(),$C$6)&amp;""))</f>
        <v/>
      </c>
      <c r="AX602" s="2">
        <f>IF($AS602="","",IF($AZ602&lt;&gt;"",SUBSTITUTE(SUBSTITUTE($AZ602,"-","")," ",""),$AY602))</f>
        <v/>
      </c>
      <c r="AY602" s="2">
        <f>IF(OR($AS602="",$E$6=""),"",TRIM(INDEX($A:$AP,ROW(),$E$6)&amp;""))</f>
        <v/>
      </c>
      <c r="AZ602" s="2">
        <f>IF(OR($AS602="",$D$6=""),"",TRIM(INDEX($A:$AP,ROW(),$D$6)&amp;""))</f>
        <v/>
      </c>
      <c r="BA602" s="2">
        <f>IF($AS602="","",IF(AND($AS602&gt;=설정!$B$10,$AS602&lt;=설정!$B$11),"포함","기간 밖"))</f>
        <v/>
      </c>
      <c r="BB602" s="2">
        <f>IF($AS602="","",IF(OR($AT602&lt;0,AND($I$6&lt;&gt;"",ISNUMBER(FIND("수정",INDEX($A:$AP,ROW(),IF($I$6="",1,$I$6))&amp;"")))),"수정","일반"))</f>
        <v/>
      </c>
      <c r="BC602" s="2">
        <f>IF($AS602="","",MID(IF($BA602="기간 밖"," / 기간 밖(신고기간 아님)","")&amp;IF(AND($AW602&lt;&gt;"",COUNTIF($AW$8:$AW$1007,$AW602)&gt;1)," / 승인번호 중복(두 번 붙여넣기?)","")&amp;IF(ABS($AU602-ROUND($AT602*0.1,0))&gt;설정!$B$8,IF($AU602=0," / 세액 0원(영세율·면세 여부 확인)"," / 세액이 공급가액 10%와 다름"),"")&amp;IF($BB602="수정"," / 수정세금계산서(합계에서 자동 가감)",""),4,200))</f>
        <v/>
      </c>
      <c r="BD602" s="2">
        <f>IF($BA602&lt;&gt;"포함","",IF(COUNTIFS($AX$8:$AX602,$AX602,$BA$8:$BA602,"포함")=1,MAX($BD$7:BD601)+1,""))</f>
        <v/>
      </c>
      <c r="BE602" s="2">
        <f>IF($BC602="","",MAX($BE$7:BE601)+1)</f>
        <v/>
      </c>
    </row>
    <row r="603">
      <c r="AR603" s="2">
        <f>IF(OR($A$5="",$B$6="",ROW()&lt;$A$5),"",IF(INDEX($A:$AP,ROW(),$B$6)="","",INDEX($A:$AP,ROW(),$B$6)))</f>
        <v/>
      </c>
      <c r="AS603" s="22">
        <f>IF($AR603="","",IF(ISNUMBER($AR603),IF($AR603&gt;=10000000,IFERROR(DATE(INT($AR603/10000),MOD(INT($AR603/100),100),MOD($AR603,100)),""),INT($AR603)),IFERROR(DATE(--LEFT(LEFT(SUBSTITUTE(SUBSTITUTE(SUBSTITUTE(SUBSTITUTE(TRIM($AR603),"-",""),".",""),"/","")," ",""),8),4),--MID(LEFT(SUBSTITUTE(SUBSTITUTE(SUBSTITUTE(SUBSTITUTE(TRIM($AR603),"-",""),".",""),"/","")," ",""),8),5,2),--MID(LEFT(SUBSTITUTE(SUBSTITUTE(SUBSTITUTE(SUBSTITUTE(TRIM($AR603),"-",""),".",""),"/","")," ",""),8),7,2)),"")))</f>
        <v/>
      </c>
      <c r="AT603" s="23">
        <f>IF($AS603="","",IF($F$6="",0,IF(ISNUMBER(INDEX($A:$AP,ROW(),$F$6)),INDEX($A:$AP,ROW(),$F$6),IFERROR(--SUBSTITUTE(SUBSTITUTE(TRIM(INDEX($A:$AP,ROW(),$F$6)),",",""),"원",""),0))))</f>
        <v/>
      </c>
      <c r="AU603" s="23">
        <f>IF($AS603="","",IF($G$6="",0,IF(ISNUMBER(INDEX($A:$AP,ROW(),$G$6)),INDEX($A:$AP,ROW(),$G$6),IFERROR(--SUBSTITUTE(SUBSTITUTE(TRIM(INDEX($A:$AP,ROW(),$G$6)),",",""),"원",""),0))))</f>
        <v/>
      </c>
      <c r="AV603" s="23">
        <f>IF($AS603="","",IF($H$6="",$AT603+$AU603,IF($H$6="",0,IF(ISNUMBER(INDEX($A:$AP,ROW(),$H$6)),INDEX($A:$AP,ROW(),$H$6),IFERROR(--SUBSTITUTE(SUBSTITUTE(TRIM(INDEX($A:$AP,ROW(),$H$6)),",",""),"원",""),0)))))</f>
        <v/>
      </c>
      <c r="AW603" s="2">
        <f>IF(OR($AS603="",$C$6=""),"",TRIM(INDEX($A:$AP,ROW(),$C$6)&amp;""))</f>
        <v/>
      </c>
      <c r="AX603" s="2">
        <f>IF($AS603="","",IF($AZ603&lt;&gt;"",SUBSTITUTE(SUBSTITUTE($AZ603,"-","")," ",""),$AY603))</f>
        <v/>
      </c>
      <c r="AY603" s="2">
        <f>IF(OR($AS603="",$E$6=""),"",TRIM(INDEX($A:$AP,ROW(),$E$6)&amp;""))</f>
        <v/>
      </c>
      <c r="AZ603" s="2">
        <f>IF(OR($AS603="",$D$6=""),"",TRIM(INDEX($A:$AP,ROW(),$D$6)&amp;""))</f>
        <v/>
      </c>
      <c r="BA603" s="2">
        <f>IF($AS603="","",IF(AND($AS603&gt;=설정!$B$10,$AS603&lt;=설정!$B$11),"포함","기간 밖"))</f>
        <v/>
      </c>
      <c r="BB603" s="2">
        <f>IF($AS603="","",IF(OR($AT603&lt;0,AND($I$6&lt;&gt;"",ISNUMBER(FIND("수정",INDEX($A:$AP,ROW(),IF($I$6="",1,$I$6))&amp;"")))),"수정","일반"))</f>
        <v/>
      </c>
      <c r="BC603" s="2">
        <f>IF($AS603="","",MID(IF($BA603="기간 밖"," / 기간 밖(신고기간 아님)","")&amp;IF(AND($AW603&lt;&gt;"",COUNTIF($AW$8:$AW$1007,$AW603)&gt;1)," / 승인번호 중복(두 번 붙여넣기?)","")&amp;IF(ABS($AU603-ROUND($AT603*0.1,0))&gt;설정!$B$8,IF($AU603=0," / 세액 0원(영세율·면세 여부 확인)"," / 세액이 공급가액 10%와 다름"),"")&amp;IF($BB603="수정"," / 수정세금계산서(합계에서 자동 가감)",""),4,200))</f>
        <v/>
      </c>
      <c r="BD603" s="2">
        <f>IF($BA603&lt;&gt;"포함","",IF(COUNTIFS($AX$8:$AX603,$AX603,$BA$8:$BA603,"포함")=1,MAX($BD$7:BD602)+1,""))</f>
        <v/>
      </c>
      <c r="BE603" s="2">
        <f>IF($BC603="","",MAX($BE$7:BE602)+1)</f>
        <v/>
      </c>
    </row>
    <row r="604">
      <c r="AR604" s="2">
        <f>IF(OR($A$5="",$B$6="",ROW()&lt;$A$5),"",IF(INDEX($A:$AP,ROW(),$B$6)="","",INDEX($A:$AP,ROW(),$B$6)))</f>
        <v/>
      </c>
      <c r="AS604" s="22">
        <f>IF($AR604="","",IF(ISNUMBER($AR604),IF($AR604&gt;=10000000,IFERROR(DATE(INT($AR604/10000),MOD(INT($AR604/100),100),MOD($AR604,100)),""),INT($AR604)),IFERROR(DATE(--LEFT(LEFT(SUBSTITUTE(SUBSTITUTE(SUBSTITUTE(SUBSTITUTE(TRIM($AR604),"-",""),".",""),"/","")," ",""),8),4),--MID(LEFT(SUBSTITUTE(SUBSTITUTE(SUBSTITUTE(SUBSTITUTE(TRIM($AR604),"-",""),".",""),"/","")," ",""),8),5,2),--MID(LEFT(SUBSTITUTE(SUBSTITUTE(SUBSTITUTE(SUBSTITUTE(TRIM($AR604),"-",""),".",""),"/","")," ",""),8),7,2)),"")))</f>
        <v/>
      </c>
      <c r="AT604" s="23">
        <f>IF($AS604="","",IF($F$6="",0,IF(ISNUMBER(INDEX($A:$AP,ROW(),$F$6)),INDEX($A:$AP,ROW(),$F$6),IFERROR(--SUBSTITUTE(SUBSTITUTE(TRIM(INDEX($A:$AP,ROW(),$F$6)),",",""),"원",""),0))))</f>
        <v/>
      </c>
      <c r="AU604" s="23">
        <f>IF($AS604="","",IF($G$6="",0,IF(ISNUMBER(INDEX($A:$AP,ROW(),$G$6)),INDEX($A:$AP,ROW(),$G$6),IFERROR(--SUBSTITUTE(SUBSTITUTE(TRIM(INDEX($A:$AP,ROW(),$G$6)),",",""),"원",""),0))))</f>
        <v/>
      </c>
      <c r="AV604" s="23">
        <f>IF($AS604="","",IF($H$6="",$AT604+$AU604,IF($H$6="",0,IF(ISNUMBER(INDEX($A:$AP,ROW(),$H$6)),INDEX($A:$AP,ROW(),$H$6),IFERROR(--SUBSTITUTE(SUBSTITUTE(TRIM(INDEX($A:$AP,ROW(),$H$6)),",",""),"원",""),0)))))</f>
        <v/>
      </c>
      <c r="AW604" s="2">
        <f>IF(OR($AS604="",$C$6=""),"",TRIM(INDEX($A:$AP,ROW(),$C$6)&amp;""))</f>
        <v/>
      </c>
      <c r="AX604" s="2">
        <f>IF($AS604="","",IF($AZ604&lt;&gt;"",SUBSTITUTE(SUBSTITUTE($AZ604,"-","")," ",""),$AY604))</f>
        <v/>
      </c>
      <c r="AY604" s="2">
        <f>IF(OR($AS604="",$E$6=""),"",TRIM(INDEX($A:$AP,ROW(),$E$6)&amp;""))</f>
        <v/>
      </c>
      <c r="AZ604" s="2">
        <f>IF(OR($AS604="",$D$6=""),"",TRIM(INDEX($A:$AP,ROW(),$D$6)&amp;""))</f>
        <v/>
      </c>
      <c r="BA604" s="2">
        <f>IF($AS604="","",IF(AND($AS604&gt;=설정!$B$10,$AS604&lt;=설정!$B$11),"포함","기간 밖"))</f>
        <v/>
      </c>
      <c r="BB604" s="2">
        <f>IF($AS604="","",IF(OR($AT604&lt;0,AND($I$6&lt;&gt;"",ISNUMBER(FIND("수정",INDEX($A:$AP,ROW(),IF($I$6="",1,$I$6))&amp;"")))),"수정","일반"))</f>
        <v/>
      </c>
      <c r="BC604" s="2">
        <f>IF($AS604="","",MID(IF($BA604="기간 밖"," / 기간 밖(신고기간 아님)","")&amp;IF(AND($AW604&lt;&gt;"",COUNTIF($AW$8:$AW$1007,$AW604)&gt;1)," / 승인번호 중복(두 번 붙여넣기?)","")&amp;IF(ABS($AU604-ROUND($AT604*0.1,0))&gt;설정!$B$8,IF($AU604=0," / 세액 0원(영세율·면세 여부 확인)"," / 세액이 공급가액 10%와 다름"),"")&amp;IF($BB604="수정"," / 수정세금계산서(합계에서 자동 가감)",""),4,200))</f>
        <v/>
      </c>
      <c r="BD604" s="2">
        <f>IF($BA604&lt;&gt;"포함","",IF(COUNTIFS($AX$8:$AX604,$AX604,$BA$8:$BA604,"포함")=1,MAX($BD$7:BD603)+1,""))</f>
        <v/>
      </c>
      <c r="BE604" s="2">
        <f>IF($BC604="","",MAX($BE$7:BE603)+1)</f>
        <v/>
      </c>
    </row>
    <row r="605">
      <c r="AR605" s="2">
        <f>IF(OR($A$5="",$B$6="",ROW()&lt;$A$5),"",IF(INDEX($A:$AP,ROW(),$B$6)="","",INDEX($A:$AP,ROW(),$B$6)))</f>
        <v/>
      </c>
      <c r="AS605" s="22">
        <f>IF($AR605="","",IF(ISNUMBER($AR605),IF($AR605&gt;=10000000,IFERROR(DATE(INT($AR605/10000),MOD(INT($AR605/100),100),MOD($AR605,100)),""),INT($AR605)),IFERROR(DATE(--LEFT(LEFT(SUBSTITUTE(SUBSTITUTE(SUBSTITUTE(SUBSTITUTE(TRIM($AR605),"-",""),".",""),"/","")," ",""),8),4),--MID(LEFT(SUBSTITUTE(SUBSTITUTE(SUBSTITUTE(SUBSTITUTE(TRIM($AR605),"-",""),".",""),"/","")," ",""),8),5,2),--MID(LEFT(SUBSTITUTE(SUBSTITUTE(SUBSTITUTE(SUBSTITUTE(TRIM($AR605),"-",""),".",""),"/","")," ",""),8),7,2)),"")))</f>
        <v/>
      </c>
      <c r="AT605" s="23">
        <f>IF($AS605="","",IF($F$6="",0,IF(ISNUMBER(INDEX($A:$AP,ROW(),$F$6)),INDEX($A:$AP,ROW(),$F$6),IFERROR(--SUBSTITUTE(SUBSTITUTE(TRIM(INDEX($A:$AP,ROW(),$F$6)),",",""),"원",""),0))))</f>
        <v/>
      </c>
      <c r="AU605" s="23">
        <f>IF($AS605="","",IF($G$6="",0,IF(ISNUMBER(INDEX($A:$AP,ROW(),$G$6)),INDEX($A:$AP,ROW(),$G$6),IFERROR(--SUBSTITUTE(SUBSTITUTE(TRIM(INDEX($A:$AP,ROW(),$G$6)),",",""),"원",""),0))))</f>
        <v/>
      </c>
      <c r="AV605" s="23">
        <f>IF($AS605="","",IF($H$6="",$AT605+$AU605,IF($H$6="",0,IF(ISNUMBER(INDEX($A:$AP,ROW(),$H$6)),INDEX($A:$AP,ROW(),$H$6),IFERROR(--SUBSTITUTE(SUBSTITUTE(TRIM(INDEX($A:$AP,ROW(),$H$6)),",",""),"원",""),0)))))</f>
        <v/>
      </c>
      <c r="AW605" s="2">
        <f>IF(OR($AS605="",$C$6=""),"",TRIM(INDEX($A:$AP,ROW(),$C$6)&amp;""))</f>
        <v/>
      </c>
      <c r="AX605" s="2">
        <f>IF($AS605="","",IF($AZ605&lt;&gt;"",SUBSTITUTE(SUBSTITUTE($AZ605,"-","")," ",""),$AY605))</f>
        <v/>
      </c>
      <c r="AY605" s="2">
        <f>IF(OR($AS605="",$E$6=""),"",TRIM(INDEX($A:$AP,ROW(),$E$6)&amp;""))</f>
        <v/>
      </c>
      <c r="AZ605" s="2">
        <f>IF(OR($AS605="",$D$6=""),"",TRIM(INDEX($A:$AP,ROW(),$D$6)&amp;""))</f>
        <v/>
      </c>
      <c r="BA605" s="2">
        <f>IF($AS605="","",IF(AND($AS605&gt;=설정!$B$10,$AS605&lt;=설정!$B$11),"포함","기간 밖"))</f>
        <v/>
      </c>
      <c r="BB605" s="2">
        <f>IF($AS605="","",IF(OR($AT605&lt;0,AND($I$6&lt;&gt;"",ISNUMBER(FIND("수정",INDEX($A:$AP,ROW(),IF($I$6="",1,$I$6))&amp;"")))),"수정","일반"))</f>
        <v/>
      </c>
      <c r="BC605" s="2">
        <f>IF($AS605="","",MID(IF($BA605="기간 밖"," / 기간 밖(신고기간 아님)","")&amp;IF(AND($AW605&lt;&gt;"",COUNTIF($AW$8:$AW$1007,$AW605)&gt;1)," / 승인번호 중복(두 번 붙여넣기?)","")&amp;IF(ABS($AU605-ROUND($AT605*0.1,0))&gt;설정!$B$8,IF($AU605=0," / 세액 0원(영세율·면세 여부 확인)"," / 세액이 공급가액 10%와 다름"),"")&amp;IF($BB605="수정"," / 수정세금계산서(합계에서 자동 가감)",""),4,200))</f>
        <v/>
      </c>
      <c r="BD605" s="2">
        <f>IF($BA605&lt;&gt;"포함","",IF(COUNTIFS($AX$8:$AX605,$AX605,$BA$8:$BA605,"포함")=1,MAX($BD$7:BD604)+1,""))</f>
        <v/>
      </c>
      <c r="BE605" s="2">
        <f>IF($BC605="","",MAX($BE$7:BE604)+1)</f>
        <v/>
      </c>
    </row>
    <row r="606">
      <c r="AR606" s="2">
        <f>IF(OR($A$5="",$B$6="",ROW()&lt;$A$5),"",IF(INDEX($A:$AP,ROW(),$B$6)="","",INDEX($A:$AP,ROW(),$B$6)))</f>
        <v/>
      </c>
      <c r="AS606" s="22">
        <f>IF($AR606="","",IF(ISNUMBER($AR606),IF($AR606&gt;=10000000,IFERROR(DATE(INT($AR606/10000),MOD(INT($AR606/100),100),MOD($AR606,100)),""),INT($AR606)),IFERROR(DATE(--LEFT(LEFT(SUBSTITUTE(SUBSTITUTE(SUBSTITUTE(SUBSTITUTE(TRIM($AR606),"-",""),".",""),"/","")," ",""),8),4),--MID(LEFT(SUBSTITUTE(SUBSTITUTE(SUBSTITUTE(SUBSTITUTE(TRIM($AR606),"-",""),".",""),"/","")," ",""),8),5,2),--MID(LEFT(SUBSTITUTE(SUBSTITUTE(SUBSTITUTE(SUBSTITUTE(TRIM($AR606),"-",""),".",""),"/","")," ",""),8),7,2)),"")))</f>
        <v/>
      </c>
      <c r="AT606" s="23">
        <f>IF($AS606="","",IF($F$6="",0,IF(ISNUMBER(INDEX($A:$AP,ROW(),$F$6)),INDEX($A:$AP,ROW(),$F$6),IFERROR(--SUBSTITUTE(SUBSTITUTE(TRIM(INDEX($A:$AP,ROW(),$F$6)),",",""),"원",""),0))))</f>
        <v/>
      </c>
      <c r="AU606" s="23">
        <f>IF($AS606="","",IF($G$6="",0,IF(ISNUMBER(INDEX($A:$AP,ROW(),$G$6)),INDEX($A:$AP,ROW(),$G$6),IFERROR(--SUBSTITUTE(SUBSTITUTE(TRIM(INDEX($A:$AP,ROW(),$G$6)),",",""),"원",""),0))))</f>
        <v/>
      </c>
      <c r="AV606" s="23">
        <f>IF($AS606="","",IF($H$6="",$AT606+$AU606,IF($H$6="",0,IF(ISNUMBER(INDEX($A:$AP,ROW(),$H$6)),INDEX($A:$AP,ROW(),$H$6),IFERROR(--SUBSTITUTE(SUBSTITUTE(TRIM(INDEX($A:$AP,ROW(),$H$6)),",",""),"원",""),0)))))</f>
        <v/>
      </c>
      <c r="AW606" s="2">
        <f>IF(OR($AS606="",$C$6=""),"",TRIM(INDEX($A:$AP,ROW(),$C$6)&amp;""))</f>
        <v/>
      </c>
      <c r="AX606" s="2">
        <f>IF($AS606="","",IF($AZ606&lt;&gt;"",SUBSTITUTE(SUBSTITUTE($AZ606,"-","")," ",""),$AY606))</f>
        <v/>
      </c>
      <c r="AY606" s="2">
        <f>IF(OR($AS606="",$E$6=""),"",TRIM(INDEX($A:$AP,ROW(),$E$6)&amp;""))</f>
        <v/>
      </c>
      <c r="AZ606" s="2">
        <f>IF(OR($AS606="",$D$6=""),"",TRIM(INDEX($A:$AP,ROW(),$D$6)&amp;""))</f>
        <v/>
      </c>
      <c r="BA606" s="2">
        <f>IF($AS606="","",IF(AND($AS606&gt;=설정!$B$10,$AS606&lt;=설정!$B$11),"포함","기간 밖"))</f>
        <v/>
      </c>
      <c r="BB606" s="2">
        <f>IF($AS606="","",IF(OR($AT606&lt;0,AND($I$6&lt;&gt;"",ISNUMBER(FIND("수정",INDEX($A:$AP,ROW(),IF($I$6="",1,$I$6))&amp;"")))),"수정","일반"))</f>
        <v/>
      </c>
      <c r="BC606" s="2">
        <f>IF($AS606="","",MID(IF($BA606="기간 밖"," / 기간 밖(신고기간 아님)","")&amp;IF(AND($AW606&lt;&gt;"",COUNTIF($AW$8:$AW$1007,$AW606)&gt;1)," / 승인번호 중복(두 번 붙여넣기?)","")&amp;IF(ABS($AU606-ROUND($AT606*0.1,0))&gt;설정!$B$8,IF($AU606=0," / 세액 0원(영세율·면세 여부 확인)"," / 세액이 공급가액 10%와 다름"),"")&amp;IF($BB606="수정"," / 수정세금계산서(합계에서 자동 가감)",""),4,200))</f>
        <v/>
      </c>
      <c r="BD606" s="2">
        <f>IF($BA606&lt;&gt;"포함","",IF(COUNTIFS($AX$8:$AX606,$AX606,$BA$8:$BA606,"포함")=1,MAX($BD$7:BD605)+1,""))</f>
        <v/>
      </c>
      <c r="BE606" s="2">
        <f>IF($BC606="","",MAX($BE$7:BE605)+1)</f>
        <v/>
      </c>
    </row>
    <row r="607">
      <c r="AR607" s="2">
        <f>IF(OR($A$5="",$B$6="",ROW()&lt;$A$5),"",IF(INDEX($A:$AP,ROW(),$B$6)="","",INDEX($A:$AP,ROW(),$B$6)))</f>
        <v/>
      </c>
      <c r="AS607" s="22">
        <f>IF($AR607="","",IF(ISNUMBER($AR607),IF($AR607&gt;=10000000,IFERROR(DATE(INT($AR607/10000),MOD(INT($AR607/100),100),MOD($AR607,100)),""),INT($AR607)),IFERROR(DATE(--LEFT(LEFT(SUBSTITUTE(SUBSTITUTE(SUBSTITUTE(SUBSTITUTE(TRIM($AR607),"-",""),".",""),"/","")," ",""),8),4),--MID(LEFT(SUBSTITUTE(SUBSTITUTE(SUBSTITUTE(SUBSTITUTE(TRIM($AR607),"-",""),".",""),"/","")," ",""),8),5,2),--MID(LEFT(SUBSTITUTE(SUBSTITUTE(SUBSTITUTE(SUBSTITUTE(TRIM($AR607),"-",""),".",""),"/","")," ",""),8),7,2)),"")))</f>
        <v/>
      </c>
      <c r="AT607" s="23">
        <f>IF($AS607="","",IF($F$6="",0,IF(ISNUMBER(INDEX($A:$AP,ROW(),$F$6)),INDEX($A:$AP,ROW(),$F$6),IFERROR(--SUBSTITUTE(SUBSTITUTE(TRIM(INDEX($A:$AP,ROW(),$F$6)),",",""),"원",""),0))))</f>
        <v/>
      </c>
      <c r="AU607" s="23">
        <f>IF($AS607="","",IF($G$6="",0,IF(ISNUMBER(INDEX($A:$AP,ROW(),$G$6)),INDEX($A:$AP,ROW(),$G$6),IFERROR(--SUBSTITUTE(SUBSTITUTE(TRIM(INDEX($A:$AP,ROW(),$G$6)),",",""),"원",""),0))))</f>
        <v/>
      </c>
      <c r="AV607" s="23">
        <f>IF($AS607="","",IF($H$6="",$AT607+$AU607,IF($H$6="",0,IF(ISNUMBER(INDEX($A:$AP,ROW(),$H$6)),INDEX($A:$AP,ROW(),$H$6),IFERROR(--SUBSTITUTE(SUBSTITUTE(TRIM(INDEX($A:$AP,ROW(),$H$6)),",",""),"원",""),0)))))</f>
        <v/>
      </c>
      <c r="AW607" s="2">
        <f>IF(OR($AS607="",$C$6=""),"",TRIM(INDEX($A:$AP,ROW(),$C$6)&amp;""))</f>
        <v/>
      </c>
      <c r="AX607" s="2">
        <f>IF($AS607="","",IF($AZ607&lt;&gt;"",SUBSTITUTE(SUBSTITUTE($AZ607,"-","")," ",""),$AY607))</f>
        <v/>
      </c>
      <c r="AY607" s="2">
        <f>IF(OR($AS607="",$E$6=""),"",TRIM(INDEX($A:$AP,ROW(),$E$6)&amp;""))</f>
        <v/>
      </c>
      <c r="AZ607" s="2">
        <f>IF(OR($AS607="",$D$6=""),"",TRIM(INDEX($A:$AP,ROW(),$D$6)&amp;""))</f>
        <v/>
      </c>
      <c r="BA607" s="2">
        <f>IF($AS607="","",IF(AND($AS607&gt;=설정!$B$10,$AS607&lt;=설정!$B$11),"포함","기간 밖"))</f>
        <v/>
      </c>
      <c r="BB607" s="2">
        <f>IF($AS607="","",IF(OR($AT607&lt;0,AND($I$6&lt;&gt;"",ISNUMBER(FIND("수정",INDEX($A:$AP,ROW(),IF($I$6="",1,$I$6))&amp;"")))),"수정","일반"))</f>
        <v/>
      </c>
      <c r="BC607" s="2">
        <f>IF($AS607="","",MID(IF($BA607="기간 밖"," / 기간 밖(신고기간 아님)","")&amp;IF(AND($AW607&lt;&gt;"",COUNTIF($AW$8:$AW$1007,$AW607)&gt;1)," / 승인번호 중복(두 번 붙여넣기?)","")&amp;IF(ABS($AU607-ROUND($AT607*0.1,0))&gt;설정!$B$8,IF($AU607=0," / 세액 0원(영세율·면세 여부 확인)"," / 세액이 공급가액 10%와 다름"),"")&amp;IF($BB607="수정"," / 수정세금계산서(합계에서 자동 가감)",""),4,200))</f>
        <v/>
      </c>
      <c r="BD607" s="2">
        <f>IF($BA607&lt;&gt;"포함","",IF(COUNTIFS($AX$8:$AX607,$AX607,$BA$8:$BA607,"포함")=1,MAX($BD$7:BD606)+1,""))</f>
        <v/>
      </c>
      <c r="BE607" s="2">
        <f>IF($BC607="","",MAX($BE$7:BE606)+1)</f>
        <v/>
      </c>
    </row>
    <row r="608">
      <c r="AR608" s="2">
        <f>IF(OR($A$5="",$B$6="",ROW()&lt;$A$5),"",IF(INDEX($A:$AP,ROW(),$B$6)="","",INDEX($A:$AP,ROW(),$B$6)))</f>
        <v/>
      </c>
      <c r="AS608" s="22">
        <f>IF($AR608="","",IF(ISNUMBER($AR608),IF($AR608&gt;=10000000,IFERROR(DATE(INT($AR608/10000),MOD(INT($AR608/100),100),MOD($AR608,100)),""),INT($AR608)),IFERROR(DATE(--LEFT(LEFT(SUBSTITUTE(SUBSTITUTE(SUBSTITUTE(SUBSTITUTE(TRIM($AR608),"-",""),".",""),"/","")," ",""),8),4),--MID(LEFT(SUBSTITUTE(SUBSTITUTE(SUBSTITUTE(SUBSTITUTE(TRIM($AR608),"-",""),".",""),"/","")," ",""),8),5,2),--MID(LEFT(SUBSTITUTE(SUBSTITUTE(SUBSTITUTE(SUBSTITUTE(TRIM($AR608),"-",""),".",""),"/","")," ",""),8),7,2)),"")))</f>
        <v/>
      </c>
      <c r="AT608" s="23">
        <f>IF($AS608="","",IF($F$6="",0,IF(ISNUMBER(INDEX($A:$AP,ROW(),$F$6)),INDEX($A:$AP,ROW(),$F$6),IFERROR(--SUBSTITUTE(SUBSTITUTE(TRIM(INDEX($A:$AP,ROW(),$F$6)),",",""),"원",""),0))))</f>
        <v/>
      </c>
      <c r="AU608" s="23">
        <f>IF($AS608="","",IF($G$6="",0,IF(ISNUMBER(INDEX($A:$AP,ROW(),$G$6)),INDEX($A:$AP,ROW(),$G$6),IFERROR(--SUBSTITUTE(SUBSTITUTE(TRIM(INDEX($A:$AP,ROW(),$G$6)),",",""),"원",""),0))))</f>
        <v/>
      </c>
      <c r="AV608" s="23">
        <f>IF($AS608="","",IF($H$6="",$AT608+$AU608,IF($H$6="",0,IF(ISNUMBER(INDEX($A:$AP,ROW(),$H$6)),INDEX($A:$AP,ROW(),$H$6),IFERROR(--SUBSTITUTE(SUBSTITUTE(TRIM(INDEX($A:$AP,ROW(),$H$6)),",",""),"원",""),0)))))</f>
        <v/>
      </c>
      <c r="AW608" s="2">
        <f>IF(OR($AS608="",$C$6=""),"",TRIM(INDEX($A:$AP,ROW(),$C$6)&amp;""))</f>
        <v/>
      </c>
      <c r="AX608" s="2">
        <f>IF($AS608="","",IF($AZ608&lt;&gt;"",SUBSTITUTE(SUBSTITUTE($AZ608,"-","")," ",""),$AY608))</f>
        <v/>
      </c>
      <c r="AY608" s="2">
        <f>IF(OR($AS608="",$E$6=""),"",TRIM(INDEX($A:$AP,ROW(),$E$6)&amp;""))</f>
        <v/>
      </c>
      <c r="AZ608" s="2">
        <f>IF(OR($AS608="",$D$6=""),"",TRIM(INDEX($A:$AP,ROW(),$D$6)&amp;""))</f>
        <v/>
      </c>
      <c r="BA608" s="2">
        <f>IF($AS608="","",IF(AND($AS608&gt;=설정!$B$10,$AS608&lt;=설정!$B$11),"포함","기간 밖"))</f>
        <v/>
      </c>
      <c r="BB608" s="2">
        <f>IF($AS608="","",IF(OR($AT608&lt;0,AND($I$6&lt;&gt;"",ISNUMBER(FIND("수정",INDEX($A:$AP,ROW(),IF($I$6="",1,$I$6))&amp;"")))),"수정","일반"))</f>
        <v/>
      </c>
      <c r="BC608" s="2">
        <f>IF($AS608="","",MID(IF($BA608="기간 밖"," / 기간 밖(신고기간 아님)","")&amp;IF(AND($AW608&lt;&gt;"",COUNTIF($AW$8:$AW$1007,$AW608)&gt;1)," / 승인번호 중복(두 번 붙여넣기?)","")&amp;IF(ABS($AU608-ROUND($AT608*0.1,0))&gt;설정!$B$8,IF($AU608=0," / 세액 0원(영세율·면세 여부 확인)"," / 세액이 공급가액 10%와 다름"),"")&amp;IF($BB608="수정"," / 수정세금계산서(합계에서 자동 가감)",""),4,200))</f>
        <v/>
      </c>
      <c r="BD608" s="2">
        <f>IF($BA608&lt;&gt;"포함","",IF(COUNTIFS($AX$8:$AX608,$AX608,$BA$8:$BA608,"포함")=1,MAX($BD$7:BD607)+1,""))</f>
        <v/>
      </c>
      <c r="BE608" s="2">
        <f>IF($BC608="","",MAX($BE$7:BE607)+1)</f>
        <v/>
      </c>
    </row>
    <row r="609">
      <c r="AR609" s="2">
        <f>IF(OR($A$5="",$B$6="",ROW()&lt;$A$5),"",IF(INDEX($A:$AP,ROW(),$B$6)="","",INDEX($A:$AP,ROW(),$B$6)))</f>
        <v/>
      </c>
      <c r="AS609" s="22">
        <f>IF($AR609="","",IF(ISNUMBER($AR609),IF($AR609&gt;=10000000,IFERROR(DATE(INT($AR609/10000),MOD(INT($AR609/100),100),MOD($AR609,100)),""),INT($AR609)),IFERROR(DATE(--LEFT(LEFT(SUBSTITUTE(SUBSTITUTE(SUBSTITUTE(SUBSTITUTE(TRIM($AR609),"-",""),".",""),"/","")," ",""),8),4),--MID(LEFT(SUBSTITUTE(SUBSTITUTE(SUBSTITUTE(SUBSTITUTE(TRIM($AR609),"-",""),".",""),"/","")," ",""),8),5,2),--MID(LEFT(SUBSTITUTE(SUBSTITUTE(SUBSTITUTE(SUBSTITUTE(TRIM($AR609),"-",""),".",""),"/","")," ",""),8),7,2)),"")))</f>
        <v/>
      </c>
      <c r="AT609" s="23">
        <f>IF($AS609="","",IF($F$6="",0,IF(ISNUMBER(INDEX($A:$AP,ROW(),$F$6)),INDEX($A:$AP,ROW(),$F$6),IFERROR(--SUBSTITUTE(SUBSTITUTE(TRIM(INDEX($A:$AP,ROW(),$F$6)),",",""),"원",""),0))))</f>
        <v/>
      </c>
      <c r="AU609" s="23">
        <f>IF($AS609="","",IF($G$6="",0,IF(ISNUMBER(INDEX($A:$AP,ROW(),$G$6)),INDEX($A:$AP,ROW(),$G$6),IFERROR(--SUBSTITUTE(SUBSTITUTE(TRIM(INDEX($A:$AP,ROW(),$G$6)),",",""),"원",""),0))))</f>
        <v/>
      </c>
      <c r="AV609" s="23">
        <f>IF($AS609="","",IF($H$6="",$AT609+$AU609,IF($H$6="",0,IF(ISNUMBER(INDEX($A:$AP,ROW(),$H$6)),INDEX($A:$AP,ROW(),$H$6),IFERROR(--SUBSTITUTE(SUBSTITUTE(TRIM(INDEX($A:$AP,ROW(),$H$6)),",",""),"원",""),0)))))</f>
        <v/>
      </c>
      <c r="AW609" s="2">
        <f>IF(OR($AS609="",$C$6=""),"",TRIM(INDEX($A:$AP,ROW(),$C$6)&amp;""))</f>
        <v/>
      </c>
      <c r="AX609" s="2">
        <f>IF($AS609="","",IF($AZ609&lt;&gt;"",SUBSTITUTE(SUBSTITUTE($AZ609,"-","")," ",""),$AY609))</f>
        <v/>
      </c>
      <c r="AY609" s="2">
        <f>IF(OR($AS609="",$E$6=""),"",TRIM(INDEX($A:$AP,ROW(),$E$6)&amp;""))</f>
        <v/>
      </c>
      <c r="AZ609" s="2">
        <f>IF(OR($AS609="",$D$6=""),"",TRIM(INDEX($A:$AP,ROW(),$D$6)&amp;""))</f>
        <v/>
      </c>
      <c r="BA609" s="2">
        <f>IF($AS609="","",IF(AND($AS609&gt;=설정!$B$10,$AS609&lt;=설정!$B$11),"포함","기간 밖"))</f>
        <v/>
      </c>
      <c r="BB609" s="2">
        <f>IF($AS609="","",IF(OR($AT609&lt;0,AND($I$6&lt;&gt;"",ISNUMBER(FIND("수정",INDEX($A:$AP,ROW(),IF($I$6="",1,$I$6))&amp;"")))),"수정","일반"))</f>
        <v/>
      </c>
      <c r="BC609" s="2">
        <f>IF($AS609="","",MID(IF($BA609="기간 밖"," / 기간 밖(신고기간 아님)","")&amp;IF(AND($AW609&lt;&gt;"",COUNTIF($AW$8:$AW$1007,$AW609)&gt;1)," / 승인번호 중복(두 번 붙여넣기?)","")&amp;IF(ABS($AU609-ROUND($AT609*0.1,0))&gt;설정!$B$8,IF($AU609=0," / 세액 0원(영세율·면세 여부 확인)"," / 세액이 공급가액 10%와 다름"),"")&amp;IF($BB609="수정"," / 수정세금계산서(합계에서 자동 가감)",""),4,200))</f>
        <v/>
      </c>
      <c r="BD609" s="2">
        <f>IF($BA609&lt;&gt;"포함","",IF(COUNTIFS($AX$8:$AX609,$AX609,$BA$8:$BA609,"포함")=1,MAX($BD$7:BD608)+1,""))</f>
        <v/>
      </c>
      <c r="BE609" s="2">
        <f>IF($BC609="","",MAX($BE$7:BE608)+1)</f>
        <v/>
      </c>
    </row>
    <row r="610">
      <c r="AR610" s="2">
        <f>IF(OR($A$5="",$B$6="",ROW()&lt;$A$5),"",IF(INDEX($A:$AP,ROW(),$B$6)="","",INDEX($A:$AP,ROW(),$B$6)))</f>
        <v/>
      </c>
      <c r="AS610" s="22">
        <f>IF($AR610="","",IF(ISNUMBER($AR610),IF($AR610&gt;=10000000,IFERROR(DATE(INT($AR610/10000),MOD(INT($AR610/100),100),MOD($AR610,100)),""),INT($AR610)),IFERROR(DATE(--LEFT(LEFT(SUBSTITUTE(SUBSTITUTE(SUBSTITUTE(SUBSTITUTE(TRIM($AR610),"-",""),".",""),"/","")," ",""),8),4),--MID(LEFT(SUBSTITUTE(SUBSTITUTE(SUBSTITUTE(SUBSTITUTE(TRIM($AR610),"-",""),".",""),"/","")," ",""),8),5,2),--MID(LEFT(SUBSTITUTE(SUBSTITUTE(SUBSTITUTE(SUBSTITUTE(TRIM($AR610),"-",""),".",""),"/","")," ",""),8),7,2)),"")))</f>
        <v/>
      </c>
      <c r="AT610" s="23">
        <f>IF($AS610="","",IF($F$6="",0,IF(ISNUMBER(INDEX($A:$AP,ROW(),$F$6)),INDEX($A:$AP,ROW(),$F$6),IFERROR(--SUBSTITUTE(SUBSTITUTE(TRIM(INDEX($A:$AP,ROW(),$F$6)),",",""),"원",""),0))))</f>
        <v/>
      </c>
      <c r="AU610" s="23">
        <f>IF($AS610="","",IF($G$6="",0,IF(ISNUMBER(INDEX($A:$AP,ROW(),$G$6)),INDEX($A:$AP,ROW(),$G$6),IFERROR(--SUBSTITUTE(SUBSTITUTE(TRIM(INDEX($A:$AP,ROW(),$G$6)),",",""),"원",""),0))))</f>
        <v/>
      </c>
      <c r="AV610" s="23">
        <f>IF($AS610="","",IF($H$6="",$AT610+$AU610,IF($H$6="",0,IF(ISNUMBER(INDEX($A:$AP,ROW(),$H$6)),INDEX($A:$AP,ROW(),$H$6),IFERROR(--SUBSTITUTE(SUBSTITUTE(TRIM(INDEX($A:$AP,ROW(),$H$6)),",",""),"원",""),0)))))</f>
        <v/>
      </c>
      <c r="AW610" s="2">
        <f>IF(OR($AS610="",$C$6=""),"",TRIM(INDEX($A:$AP,ROW(),$C$6)&amp;""))</f>
        <v/>
      </c>
      <c r="AX610" s="2">
        <f>IF($AS610="","",IF($AZ610&lt;&gt;"",SUBSTITUTE(SUBSTITUTE($AZ610,"-","")," ",""),$AY610))</f>
        <v/>
      </c>
      <c r="AY610" s="2">
        <f>IF(OR($AS610="",$E$6=""),"",TRIM(INDEX($A:$AP,ROW(),$E$6)&amp;""))</f>
        <v/>
      </c>
      <c r="AZ610" s="2">
        <f>IF(OR($AS610="",$D$6=""),"",TRIM(INDEX($A:$AP,ROW(),$D$6)&amp;""))</f>
        <v/>
      </c>
      <c r="BA610" s="2">
        <f>IF($AS610="","",IF(AND($AS610&gt;=설정!$B$10,$AS610&lt;=설정!$B$11),"포함","기간 밖"))</f>
        <v/>
      </c>
      <c r="BB610" s="2">
        <f>IF($AS610="","",IF(OR($AT610&lt;0,AND($I$6&lt;&gt;"",ISNUMBER(FIND("수정",INDEX($A:$AP,ROW(),IF($I$6="",1,$I$6))&amp;"")))),"수정","일반"))</f>
        <v/>
      </c>
      <c r="BC610" s="2">
        <f>IF($AS610="","",MID(IF($BA610="기간 밖"," / 기간 밖(신고기간 아님)","")&amp;IF(AND($AW610&lt;&gt;"",COUNTIF($AW$8:$AW$1007,$AW610)&gt;1)," / 승인번호 중복(두 번 붙여넣기?)","")&amp;IF(ABS($AU610-ROUND($AT610*0.1,0))&gt;설정!$B$8,IF($AU610=0," / 세액 0원(영세율·면세 여부 확인)"," / 세액이 공급가액 10%와 다름"),"")&amp;IF($BB610="수정"," / 수정세금계산서(합계에서 자동 가감)",""),4,200))</f>
        <v/>
      </c>
      <c r="BD610" s="2">
        <f>IF($BA610&lt;&gt;"포함","",IF(COUNTIFS($AX$8:$AX610,$AX610,$BA$8:$BA610,"포함")=1,MAX($BD$7:BD609)+1,""))</f>
        <v/>
      </c>
      <c r="BE610" s="2">
        <f>IF($BC610="","",MAX($BE$7:BE609)+1)</f>
        <v/>
      </c>
    </row>
    <row r="611">
      <c r="AR611" s="2">
        <f>IF(OR($A$5="",$B$6="",ROW()&lt;$A$5),"",IF(INDEX($A:$AP,ROW(),$B$6)="","",INDEX($A:$AP,ROW(),$B$6)))</f>
        <v/>
      </c>
      <c r="AS611" s="22">
        <f>IF($AR611="","",IF(ISNUMBER($AR611),IF($AR611&gt;=10000000,IFERROR(DATE(INT($AR611/10000),MOD(INT($AR611/100),100),MOD($AR611,100)),""),INT($AR611)),IFERROR(DATE(--LEFT(LEFT(SUBSTITUTE(SUBSTITUTE(SUBSTITUTE(SUBSTITUTE(TRIM($AR611),"-",""),".",""),"/","")," ",""),8),4),--MID(LEFT(SUBSTITUTE(SUBSTITUTE(SUBSTITUTE(SUBSTITUTE(TRIM($AR611),"-",""),".",""),"/","")," ",""),8),5,2),--MID(LEFT(SUBSTITUTE(SUBSTITUTE(SUBSTITUTE(SUBSTITUTE(TRIM($AR611),"-",""),".",""),"/","")," ",""),8),7,2)),"")))</f>
        <v/>
      </c>
      <c r="AT611" s="23">
        <f>IF($AS611="","",IF($F$6="",0,IF(ISNUMBER(INDEX($A:$AP,ROW(),$F$6)),INDEX($A:$AP,ROW(),$F$6),IFERROR(--SUBSTITUTE(SUBSTITUTE(TRIM(INDEX($A:$AP,ROW(),$F$6)),",",""),"원",""),0))))</f>
        <v/>
      </c>
      <c r="AU611" s="23">
        <f>IF($AS611="","",IF($G$6="",0,IF(ISNUMBER(INDEX($A:$AP,ROW(),$G$6)),INDEX($A:$AP,ROW(),$G$6),IFERROR(--SUBSTITUTE(SUBSTITUTE(TRIM(INDEX($A:$AP,ROW(),$G$6)),",",""),"원",""),0))))</f>
        <v/>
      </c>
      <c r="AV611" s="23">
        <f>IF($AS611="","",IF($H$6="",$AT611+$AU611,IF($H$6="",0,IF(ISNUMBER(INDEX($A:$AP,ROW(),$H$6)),INDEX($A:$AP,ROW(),$H$6),IFERROR(--SUBSTITUTE(SUBSTITUTE(TRIM(INDEX($A:$AP,ROW(),$H$6)),",",""),"원",""),0)))))</f>
        <v/>
      </c>
      <c r="AW611" s="2">
        <f>IF(OR($AS611="",$C$6=""),"",TRIM(INDEX($A:$AP,ROW(),$C$6)&amp;""))</f>
        <v/>
      </c>
      <c r="AX611" s="2">
        <f>IF($AS611="","",IF($AZ611&lt;&gt;"",SUBSTITUTE(SUBSTITUTE($AZ611,"-","")," ",""),$AY611))</f>
        <v/>
      </c>
      <c r="AY611" s="2">
        <f>IF(OR($AS611="",$E$6=""),"",TRIM(INDEX($A:$AP,ROW(),$E$6)&amp;""))</f>
        <v/>
      </c>
      <c r="AZ611" s="2">
        <f>IF(OR($AS611="",$D$6=""),"",TRIM(INDEX($A:$AP,ROW(),$D$6)&amp;""))</f>
        <v/>
      </c>
      <c r="BA611" s="2">
        <f>IF($AS611="","",IF(AND($AS611&gt;=설정!$B$10,$AS611&lt;=설정!$B$11),"포함","기간 밖"))</f>
        <v/>
      </c>
      <c r="BB611" s="2">
        <f>IF($AS611="","",IF(OR($AT611&lt;0,AND($I$6&lt;&gt;"",ISNUMBER(FIND("수정",INDEX($A:$AP,ROW(),IF($I$6="",1,$I$6))&amp;"")))),"수정","일반"))</f>
        <v/>
      </c>
      <c r="BC611" s="2">
        <f>IF($AS611="","",MID(IF($BA611="기간 밖"," / 기간 밖(신고기간 아님)","")&amp;IF(AND($AW611&lt;&gt;"",COUNTIF($AW$8:$AW$1007,$AW611)&gt;1)," / 승인번호 중복(두 번 붙여넣기?)","")&amp;IF(ABS($AU611-ROUND($AT611*0.1,0))&gt;설정!$B$8,IF($AU611=0," / 세액 0원(영세율·면세 여부 확인)"," / 세액이 공급가액 10%와 다름"),"")&amp;IF($BB611="수정"," / 수정세금계산서(합계에서 자동 가감)",""),4,200))</f>
        <v/>
      </c>
      <c r="BD611" s="2">
        <f>IF($BA611&lt;&gt;"포함","",IF(COUNTIFS($AX$8:$AX611,$AX611,$BA$8:$BA611,"포함")=1,MAX($BD$7:BD610)+1,""))</f>
        <v/>
      </c>
      <c r="BE611" s="2">
        <f>IF($BC611="","",MAX($BE$7:BE610)+1)</f>
        <v/>
      </c>
    </row>
    <row r="612">
      <c r="AR612" s="2">
        <f>IF(OR($A$5="",$B$6="",ROW()&lt;$A$5),"",IF(INDEX($A:$AP,ROW(),$B$6)="","",INDEX($A:$AP,ROW(),$B$6)))</f>
        <v/>
      </c>
      <c r="AS612" s="22">
        <f>IF($AR612="","",IF(ISNUMBER($AR612),IF($AR612&gt;=10000000,IFERROR(DATE(INT($AR612/10000),MOD(INT($AR612/100),100),MOD($AR612,100)),""),INT($AR612)),IFERROR(DATE(--LEFT(LEFT(SUBSTITUTE(SUBSTITUTE(SUBSTITUTE(SUBSTITUTE(TRIM($AR612),"-",""),".",""),"/","")," ",""),8),4),--MID(LEFT(SUBSTITUTE(SUBSTITUTE(SUBSTITUTE(SUBSTITUTE(TRIM($AR612),"-",""),".",""),"/","")," ",""),8),5,2),--MID(LEFT(SUBSTITUTE(SUBSTITUTE(SUBSTITUTE(SUBSTITUTE(TRIM($AR612),"-",""),".",""),"/","")," ",""),8),7,2)),"")))</f>
        <v/>
      </c>
      <c r="AT612" s="23">
        <f>IF($AS612="","",IF($F$6="",0,IF(ISNUMBER(INDEX($A:$AP,ROW(),$F$6)),INDEX($A:$AP,ROW(),$F$6),IFERROR(--SUBSTITUTE(SUBSTITUTE(TRIM(INDEX($A:$AP,ROW(),$F$6)),",",""),"원",""),0))))</f>
        <v/>
      </c>
      <c r="AU612" s="23">
        <f>IF($AS612="","",IF($G$6="",0,IF(ISNUMBER(INDEX($A:$AP,ROW(),$G$6)),INDEX($A:$AP,ROW(),$G$6),IFERROR(--SUBSTITUTE(SUBSTITUTE(TRIM(INDEX($A:$AP,ROW(),$G$6)),",",""),"원",""),0))))</f>
        <v/>
      </c>
      <c r="AV612" s="23">
        <f>IF($AS612="","",IF($H$6="",$AT612+$AU612,IF($H$6="",0,IF(ISNUMBER(INDEX($A:$AP,ROW(),$H$6)),INDEX($A:$AP,ROW(),$H$6),IFERROR(--SUBSTITUTE(SUBSTITUTE(TRIM(INDEX($A:$AP,ROW(),$H$6)),",",""),"원",""),0)))))</f>
        <v/>
      </c>
      <c r="AW612" s="2">
        <f>IF(OR($AS612="",$C$6=""),"",TRIM(INDEX($A:$AP,ROW(),$C$6)&amp;""))</f>
        <v/>
      </c>
      <c r="AX612" s="2">
        <f>IF($AS612="","",IF($AZ612&lt;&gt;"",SUBSTITUTE(SUBSTITUTE($AZ612,"-","")," ",""),$AY612))</f>
        <v/>
      </c>
      <c r="AY612" s="2">
        <f>IF(OR($AS612="",$E$6=""),"",TRIM(INDEX($A:$AP,ROW(),$E$6)&amp;""))</f>
        <v/>
      </c>
      <c r="AZ612" s="2">
        <f>IF(OR($AS612="",$D$6=""),"",TRIM(INDEX($A:$AP,ROW(),$D$6)&amp;""))</f>
        <v/>
      </c>
      <c r="BA612" s="2">
        <f>IF($AS612="","",IF(AND($AS612&gt;=설정!$B$10,$AS612&lt;=설정!$B$11),"포함","기간 밖"))</f>
        <v/>
      </c>
      <c r="BB612" s="2">
        <f>IF($AS612="","",IF(OR($AT612&lt;0,AND($I$6&lt;&gt;"",ISNUMBER(FIND("수정",INDEX($A:$AP,ROW(),IF($I$6="",1,$I$6))&amp;"")))),"수정","일반"))</f>
        <v/>
      </c>
      <c r="BC612" s="2">
        <f>IF($AS612="","",MID(IF($BA612="기간 밖"," / 기간 밖(신고기간 아님)","")&amp;IF(AND($AW612&lt;&gt;"",COUNTIF($AW$8:$AW$1007,$AW612)&gt;1)," / 승인번호 중복(두 번 붙여넣기?)","")&amp;IF(ABS($AU612-ROUND($AT612*0.1,0))&gt;설정!$B$8,IF($AU612=0," / 세액 0원(영세율·면세 여부 확인)"," / 세액이 공급가액 10%와 다름"),"")&amp;IF($BB612="수정"," / 수정세금계산서(합계에서 자동 가감)",""),4,200))</f>
        <v/>
      </c>
      <c r="BD612" s="2">
        <f>IF($BA612&lt;&gt;"포함","",IF(COUNTIFS($AX$8:$AX612,$AX612,$BA$8:$BA612,"포함")=1,MAX($BD$7:BD611)+1,""))</f>
        <v/>
      </c>
      <c r="BE612" s="2">
        <f>IF($BC612="","",MAX($BE$7:BE611)+1)</f>
        <v/>
      </c>
    </row>
    <row r="613">
      <c r="AR613" s="2">
        <f>IF(OR($A$5="",$B$6="",ROW()&lt;$A$5),"",IF(INDEX($A:$AP,ROW(),$B$6)="","",INDEX($A:$AP,ROW(),$B$6)))</f>
        <v/>
      </c>
      <c r="AS613" s="22">
        <f>IF($AR613="","",IF(ISNUMBER($AR613),IF($AR613&gt;=10000000,IFERROR(DATE(INT($AR613/10000),MOD(INT($AR613/100),100),MOD($AR613,100)),""),INT($AR613)),IFERROR(DATE(--LEFT(LEFT(SUBSTITUTE(SUBSTITUTE(SUBSTITUTE(SUBSTITUTE(TRIM($AR613),"-",""),".",""),"/","")," ",""),8),4),--MID(LEFT(SUBSTITUTE(SUBSTITUTE(SUBSTITUTE(SUBSTITUTE(TRIM($AR613),"-",""),".",""),"/","")," ",""),8),5,2),--MID(LEFT(SUBSTITUTE(SUBSTITUTE(SUBSTITUTE(SUBSTITUTE(TRIM($AR613),"-",""),".",""),"/","")," ",""),8),7,2)),"")))</f>
        <v/>
      </c>
      <c r="AT613" s="23">
        <f>IF($AS613="","",IF($F$6="",0,IF(ISNUMBER(INDEX($A:$AP,ROW(),$F$6)),INDEX($A:$AP,ROW(),$F$6),IFERROR(--SUBSTITUTE(SUBSTITUTE(TRIM(INDEX($A:$AP,ROW(),$F$6)),",",""),"원",""),0))))</f>
        <v/>
      </c>
      <c r="AU613" s="23">
        <f>IF($AS613="","",IF($G$6="",0,IF(ISNUMBER(INDEX($A:$AP,ROW(),$G$6)),INDEX($A:$AP,ROW(),$G$6),IFERROR(--SUBSTITUTE(SUBSTITUTE(TRIM(INDEX($A:$AP,ROW(),$G$6)),",",""),"원",""),0))))</f>
        <v/>
      </c>
      <c r="AV613" s="23">
        <f>IF($AS613="","",IF($H$6="",$AT613+$AU613,IF($H$6="",0,IF(ISNUMBER(INDEX($A:$AP,ROW(),$H$6)),INDEX($A:$AP,ROW(),$H$6),IFERROR(--SUBSTITUTE(SUBSTITUTE(TRIM(INDEX($A:$AP,ROW(),$H$6)),",",""),"원",""),0)))))</f>
        <v/>
      </c>
      <c r="AW613" s="2">
        <f>IF(OR($AS613="",$C$6=""),"",TRIM(INDEX($A:$AP,ROW(),$C$6)&amp;""))</f>
        <v/>
      </c>
      <c r="AX613" s="2">
        <f>IF($AS613="","",IF($AZ613&lt;&gt;"",SUBSTITUTE(SUBSTITUTE($AZ613,"-","")," ",""),$AY613))</f>
        <v/>
      </c>
      <c r="AY613" s="2">
        <f>IF(OR($AS613="",$E$6=""),"",TRIM(INDEX($A:$AP,ROW(),$E$6)&amp;""))</f>
        <v/>
      </c>
      <c r="AZ613" s="2">
        <f>IF(OR($AS613="",$D$6=""),"",TRIM(INDEX($A:$AP,ROW(),$D$6)&amp;""))</f>
        <v/>
      </c>
      <c r="BA613" s="2">
        <f>IF($AS613="","",IF(AND($AS613&gt;=설정!$B$10,$AS613&lt;=설정!$B$11),"포함","기간 밖"))</f>
        <v/>
      </c>
      <c r="BB613" s="2">
        <f>IF($AS613="","",IF(OR($AT613&lt;0,AND($I$6&lt;&gt;"",ISNUMBER(FIND("수정",INDEX($A:$AP,ROW(),IF($I$6="",1,$I$6))&amp;"")))),"수정","일반"))</f>
        <v/>
      </c>
      <c r="BC613" s="2">
        <f>IF($AS613="","",MID(IF($BA613="기간 밖"," / 기간 밖(신고기간 아님)","")&amp;IF(AND($AW613&lt;&gt;"",COUNTIF($AW$8:$AW$1007,$AW613)&gt;1)," / 승인번호 중복(두 번 붙여넣기?)","")&amp;IF(ABS($AU613-ROUND($AT613*0.1,0))&gt;설정!$B$8,IF($AU613=0," / 세액 0원(영세율·면세 여부 확인)"," / 세액이 공급가액 10%와 다름"),"")&amp;IF($BB613="수정"," / 수정세금계산서(합계에서 자동 가감)",""),4,200))</f>
        <v/>
      </c>
      <c r="BD613" s="2">
        <f>IF($BA613&lt;&gt;"포함","",IF(COUNTIFS($AX$8:$AX613,$AX613,$BA$8:$BA613,"포함")=1,MAX($BD$7:BD612)+1,""))</f>
        <v/>
      </c>
      <c r="BE613" s="2">
        <f>IF($BC613="","",MAX($BE$7:BE612)+1)</f>
        <v/>
      </c>
    </row>
    <row r="614">
      <c r="AR614" s="2">
        <f>IF(OR($A$5="",$B$6="",ROW()&lt;$A$5),"",IF(INDEX($A:$AP,ROW(),$B$6)="","",INDEX($A:$AP,ROW(),$B$6)))</f>
        <v/>
      </c>
      <c r="AS614" s="22">
        <f>IF($AR614="","",IF(ISNUMBER($AR614),IF($AR614&gt;=10000000,IFERROR(DATE(INT($AR614/10000),MOD(INT($AR614/100),100),MOD($AR614,100)),""),INT($AR614)),IFERROR(DATE(--LEFT(LEFT(SUBSTITUTE(SUBSTITUTE(SUBSTITUTE(SUBSTITUTE(TRIM($AR614),"-",""),".",""),"/","")," ",""),8),4),--MID(LEFT(SUBSTITUTE(SUBSTITUTE(SUBSTITUTE(SUBSTITUTE(TRIM($AR614),"-",""),".",""),"/","")," ",""),8),5,2),--MID(LEFT(SUBSTITUTE(SUBSTITUTE(SUBSTITUTE(SUBSTITUTE(TRIM($AR614),"-",""),".",""),"/","")," ",""),8),7,2)),"")))</f>
        <v/>
      </c>
      <c r="AT614" s="23">
        <f>IF($AS614="","",IF($F$6="",0,IF(ISNUMBER(INDEX($A:$AP,ROW(),$F$6)),INDEX($A:$AP,ROW(),$F$6),IFERROR(--SUBSTITUTE(SUBSTITUTE(TRIM(INDEX($A:$AP,ROW(),$F$6)),",",""),"원",""),0))))</f>
        <v/>
      </c>
      <c r="AU614" s="23">
        <f>IF($AS614="","",IF($G$6="",0,IF(ISNUMBER(INDEX($A:$AP,ROW(),$G$6)),INDEX($A:$AP,ROW(),$G$6),IFERROR(--SUBSTITUTE(SUBSTITUTE(TRIM(INDEX($A:$AP,ROW(),$G$6)),",",""),"원",""),0))))</f>
        <v/>
      </c>
      <c r="AV614" s="23">
        <f>IF($AS614="","",IF($H$6="",$AT614+$AU614,IF($H$6="",0,IF(ISNUMBER(INDEX($A:$AP,ROW(),$H$6)),INDEX($A:$AP,ROW(),$H$6),IFERROR(--SUBSTITUTE(SUBSTITUTE(TRIM(INDEX($A:$AP,ROW(),$H$6)),",",""),"원",""),0)))))</f>
        <v/>
      </c>
      <c r="AW614" s="2">
        <f>IF(OR($AS614="",$C$6=""),"",TRIM(INDEX($A:$AP,ROW(),$C$6)&amp;""))</f>
        <v/>
      </c>
      <c r="AX614" s="2">
        <f>IF($AS614="","",IF($AZ614&lt;&gt;"",SUBSTITUTE(SUBSTITUTE($AZ614,"-","")," ",""),$AY614))</f>
        <v/>
      </c>
      <c r="AY614" s="2">
        <f>IF(OR($AS614="",$E$6=""),"",TRIM(INDEX($A:$AP,ROW(),$E$6)&amp;""))</f>
        <v/>
      </c>
      <c r="AZ614" s="2">
        <f>IF(OR($AS614="",$D$6=""),"",TRIM(INDEX($A:$AP,ROW(),$D$6)&amp;""))</f>
        <v/>
      </c>
      <c r="BA614" s="2">
        <f>IF($AS614="","",IF(AND($AS614&gt;=설정!$B$10,$AS614&lt;=설정!$B$11),"포함","기간 밖"))</f>
        <v/>
      </c>
      <c r="BB614" s="2">
        <f>IF($AS614="","",IF(OR($AT614&lt;0,AND($I$6&lt;&gt;"",ISNUMBER(FIND("수정",INDEX($A:$AP,ROW(),IF($I$6="",1,$I$6))&amp;"")))),"수정","일반"))</f>
        <v/>
      </c>
      <c r="BC614" s="2">
        <f>IF($AS614="","",MID(IF($BA614="기간 밖"," / 기간 밖(신고기간 아님)","")&amp;IF(AND($AW614&lt;&gt;"",COUNTIF($AW$8:$AW$1007,$AW614)&gt;1)," / 승인번호 중복(두 번 붙여넣기?)","")&amp;IF(ABS($AU614-ROUND($AT614*0.1,0))&gt;설정!$B$8,IF($AU614=0," / 세액 0원(영세율·면세 여부 확인)"," / 세액이 공급가액 10%와 다름"),"")&amp;IF($BB614="수정"," / 수정세금계산서(합계에서 자동 가감)",""),4,200))</f>
        <v/>
      </c>
      <c r="BD614" s="2">
        <f>IF($BA614&lt;&gt;"포함","",IF(COUNTIFS($AX$8:$AX614,$AX614,$BA$8:$BA614,"포함")=1,MAX($BD$7:BD613)+1,""))</f>
        <v/>
      </c>
      <c r="BE614" s="2">
        <f>IF($BC614="","",MAX($BE$7:BE613)+1)</f>
        <v/>
      </c>
    </row>
    <row r="615">
      <c r="AR615" s="2">
        <f>IF(OR($A$5="",$B$6="",ROW()&lt;$A$5),"",IF(INDEX($A:$AP,ROW(),$B$6)="","",INDEX($A:$AP,ROW(),$B$6)))</f>
        <v/>
      </c>
      <c r="AS615" s="22">
        <f>IF($AR615="","",IF(ISNUMBER($AR615),IF($AR615&gt;=10000000,IFERROR(DATE(INT($AR615/10000),MOD(INT($AR615/100),100),MOD($AR615,100)),""),INT($AR615)),IFERROR(DATE(--LEFT(LEFT(SUBSTITUTE(SUBSTITUTE(SUBSTITUTE(SUBSTITUTE(TRIM($AR615),"-",""),".",""),"/","")," ",""),8),4),--MID(LEFT(SUBSTITUTE(SUBSTITUTE(SUBSTITUTE(SUBSTITUTE(TRIM($AR615),"-",""),".",""),"/","")," ",""),8),5,2),--MID(LEFT(SUBSTITUTE(SUBSTITUTE(SUBSTITUTE(SUBSTITUTE(TRIM($AR615),"-",""),".",""),"/","")," ",""),8),7,2)),"")))</f>
        <v/>
      </c>
      <c r="AT615" s="23">
        <f>IF($AS615="","",IF($F$6="",0,IF(ISNUMBER(INDEX($A:$AP,ROW(),$F$6)),INDEX($A:$AP,ROW(),$F$6),IFERROR(--SUBSTITUTE(SUBSTITUTE(TRIM(INDEX($A:$AP,ROW(),$F$6)),",",""),"원",""),0))))</f>
        <v/>
      </c>
      <c r="AU615" s="23">
        <f>IF($AS615="","",IF($G$6="",0,IF(ISNUMBER(INDEX($A:$AP,ROW(),$G$6)),INDEX($A:$AP,ROW(),$G$6),IFERROR(--SUBSTITUTE(SUBSTITUTE(TRIM(INDEX($A:$AP,ROW(),$G$6)),",",""),"원",""),0))))</f>
        <v/>
      </c>
      <c r="AV615" s="23">
        <f>IF($AS615="","",IF($H$6="",$AT615+$AU615,IF($H$6="",0,IF(ISNUMBER(INDEX($A:$AP,ROW(),$H$6)),INDEX($A:$AP,ROW(),$H$6),IFERROR(--SUBSTITUTE(SUBSTITUTE(TRIM(INDEX($A:$AP,ROW(),$H$6)),",",""),"원",""),0)))))</f>
        <v/>
      </c>
      <c r="AW615" s="2">
        <f>IF(OR($AS615="",$C$6=""),"",TRIM(INDEX($A:$AP,ROW(),$C$6)&amp;""))</f>
        <v/>
      </c>
      <c r="AX615" s="2">
        <f>IF($AS615="","",IF($AZ615&lt;&gt;"",SUBSTITUTE(SUBSTITUTE($AZ615,"-","")," ",""),$AY615))</f>
        <v/>
      </c>
      <c r="AY615" s="2">
        <f>IF(OR($AS615="",$E$6=""),"",TRIM(INDEX($A:$AP,ROW(),$E$6)&amp;""))</f>
        <v/>
      </c>
      <c r="AZ615" s="2">
        <f>IF(OR($AS615="",$D$6=""),"",TRIM(INDEX($A:$AP,ROW(),$D$6)&amp;""))</f>
        <v/>
      </c>
      <c r="BA615" s="2">
        <f>IF($AS615="","",IF(AND($AS615&gt;=설정!$B$10,$AS615&lt;=설정!$B$11),"포함","기간 밖"))</f>
        <v/>
      </c>
      <c r="BB615" s="2">
        <f>IF($AS615="","",IF(OR($AT615&lt;0,AND($I$6&lt;&gt;"",ISNUMBER(FIND("수정",INDEX($A:$AP,ROW(),IF($I$6="",1,$I$6))&amp;"")))),"수정","일반"))</f>
        <v/>
      </c>
      <c r="BC615" s="2">
        <f>IF($AS615="","",MID(IF($BA615="기간 밖"," / 기간 밖(신고기간 아님)","")&amp;IF(AND($AW615&lt;&gt;"",COUNTIF($AW$8:$AW$1007,$AW615)&gt;1)," / 승인번호 중복(두 번 붙여넣기?)","")&amp;IF(ABS($AU615-ROUND($AT615*0.1,0))&gt;설정!$B$8,IF($AU615=0," / 세액 0원(영세율·면세 여부 확인)"," / 세액이 공급가액 10%와 다름"),"")&amp;IF($BB615="수정"," / 수정세금계산서(합계에서 자동 가감)",""),4,200))</f>
        <v/>
      </c>
      <c r="BD615" s="2">
        <f>IF($BA615&lt;&gt;"포함","",IF(COUNTIFS($AX$8:$AX615,$AX615,$BA$8:$BA615,"포함")=1,MAX($BD$7:BD614)+1,""))</f>
        <v/>
      </c>
      <c r="BE615" s="2">
        <f>IF($BC615="","",MAX($BE$7:BE614)+1)</f>
        <v/>
      </c>
    </row>
    <row r="616">
      <c r="AR616" s="2">
        <f>IF(OR($A$5="",$B$6="",ROW()&lt;$A$5),"",IF(INDEX($A:$AP,ROW(),$B$6)="","",INDEX($A:$AP,ROW(),$B$6)))</f>
        <v/>
      </c>
      <c r="AS616" s="22">
        <f>IF($AR616="","",IF(ISNUMBER($AR616),IF($AR616&gt;=10000000,IFERROR(DATE(INT($AR616/10000),MOD(INT($AR616/100),100),MOD($AR616,100)),""),INT($AR616)),IFERROR(DATE(--LEFT(LEFT(SUBSTITUTE(SUBSTITUTE(SUBSTITUTE(SUBSTITUTE(TRIM($AR616),"-",""),".",""),"/","")," ",""),8),4),--MID(LEFT(SUBSTITUTE(SUBSTITUTE(SUBSTITUTE(SUBSTITUTE(TRIM($AR616),"-",""),".",""),"/","")," ",""),8),5,2),--MID(LEFT(SUBSTITUTE(SUBSTITUTE(SUBSTITUTE(SUBSTITUTE(TRIM($AR616),"-",""),".",""),"/","")," ",""),8),7,2)),"")))</f>
        <v/>
      </c>
      <c r="AT616" s="23">
        <f>IF($AS616="","",IF($F$6="",0,IF(ISNUMBER(INDEX($A:$AP,ROW(),$F$6)),INDEX($A:$AP,ROW(),$F$6),IFERROR(--SUBSTITUTE(SUBSTITUTE(TRIM(INDEX($A:$AP,ROW(),$F$6)),",",""),"원",""),0))))</f>
        <v/>
      </c>
      <c r="AU616" s="23">
        <f>IF($AS616="","",IF($G$6="",0,IF(ISNUMBER(INDEX($A:$AP,ROW(),$G$6)),INDEX($A:$AP,ROW(),$G$6),IFERROR(--SUBSTITUTE(SUBSTITUTE(TRIM(INDEX($A:$AP,ROW(),$G$6)),",",""),"원",""),0))))</f>
        <v/>
      </c>
      <c r="AV616" s="23">
        <f>IF($AS616="","",IF($H$6="",$AT616+$AU616,IF($H$6="",0,IF(ISNUMBER(INDEX($A:$AP,ROW(),$H$6)),INDEX($A:$AP,ROW(),$H$6),IFERROR(--SUBSTITUTE(SUBSTITUTE(TRIM(INDEX($A:$AP,ROW(),$H$6)),",",""),"원",""),0)))))</f>
        <v/>
      </c>
      <c r="AW616" s="2">
        <f>IF(OR($AS616="",$C$6=""),"",TRIM(INDEX($A:$AP,ROW(),$C$6)&amp;""))</f>
        <v/>
      </c>
      <c r="AX616" s="2">
        <f>IF($AS616="","",IF($AZ616&lt;&gt;"",SUBSTITUTE(SUBSTITUTE($AZ616,"-","")," ",""),$AY616))</f>
        <v/>
      </c>
      <c r="AY616" s="2">
        <f>IF(OR($AS616="",$E$6=""),"",TRIM(INDEX($A:$AP,ROW(),$E$6)&amp;""))</f>
        <v/>
      </c>
      <c r="AZ616" s="2">
        <f>IF(OR($AS616="",$D$6=""),"",TRIM(INDEX($A:$AP,ROW(),$D$6)&amp;""))</f>
        <v/>
      </c>
      <c r="BA616" s="2">
        <f>IF($AS616="","",IF(AND($AS616&gt;=설정!$B$10,$AS616&lt;=설정!$B$11),"포함","기간 밖"))</f>
        <v/>
      </c>
      <c r="BB616" s="2">
        <f>IF($AS616="","",IF(OR($AT616&lt;0,AND($I$6&lt;&gt;"",ISNUMBER(FIND("수정",INDEX($A:$AP,ROW(),IF($I$6="",1,$I$6))&amp;"")))),"수정","일반"))</f>
        <v/>
      </c>
      <c r="BC616" s="2">
        <f>IF($AS616="","",MID(IF($BA616="기간 밖"," / 기간 밖(신고기간 아님)","")&amp;IF(AND($AW616&lt;&gt;"",COUNTIF($AW$8:$AW$1007,$AW616)&gt;1)," / 승인번호 중복(두 번 붙여넣기?)","")&amp;IF(ABS($AU616-ROUND($AT616*0.1,0))&gt;설정!$B$8,IF($AU616=0," / 세액 0원(영세율·면세 여부 확인)"," / 세액이 공급가액 10%와 다름"),"")&amp;IF($BB616="수정"," / 수정세금계산서(합계에서 자동 가감)",""),4,200))</f>
        <v/>
      </c>
      <c r="BD616" s="2">
        <f>IF($BA616&lt;&gt;"포함","",IF(COUNTIFS($AX$8:$AX616,$AX616,$BA$8:$BA616,"포함")=1,MAX($BD$7:BD615)+1,""))</f>
        <v/>
      </c>
      <c r="BE616" s="2">
        <f>IF($BC616="","",MAX($BE$7:BE615)+1)</f>
        <v/>
      </c>
    </row>
    <row r="617">
      <c r="AR617" s="2">
        <f>IF(OR($A$5="",$B$6="",ROW()&lt;$A$5),"",IF(INDEX($A:$AP,ROW(),$B$6)="","",INDEX($A:$AP,ROW(),$B$6)))</f>
        <v/>
      </c>
      <c r="AS617" s="22">
        <f>IF($AR617="","",IF(ISNUMBER($AR617),IF($AR617&gt;=10000000,IFERROR(DATE(INT($AR617/10000),MOD(INT($AR617/100),100),MOD($AR617,100)),""),INT($AR617)),IFERROR(DATE(--LEFT(LEFT(SUBSTITUTE(SUBSTITUTE(SUBSTITUTE(SUBSTITUTE(TRIM($AR617),"-",""),".",""),"/","")," ",""),8),4),--MID(LEFT(SUBSTITUTE(SUBSTITUTE(SUBSTITUTE(SUBSTITUTE(TRIM($AR617),"-",""),".",""),"/","")," ",""),8),5,2),--MID(LEFT(SUBSTITUTE(SUBSTITUTE(SUBSTITUTE(SUBSTITUTE(TRIM($AR617),"-",""),".",""),"/","")," ",""),8),7,2)),"")))</f>
        <v/>
      </c>
      <c r="AT617" s="23">
        <f>IF($AS617="","",IF($F$6="",0,IF(ISNUMBER(INDEX($A:$AP,ROW(),$F$6)),INDEX($A:$AP,ROW(),$F$6),IFERROR(--SUBSTITUTE(SUBSTITUTE(TRIM(INDEX($A:$AP,ROW(),$F$6)),",",""),"원",""),0))))</f>
        <v/>
      </c>
      <c r="AU617" s="23">
        <f>IF($AS617="","",IF($G$6="",0,IF(ISNUMBER(INDEX($A:$AP,ROW(),$G$6)),INDEX($A:$AP,ROW(),$G$6),IFERROR(--SUBSTITUTE(SUBSTITUTE(TRIM(INDEX($A:$AP,ROW(),$G$6)),",",""),"원",""),0))))</f>
        <v/>
      </c>
      <c r="AV617" s="23">
        <f>IF($AS617="","",IF($H$6="",$AT617+$AU617,IF($H$6="",0,IF(ISNUMBER(INDEX($A:$AP,ROW(),$H$6)),INDEX($A:$AP,ROW(),$H$6),IFERROR(--SUBSTITUTE(SUBSTITUTE(TRIM(INDEX($A:$AP,ROW(),$H$6)),",",""),"원",""),0)))))</f>
        <v/>
      </c>
      <c r="AW617" s="2">
        <f>IF(OR($AS617="",$C$6=""),"",TRIM(INDEX($A:$AP,ROW(),$C$6)&amp;""))</f>
        <v/>
      </c>
      <c r="AX617" s="2">
        <f>IF($AS617="","",IF($AZ617&lt;&gt;"",SUBSTITUTE(SUBSTITUTE($AZ617,"-","")," ",""),$AY617))</f>
        <v/>
      </c>
      <c r="AY617" s="2">
        <f>IF(OR($AS617="",$E$6=""),"",TRIM(INDEX($A:$AP,ROW(),$E$6)&amp;""))</f>
        <v/>
      </c>
      <c r="AZ617" s="2">
        <f>IF(OR($AS617="",$D$6=""),"",TRIM(INDEX($A:$AP,ROW(),$D$6)&amp;""))</f>
        <v/>
      </c>
      <c r="BA617" s="2">
        <f>IF($AS617="","",IF(AND($AS617&gt;=설정!$B$10,$AS617&lt;=설정!$B$11),"포함","기간 밖"))</f>
        <v/>
      </c>
      <c r="BB617" s="2">
        <f>IF($AS617="","",IF(OR($AT617&lt;0,AND($I$6&lt;&gt;"",ISNUMBER(FIND("수정",INDEX($A:$AP,ROW(),IF($I$6="",1,$I$6))&amp;"")))),"수정","일반"))</f>
        <v/>
      </c>
      <c r="BC617" s="2">
        <f>IF($AS617="","",MID(IF($BA617="기간 밖"," / 기간 밖(신고기간 아님)","")&amp;IF(AND($AW617&lt;&gt;"",COUNTIF($AW$8:$AW$1007,$AW617)&gt;1)," / 승인번호 중복(두 번 붙여넣기?)","")&amp;IF(ABS($AU617-ROUND($AT617*0.1,0))&gt;설정!$B$8,IF($AU617=0," / 세액 0원(영세율·면세 여부 확인)"," / 세액이 공급가액 10%와 다름"),"")&amp;IF($BB617="수정"," / 수정세금계산서(합계에서 자동 가감)",""),4,200))</f>
        <v/>
      </c>
      <c r="BD617" s="2">
        <f>IF($BA617&lt;&gt;"포함","",IF(COUNTIFS($AX$8:$AX617,$AX617,$BA$8:$BA617,"포함")=1,MAX($BD$7:BD616)+1,""))</f>
        <v/>
      </c>
      <c r="BE617" s="2">
        <f>IF($BC617="","",MAX($BE$7:BE616)+1)</f>
        <v/>
      </c>
    </row>
    <row r="618">
      <c r="AR618" s="2">
        <f>IF(OR($A$5="",$B$6="",ROW()&lt;$A$5),"",IF(INDEX($A:$AP,ROW(),$B$6)="","",INDEX($A:$AP,ROW(),$B$6)))</f>
        <v/>
      </c>
      <c r="AS618" s="22">
        <f>IF($AR618="","",IF(ISNUMBER($AR618),IF($AR618&gt;=10000000,IFERROR(DATE(INT($AR618/10000),MOD(INT($AR618/100),100),MOD($AR618,100)),""),INT($AR618)),IFERROR(DATE(--LEFT(LEFT(SUBSTITUTE(SUBSTITUTE(SUBSTITUTE(SUBSTITUTE(TRIM($AR618),"-",""),".",""),"/","")," ",""),8),4),--MID(LEFT(SUBSTITUTE(SUBSTITUTE(SUBSTITUTE(SUBSTITUTE(TRIM($AR618),"-",""),".",""),"/","")," ",""),8),5,2),--MID(LEFT(SUBSTITUTE(SUBSTITUTE(SUBSTITUTE(SUBSTITUTE(TRIM($AR618),"-",""),".",""),"/","")," ",""),8),7,2)),"")))</f>
        <v/>
      </c>
      <c r="AT618" s="23">
        <f>IF($AS618="","",IF($F$6="",0,IF(ISNUMBER(INDEX($A:$AP,ROW(),$F$6)),INDEX($A:$AP,ROW(),$F$6),IFERROR(--SUBSTITUTE(SUBSTITUTE(TRIM(INDEX($A:$AP,ROW(),$F$6)),",",""),"원",""),0))))</f>
        <v/>
      </c>
      <c r="AU618" s="23">
        <f>IF($AS618="","",IF($G$6="",0,IF(ISNUMBER(INDEX($A:$AP,ROW(),$G$6)),INDEX($A:$AP,ROW(),$G$6),IFERROR(--SUBSTITUTE(SUBSTITUTE(TRIM(INDEX($A:$AP,ROW(),$G$6)),",",""),"원",""),0))))</f>
        <v/>
      </c>
      <c r="AV618" s="23">
        <f>IF($AS618="","",IF($H$6="",$AT618+$AU618,IF($H$6="",0,IF(ISNUMBER(INDEX($A:$AP,ROW(),$H$6)),INDEX($A:$AP,ROW(),$H$6),IFERROR(--SUBSTITUTE(SUBSTITUTE(TRIM(INDEX($A:$AP,ROW(),$H$6)),",",""),"원",""),0)))))</f>
        <v/>
      </c>
      <c r="AW618" s="2">
        <f>IF(OR($AS618="",$C$6=""),"",TRIM(INDEX($A:$AP,ROW(),$C$6)&amp;""))</f>
        <v/>
      </c>
      <c r="AX618" s="2">
        <f>IF($AS618="","",IF($AZ618&lt;&gt;"",SUBSTITUTE(SUBSTITUTE($AZ618,"-","")," ",""),$AY618))</f>
        <v/>
      </c>
      <c r="AY618" s="2">
        <f>IF(OR($AS618="",$E$6=""),"",TRIM(INDEX($A:$AP,ROW(),$E$6)&amp;""))</f>
        <v/>
      </c>
      <c r="AZ618" s="2">
        <f>IF(OR($AS618="",$D$6=""),"",TRIM(INDEX($A:$AP,ROW(),$D$6)&amp;""))</f>
        <v/>
      </c>
      <c r="BA618" s="2">
        <f>IF($AS618="","",IF(AND($AS618&gt;=설정!$B$10,$AS618&lt;=설정!$B$11),"포함","기간 밖"))</f>
        <v/>
      </c>
      <c r="BB618" s="2">
        <f>IF($AS618="","",IF(OR($AT618&lt;0,AND($I$6&lt;&gt;"",ISNUMBER(FIND("수정",INDEX($A:$AP,ROW(),IF($I$6="",1,$I$6))&amp;"")))),"수정","일반"))</f>
        <v/>
      </c>
      <c r="BC618" s="2">
        <f>IF($AS618="","",MID(IF($BA618="기간 밖"," / 기간 밖(신고기간 아님)","")&amp;IF(AND($AW618&lt;&gt;"",COUNTIF($AW$8:$AW$1007,$AW618)&gt;1)," / 승인번호 중복(두 번 붙여넣기?)","")&amp;IF(ABS($AU618-ROUND($AT618*0.1,0))&gt;설정!$B$8,IF($AU618=0," / 세액 0원(영세율·면세 여부 확인)"," / 세액이 공급가액 10%와 다름"),"")&amp;IF($BB618="수정"," / 수정세금계산서(합계에서 자동 가감)",""),4,200))</f>
        <v/>
      </c>
      <c r="BD618" s="2">
        <f>IF($BA618&lt;&gt;"포함","",IF(COUNTIFS($AX$8:$AX618,$AX618,$BA$8:$BA618,"포함")=1,MAX($BD$7:BD617)+1,""))</f>
        <v/>
      </c>
      <c r="BE618" s="2">
        <f>IF($BC618="","",MAX($BE$7:BE617)+1)</f>
        <v/>
      </c>
    </row>
    <row r="619">
      <c r="AR619" s="2">
        <f>IF(OR($A$5="",$B$6="",ROW()&lt;$A$5),"",IF(INDEX($A:$AP,ROW(),$B$6)="","",INDEX($A:$AP,ROW(),$B$6)))</f>
        <v/>
      </c>
      <c r="AS619" s="22">
        <f>IF($AR619="","",IF(ISNUMBER($AR619),IF($AR619&gt;=10000000,IFERROR(DATE(INT($AR619/10000),MOD(INT($AR619/100),100),MOD($AR619,100)),""),INT($AR619)),IFERROR(DATE(--LEFT(LEFT(SUBSTITUTE(SUBSTITUTE(SUBSTITUTE(SUBSTITUTE(TRIM($AR619),"-",""),".",""),"/","")," ",""),8),4),--MID(LEFT(SUBSTITUTE(SUBSTITUTE(SUBSTITUTE(SUBSTITUTE(TRIM($AR619),"-",""),".",""),"/","")," ",""),8),5,2),--MID(LEFT(SUBSTITUTE(SUBSTITUTE(SUBSTITUTE(SUBSTITUTE(TRIM($AR619),"-",""),".",""),"/","")," ",""),8),7,2)),"")))</f>
        <v/>
      </c>
      <c r="AT619" s="23">
        <f>IF($AS619="","",IF($F$6="",0,IF(ISNUMBER(INDEX($A:$AP,ROW(),$F$6)),INDEX($A:$AP,ROW(),$F$6),IFERROR(--SUBSTITUTE(SUBSTITUTE(TRIM(INDEX($A:$AP,ROW(),$F$6)),",",""),"원",""),0))))</f>
        <v/>
      </c>
      <c r="AU619" s="23">
        <f>IF($AS619="","",IF($G$6="",0,IF(ISNUMBER(INDEX($A:$AP,ROW(),$G$6)),INDEX($A:$AP,ROW(),$G$6),IFERROR(--SUBSTITUTE(SUBSTITUTE(TRIM(INDEX($A:$AP,ROW(),$G$6)),",",""),"원",""),0))))</f>
        <v/>
      </c>
      <c r="AV619" s="23">
        <f>IF($AS619="","",IF($H$6="",$AT619+$AU619,IF($H$6="",0,IF(ISNUMBER(INDEX($A:$AP,ROW(),$H$6)),INDEX($A:$AP,ROW(),$H$6),IFERROR(--SUBSTITUTE(SUBSTITUTE(TRIM(INDEX($A:$AP,ROW(),$H$6)),",",""),"원",""),0)))))</f>
        <v/>
      </c>
      <c r="AW619" s="2">
        <f>IF(OR($AS619="",$C$6=""),"",TRIM(INDEX($A:$AP,ROW(),$C$6)&amp;""))</f>
        <v/>
      </c>
      <c r="AX619" s="2">
        <f>IF($AS619="","",IF($AZ619&lt;&gt;"",SUBSTITUTE(SUBSTITUTE($AZ619,"-","")," ",""),$AY619))</f>
        <v/>
      </c>
      <c r="AY619" s="2">
        <f>IF(OR($AS619="",$E$6=""),"",TRIM(INDEX($A:$AP,ROW(),$E$6)&amp;""))</f>
        <v/>
      </c>
      <c r="AZ619" s="2">
        <f>IF(OR($AS619="",$D$6=""),"",TRIM(INDEX($A:$AP,ROW(),$D$6)&amp;""))</f>
        <v/>
      </c>
      <c r="BA619" s="2">
        <f>IF($AS619="","",IF(AND($AS619&gt;=설정!$B$10,$AS619&lt;=설정!$B$11),"포함","기간 밖"))</f>
        <v/>
      </c>
      <c r="BB619" s="2">
        <f>IF($AS619="","",IF(OR($AT619&lt;0,AND($I$6&lt;&gt;"",ISNUMBER(FIND("수정",INDEX($A:$AP,ROW(),IF($I$6="",1,$I$6))&amp;"")))),"수정","일반"))</f>
        <v/>
      </c>
      <c r="BC619" s="2">
        <f>IF($AS619="","",MID(IF($BA619="기간 밖"," / 기간 밖(신고기간 아님)","")&amp;IF(AND($AW619&lt;&gt;"",COUNTIF($AW$8:$AW$1007,$AW619)&gt;1)," / 승인번호 중복(두 번 붙여넣기?)","")&amp;IF(ABS($AU619-ROUND($AT619*0.1,0))&gt;설정!$B$8,IF($AU619=0," / 세액 0원(영세율·면세 여부 확인)"," / 세액이 공급가액 10%와 다름"),"")&amp;IF($BB619="수정"," / 수정세금계산서(합계에서 자동 가감)",""),4,200))</f>
        <v/>
      </c>
      <c r="BD619" s="2">
        <f>IF($BA619&lt;&gt;"포함","",IF(COUNTIFS($AX$8:$AX619,$AX619,$BA$8:$BA619,"포함")=1,MAX($BD$7:BD618)+1,""))</f>
        <v/>
      </c>
      <c r="BE619" s="2">
        <f>IF($BC619="","",MAX($BE$7:BE618)+1)</f>
        <v/>
      </c>
    </row>
    <row r="620">
      <c r="AR620" s="2">
        <f>IF(OR($A$5="",$B$6="",ROW()&lt;$A$5),"",IF(INDEX($A:$AP,ROW(),$B$6)="","",INDEX($A:$AP,ROW(),$B$6)))</f>
        <v/>
      </c>
      <c r="AS620" s="22">
        <f>IF($AR620="","",IF(ISNUMBER($AR620),IF($AR620&gt;=10000000,IFERROR(DATE(INT($AR620/10000),MOD(INT($AR620/100),100),MOD($AR620,100)),""),INT($AR620)),IFERROR(DATE(--LEFT(LEFT(SUBSTITUTE(SUBSTITUTE(SUBSTITUTE(SUBSTITUTE(TRIM($AR620),"-",""),".",""),"/","")," ",""),8),4),--MID(LEFT(SUBSTITUTE(SUBSTITUTE(SUBSTITUTE(SUBSTITUTE(TRIM($AR620),"-",""),".",""),"/","")," ",""),8),5,2),--MID(LEFT(SUBSTITUTE(SUBSTITUTE(SUBSTITUTE(SUBSTITUTE(TRIM($AR620),"-",""),".",""),"/","")," ",""),8),7,2)),"")))</f>
        <v/>
      </c>
      <c r="AT620" s="23">
        <f>IF($AS620="","",IF($F$6="",0,IF(ISNUMBER(INDEX($A:$AP,ROW(),$F$6)),INDEX($A:$AP,ROW(),$F$6),IFERROR(--SUBSTITUTE(SUBSTITUTE(TRIM(INDEX($A:$AP,ROW(),$F$6)),",",""),"원",""),0))))</f>
        <v/>
      </c>
      <c r="AU620" s="23">
        <f>IF($AS620="","",IF($G$6="",0,IF(ISNUMBER(INDEX($A:$AP,ROW(),$G$6)),INDEX($A:$AP,ROW(),$G$6),IFERROR(--SUBSTITUTE(SUBSTITUTE(TRIM(INDEX($A:$AP,ROW(),$G$6)),",",""),"원",""),0))))</f>
        <v/>
      </c>
      <c r="AV620" s="23">
        <f>IF($AS620="","",IF($H$6="",$AT620+$AU620,IF($H$6="",0,IF(ISNUMBER(INDEX($A:$AP,ROW(),$H$6)),INDEX($A:$AP,ROW(),$H$6),IFERROR(--SUBSTITUTE(SUBSTITUTE(TRIM(INDEX($A:$AP,ROW(),$H$6)),",",""),"원",""),0)))))</f>
        <v/>
      </c>
      <c r="AW620" s="2">
        <f>IF(OR($AS620="",$C$6=""),"",TRIM(INDEX($A:$AP,ROW(),$C$6)&amp;""))</f>
        <v/>
      </c>
      <c r="AX620" s="2">
        <f>IF($AS620="","",IF($AZ620&lt;&gt;"",SUBSTITUTE(SUBSTITUTE($AZ620,"-","")," ",""),$AY620))</f>
        <v/>
      </c>
      <c r="AY620" s="2">
        <f>IF(OR($AS620="",$E$6=""),"",TRIM(INDEX($A:$AP,ROW(),$E$6)&amp;""))</f>
        <v/>
      </c>
      <c r="AZ620" s="2">
        <f>IF(OR($AS620="",$D$6=""),"",TRIM(INDEX($A:$AP,ROW(),$D$6)&amp;""))</f>
        <v/>
      </c>
      <c r="BA620" s="2">
        <f>IF($AS620="","",IF(AND($AS620&gt;=설정!$B$10,$AS620&lt;=설정!$B$11),"포함","기간 밖"))</f>
        <v/>
      </c>
      <c r="BB620" s="2">
        <f>IF($AS620="","",IF(OR($AT620&lt;0,AND($I$6&lt;&gt;"",ISNUMBER(FIND("수정",INDEX($A:$AP,ROW(),IF($I$6="",1,$I$6))&amp;"")))),"수정","일반"))</f>
        <v/>
      </c>
      <c r="BC620" s="2">
        <f>IF($AS620="","",MID(IF($BA620="기간 밖"," / 기간 밖(신고기간 아님)","")&amp;IF(AND($AW620&lt;&gt;"",COUNTIF($AW$8:$AW$1007,$AW620)&gt;1)," / 승인번호 중복(두 번 붙여넣기?)","")&amp;IF(ABS($AU620-ROUND($AT620*0.1,0))&gt;설정!$B$8,IF($AU620=0," / 세액 0원(영세율·면세 여부 확인)"," / 세액이 공급가액 10%와 다름"),"")&amp;IF($BB620="수정"," / 수정세금계산서(합계에서 자동 가감)",""),4,200))</f>
        <v/>
      </c>
      <c r="BD620" s="2">
        <f>IF($BA620&lt;&gt;"포함","",IF(COUNTIFS($AX$8:$AX620,$AX620,$BA$8:$BA620,"포함")=1,MAX($BD$7:BD619)+1,""))</f>
        <v/>
      </c>
      <c r="BE620" s="2">
        <f>IF($BC620="","",MAX($BE$7:BE619)+1)</f>
        <v/>
      </c>
    </row>
    <row r="621">
      <c r="AR621" s="2">
        <f>IF(OR($A$5="",$B$6="",ROW()&lt;$A$5),"",IF(INDEX($A:$AP,ROW(),$B$6)="","",INDEX($A:$AP,ROW(),$B$6)))</f>
        <v/>
      </c>
      <c r="AS621" s="22">
        <f>IF($AR621="","",IF(ISNUMBER($AR621),IF($AR621&gt;=10000000,IFERROR(DATE(INT($AR621/10000),MOD(INT($AR621/100),100),MOD($AR621,100)),""),INT($AR621)),IFERROR(DATE(--LEFT(LEFT(SUBSTITUTE(SUBSTITUTE(SUBSTITUTE(SUBSTITUTE(TRIM($AR621),"-",""),".",""),"/","")," ",""),8),4),--MID(LEFT(SUBSTITUTE(SUBSTITUTE(SUBSTITUTE(SUBSTITUTE(TRIM($AR621),"-",""),".",""),"/","")," ",""),8),5,2),--MID(LEFT(SUBSTITUTE(SUBSTITUTE(SUBSTITUTE(SUBSTITUTE(TRIM($AR621),"-",""),".",""),"/","")," ",""),8),7,2)),"")))</f>
        <v/>
      </c>
      <c r="AT621" s="23">
        <f>IF($AS621="","",IF($F$6="",0,IF(ISNUMBER(INDEX($A:$AP,ROW(),$F$6)),INDEX($A:$AP,ROW(),$F$6),IFERROR(--SUBSTITUTE(SUBSTITUTE(TRIM(INDEX($A:$AP,ROW(),$F$6)),",",""),"원",""),0))))</f>
        <v/>
      </c>
      <c r="AU621" s="23">
        <f>IF($AS621="","",IF($G$6="",0,IF(ISNUMBER(INDEX($A:$AP,ROW(),$G$6)),INDEX($A:$AP,ROW(),$G$6),IFERROR(--SUBSTITUTE(SUBSTITUTE(TRIM(INDEX($A:$AP,ROW(),$G$6)),",",""),"원",""),0))))</f>
        <v/>
      </c>
      <c r="AV621" s="23">
        <f>IF($AS621="","",IF($H$6="",$AT621+$AU621,IF($H$6="",0,IF(ISNUMBER(INDEX($A:$AP,ROW(),$H$6)),INDEX($A:$AP,ROW(),$H$6),IFERROR(--SUBSTITUTE(SUBSTITUTE(TRIM(INDEX($A:$AP,ROW(),$H$6)),",",""),"원",""),0)))))</f>
        <v/>
      </c>
      <c r="AW621" s="2">
        <f>IF(OR($AS621="",$C$6=""),"",TRIM(INDEX($A:$AP,ROW(),$C$6)&amp;""))</f>
        <v/>
      </c>
      <c r="AX621" s="2">
        <f>IF($AS621="","",IF($AZ621&lt;&gt;"",SUBSTITUTE(SUBSTITUTE($AZ621,"-","")," ",""),$AY621))</f>
        <v/>
      </c>
      <c r="AY621" s="2">
        <f>IF(OR($AS621="",$E$6=""),"",TRIM(INDEX($A:$AP,ROW(),$E$6)&amp;""))</f>
        <v/>
      </c>
      <c r="AZ621" s="2">
        <f>IF(OR($AS621="",$D$6=""),"",TRIM(INDEX($A:$AP,ROW(),$D$6)&amp;""))</f>
        <v/>
      </c>
      <c r="BA621" s="2">
        <f>IF($AS621="","",IF(AND($AS621&gt;=설정!$B$10,$AS621&lt;=설정!$B$11),"포함","기간 밖"))</f>
        <v/>
      </c>
      <c r="BB621" s="2">
        <f>IF($AS621="","",IF(OR($AT621&lt;0,AND($I$6&lt;&gt;"",ISNUMBER(FIND("수정",INDEX($A:$AP,ROW(),IF($I$6="",1,$I$6))&amp;"")))),"수정","일반"))</f>
        <v/>
      </c>
      <c r="BC621" s="2">
        <f>IF($AS621="","",MID(IF($BA621="기간 밖"," / 기간 밖(신고기간 아님)","")&amp;IF(AND($AW621&lt;&gt;"",COUNTIF($AW$8:$AW$1007,$AW621)&gt;1)," / 승인번호 중복(두 번 붙여넣기?)","")&amp;IF(ABS($AU621-ROUND($AT621*0.1,0))&gt;설정!$B$8,IF($AU621=0," / 세액 0원(영세율·면세 여부 확인)"," / 세액이 공급가액 10%와 다름"),"")&amp;IF($BB621="수정"," / 수정세금계산서(합계에서 자동 가감)",""),4,200))</f>
        <v/>
      </c>
      <c r="BD621" s="2">
        <f>IF($BA621&lt;&gt;"포함","",IF(COUNTIFS($AX$8:$AX621,$AX621,$BA$8:$BA621,"포함")=1,MAX($BD$7:BD620)+1,""))</f>
        <v/>
      </c>
      <c r="BE621" s="2">
        <f>IF($BC621="","",MAX($BE$7:BE620)+1)</f>
        <v/>
      </c>
    </row>
    <row r="622">
      <c r="AR622" s="2">
        <f>IF(OR($A$5="",$B$6="",ROW()&lt;$A$5),"",IF(INDEX($A:$AP,ROW(),$B$6)="","",INDEX($A:$AP,ROW(),$B$6)))</f>
        <v/>
      </c>
      <c r="AS622" s="22">
        <f>IF($AR622="","",IF(ISNUMBER($AR622),IF($AR622&gt;=10000000,IFERROR(DATE(INT($AR622/10000),MOD(INT($AR622/100),100),MOD($AR622,100)),""),INT($AR622)),IFERROR(DATE(--LEFT(LEFT(SUBSTITUTE(SUBSTITUTE(SUBSTITUTE(SUBSTITUTE(TRIM($AR622),"-",""),".",""),"/","")," ",""),8),4),--MID(LEFT(SUBSTITUTE(SUBSTITUTE(SUBSTITUTE(SUBSTITUTE(TRIM($AR622),"-",""),".",""),"/","")," ",""),8),5,2),--MID(LEFT(SUBSTITUTE(SUBSTITUTE(SUBSTITUTE(SUBSTITUTE(TRIM($AR622),"-",""),".",""),"/","")," ",""),8),7,2)),"")))</f>
        <v/>
      </c>
      <c r="AT622" s="23">
        <f>IF($AS622="","",IF($F$6="",0,IF(ISNUMBER(INDEX($A:$AP,ROW(),$F$6)),INDEX($A:$AP,ROW(),$F$6),IFERROR(--SUBSTITUTE(SUBSTITUTE(TRIM(INDEX($A:$AP,ROW(),$F$6)),",",""),"원",""),0))))</f>
        <v/>
      </c>
      <c r="AU622" s="23">
        <f>IF($AS622="","",IF($G$6="",0,IF(ISNUMBER(INDEX($A:$AP,ROW(),$G$6)),INDEX($A:$AP,ROW(),$G$6),IFERROR(--SUBSTITUTE(SUBSTITUTE(TRIM(INDEX($A:$AP,ROW(),$G$6)),",",""),"원",""),0))))</f>
        <v/>
      </c>
      <c r="AV622" s="23">
        <f>IF($AS622="","",IF($H$6="",$AT622+$AU622,IF($H$6="",0,IF(ISNUMBER(INDEX($A:$AP,ROW(),$H$6)),INDEX($A:$AP,ROW(),$H$6),IFERROR(--SUBSTITUTE(SUBSTITUTE(TRIM(INDEX($A:$AP,ROW(),$H$6)),",",""),"원",""),0)))))</f>
        <v/>
      </c>
      <c r="AW622" s="2">
        <f>IF(OR($AS622="",$C$6=""),"",TRIM(INDEX($A:$AP,ROW(),$C$6)&amp;""))</f>
        <v/>
      </c>
      <c r="AX622" s="2">
        <f>IF($AS622="","",IF($AZ622&lt;&gt;"",SUBSTITUTE(SUBSTITUTE($AZ622,"-","")," ",""),$AY622))</f>
        <v/>
      </c>
      <c r="AY622" s="2">
        <f>IF(OR($AS622="",$E$6=""),"",TRIM(INDEX($A:$AP,ROW(),$E$6)&amp;""))</f>
        <v/>
      </c>
      <c r="AZ622" s="2">
        <f>IF(OR($AS622="",$D$6=""),"",TRIM(INDEX($A:$AP,ROW(),$D$6)&amp;""))</f>
        <v/>
      </c>
      <c r="BA622" s="2">
        <f>IF($AS622="","",IF(AND($AS622&gt;=설정!$B$10,$AS622&lt;=설정!$B$11),"포함","기간 밖"))</f>
        <v/>
      </c>
      <c r="BB622" s="2">
        <f>IF($AS622="","",IF(OR($AT622&lt;0,AND($I$6&lt;&gt;"",ISNUMBER(FIND("수정",INDEX($A:$AP,ROW(),IF($I$6="",1,$I$6))&amp;"")))),"수정","일반"))</f>
        <v/>
      </c>
      <c r="BC622" s="2">
        <f>IF($AS622="","",MID(IF($BA622="기간 밖"," / 기간 밖(신고기간 아님)","")&amp;IF(AND($AW622&lt;&gt;"",COUNTIF($AW$8:$AW$1007,$AW622)&gt;1)," / 승인번호 중복(두 번 붙여넣기?)","")&amp;IF(ABS($AU622-ROUND($AT622*0.1,0))&gt;설정!$B$8,IF($AU622=0," / 세액 0원(영세율·면세 여부 확인)"," / 세액이 공급가액 10%와 다름"),"")&amp;IF($BB622="수정"," / 수정세금계산서(합계에서 자동 가감)",""),4,200))</f>
        <v/>
      </c>
      <c r="BD622" s="2">
        <f>IF($BA622&lt;&gt;"포함","",IF(COUNTIFS($AX$8:$AX622,$AX622,$BA$8:$BA622,"포함")=1,MAX($BD$7:BD621)+1,""))</f>
        <v/>
      </c>
      <c r="BE622" s="2">
        <f>IF($BC622="","",MAX($BE$7:BE621)+1)</f>
        <v/>
      </c>
    </row>
    <row r="623">
      <c r="AR623" s="2">
        <f>IF(OR($A$5="",$B$6="",ROW()&lt;$A$5),"",IF(INDEX($A:$AP,ROW(),$B$6)="","",INDEX($A:$AP,ROW(),$B$6)))</f>
        <v/>
      </c>
      <c r="AS623" s="22">
        <f>IF($AR623="","",IF(ISNUMBER($AR623),IF($AR623&gt;=10000000,IFERROR(DATE(INT($AR623/10000),MOD(INT($AR623/100),100),MOD($AR623,100)),""),INT($AR623)),IFERROR(DATE(--LEFT(LEFT(SUBSTITUTE(SUBSTITUTE(SUBSTITUTE(SUBSTITUTE(TRIM($AR623),"-",""),".",""),"/","")," ",""),8),4),--MID(LEFT(SUBSTITUTE(SUBSTITUTE(SUBSTITUTE(SUBSTITUTE(TRIM($AR623),"-",""),".",""),"/","")," ",""),8),5,2),--MID(LEFT(SUBSTITUTE(SUBSTITUTE(SUBSTITUTE(SUBSTITUTE(TRIM($AR623),"-",""),".",""),"/","")," ",""),8),7,2)),"")))</f>
        <v/>
      </c>
      <c r="AT623" s="23">
        <f>IF($AS623="","",IF($F$6="",0,IF(ISNUMBER(INDEX($A:$AP,ROW(),$F$6)),INDEX($A:$AP,ROW(),$F$6),IFERROR(--SUBSTITUTE(SUBSTITUTE(TRIM(INDEX($A:$AP,ROW(),$F$6)),",",""),"원",""),0))))</f>
        <v/>
      </c>
      <c r="AU623" s="23">
        <f>IF($AS623="","",IF($G$6="",0,IF(ISNUMBER(INDEX($A:$AP,ROW(),$G$6)),INDEX($A:$AP,ROW(),$G$6),IFERROR(--SUBSTITUTE(SUBSTITUTE(TRIM(INDEX($A:$AP,ROW(),$G$6)),",",""),"원",""),0))))</f>
        <v/>
      </c>
      <c r="AV623" s="23">
        <f>IF($AS623="","",IF($H$6="",$AT623+$AU623,IF($H$6="",0,IF(ISNUMBER(INDEX($A:$AP,ROW(),$H$6)),INDEX($A:$AP,ROW(),$H$6),IFERROR(--SUBSTITUTE(SUBSTITUTE(TRIM(INDEX($A:$AP,ROW(),$H$6)),",",""),"원",""),0)))))</f>
        <v/>
      </c>
      <c r="AW623" s="2">
        <f>IF(OR($AS623="",$C$6=""),"",TRIM(INDEX($A:$AP,ROW(),$C$6)&amp;""))</f>
        <v/>
      </c>
      <c r="AX623" s="2">
        <f>IF($AS623="","",IF($AZ623&lt;&gt;"",SUBSTITUTE(SUBSTITUTE($AZ623,"-","")," ",""),$AY623))</f>
        <v/>
      </c>
      <c r="AY623" s="2">
        <f>IF(OR($AS623="",$E$6=""),"",TRIM(INDEX($A:$AP,ROW(),$E$6)&amp;""))</f>
        <v/>
      </c>
      <c r="AZ623" s="2">
        <f>IF(OR($AS623="",$D$6=""),"",TRIM(INDEX($A:$AP,ROW(),$D$6)&amp;""))</f>
        <v/>
      </c>
      <c r="BA623" s="2">
        <f>IF($AS623="","",IF(AND($AS623&gt;=설정!$B$10,$AS623&lt;=설정!$B$11),"포함","기간 밖"))</f>
        <v/>
      </c>
      <c r="BB623" s="2">
        <f>IF($AS623="","",IF(OR($AT623&lt;0,AND($I$6&lt;&gt;"",ISNUMBER(FIND("수정",INDEX($A:$AP,ROW(),IF($I$6="",1,$I$6))&amp;"")))),"수정","일반"))</f>
        <v/>
      </c>
      <c r="BC623" s="2">
        <f>IF($AS623="","",MID(IF($BA623="기간 밖"," / 기간 밖(신고기간 아님)","")&amp;IF(AND($AW623&lt;&gt;"",COUNTIF($AW$8:$AW$1007,$AW623)&gt;1)," / 승인번호 중복(두 번 붙여넣기?)","")&amp;IF(ABS($AU623-ROUND($AT623*0.1,0))&gt;설정!$B$8,IF($AU623=0," / 세액 0원(영세율·면세 여부 확인)"," / 세액이 공급가액 10%와 다름"),"")&amp;IF($BB623="수정"," / 수정세금계산서(합계에서 자동 가감)",""),4,200))</f>
        <v/>
      </c>
      <c r="BD623" s="2">
        <f>IF($BA623&lt;&gt;"포함","",IF(COUNTIFS($AX$8:$AX623,$AX623,$BA$8:$BA623,"포함")=1,MAX($BD$7:BD622)+1,""))</f>
        <v/>
      </c>
      <c r="BE623" s="2">
        <f>IF($BC623="","",MAX($BE$7:BE622)+1)</f>
        <v/>
      </c>
    </row>
    <row r="624">
      <c r="AR624" s="2">
        <f>IF(OR($A$5="",$B$6="",ROW()&lt;$A$5),"",IF(INDEX($A:$AP,ROW(),$B$6)="","",INDEX($A:$AP,ROW(),$B$6)))</f>
        <v/>
      </c>
      <c r="AS624" s="22">
        <f>IF($AR624="","",IF(ISNUMBER($AR624),IF($AR624&gt;=10000000,IFERROR(DATE(INT($AR624/10000),MOD(INT($AR624/100),100),MOD($AR624,100)),""),INT($AR624)),IFERROR(DATE(--LEFT(LEFT(SUBSTITUTE(SUBSTITUTE(SUBSTITUTE(SUBSTITUTE(TRIM($AR624),"-",""),".",""),"/","")," ",""),8),4),--MID(LEFT(SUBSTITUTE(SUBSTITUTE(SUBSTITUTE(SUBSTITUTE(TRIM($AR624),"-",""),".",""),"/","")," ",""),8),5,2),--MID(LEFT(SUBSTITUTE(SUBSTITUTE(SUBSTITUTE(SUBSTITUTE(TRIM($AR624),"-",""),".",""),"/","")," ",""),8),7,2)),"")))</f>
        <v/>
      </c>
      <c r="AT624" s="23">
        <f>IF($AS624="","",IF($F$6="",0,IF(ISNUMBER(INDEX($A:$AP,ROW(),$F$6)),INDEX($A:$AP,ROW(),$F$6),IFERROR(--SUBSTITUTE(SUBSTITUTE(TRIM(INDEX($A:$AP,ROW(),$F$6)),",",""),"원",""),0))))</f>
        <v/>
      </c>
      <c r="AU624" s="23">
        <f>IF($AS624="","",IF($G$6="",0,IF(ISNUMBER(INDEX($A:$AP,ROW(),$G$6)),INDEX($A:$AP,ROW(),$G$6),IFERROR(--SUBSTITUTE(SUBSTITUTE(TRIM(INDEX($A:$AP,ROW(),$G$6)),",",""),"원",""),0))))</f>
        <v/>
      </c>
      <c r="AV624" s="23">
        <f>IF($AS624="","",IF($H$6="",$AT624+$AU624,IF($H$6="",0,IF(ISNUMBER(INDEX($A:$AP,ROW(),$H$6)),INDEX($A:$AP,ROW(),$H$6),IFERROR(--SUBSTITUTE(SUBSTITUTE(TRIM(INDEX($A:$AP,ROW(),$H$6)),",",""),"원",""),0)))))</f>
        <v/>
      </c>
      <c r="AW624" s="2">
        <f>IF(OR($AS624="",$C$6=""),"",TRIM(INDEX($A:$AP,ROW(),$C$6)&amp;""))</f>
        <v/>
      </c>
      <c r="AX624" s="2">
        <f>IF($AS624="","",IF($AZ624&lt;&gt;"",SUBSTITUTE(SUBSTITUTE($AZ624,"-","")," ",""),$AY624))</f>
        <v/>
      </c>
      <c r="AY624" s="2">
        <f>IF(OR($AS624="",$E$6=""),"",TRIM(INDEX($A:$AP,ROW(),$E$6)&amp;""))</f>
        <v/>
      </c>
      <c r="AZ624" s="2">
        <f>IF(OR($AS624="",$D$6=""),"",TRIM(INDEX($A:$AP,ROW(),$D$6)&amp;""))</f>
        <v/>
      </c>
      <c r="BA624" s="2">
        <f>IF($AS624="","",IF(AND($AS624&gt;=설정!$B$10,$AS624&lt;=설정!$B$11),"포함","기간 밖"))</f>
        <v/>
      </c>
      <c r="BB624" s="2">
        <f>IF($AS624="","",IF(OR($AT624&lt;0,AND($I$6&lt;&gt;"",ISNUMBER(FIND("수정",INDEX($A:$AP,ROW(),IF($I$6="",1,$I$6))&amp;"")))),"수정","일반"))</f>
        <v/>
      </c>
      <c r="BC624" s="2">
        <f>IF($AS624="","",MID(IF($BA624="기간 밖"," / 기간 밖(신고기간 아님)","")&amp;IF(AND($AW624&lt;&gt;"",COUNTIF($AW$8:$AW$1007,$AW624)&gt;1)," / 승인번호 중복(두 번 붙여넣기?)","")&amp;IF(ABS($AU624-ROUND($AT624*0.1,0))&gt;설정!$B$8,IF($AU624=0," / 세액 0원(영세율·면세 여부 확인)"," / 세액이 공급가액 10%와 다름"),"")&amp;IF($BB624="수정"," / 수정세금계산서(합계에서 자동 가감)",""),4,200))</f>
        <v/>
      </c>
      <c r="BD624" s="2">
        <f>IF($BA624&lt;&gt;"포함","",IF(COUNTIFS($AX$8:$AX624,$AX624,$BA$8:$BA624,"포함")=1,MAX($BD$7:BD623)+1,""))</f>
        <v/>
      </c>
      <c r="BE624" s="2">
        <f>IF($BC624="","",MAX($BE$7:BE623)+1)</f>
        <v/>
      </c>
    </row>
    <row r="625">
      <c r="AR625" s="2">
        <f>IF(OR($A$5="",$B$6="",ROW()&lt;$A$5),"",IF(INDEX($A:$AP,ROW(),$B$6)="","",INDEX($A:$AP,ROW(),$B$6)))</f>
        <v/>
      </c>
      <c r="AS625" s="22">
        <f>IF($AR625="","",IF(ISNUMBER($AR625),IF($AR625&gt;=10000000,IFERROR(DATE(INT($AR625/10000),MOD(INT($AR625/100),100),MOD($AR625,100)),""),INT($AR625)),IFERROR(DATE(--LEFT(LEFT(SUBSTITUTE(SUBSTITUTE(SUBSTITUTE(SUBSTITUTE(TRIM($AR625),"-",""),".",""),"/","")," ",""),8),4),--MID(LEFT(SUBSTITUTE(SUBSTITUTE(SUBSTITUTE(SUBSTITUTE(TRIM($AR625),"-",""),".",""),"/","")," ",""),8),5,2),--MID(LEFT(SUBSTITUTE(SUBSTITUTE(SUBSTITUTE(SUBSTITUTE(TRIM($AR625),"-",""),".",""),"/","")," ",""),8),7,2)),"")))</f>
        <v/>
      </c>
      <c r="AT625" s="23">
        <f>IF($AS625="","",IF($F$6="",0,IF(ISNUMBER(INDEX($A:$AP,ROW(),$F$6)),INDEX($A:$AP,ROW(),$F$6),IFERROR(--SUBSTITUTE(SUBSTITUTE(TRIM(INDEX($A:$AP,ROW(),$F$6)),",",""),"원",""),0))))</f>
        <v/>
      </c>
      <c r="AU625" s="23">
        <f>IF($AS625="","",IF($G$6="",0,IF(ISNUMBER(INDEX($A:$AP,ROW(),$G$6)),INDEX($A:$AP,ROW(),$G$6),IFERROR(--SUBSTITUTE(SUBSTITUTE(TRIM(INDEX($A:$AP,ROW(),$G$6)),",",""),"원",""),0))))</f>
        <v/>
      </c>
      <c r="AV625" s="23">
        <f>IF($AS625="","",IF($H$6="",$AT625+$AU625,IF($H$6="",0,IF(ISNUMBER(INDEX($A:$AP,ROW(),$H$6)),INDEX($A:$AP,ROW(),$H$6),IFERROR(--SUBSTITUTE(SUBSTITUTE(TRIM(INDEX($A:$AP,ROW(),$H$6)),",",""),"원",""),0)))))</f>
        <v/>
      </c>
      <c r="AW625" s="2">
        <f>IF(OR($AS625="",$C$6=""),"",TRIM(INDEX($A:$AP,ROW(),$C$6)&amp;""))</f>
        <v/>
      </c>
      <c r="AX625" s="2">
        <f>IF($AS625="","",IF($AZ625&lt;&gt;"",SUBSTITUTE(SUBSTITUTE($AZ625,"-","")," ",""),$AY625))</f>
        <v/>
      </c>
      <c r="AY625" s="2">
        <f>IF(OR($AS625="",$E$6=""),"",TRIM(INDEX($A:$AP,ROW(),$E$6)&amp;""))</f>
        <v/>
      </c>
      <c r="AZ625" s="2">
        <f>IF(OR($AS625="",$D$6=""),"",TRIM(INDEX($A:$AP,ROW(),$D$6)&amp;""))</f>
        <v/>
      </c>
      <c r="BA625" s="2">
        <f>IF($AS625="","",IF(AND($AS625&gt;=설정!$B$10,$AS625&lt;=설정!$B$11),"포함","기간 밖"))</f>
        <v/>
      </c>
      <c r="BB625" s="2">
        <f>IF($AS625="","",IF(OR($AT625&lt;0,AND($I$6&lt;&gt;"",ISNUMBER(FIND("수정",INDEX($A:$AP,ROW(),IF($I$6="",1,$I$6))&amp;"")))),"수정","일반"))</f>
        <v/>
      </c>
      <c r="BC625" s="2">
        <f>IF($AS625="","",MID(IF($BA625="기간 밖"," / 기간 밖(신고기간 아님)","")&amp;IF(AND($AW625&lt;&gt;"",COUNTIF($AW$8:$AW$1007,$AW625)&gt;1)," / 승인번호 중복(두 번 붙여넣기?)","")&amp;IF(ABS($AU625-ROUND($AT625*0.1,0))&gt;설정!$B$8,IF($AU625=0," / 세액 0원(영세율·면세 여부 확인)"," / 세액이 공급가액 10%와 다름"),"")&amp;IF($BB625="수정"," / 수정세금계산서(합계에서 자동 가감)",""),4,200))</f>
        <v/>
      </c>
      <c r="BD625" s="2">
        <f>IF($BA625&lt;&gt;"포함","",IF(COUNTIFS($AX$8:$AX625,$AX625,$BA$8:$BA625,"포함")=1,MAX($BD$7:BD624)+1,""))</f>
        <v/>
      </c>
      <c r="BE625" s="2">
        <f>IF($BC625="","",MAX($BE$7:BE624)+1)</f>
        <v/>
      </c>
    </row>
    <row r="626">
      <c r="AR626" s="2">
        <f>IF(OR($A$5="",$B$6="",ROW()&lt;$A$5),"",IF(INDEX($A:$AP,ROW(),$B$6)="","",INDEX($A:$AP,ROW(),$B$6)))</f>
        <v/>
      </c>
      <c r="AS626" s="22">
        <f>IF($AR626="","",IF(ISNUMBER($AR626),IF($AR626&gt;=10000000,IFERROR(DATE(INT($AR626/10000),MOD(INT($AR626/100),100),MOD($AR626,100)),""),INT($AR626)),IFERROR(DATE(--LEFT(LEFT(SUBSTITUTE(SUBSTITUTE(SUBSTITUTE(SUBSTITUTE(TRIM($AR626),"-",""),".",""),"/","")," ",""),8),4),--MID(LEFT(SUBSTITUTE(SUBSTITUTE(SUBSTITUTE(SUBSTITUTE(TRIM($AR626),"-",""),".",""),"/","")," ",""),8),5,2),--MID(LEFT(SUBSTITUTE(SUBSTITUTE(SUBSTITUTE(SUBSTITUTE(TRIM($AR626),"-",""),".",""),"/","")," ",""),8),7,2)),"")))</f>
        <v/>
      </c>
      <c r="AT626" s="23">
        <f>IF($AS626="","",IF($F$6="",0,IF(ISNUMBER(INDEX($A:$AP,ROW(),$F$6)),INDEX($A:$AP,ROW(),$F$6),IFERROR(--SUBSTITUTE(SUBSTITUTE(TRIM(INDEX($A:$AP,ROW(),$F$6)),",",""),"원",""),0))))</f>
        <v/>
      </c>
      <c r="AU626" s="23">
        <f>IF($AS626="","",IF($G$6="",0,IF(ISNUMBER(INDEX($A:$AP,ROW(),$G$6)),INDEX($A:$AP,ROW(),$G$6),IFERROR(--SUBSTITUTE(SUBSTITUTE(TRIM(INDEX($A:$AP,ROW(),$G$6)),",",""),"원",""),0))))</f>
        <v/>
      </c>
      <c r="AV626" s="23">
        <f>IF($AS626="","",IF($H$6="",$AT626+$AU626,IF($H$6="",0,IF(ISNUMBER(INDEX($A:$AP,ROW(),$H$6)),INDEX($A:$AP,ROW(),$H$6),IFERROR(--SUBSTITUTE(SUBSTITUTE(TRIM(INDEX($A:$AP,ROW(),$H$6)),",",""),"원",""),0)))))</f>
        <v/>
      </c>
      <c r="AW626" s="2">
        <f>IF(OR($AS626="",$C$6=""),"",TRIM(INDEX($A:$AP,ROW(),$C$6)&amp;""))</f>
        <v/>
      </c>
      <c r="AX626" s="2">
        <f>IF($AS626="","",IF($AZ626&lt;&gt;"",SUBSTITUTE(SUBSTITUTE($AZ626,"-","")," ",""),$AY626))</f>
        <v/>
      </c>
      <c r="AY626" s="2">
        <f>IF(OR($AS626="",$E$6=""),"",TRIM(INDEX($A:$AP,ROW(),$E$6)&amp;""))</f>
        <v/>
      </c>
      <c r="AZ626" s="2">
        <f>IF(OR($AS626="",$D$6=""),"",TRIM(INDEX($A:$AP,ROW(),$D$6)&amp;""))</f>
        <v/>
      </c>
      <c r="BA626" s="2">
        <f>IF($AS626="","",IF(AND($AS626&gt;=설정!$B$10,$AS626&lt;=설정!$B$11),"포함","기간 밖"))</f>
        <v/>
      </c>
      <c r="BB626" s="2">
        <f>IF($AS626="","",IF(OR($AT626&lt;0,AND($I$6&lt;&gt;"",ISNUMBER(FIND("수정",INDEX($A:$AP,ROW(),IF($I$6="",1,$I$6))&amp;"")))),"수정","일반"))</f>
        <v/>
      </c>
      <c r="BC626" s="2">
        <f>IF($AS626="","",MID(IF($BA626="기간 밖"," / 기간 밖(신고기간 아님)","")&amp;IF(AND($AW626&lt;&gt;"",COUNTIF($AW$8:$AW$1007,$AW626)&gt;1)," / 승인번호 중복(두 번 붙여넣기?)","")&amp;IF(ABS($AU626-ROUND($AT626*0.1,0))&gt;설정!$B$8,IF($AU626=0," / 세액 0원(영세율·면세 여부 확인)"," / 세액이 공급가액 10%와 다름"),"")&amp;IF($BB626="수정"," / 수정세금계산서(합계에서 자동 가감)",""),4,200))</f>
        <v/>
      </c>
      <c r="BD626" s="2">
        <f>IF($BA626&lt;&gt;"포함","",IF(COUNTIFS($AX$8:$AX626,$AX626,$BA$8:$BA626,"포함")=1,MAX($BD$7:BD625)+1,""))</f>
        <v/>
      </c>
      <c r="BE626" s="2">
        <f>IF($BC626="","",MAX($BE$7:BE625)+1)</f>
        <v/>
      </c>
    </row>
    <row r="627">
      <c r="AR627" s="2">
        <f>IF(OR($A$5="",$B$6="",ROW()&lt;$A$5),"",IF(INDEX($A:$AP,ROW(),$B$6)="","",INDEX($A:$AP,ROW(),$B$6)))</f>
        <v/>
      </c>
      <c r="AS627" s="22">
        <f>IF($AR627="","",IF(ISNUMBER($AR627),IF($AR627&gt;=10000000,IFERROR(DATE(INT($AR627/10000),MOD(INT($AR627/100),100),MOD($AR627,100)),""),INT($AR627)),IFERROR(DATE(--LEFT(LEFT(SUBSTITUTE(SUBSTITUTE(SUBSTITUTE(SUBSTITUTE(TRIM($AR627),"-",""),".",""),"/","")," ",""),8),4),--MID(LEFT(SUBSTITUTE(SUBSTITUTE(SUBSTITUTE(SUBSTITUTE(TRIM($AR627),"-",""),".",""),"/","")," ",""),8),5,2),--MID(LEFT(SUBSTITUTE(SUBSTITUTE(SUBSTITUTE(SUBSTITUTE(TRIM($AR627),"-",""),".",""),"/","")," ",""),8),7,2)),"")))</f>
        <v/>
      </c>
      <c r="AT627" s="23">
        <f>IF($AS627="","",IF($F$6="",0,IF(ISNUMBER(INDEX($A:$AP,ROW(),$F$6)),INDEX($A:$AP,ROW(),$F$6),IFERROR(--SUBSTITUTE(SUBSTITUTE(TRIM(INDEX($A:$AP,ROW(),$F$6)),",",""),"원",""),0))))</f>
        <v/>
      </c>
      <c r="AU627" s="23">
        <f>IF($AS627="","",IF($G$6="",0,IF(ISNUMBER(INDEX($A:$AP,ROW(),$G$6)),INDEX($A:$AP,ROW(),$G$6),IFERROR(--SUBSTITUTE(SUBSTITUTE(TRIM(INDEX($A:$AP,ROW(),$G$6)),",",""),"원",""),0))))</f>
        <v/>
      </c>
      <c r="AV627" s="23">
        <f>IF($AS627="","",IF($H$6="",$AT627+$AU627,IF($H$6="",0,IF(ISNUMBER(INDEX($A:$AP,ROW(),$H$6)),INDEX($A:$AP,ROW(),$H$6),IFERROR(--SUBSTITUTE(SUBSTITUTE(TRIM(INDEX($A:$AP,ROW(),$H$6)),",",""),"원",""),0)))))</f>
        <v/>
      </c>
      <c r="AW627" s="2">
        <f>IF(OR($AS627="",$C$6=""),"",TRIM(INDEX($A:$AP,ROW(),$C$6)&amp;""))</f>
        <v/>
      </c>
      <c r="AX627" s="2">
        <f>IF($AS627="","",IF($AZ627&lt;&gt;"",SUBSTITUTE(SUBSTITUTE($AZ627,"-","")," ",""),$AY627))</f>
        <v/>
      </c>
      <c r="AY627" s="2">
        <f>IF(OR($AS627="",$E$6=""),"",TRIM(INDEX($A:$AP,ROW(),$E$6)&amp;""))</f>
        <v/>
      </c>
      <c r="AZ627" s="2">
        <f>IF(OR($AS627="",$D$6=""),"",TRIM(INDEX($A:$AP,ROW(),$D$6)&amp;""))</f>
        <v/>
      </c>
      <c r="BA627" s="2">
        <f>IF($AS627="","",IF(AND($AS627&gt;=설정!$B$10,$AS627&lt;=설정!$B$11),"포함","기간 밖"))</f>
        <v/>
      </c>
      <c r="BB627" s="2">
        <f>IF($AS627="","",IF(OR($AT627&lt;0,AND($I$6&lt;&gt;"",ISNUMBER(FIND("수정",INDEX($A:$AP,ROW(),IF($I$6="",1,$I$6))&amp;"")))),"수정","일반"))</f>
        <v/>
      </c>
      <c r="BC627" s="2">
        <f>IF($AS627="","",MID(IF($BA627="기간 밖"," / 기간 밖(신고기간 아님)","")&amp;IF(AND($AW627&lt;&gt;"",COUNTIF($AW$8:$AW$1007,$AW627)&gt;1)," / 승인번호 중복(두 번 붙여넣기?)","")&amp;IF(ABS($AU627-ROUND($AT627*0.1,0))&gt;설정!$B$8,IF($AU627=0," / 세액 0원(영세율·면세 여부 확인)"," / 세액이 공급가액 10%와 다름"),"")&amp;IF($BB627="수정"," / 수정세금계산서(합계에서 자동 가감)",""),4,200))</f>
        <v/>
      </c>
      <c r="BD627" s="2">
        <f>IF($BA627&lt;&gt;"포함","",IF(COUNTIFS($AX$8:$AX627,$AX627,$BA$8:$BA627,"포함")=1,MAX($BD$7:BD626)+1,""))</f>
        <v/>
      </c>
      <c r="BE627" s="2">
        <f>IF($BC627="","",MAX($BE$7:BE626)+1)</f>
        <v/>
      </c>
    </row>
    <row r="628">
      <c r="AR628" s="2">
        <f>IF(OR($A$5="",$B$6="",ROW()&lt;$A$5),"",IF(INDEX($A:$AP,ROW(),$B$6)="","",INDEX($A:$AP,ROW(),$B$6)))</f>
        <v/>
      </c>
      <c r="AS628" s="22">
        <f>IF($AR628="","",IF(ISNUMBER($AR628),IF($AR628&gt;=10000000,IFERROR(DATE(INT($AR628/10000),MOD(INT($AR628/100),100),MOD($AR628,100)),""),INT($AR628)),IFERROR(DATE(--LEFT(LEFT(SUBSTITUTE(SUBSTITUTE(SUBSTITUTE(SUBSTITUTE(TRIM($AR628),"-",""),".",""),"/","")," ",""),8),4),--MID(LEFT(SUBSTITUTE(SUBSTITUTE(SUBSTITUTE(SUBSTITUTE(TRIM($AR628),"-",""),".",""),"/","")," ",""),8),5,2),--MID(LEFT(SUBSTITUTE(SUBSTITUTE(SUBSTITUTE(SUBSTITUTE(TRIM($AR628),"-",""),".",""),"/","")," ",""),8),7,2)),"")))</f>
        <v/>
      </c>
      <c r="AT628" s="23">
        <f>IF($AS628="","",IF($F$6="",0,IF(ISNUMBER(INDEX($A:$AP,ROW(),$F$6)),INDEX($A:$AP,ROW(),$F$6),IFERROR(--SUBSTITUTE(SUBSTITUTE(TRIM(INDEX($A:$AP,ROW(),$F$6)),",",""),"원",""),0))))</f>
        <v/>
      </c>
      <c r="AU628" s="23">
        <f>IF($AS628="","",IF($G$6="",0,IF(ISNUMBER(INDEX($A:$AP,ROW(),$G$6)),INDEX($A:$AP,ROW(),$G$6),IFERROR(--SUBSTITUTE(SUBSTITUTE(TRIM(INDEX($A:$AP,ROW(),$G$6)),",",""),"원",""),0))))</f>
        <v/>
      </c>
      <c r="AV628" s="23">
        <f>IF($AS628="","",IF($H$6="",$AT628+$AU628,IF($H$6="",0,IF(ISNUMBER(INDEX($A:$AP,ROW(),$H$6)),INDEX($A:$AP,ROW(),$H$6),IFERROR(--SUBSTITUTE(SUBSTITUTE(TRIM(INDEX($A:$AP,ROW(),$H$6)),",",""),"원",""),0)))))</f>
        <v/>
      </c>
      <c r="AW628" s="2">
        <f>IF(OR($AS628="",$C$6=""),"",TRIM(INDEX($A:$AP,ROW(),$C$6)&amp;""))</f>
        <v/>
      </c>
      <c r="AX628" s="2">
        <f>IF($AS628="","",IF($AZ628&lt;&gt;"",SUBSTITUTE(SUBSTITUTE($AZ628,"-","")," ",""),$AY628))</f>
        <v/>
      </c>
      <c r="AY628" s="2">
        <f>IF(OR($AS628="",$E$6=""),"",TRIM(INDEX($A:$AP,ROW(),$E$6)&amp;""))</f>
        <v/>
      </c>
      <c r="AZ628" s="2">
        <f>IF(OR($AS628="",$D$6=""),"",TRIM(INDEX($A:$AP,ROW(),$D$6)&amp;""))</f>
        <v/>
      </c>
      <c r="BA628" s="2">
        <f>IF($AS628="","",IF(AND($AS628&gt;=설정!$B$10,$AS628&lt;=설정!$B$11),"포함","기간 밖"))</f>
        <v/>
      </c>
      <c r="BB628" s="2">
        <f>IF($AS628="","",IF(OR($AT628&lt;0,AND($I$6&lt;&gt;"",ISNUMBER(FIND("수정",INDEX($A:$AP,ROW(),IF($I$6="",1,$I$6))&amp;"")))),"수정","일반"))</f>
        <v/>
      </c>
      <c r="BC628" s="2">
        <f>IF($AS628="","",MID(IF($BA628="기간 밖"," / 기간 밖(신고기간 아님)","")&amp;IF(AND($AW628&lt;&gt;"",COUNTIF($AW$8:$AW$1007,$AW628)&gt;1)," / 승인번호 중복(두 번 붙여넣기?)","")&amp;IF(ABS($AU628-ROUND($AT628*0.1,0))&gt;설정!$B$8,IF($AU628=0," / 세액 0원(영세율·면세 여부 확인)"," / 세액이 공급가액 10%와 다름"),"")&amp;IF($BB628="수정"," / 수정세금계산서(합계에서 자동 가감)",""),4,200))</f>
        <v/>
      </c>
      <c r="BD628" s="2">
        <f>IF($BA628&lt;&gt;"포함","",IF(COUNTIFS($AX$8:$AX628,$AX628,$BA$8:$BA628,"포함")=1,MAX($BD$7:BD627)+1,""))</f>
        <v/>
      </c>
      <c r="BE628" s="2">
        <f>IF($BC628="","",MAX($BE$7:BE627)+1)</f>
        <v/>
      </c>
    </row>
    <row r="629">
      <c r="AR629" s="2">
        <f>IF(OR($A$5="",$B$6="",ROW()&lt;$A$5),"",IF(INDEX($A:$AP,ROW(),$B$6)="","",INDEX($A:$AP,ROW(),$B$6)))</f>
        <v/>
      </c>
      <c r="AS629" s="22">
        <f>IF($AR629="","",IF(ISNUMBER($AR629),IF($AR629&gt;=10000000,IFERROR(DATE(INT($AR629/10000),MOD(INT($AR629/100),100),MOD($AR629,100)),""),INT($AR629)),IFERROR(DATE(--LEFT(LEFT(SUBSTITUTE(SUBSTITUTE(SUBSTITUTE(SUBSTITUTE(TRIM($AR629),"-",""),".",""),"/","")," ",""),8),4),--MID(LEFT(SUBSTITUTE(SUBSTITUTE(SUBSTITUTE(SUBSTITUTE(TRIM($AR629),"-",""),".",""),"/","")," ",""),8),5,2),--MID(LEFT(SUBSTITUTE(SUBSTITUTE(SUBSTITUTE(SUBSTITUTE(TRIM($AR629),"-",""),".",""),"/","")," ",""),8),7,2)),"")))</f>
        <v/>
      </c>
      <c r="AT629" s="23">
        <f>IF($AS629="","",IF($F$6="",0,IF(ISNUMBER(INDEX($A:$AP,ROW(),$F$6)),INDEX($A:$AP,ROW(),$F$6),IFERROR(--SUBSTITUTE(SUBSTITUTE(TRIM(INDEX($A:$AP,ROW(),$F$6)),",",""),"원",""),0))))</f>
        <v/>
      </c>
      <c r="AU629" s="23">
        <f>IF($AS629="","",IF($G$6="",0,IF(ISNUMBER(INDEX($A:$AP,ROW(),$G$6)),INDEX($A:$AP,ROW(),$G$6),IFERROR(--SUBSTITUTE(SUBSTITUTE(TRIM(INDEX($A:$AP,ROW(),$G$6)),",",""),"원",""),0))))</f>
        <v/>
      </c>
      <c r="AV629" s="23">
        <f>IF($AS629="","",IF($H$6="",$AT629+$AU629,IF($H$6="",0,IF(ISNUMBER(INDEX($A:$AP,ROW(),$H$6)),INDEX($A:$AP,ROW(),$H$6),IFERROR(--SUBSTITUTE(SUBSTITUTE(TRIM(INDEX($A:$AP,ROW(),$H$6)),",",""),"원",""),0)))))</f>
        <v/>
      </c>
      <c r="AW629" s="2">
        <f>IF(OR($AS629="",$C$6=""),"",TRIM(INDEX($A:$AP,ROW(),$C$6)&amp;""))</f>
        <v/>
      </c>
      <c r="AX629" s="2">
        <f>IF($AS629="","",IF($AZ629&lt;&gt;"",SUBSTITUTE(SUBSTITUTE($AZ629,"-","")," ",""),$AY629))</f>
        <v/>
      </c>
      <c r="AY629" s="2">
        <f>IF(OR($AS629="",$E$6=""),"",TRIM(INDEX($A:$AP,ROW(),$E$6)&amp;""))</f>
        <v/>
      </c>
      <c r="AZ629" s="2">
        <f>IF(OR($AS629="",$D$6=""),"",TRIM(INDEX($A:$AP,ROW(),$D$6)&amp;""))</f>
        <v/>
      </c>
      <c r="BA629" s="2">
        <f>IF($AS629="","",IF(AND($AS629&gt;=설정!$B$10,$AS629&lt;=설정!$B$11),"포함","기간 밖"))</f>
        <v/>
      </c>
      <c r="BB629" s="2">
        <f>IF($AS629="","",IF(OR($AT629&lt;0,AND($I$6&lt;&gt;"",ISNUMBER(FIND("수정",INDEX($A:$AP,ROW(),IF($I$6="",1,$I$6))&amp;"")))),"수정","일반"))</f>
        <v/>
      </c>
      <c r="BC629" s="2">
        <f>IF($AS629="","",MID(IF($BA629="기간 밖"," / 기간 밖(신고기간 아님)","")&amp;IF(AND($AW629&lt;&gt;"",COUNTIF($AW$8:$AW$1007,$AW629)&gt;1)," / 승인번호 중복(두 번 붙여넣기?)","")&amp;IF(ABS($AU629-ROUND($AT629*0.1,0))&gt;설정!$B$8,IF($AU629=0," / 세액 0원(영세율·면세 여부 확인)"," / 세액이 공급가액 10%와 다름"),"")&amp;IF($BB629="수정"," / 수정세금계산서(합계에서 자동 가감)",""),4,200))</f>
        <v/>
      </c>
      <c r="BD629" s="2">
        <f>IF($BA629&lt;&gt;"포함","",IF(COUNTIFS($AX$8:$AX629,$AX629,$BA$8:$BA629,"포함")=1,MAX($BD$7:BD628)+1,""))</f>
        <v/>
      </c>
      <c r="BE629" s="2">
        <f>IF($BC629="","",MAX($BE$7:BE628)+1)</f>
        <v/>
      </c>
    </row>
    <row r="630">
      <c r="AR630" s="2">
        <f>IF(OR($A$5="",$B$6="",ROW()&lt;$A$5),"",IF(INDEX($A:$AP,ROW(),$B$6)="","",INDEX($A:$AP,ROW(),$B$6)))</f>
        <v/>
      </c>
      <c r="AS630" s="22">
        <f>IF($AR630="","",IF(ISNUMBER($AR630),IF($AR630&gt;=10000000,IFERROR(DATE(INT($AR630/10000),MOD(INT($AR630/100),100),MOD($AR630,100)),""),INT($AR630)),IFERROR(DATE(--LEFT(LEFT(SUBSTITUTE(SUBSTITUTE(SUBSTITUTE(SUBSTITUTE(TRIM($AR630),"-",""),".",""),"/","")," ",""),8),4),--MID(LEFT(SUBSTITUTE(SUBSTITUTE(SUBSTITUTE(SUBSTITUTE(TRIM($AR630),"-",""),".",""),"/","")," ",""),8),5,2),--MID(LEFT(SUBSTITUTE(SUBSTITUTE(SUBSTITUTE(SUBSTITUTE(TRIM($AR630),"-",""),".",""),"/","")," ",""),8),7,2)),"")))</f>
        <v/>
      </c>
      <c r="AT630" s="23">
        <f>IF($AS630="","",IF($F$6="",0,IF(ISNUMBER(INDEX($A:$AP,ROW(),$F$6)),INDEX($A:$AP,ROW(),$F$6),IFERROR(--SUBSTITUTE(SUBSTITUTE(TRIM(INDEX($A:$AP,ROW(),$F$6)),",",""),"원",""),0))))</f>
        <v/>
      </c>
      <c r="AU630" s="23">
        <f>IF($AS630="","",IF($G$6="",0,IF(ISNUMBER(INDEX($A:$AP,ROW(),$G$6)),INDEX($A:$AP,ROW(),$G$6),IFERROR(--SUBSTITUTE(SUBSTITUTE(TRIM(INDEX($A:$AP,ROW(),$G$6)),",",""),"원",""),0))))</f>
        <v/>
      </c>
      <c r="AV630" s="23">
        <f>IF($AS630="","",IF($H$6="",$AT630+$AU630,IF($H$6="",0,IF(ISNUMBER(INDEX($A:$AP,ROW(),$H$6)),INDEX($A:$AP,ROW(),$H$6),IFERROR(--SUBSTITUTE(SUBSTITUTE(TRIM(INDEX($A:$AP,ROW(),$H$6)),",",""),"원",""),0)))))</f>
        <v/>
      </c>
      <c r="AW630" s="2">
        <f>IF(OR($AS630="",$C$6=""),"",TRIM(INDEX($A:$AP,ROW(),$C$6)&amp;""))</f>
        <v/>
      </c>
      <c r="AX630" s="2">
        <f>IF($AS630="","",IF($AZ630&lt;&gt;"",SUBSTITUTE(SUBSTITUTE($AZ630,"-","")," ",""),$AY630))</f>
        <v/>
      </c>
      <c r="AY630" s="2">
        <f>IF(OR($AS630="",$E$6=""),"",TRIM(INDEX($A:$AP,ROW(),$E$6)&amp;""))</f>
        <v/>
      </c>
      <c r="AZ630" s="2">
        <f>IF(OR($AS630="",$D$6=""),"",TRIM(INDEX($A:$AP,ROW(),$D$6)&amp;""))</f>
        <v/>
      </c>
      <c r="BA630" s="2">
        <f>IF($AS630="","",IF(AND($AS630&gt;=설정!$B$10,$AS630&lt;=설정!$B$11),"포함","기간 밖"))</f>
        <v/>
      </c>
      <c r="BB630" s="2">
        <f>IF($AS630="","",IF(OR($AT630&lt;0,AND($I$6&lt;&gt;"",ISNUMBER(FIND("수정",INDEX($A:$AP,ROW(),IF($I$6="",1,$I$6))&amp;"")))),"수정","일반"))</f>
        <v/>
      </c>
      <c r="BC630" s="2">
        <f>IF($AS630="","",MID(IF($BA630="기간 밖"," / 기간 밖(신고기간 아님)","")&amp;IF(AND($AW630&lt;&gt;"",COUNTIF($AW$8:$AW$1007,$AW630)&gt;1)," / 승인번호 중복(두 번 붙여넣기?)","")&amp;IF(ABS($AU630-ROUND($AT630*0.1,0))&gt;설정!$B$8,IF($AU630=0," / 세액 0원(영세율·면세 여부 확인)"," / 세액이 공급가액 10%와 다름"),"")&amp;IF($BB630="수정"," / 수정세금계산서(합계에서 자동 가감)",""),4,200))</f>
        <v/>
      </c>
      <c r="BD630" s="2">
        <f>IF($BA630&lt;&gt;"포함","",IF(COUNTIFS($AX$8:$AX630,$AX630,$BA$8:$BA630,"포함")=1,MAX($BD$7:BD629)+1,""))</f>
        <v/>
      </c>
      <c r="BE630" s="2">
        <f>IF($BC630="","",MAX($BE$7:BE629)+1)</f>
        <v/>
      </c>
    </row>
    <row r="631">
      <c r="AR631" s="2">
        <f>IF(OR($A$5="",$B$6="",ROW()&lt;$A$5),"",IF(INDEX($A:$AP,ROW(),$B$6)="","",INDEX($A:$AP,ROW(),$B$6)))</f>
        <v/>
      </c>
      <c r="AS631" s="22">
        <f>IF($AR631="","",IF(ISNUMBER($AR631),IF($AR631&gt;=10000000,IFERROR(DATE(INT($AR631/10000),MOD(INT($AR631/100),100),MOD($AR631,100)),""),INT($AR631)),IFERROR(DATE(--LEFT(LEFT(SUBSTITUTE(SUBSTITUTE(SUBSTITUTE(SUBSTITUTE(TRIM($AR631),"-",""),".",""),"/","")," ",""),8),4),--MID(LEFT(SUBSTITUTE(SUBSTITUTE(SUBSTITUTE(SUBSTITUTE(TRIM($AR631),"-",""),".",""),"/","")," ",""),8),5,2),--MID(LEFT(SUBSTITUTE(SUBSTITUTE(SUBSTITUTE(SUBSTITUTE(TRIM($AR631),"-",""),".",""),"/","")," ",""),8),7,2)),"")))</f>
        <v/>
      </c>
      <c r="AT631" s="23">
        <f>IF($AS631="","",IF($F$6="",0,IF(ISNUMBER(INDEX($A:$AP,ROW(),$F$6)),INDEX($A:$AP,ROW(),$F$6),IFERROR(--SUBSTITUTE(SUBSTITUTE(TRIM(INDEX($A:$AP,ROW(),$F$6)),",",""),"원",""),0))))</f>
        <v/>
      </c>
      <c r="AU631" s="23">
        <f>IF($AS631="","",IF($G$6="",0,IF(ISNUMBER(INDEX($A:$AP,ROW(),$G$6)),INDEX($A:$AP,ROW(),$G$6),IFERROR(--SUBSTITUTE(SUBSTITUTE(TRIM(INDEX($A:$AP,ROW(),$G$6)),",",""),"원",""),0))))</f>
        <v/>
      </c>
      <c r="AV631" s="23">
        <f>IF($AS631="","",IF($H$6="",$AT631+$AU631,IF($H$6="",0,IF(ISNUMBER(INDEX($A:$AP,ROW(),$H$6)),INDEX($A:$AP,ROW(),$H$6),IFERROR(--SUBSTITUTE(SUBSTITUTE(TRIM(INDEX($A:$AP,ROW(),$H$6)),",",""),"원",""),0)))))</f>
        <v/>
      </c>
      <c r="AW631" s="2">
        <f>IF(OR($AS631="",$C$6=""),"",TRIM(INDEX($A:$AP,ROW(),$C$6)&amp;""))</f>
        <v/>
      </c>
      <c r="AX631" s="2">
        <f>IF($AS631="","",IF($AZ631&lt;&gt;"",SUBSTITUTE(SUBSTITUTE($AZ631,"-","")," ",""),$AY631))</f>
        <v/>
      </c>
      <c r="AY631" s="2">
        <f>IF(OR($AS631="",$E$6=""),"",TRIM(INDEX($A:$AP,ROW(),$E$6)&amp;""))</f>
        <v/>
      </c>
      <c r="AZ631" s="2">
        <f>IF(OR($AS631="",$D$6=""),"",TRIM(INDEX($A:$AP,ROW(),$D$6)&amp;""))</f>
        <v/>
      </c>
      <c r="BA631" s="2">
        <f>IF($AS631="","",IF(AND($AS631&gt;=설정!$B$10,$AS631&lt;=설정!$B$11),"포함","기간 밖"))</f>
        <v/>
      </c>
      <c r="BB631" s="2">
        <f>IF($AS631="","",IF(OR($AT631&lt;0,AND($I$6&lt;&gt;"",ISNUMBER(FIND("수정",INDEX($A:$AP,ROW(),IF($I$6="",1,$I$6))&amp;"")))),"수정","일반"))</f>
        <v/>
      </c>
      <c r="BC631" s="2">
        <f>IF($AS631="","",MID(IF($BA631="기간 밖"," / 기간 밖(신고기간 아님)","")&amp;IF(AND($AW631&lt;&gt;"",COUNTIF($AW$8:$AW$1007,$AW631)&gt;1)," / 승인번호 중복(두 번 붙여넣기?)","")&amp;IF(ABS($AU631-ROUND($AT631*0.1,0))&gt;설정!$B$8,IF($AU631=0," / 세액 0원(영세율·면세 여부 확인)"," / 세액이 공급가액 10%와 다름"),"")&amp;IF($BB631="수정"," / 수정세금계산서(합계에서 자동 가감)",""),4,200))</f>
        <v/>
      </c>
      <c r="BD631" s="2">
        <f>IF($BA631&lt;&gt;"포함","",IF(COUNTIFS($AX$8:$AX631,$AX631,$BA$8:$BA631,"포함")=1,MAX($BD$7:BD630)+1,""))</f>
        <v/>
      </c>
      <c r="BE631" s="2">
        <f>IF($BC631="","",MAX($BE$7:BE630)+1)</f>
        <v/>
      </c>
    </row>
    <row r="632">
      <c r="AR632" s="2">
        <f>IF(OR($A$5="",$B$6="",ROW()&lt;$A$5),"",IF(INDEX($A:$AP,ROW(),$B$6)="","",INDEX($A:$AP,ROW(),$B$6)))</f>
        <v/>
      </c>
      <c r="AS632" s="22">
        <f>IF($AR632="","",IF(ISNUMBER($AR632),IF($AR632&gt;=10000000,IFERROR(DATE(INT($AR632/10000),MOD(INT($AR632/100),100),MOD($AR632,100)),""),INT($AR632)),IFERROR(DATE(--LEFT(LEFT(SUBSTITUTE(SUBSTITUTE(SUBSTITUTE(SUBSTITUTE(TRIM($AR632),"-",""),".",""),"/","")," ",""),8),4),--MID(LEFT(SUBSTITUTE(SUBSTITUTE(SUBSTITUTE(SUBSTITUTE(TRIM($AR632),"-",""),".",""),"/","")," ",""),8),5,2),--MID(LEFT(SUBSTITUTE(SUBSTITUTE(SUBSTITUTE(SUBSTITUTE(TRIM($AR632),"-",""),".",""),"/","")," ",""),8),7,2)),"")))</f>
        <v/>
      </c>
      <c r="AT632" s="23">
        <f>IF($AS632="","",IF($F$6="",0,IF(ISNUMBER(INDEX($A:$AP,ROW(),$F$6)),INDEX($A:$AP,ROW(),$F$6),IFERROR(--SUBSTITUTE(SUBSTITUTE(TRIM(INDEX($A:$AP,ROW(),$F$6)),",",""),"원",""),0))))</f>
        <v/>
      </c>
      <c r="AU632" s="23">
        <f>IF($AS632="","",IF($G$6="",0,IF(ISNUMBER(INDEX($A:$AP,ROW(),$G$6)),INDEX($A:$AP,ROW(),$G$6),IFERROR(--SUBSTITUTE(SUBSTITUTE(TRIM(INDEX($A:$AP,ROW(),$G$6)),",",""),"원",""),0))))</f>
        <v/>
      </c>
      <c r="AV632" s="23">
        <f>IF($AS632="","",IF($H$6="",$AT632+$AU632,IF($H$6="",0,IF(ISNUMBER(INDEX($A:$AP,ROW(),$H$6)),INDEX($A:$AP,ROW(),$H$6),IFERROR(--SUBSTITUTE(SUBSTITUTE(TRIM(INDEX($A:$AP,ROW(),$H$6)),",",""),"원",""),0)))))</f>
        <v/>
      </c>
      <c r="AW632" s="2">
        <f>IF(OR($AS632="",$C$6=""),"",TRIM(INDEX($A:$AP,ROW(),$C$6)&amp;""))</f>
        <v/>
      </c>
      <c r="AX632" s="2">
        <f>IF($AS632="","",IF($AZ632&lt;&gt;"",SUBSTITUTE(SUBSTITUTE($AZ632,"-","")," ",""),$AY632))</f>
        <v/>
      </c>
      <c r="AY632" s="2">
        <f>IF(OR($AS632="",$E$6=""),"",TRIM(INDEX($A:$AP,ROW(),$E$6)&amp;""))</f>
        <v/>
      </c>
      <c r="AZ632" s="2">
        <f>IF(OR($AS632="",$D$6=""),"",TRIM(INDEX($A:$AP,ROW(),$D$6)&amp;""))</f>
        <v/>
      </c>
      <c r="BA632" s="2">
        <f>IF($AS632="","",IF(AND($AS632&gt;=설정!$B$10,$AS632&lt;=설정!$B$11),"포함","기간 밖"))</f>
        <v/>
      </c>
      <c r="BB632" s="2">
        <f>IF($AS632="","",IF(OR($AT632&lt;0,AND($I$6&lt;&gt;"",ISNUMBER(FIND("수정",INDEX($A:$AP,ROW(),IF($I$6="",1,$I$6))&amp;"")))),"수정","일반"))</f>
        <v/>
      </c>
      <c r="BC632" s="2">
        <f>IF($AS632="","",MID(IF($BA632="기간 밖"," / 기간 밖(신고기간 아님)","")&amp;IF(AND($AW632&lt;&gt;"",COUNTIF($AW$8:$AW$1007,$AW632)&gt;1)," / 승인번호 중복(두 번 붙여넣기?)","")&amp;IF(ABS($AU632-ROUND($AT632*0.1,0))&gt;설정!$B$8,IF($AU632=0," / 세액 0원(영세율·면세 여부 확인)"," / 세액이 공급가액 10%와 다름"),"")&amp;IF($BB632="수정"," / 수정세금계산서(합계에서 자동 가감)",""),4,200))</f>
        <v/>
      </c>
      <c r="BD632" s="2">
        <f>IF($BA632&lt;&gt;"포함","",IF(COUNTIFS($AX$8:$AX632,$AX632,$BA$8:$BA632,"포함")=1,MAX($BD$7:BD631)+1,""))</f>
        <v/>
      </c>
      <c r="BE632" s="2">
        <f>IF($BC632="","",MAX($BE$7:BE631)+1)</f>
        <v/>
      </c>
    </row>
    <row r="633">
      <c r="AR633" s="2">
        <f>IF(OR($A$5="",$B$6="",ROW()&lt;$A$5),"",IF(INDEX($A:$AP,ROW(),$B$6)="","",INDEX($A:$AP,ROW(),$B$6)))</f>
        <v/>
      </c>
      <c r="AS633" s="22">
        <f>IF($AR633="","",IF(ISNUMBER($AR633),IF($AR633&gt;=10000000,IFERROR(DATE(INT($AR633/10000),MOD(INT($AR633/100),100),MOD($AR633,100)),""),INT($AR633)),IFERROR(DATE(--LEFT(LEFT(SUBSTITUTE(SUBSTITUTE(SUBSTITUTE(SUBSTITUTE(TRIM($AR633),"-",""),".",""),"/","")," ",""),8),4),--MID(LEFT(SUBSTITUTE(SUBSTITUTE(SUBSTITUTE(SUBSTITUTE(TRIM($AR633),"-",""),".",""),"/","")," ",""),8),5,2),--MID(LEFT(SUBSTITUTE(SUBSTITUTE(SUBSTITUTE(SUBSTITUTE(TRIM($AR633),"-",""),".",""),"/","")," ",""),8),7,2)),"")))</f>
        <v/>
      </c>
      <c r="AT633" s="23">
        <f>IF($AS633="","",IF($F$6="",0,IF(ISNUMBER(INDEX($A:$AP,ROW(),$F$6)),INDEX($A:$AP,ROW(),$F$6),IFERROR(--SUBSTITUTE(SUBSTITUTE(TRIM(INDEX($A:$AP,ROW(),$F$6)),",",""),"원",""),0))))</f>
        <v/>
      </c>
      <c r="AU633" s="23">
        <f>IF($AS633="","",IF($G$6="",0,IF(ISNUMBER(INDEX($A:$AP,ROW(),$G$6)),INDEX($A:$AP,ROW(),$G$6),IFERROR(--SUBSTITUTE(SUBSTITUTE(TRIM(INDEX($A:$AP,ROW(),$G$6)),",",""),"원",""),0))))</f>
        <v/>
      </c>
      <c r="AV633" s="23">
        <f>IF($AS633="","",IF($H$6="",$AT633+$AU633,IF($H$6="",0,IF(ISNUMBER(INDEX($A:$AP,ROW(),$H$6)),INDEX($A:$AP,ROW(),$H$6),IFERROR(--SUBSTITUTE(SUBSTITUTE(TRIM(INDEX($A:$AP,ROW(),$H$6)),",",""),"원",""),0)))))</f>
        <v/>
      </c>
      <c r="AW633" s="2">
        <f>IF(OR($AS633="",$C$6=""),"",TRIM(INDEX($A:$AP,ROW(),$C$6)&amp;""))</f>
        <v/>
      </c>
      <c r="AX633" s="2">
        <f>IF($AS633="","",IF($AZ633&lt;&gt;"",SUBSTITUTE(SUBSTITUTE($AZ633,"-","")," ",""),$AY633))</f>
        <v/>
      </c>
      <c r="AY633" s="2">
        <f>IF(OR($AS633="",$E$6=""),"",TRIM(INDEX($A:$AP,ROW(),$E$6)&amp;""))</f>
        <v/>
      </c>
      <c r="AZ633" s="2">
        <f>IF(OR($AS633="",$D$6=""),"",TRIM(INDEX($A:$AP,ROW(),$D$6)&amp;""))</f>
        <v/>
      </c>
      <c r="BA633" s="2">
        <f>IF($AS633="","",IF(AND($AS633&gt;=설정!$B$10,$AS633&lt;=설정!$B$11),"포함","기간 밖"))</f>
        <v/>
      </c>
      <c r="BB633" s="2">
        <f>IF($AS633="","",IF(OR($AT633&lt;0,AND($I$6&lt;&gt;"",ISNUMBER(FIND("수정",INDEX($A:$AP,ROW(),IF($I$6="",1,$I$6))&amp;"")))),"수정","일반"))</f>
        <v/>
      </c>
      <c r="BC633" s="2">
        <f>IF($AS633="","",MID(IF($BA633="기간 밖"," / 기간 밖(신고기간 아님)","")&amp;IF(AND($AW633&lt;&gt;"",COUNTIF($AW$8:$AW$1007,$AW633)&gt;1)," / 승인번호 중복(두 번 붙여넣기?)","")&amp;IF(ABS($AU633-ROUND($AT633*0.1,0))&gt;설정!$B$8,IF($AU633=0," / 세액 0원(영세율·면세 여부 확인)"," / 세액이 공급가액 10%와 다름"),"")&amp;IF($BB633="수정"," / 수정세금계산서(합계에서 자동 가감)",""),4,200))</f>
        <v/>
      </c>
      <c r="BD633" s="2">
        <f>IF($BA633&lt;&gt;"포함","",IF(COUNTIFS($AX$8:$AX633,$AX633,$BA$8:$BA633,"포함")=1,MAX($BD$7:BD632)+1,""))</f>
        <v/>
      </c>
      <c r="BE633" s="2">
        <f>IF($BC633="","",MAX($BE$7:BE632)+1)</f>
        <v/>
      </c>
    </row>
    <row r="634">
      <c r="AR634" s="2">
        <f>IF(OR($A$5="",$B$6="",ROW()&lt;$A$5),"",IF(INDEX($A:$AP,ROW(),$B$6)="","",INDEX($A:$AP,ROW(),$B$6)))</f>
        <v/>
      </c>
      <c r="AS634" s="22">
        <f>IF($AR634="","",IF(ISNUMBER($AR634),IF($AR634&gt;=10000000,IFERROR(DATE(INT($AR634/10000),MOD(INT($AR634/100),100),MOD($AR634,100)),""),INT($AR634)),IFERROR(DATE(--LEFT(LEFT(SUBSTITUTE(SUBSTITUTE(SUBSTITUTE(SUBSTITUTE(TRIM($AR634),"-",""),".",""),"/","")," ",""),8),4),--MID(LEFT(SUBSTITUTE(SUBSTITUTE(SUBSTITUTE(SUBSTITUTE(TRIM($AR634),"-",""),".",""),"/","")," ",""),8),5,2),--MID(LEFT(SUBSTITUTE(SUBSTITUTE(SUBSTITUTE(SUBSTITUTE(TRIM($AR634),"-",""),".",""),"/","")," ",""),8),7,2)),"")))</f>
        <v/>
      </c>
      <c r="AT634" s="23">
        <f>IF($AS634="","",IF($F$6="",0,IF(ISNUMBER(INDEX($A:$AP,ROW(),$F$6)),INDEX($A:$AP,ROW(),$F$6),IFERROR(--SUBSTITUTE(SUBSTITUTE(TRIM(INDEX($A:$AP,ROW(),$F$6)),",",""),"원",""),0))))</f>
        <v/>
      </c>
      <c r="AU634" s="23">
        <f>IF($AS634="","",IF($G$6="",0,IF(ISNUMBER(INDEX($A:$AP,ROW(),$G$6)),INDEX($A:$AP,ROW(),$G$6),IFERROR(--SUBSTITUTE(SUBSTITUTE(TRIM(INDEX($A:$AP,ROW(),$G$6)),",",""),"원",""),0))))</f>
        <v/>
      </c>
      <c r="AV634" s="23">
        <f>IF($AS634="","",IF($H$6="",$AT634+$AU634,IF($H$6="",0,IF(ISNUMBER(INDEX($A:$AP,ROW(),$H$6)),INDEX($A:$AP,ROW(),$H$6),IFERROR(--SUBSTITUTE(SUBSTITUTE(TRIM(INDEX($A:$AP,ROW(),$H$6)),",",""),"원",""),0)))))</f>
        <v/>
      </c>
      <c r="AW634" s="2">
        <f>IF(OR($AS634="",$C$6=""),"",TRIM(INDEX($A:$AP,ROW(),$C$6)&amp;""))</f>
        <v/>
      </c>
      <c r="AX634" s="2">
        <f>IF($AS634="","",IF($AZ634&lt;&gt;"",SUBSTITUTE(SUBSTITUTE($AZ634,"-","")," ",""),$AY634))</f>
        <v/>
      </c>
      <c r="AY634" s="2">
        <f>IF(OR($AS634="",$E$6=""),"",TRIM(INDEX($A:$AP,ROW(),$E$6)&amp;""))</f>
        <v/>
      </c>
      <c r="AZ634" s="2">
        <f>IF(OR($AS634="",$D$6=""),"",TRIM(INDEX($A:$AP,ROW(),$D$6)&amp;""))</f>
        <v/>
      </c>
      <c r="BA634" s="2">
        <f>IF($AS634="","",IF(AND($AS634&gt;=설정!$B$10,$AS634&lt;=설정!$B$11),"포함","기간 밖"))</f>
        <v/>
      </c>
      <c r="BB634" s="2">
        <f>IF($AS634="","",IF(OR($AT634&lt;0,AND($I$6&lt;&gt;"",ISNUMBER(FIND("수정",INDEX($A:$AP,ROW(),IF($I$6="",1,$I$6))&amp;"")))),"수정","일반"))</f>
        <v/>
      </c>
      <c r="BC634" s="2">
        <f>IF($AS634="","",MID(IF($BA634="기간 밖"," / 기간 밖(신고기간 아님)","")&amp;IF(AND($AW634&lt;&gt;"",COUNTIF($AW$8:$AW$1007,$AW634)&gt;1)," / 승인번호 중복(두 번 붙여넣기?)","")&amp;IF(ABS($AU634-ROUND($AT634*0.1,0))&gt;설정!$B$8,IF($AU634=0," / 세액 0원(영세율·면세 여부 확인)"," / 세액이 공급가액 10%와 다름"),"")&amp;IF($BB634="수정"," / 수정세금계산서(합계에서 자동 가감)",""),4,200))</f>
        <v/>
      </c>
      <c r="BD634" s="2">
        <f>IF($BA634&lt;&gt;"포함","",IF(COUNTIFS($AX$8:$AX634,$AX634,$BA$8:$BA634,"포함")=1,MAX($BD$7:BD633)+1,""))</f>
        <v/>
      </c>
      <c r="BE634" s="2">
        <f>IF($BC634="","",MAX($BE$7:BE633)+1)</f>
        <v/>
      </c>
    </row>
    <row r="635">
      <c r="AR635" s="2">
        <f>IF(OR($A$5="",$B$6="",ROW()&lt;$A$5),"",IF(INDEX($A:$AP,ROW(),$B$6)="","",INDEX($A:$AP,ROW(),$B$6)))</f>
        <v/>
      </c>
      <c r="AS635" s="22">
        <f>IF($AR635="","",IF(ISNUMBER($AR635),IF($AR635&gt;=10000000,IFERROR(DATE(INT($AR635/10000),MOD(INT($AR635/100),100),MOD($AR635,100)),""),INT($AR635)),IFERROR(DATE(--LEFT(LEFT(SUBSTITUTE(SUBSTITUTE(SUBSTITUTE(SUBSTITUTE(TRIM($AR635),"-",""),".",""),"/","")," ",""),8),4),--MID(LEFT(SUBSTITUTE(SUBSTITUTE(SUBSTITUTE(SUBSTITUTE(TRIM($AR635),"-",""),".",""),"/","")," ",""),8),5,2),--MID(LEFT(SUBSTITUTE(SUBSTITUTE(SUBSTITUTE(SUBSTITUTE(TRIM($AR635),"-",""),".",""),"/","")," ",""),8),7,2)),"")))</f>
        <v/>
      </c>
      <c r="AT635" s="23">
        <f>IF($AS635="","",IF($F$6="",0,IF(ISNUMBER(INDEX($A:$AP,ROW(),$F$6)),INDEX($A:$AP,ROW(),$F$6),IFERROR(--SUBSTITUTE(SUBSTITUTE(TRIM(INDEX($A:$AP,ROW(),$F$6)),",",""),"원",""),0))))</f>
        <v/>
      </c>
      <c r="AU635" s="23">
        <f>IF($AS635="","",IF($G$6="",0,IF(ISNUMBER(INDEX($A:$AP,ROW(),$G$6)),INDEX($A:$AP,ROW(),$G$6),IFERROR(--SUBSTITUTE(SUBSTITUTE(TRIM(INDEX($A:$AP,ROW(),$G$6)),",",""),"원",""),0))))</f>
        <v/>
      </c>
      <c r="AV635" s="23">
        <f>IF($AS635="","",IF($H$6="",$AT635+$AU635,IF($H$6="",0,IF(ISNUMBER(INDEX($A:$AP,ROW(),$H$6)),INDEX($A:$AP,ROW(),$H$6),IFERROR(--SUBSTITUTE(SUBSTITUTE(TRIM(INDEX($A:$AP,ROW(),$H$6)),",",""),"원",""),0)))))</f>
        <v/>
      </c>
      <c r="AW635" s="2">
        <f>IF(OR($AS635="",$C$6=""),"",TRIM(INDEX($A:$AP,ROW(),$C$6)&amp;""))</f>
        <v/>
      </c>
      <c r="AX635" s="2">
        <f>IF($AS635="","",IF($AZ635&lt;&gt;"",SUBSTITUTE(SUBSTITUTE($AZ635,"-","")," ",""),$AY635))</f>
        <v/>
      </c>
      <c r="AY635" s="2">
        <f>IF(OR($AS635="",$E$6=""),"",TRIM(INDEX($A:$AP,ROW(),$E$6)&amp;""))</f>
        <v/>
      </c>
      <c r="AZ635" s="2">
        <f>IF(OR($AS635="",$D$6=""),"",TRIM(INDEX($A:$AP,ROW(),$D$6)&amp;""))</f>
        <v/>
      </c>
      <c r="BA635" s="2">
        <f>IF($AS635="","",IF(AND($AS635&gt;=설정!$B$10,$AS635&lt;=설정!$B$11),"포함","기간 밖"))</f>
        <v/>
      </c>
      <c r="BB635" s="2">
        <f>IF($AS635="","",IF(OR($AT635&lt;0,AND($I$6&lt;&gt;"",ISNUMBER(FIND("수정",INDEX($A:$AP,ROW(),IF($I$6="",1,$I$6))&amp;"")))),"수정","일반"))</f>
        <v/>
      </c>
      <c r="BC635" s="2">
        <f>IF($AS635="","",MID(IF($BA635="기간 밖"," / 기간 밖(신고기간 아님)","")&amp;IF(AND($AW635&lt;&gt;"",COUNTIF($AW$8:$AW$1007,$AW635)&gt;1)," / 승인번호 중복(두 번 붙여넣기?)","")&amp;IF(ABS($AU635-ROUND($AT635*0.1,0))&gt;설정!$B$8,IF($AU635=0," / 세액 0원(영세율·면세 여부 확인)"," / 세액이 공급가액 10%와 다름"),"")&amp;IF($BB635="수정"," / 수정세금계산서(합계에서 자동 가감)",""),4,200))</f>
        <v/>
      </c>
      <c r="BD635" s="2">
        <f>IF($BA635&lt;&gt;"포함","",IF(COUNTIFS($AX$8:$AX635,$AX635,$BA$8:$BA635,"포함")=1,MAX($BD$7:BD634)+1,""))</f>
        <v/>
      </c>
      <c r="BE635" s="2">
        <f>IF($BC635="","",MAX($BE$7:BE634)+1)</f>
        <v/>
      </c>
    </row>
    <row r="636">
      <c r="AR636" s="2">
        <f>IF(OR($A$5="",$B$6="",ROW()&lt;$A$5),"",IF(INDEX($A:$AP,ROW(),$B$6)="","",INDEX($A:$AP,ROW(),$B$6)))</f>
        <v/>
      </c>
      <c r="AS636" s="22">
        <f>IF($AR636="","",IF(ISNUMBER($AR636),IF($AR636&gt;=10000000,IFERROR(DATE(INT($AR636/10000),MOD(INT($AR636/100),100),MOD($AR636,100)),""),INT($AR636)),IFERROR(DATE(--LEFT(LEFT(SUBSTITUTE(SUBSTITUTE(SUBSTITUTE(SUBSTITUTE(TRIM($AR636),"-",""),".",""),"/","")," ",""),8),4),--MID(LEFT(SUBSTITUTE(SUBSTITUTE(SUBSTITUTE(SUBSTITUTE(TRIM($AR636),"-",""),".",""),"/","")," ",""),8),5,2),--MID(LEFT(SUBSTITUTE(SUBSTITUTE(SUBSTITUTE(SUBSTITUTE(TRIM($AR636),"-",""),".",""),"/","")," ",""),8),7,2)),"")))</f>
        <v/>
      </c>
      <c r="AT636" s="23">
        <f>IF($AS636="","",IF($F$6="",0,IF(ISNUMBER(INDEX($A:$AP,ROW(),$F$6)),INDEX($A:$AP,ROW(),$F$6),IFERROR(--SUBSTITUTE(SUBSTITUTE(TRIM(INDEX($A:$AP,ROW(),$F$6)),",",""),"원",""),0))))</f>
        <v/>
      </c>
      <c r="AU636" s="23">
        <f>IF($AS636="","",IF($G$6="",0,IF(ISNUMBER(INDEX($A:$AP,ROW(),$G$6)),INDEX($A:$AP,ROW(),$G$6),IFERROR(--SUBSTITUTE(SUBSTITUTE(TRIM(INDEX($A:$AP,ROW(),$G$6)),",",""),"원",""),0))))</f>
        <v/>
      </c>
      <c r="AV636" s="23">
        <f>IF($AS636="","",IF($H$6="",$AT636+$AU636,IF($H$6="",0,IF(ISNUMBER(INDEX($A:$AP,ROW(),$H$6)),INDEX($A:$AP,ROW(),$H$6),IFERROR(--SUBSTITUTE(SUBSTITUTE(TRIM(INDEX($A:$AP,ROW(),$H$6)),",",""),"원",""),0)))))</f>
        <v/>
      </c>
      <c r="AW636" s="2">
        <f>IF(OR($AS636="",$C$6=""),"",TRIM(INDEX($A:$AP,ROW(),$C$6)&amp;""))</f>
        <v/>
      </c>
      <c r="AX636" s="2">
        <f>IF($AS636="","",IF($AZ636&lt;&gt;"",SUBSTITUTE(SUBSTITUTE($AZ636,"-","")," ",""),$AY636))</f>
        <v/>
      </c>
      <c r="AY636" s="2">
        <f>IF(OR($AS636="",$E$6=""),"",TRIM(INDEX($A:$AP,ROW(),$E$6)&amp;""))</f>
        <v/>
      </c>
      <c r="AZ636" s="2">
        <f>IF(OR($AS636="",$D$6=""),"",TRIM(INDEX($A:$AP,ROW(),$D$6)&amp;""))</f>
        <v/>
      </c>
      <c r="BA636" s="2">
        <f>IF($AS636="","",IF(AND($AS636&gt;=설정!$B$10,$AS636&lt;=설정!$B$11),"포함","기간 밖"))</f>
        <v/>
      </c>
      <c r="BB636" s="2">
        <f>IF($AS636="","",IF(OR($AT636&lt;0,AND($I$6&lt;&gt;"",ISNUMBER(FIND("수정",INDEX($A:$AP,ROW(),IF($I$6="",1,$I$6))&amp;"")))),"수정","일반"))</f>
        <v/>
      </c>
      <c r="BC636" s="2">
        <f>IF($AS636="","",MID(IF($BA636="기간 밖"," / 기간 밖(신고기간 아님)","")&amp;IF(AND($AW636&lt;&gt;"",COUNTIF($AW$8:$AW$1007,$AW636)&gt;1)," / 승인번호 중복(두 번 붙여넣기?)","")&amp;IF(ABS($AU636-ROUND($AT636*0.1,0))&gt;설정!$B$8,IF($AU636=0," / 세액 0원(영세율·면세 여부 확인)"," / 세액이 공급가액 10%와 다름"),"")&amp;IF($BB636="수정"," / 수정세금계산서(합계에서 자동 가감)",""),4,200))</f>
        <v/>
      </c>
      <c r="BD636" s="2">
        <f>IF($BA636&lt;&gt;"포함","",IF(COUNTIFS($AX$8:$AX636,$AX636,$BA$8:$BA636,"포함")=1,MAX($BD$7:BD635)+1,""))</f>
        <v/>
      </c>
      <c r="BE636" s="2">
        <f>IF($BC636="","",MAX($BE$7:BE635)+1)</f>
        <v/>
      </c>
    </row>
    <row r="637">
      <c r="AR637" s="2">
        <f>IF(OR($A$5="",$B$6="",ROW()&lt;$A$5),"",IF(INDEX($A:$AP,ROW(),$B$6)="","",INDEX($A:$AP,ROW(),$B$6)))</f>
        <v/>
      </c>
      <c r="AS637" s="22">
        <f>IF($AR637="","",IF(ISNUMBER($AR637),IF($AR637&gt;=10000000,IFERROR(DATE(INT($AR637/10000),MOD(INT($AR637/100),100),MOD($AR637,100)),""),INT($AR637)),IFERROR(DATE(--LEFT(LEFT(SUBSTITUTE(SUBSTITUTE(SUBSTITUTE(SUBSTITUTE(TRIM($AR637),"-",""),".",""),"/","")," ",""),8),4),--MID(LEFT(SUBSTITUTE(SUBSTITUTE(SUBSTITUTE(SUBSTITUTE(TRIM($AR637),"-",""),".",""),"/","")," ",""),8),5,2),--MID(LEFT(SUBSTITUTE(SUBSTITUTE(SUBSTITUTE(SUBSTITUTE(TRIM($AR637),"-",""),".",""),"/","")," ",""),8),7,2)),"")))</f>
        <v/>
      </c>
      <c r="AT637" s="23">
        <f>IF($AS637="","",IF($F$6="",0,IF(ISNUMBER(INDEX($A:$AP,ROW(),$F$6)),INDEX($A:$AP,ROW(),$F$6),IFERROR(--SUBSTITUTE(SUBSTITUTE(TRIM(INDEX($A:$AP,ROW(),$F$6)),",",""),"원",""),0))))</f>
        <v/>
      </c>
      <c r="AU637" s="23">
        <f>IF($AS637="","",IF($G$6="",0,IF(ISNUMBER(INDEX($A:$AP,ROW(),$G$6)),INDEX($A:$AP,ROW(),$G$6),IFERROR(--SUBSTITUTE(SUBSTITUTE(TRIM(INDEX($A:$AP,ROW(),$G$6)),",",""),"원",""),0))))</f>
        <v/>
      </c>
      <c r="AV637" s="23">
        <f>IF($AS637="","",IF($H$6="",$AT637+$AU637,IF($H$6="",0,IF(ISNUMBER(INDEX($A:$AP,ROW(),$H$6)),INDEX($A:$AP,ROW(),$H$6),IFERROR(--SUBSTITUTE(SUBSTITUTE(TRIM(INDEX($A:$AP,ROW(),$H$6)),",",""),"원",""),0)))))</f>
        <v/>
      </c>
      <c r="AW637" s="2">
        <f>IF(OR($AS637="",$C$6=""),"",TRIM(INDEX($A:$AP,ROW(),$C$6)&amp;""))</f>
        <v/>
      </c>
      <c r="AX637" s="2">
        <f>IF($AS637="","",IF($AZ637&lt;&gt;"",SUBSTITUTE(SUBSTITUTE($AZ637,"-","")," ",""),$AY637))</f>
        <v/>
      </c>
      <c r="AY637" s="2">
        <f>IF(OR($AS637="",$E$6=""),"",TRIM(INDEX($A:$AP,ROW(),$E$6)&amp;""))</f>
        <v/>
      </c>
      <c r="AZ637" s="2">
        <f>IF(OR($AS637="",$D$6=""),"",TRIM(INDEX($A:$AP,ROW(),$D$6)&amp;""))</f>
        <v/>
      </c>
      <c r="BA637" s="2">
        <f>IF($AS637="","",IF(AND($AS637&gt;=설정!$B$10,$AS637&lt;=설정!$B$11),"포함","기간 밖"))</f>
        <v/>
      </c>
      <c r="BB637" s="2">
        <f>IF($AS637="","",IF(OR($AT637&lt;0,AND($I$6&lt;&gt;"",ISNUMBER(FIND("수정",INDEX($A:$AP,ROW(),IF($I$6="",1,$I$6))&amp;"")))),"수정","일반"))</f>
        <v/>
      </c>
      <c r="BC637" s="2">
        <f>IF($AS637="","",MID(IF($BA637="기간 밖"," / 기간 밖(신고기간 아님)","")&amp;IF(AND($AW637&lt;&gt;"",COUNTIF($AW$8:$AW$1007,$AW637)&gt;1)," / 승인번호 중복(두 번 붙여넣기?)","")&amp;IF(ABS($AU637-ROUND($AT637*0.1,0))&gt;설정!$B$8,IF($AU637=0," / 세액 0원(영세율·면세 여부 확인)"," / 세액이 공급가액 10%와 다름"),"")&amp;IF($BB637="수정"," / 수정세금계산서(합계에서 자동 가감)",""),4,200))</f>
        <v/>
      </c>
      <c r="BD637" s="2">
        <f>IF($BA637&lt;&gt;"포함","",IF(COUNTIFS($AX$8:$AX637,$AX637,$BA$8:$BA637,"포함")=1,MAX($BD$7:BD636)+1,""))</f>
        <v/>
      </c>
      <c r="BE637" s="2">
        <f>IF($BC637="","",MAX($BE$7:BE636)+1)</f>
        <v/>
      </c>
    </row>
    <row r="638">
      <c r="AR638" s="2">
        <f>IF(OR($A$5="",$B$6="",ROW()&lt;$A$5),"",IF(INDEX($A:$AP,ROW(),$B$6)="","",INDEX($A:$AP,ROW(),$B$6)))</f>
        <v/>
      </c>
      <c r="AS638" s="22">
        <f>IF($AR638="","",IF(ISNUMBER($AR638),IF($AR638&gt;=10000000,IFERROR(DATE(INT($AR638/10000),MOD(INT($AR638/100),100),MOD($AR638,100)),""),INT($AR638)),IFERROR(DATE(--LEFT(LEFT(SUBSTITUTE(SUBSTITUTE(SUBSTITUTE(SUBSTITUTE(TRIM($AR638),"-",""),".",""),"/","")," ",""),8),4),--MID(LEFT(SUBSTITUTE(SUBSTITUTE(SUBSTITUTE(SUBSTITUTE(TRIM($AR638),"-",""),".",""),"/","")," ",""),8),5,2),--MID(LEFT(SUBSTITUTE(SUBSTITUTE(SUBSTITUTE(SUBSTITUTE(TRIM($AR638),"-",""),".",""),"/","")," ",""),8),7,2)),"")))</f>
        <v/>
      </c>
      <c r="AT638" s="23">
        <f>IF($AS638="","",IF($F$6="",0,IF(ISNUMBER(INDEX($A:$AP,ROW(),$F$6)),INDEX($A:$AP,ROW(),$F$6),IFERROR(--SUBSTITUTE(SUBSTITUTE(TRIM(INDEX($A:$AP,ROW(),$F$6)),",",""),"원",""),0))))</f>
        <v/>
      </c>
      <c r="AU638" s="23">
        <f>IF($AS638="","",IF($G$6="",0,IF(ISNUMBER(INDEX($A:$AP,ROW(),$G$6)),INDEX($A:$AP,ROW(),$G$6),IFERROR(--SUBSTITUTE(SUBSTITUTE(TRIM(INDEX($A:$AP,ROW(),$G$6)),",",""),"원",""),0))))</f>
        <v/>
      </c>
      <c r="AV638" s="23">
        <f>IF($AS638="","",IF($H$6="",$AT638+$AU638,IF($H$6="",0,IF(ISNUMBER(INDEX($A:$AP,ROW(),$H$6)),INDEX($A:$AP,ROW(),$H$6),IFERROR(--SUBSTITUTE(SUBSTITUTE(TRIM(INDEX($A:$AP,ROW(),$H$6)),",",""),"원",""),0)))))</f>
        <v/>
      </c>
      <c r="AW638" s="2">
        <f>IF(OR($AS638="",$C$6=""),"",TRIM(INDEX($A:$AP,ROW(),$C$6)&amp;""))</f>
        <v/>
      </c>
      <c r="AX638" s="2">
        <f>IF($AS638="","",IF($AZ638&lt;&gt;"",SUBSTITUTE(SUBSTITUTE($AZ638,"-","")," ",""),$AY638))</f>
        <v/>
      </c>
      <c r="AY638" s="2">
        <f>IF(OR($AS638="",$E$6=""),"",TRIM(INDEX($A:$AP,ROW(),$E$6)&amp;""))</f>
        <v/>
      </c>
      <c r="AZ638" s="2">
        <f>IF(OR($AS638="",$D$6=""),"",TRIM(INDEX($A:$AP,ROW(),$D$6)&amp;""))</f>
        <v/>
      </c>
      <c r="BA638" s="2">
        <f>IF($AS638="","",IF(AND($AS638&gt;=설정!$B$10,$AS638&lt;=설정!$B$11),"포함","기간 밖"))</f>
        <v/>
      </c>
      <c r="BB638" s="2">
        <f>IF($AS638="","",IF(OR($AT638&lt;0,AND($I$6&lt;&gt;"",ISNUMBER(FIND("수정",INDEX($A:$AP,ROW(),IF($I$6="",1,$I$6))&amp;"")))),"수정","일반"))</f>
        <v/>
      </c>
      <c r="BC638" s="2">
        <f>IF($AS638="","",MID(IF($BA638="기간 밖"," / 기간 밖(신고기간 아님)","")&amp;IF(AND($AW638&lt;&gt;"",COUNTIF($AW$8:$AW$1007,$AW638)&gt;1)," / 승인번호 중복(두 번 붙여넣기?)","")&amp;IF(ABS($AU638-ROUND($AT638*0.1,0))&gt;설정!$B$8,IF($AU638=0," / 세액 0원(영세율·면세 여부 확인)"," / 세액이 공급가액 10%와 다름"),"")&amp;IF($BB638="수정"," / 수정세금계산서(합계에서 자동 가감)",""),4,200))</f>
        <v/>
      </c>
      <c r="BD638" s="2">
        <f>IF($BA638&lt;&gt;"포함","",IF(COUNTIFS($AX$8:$AX638,$AX638,$BA$8:$BA638,"포함")=1,MAX($BD$7:BD637)+1,""))</f>
        <v/>
      </c>
      <c r="BE638" s="2">
        <f>IF($BC638="","",MAX($BE$7:BE637)+1)</f>
        <v/>
      </c>
    </row>
    <row r="639">
      <c r="AR639" s="2">
        <f>IF(OR($A$5="",$B$6="",ROW()&lt;$A$5),"",IF(INDEX($A:$AP,ROW(),$B$6)="","",INDEX($A:$AP,ROW(),$B$6)))</f>
        <v/>
      </c>
      <c r="AS639" s="22">
        <f>IF($AR639="","",IF(ISNUMBER($AR639),IF($AR639&gt;=10000000,IFERROR(DATE(INT($AR639/10000),MOD(INT($AR639/100),100),MOD($AR639,100)),""),INT($AR639)),IFERROR(DATE(--LEFT(LEFT(SUBSTITUTE(SUBSTITUTE(SUBSTITUTE(SUBSTITUTE(TRIM($AR639),"-",""),".",""),"/","")," ",""),8),4),--MID(LEFT(SUBSTITUTE(SUBSTITUTE(SUBSTITUTE(SUBSTITUTE(TRIM($AR639),"-",""),".",""),"/","")," ",""),8),5,2),--MID(LEFT(SUBSTITUTE(SUBSTITUTE(SUBSTITUTE(SUBSTITUTE(TRIM($AR639),"-",""),".",""),"/","")," ",""),8),7,2)),"")))</f>
        <v/>
      </c>
      <c r="AT639" s="23">
        <f>IF($AS639="","",IF($F$6="",0,IF(ISNUMBER(INDEX($A:$AP,ROW(),$F$6)),INDEX($A:$AP,ROW(),$F$6),IFERROR(--SUBSTITUTE(SUBSTITUTE(TRIM(INDEX($A:$AP,ROW(),$F$6)),",",""),"원",""),0))))</f>
        <v/>
      </c>
      <c r="AU639" s="23">
        <f>IF($AS639="","",IF($G$6="",0,IF(ISNUMBER(INDEX($A:$AP,ROW(),$G$6)),INDEX($A:$AP,ROW(),$G$6),IFERROR(--SUBSTITUTE(SUBSTITUTE(TRIM(INDEX($A:$AP,ROW(),$G$6)),",",""),"원",""),0))))</f>
        <v/>
      </c>
      <c r="AV639" s="23">
        <f>IF($AS639="","",IF($H$6="",$AT639+$AU639,IF($H$6="",0,IF(ISNUMBER(INDEX($A:$AP,ROW(),$H$6)),INDEX($A:$AP,ROW(),$H$6),IFERROR(--SUBSTITUTE(SUBSTITUTE(TRIM(INDEX($A:$AP,ROW(),$H$6)),",",""),"원",""),0)))))</f>
        <v/>
      </c>
      <c r="AW639" s="2">
        <f>IF(OR($AS639="",$C$6=""),"",TRIM(INDEX($A:$AP,ROW(),$C$6)&amp;""))</f>
        <v/>
      </c>
      <c r="AX639" s="2">
        <f>IF($AS639="","",IF($AZ639&lt;&gt;"",SUBSTITUTE(SUBSTITUTE($AZ639,"-","")," ",""),$AY639))</f>
        <v/>
      </c>
      <c r="AY639" s="2">
        <f>IF(OR($AS639="",$E$6=""),"",TRIM(INDEX($A:$AP,ROW(),$E$6)&amp;""))</f>
        <v/>
      </c>
      <c r="AZ639" s="2">
        <f>IF(OR($AS639="",$D$6=""),"",TRIM(INDEX($A:$AP,ROW(),$D$6)&amp;""))</f>
        <v/>
      </c>
      <c r="BA639" s="2">
        <f>IF($AS639="","",IF(AND($AS639&gt;=설정!$B$10,$AS639&lt;=설정!$B$11),"포함","기간 밖"))</f>
        <v/>
      </c>
      <c r="BB639" s="2">
        <f>IF($AS639="","",IF(OR($AT639&lt;0,AND($I$6&lt;&gt;"",ISNUMBER(FIND("수정",INDEX($A:$AP,ROW(),IF($I$6="",1,$I$6))&amp;"")))),"수정","일반"))</f>
        <v/>
      </c>
      <c r="BC639" s="2">
        <f>IF($AS639="","",MID(IF($BA639="기간 밖"," / 기간 밖(신고기간 아님)","")&amp;IF(AND($AW639&lt;&gt;"",COUNTIF($AW$8:$AW$1007,$AW639)&gt;1)," / 승인번호 중복(두 번 붙여넣기?)","")&amp;IF(ABS($AU639-ROUND($AT639*0.1,0))&gt;설정!$B$8,IF($AU639=0," / 세액 0원(영세율·면세 여부 확인)"," / 세액이 공급가액 10%와 다름"),"")&amp;IF($BB639="수정"," / 수정세금계산서(합계에서 자동 가감)",""),4,200))</f>
        <v/>
      </c>
      <c r="BD639" s="2">
        <f>IF($BA639&lt;&gt;"포함","",IF(COUNTIFS($AX$8:$AX639,$AX639,$BA$8:$BA639,"포함")=1,MAX($BD$7:BD638)+1,""))</f>
        <v/>
      </c>
      <c r="BE639" s="2">
        <f>IF($BC639="","",MAX($BE$7:BE638)+1)</f>
        <v/>
      </c>
    </row>
    <row r="640">
      <c r="AR640" s="2">
        <f>IF(OR($A$5="",$B$6="",ROW()&lt;$A$5),"",IF(INDEX($A:$AP,ROW(),$B$6)="","",INDEX($A:$AP,ROW(),$B$6)))</f>
        <v/>
      </c>
      <c r="AS640" s="22">
        <f>IF($AR640="","",IF(ISNUMBER($AR640),IF($AR640&gt;=10000000,IFERROR(DATE(INT($AR640/10000),MOD(INT($AR640/100),100),MOD($AR640,100)),""),INT($AR640)),IFERROR(DATE(--LEFT(LEFT(SUBSTITUTE(SUBSTITUTE(SUBSTITUTE(SUBSTITUTE(TRIM($AR640),"-",""),".",""),"/","")," ",""),8),4),--MID(LEFT(SUBSTITUTE(SUBSTITUTE(SUBSTITUTE(SUBSTITUTE(TRIM($AR640),"-",""),".",""),"/","")," ",""),8),5,2),--MID(LEFT(SUBSTITUTE(SUBSTITUTE(SUBSTITUTE(SUBSTITUTE(TRIM($AR640),"-",""),".",""),"/","")," ",""),8),7,2)),"")))</f>
        <v/>
      </c>
      <c r="AT640" s="23">
        <f>IF($AS640="","",IF($F$6="",0,IF(ISNUMBER(INDEX($A:$AP,ROW(),$F$6)),INDEX($A:$AP,ROW(),$F$6),IFERROR(--SUBSTITUTE(SUBSTITUTE(TRIM(INDEX($A:$AP,ROW(),$F$6)),",",""),"원",""),0))))</f>
        <v/>
      </c>
      <c r="AU640" s="23">
        <f>IF($AS640="","",IF($G$6="",0,IF(ISNUMBER(INDEX($A:$AP,ROW(),$G$6)),INDEX($A:$AP,ROW(),$G$6),IFERROR(--SUBSTITUTE(SUBSTITUTE(TRIM(INDEX($A:$AP,ROW(),$G$6)),",",""),"원",""),0))))</f>
        <v/>
      </c>
      <c r="AV640" s="23">
        <f>IF($AS640="","",IF($H$6="",$AT640+$AU640,IF($H$6="",0,IF(ISNUMBER(INDEX($A:$AP,ROW(),$H$6)),INDEX($A:$AP,ROW(),$H$6),IFERROR(--SUBSTITUTE(SUBSTITUTE(TRIM(INDEX($A:$AP,ROW(),$H$6)),",",""),"원",""),0)))))</f>
        <v/>
      </c>
      <c r="AW640" s="2">
        <f>IF(OR($AS640="",$C$6=""),"",TRIM(INDEX($A:$AP,ROW(),$C$6)&amp;""))</f>
        <v/>
      </c>
      <c r="AX640" s="2">
        <f>IF($AS640="","",IF($AZ640&lt;&gt;"",SUBSTITUTE(SUBSTITUTE($AZ640,"-","")," ",""),$AY640))</f>
        <v/>
      </c>
      <c r="AY640" s="2">
        <f>IF(OR($AS640="",$E$6=""),"",TRIM(INDEX($A:$AP,ROW(),$E$6)&amp;""))</f>
        <v/>
      </c>
      <c r="AZ640" s="2">
        <f>IF(OR($AS640="",$D$6=""),"",TRIM(INDEX($A:$AP,ROW(),$D$6)&amp;""))</f>
        <v/>
      </c>
      <c r="BA640" s="2">
        <f>IF($AS640="","",IF(AND($AS640&gt;=설정!$B$10,$AS640&lt;=설정!$B$11),"포함","기간 밖"))</f>
        <v/>
      </c>
      <c r="BB640" s="2">
        <f>IF($AS640="","",IF(OR($AT640&lt;0,AND($I$6&lt;&gt;"",ISNUMBER(FIND("수정",INDEX($A:$AP,ROW(),IF($I$6="",1,$I$6))&amp;"")))),"수정","일반"))</f>
        <v/>
      </c>
      <c r="BC640" s="2">
        <f>IF($AS640="","",MID(IF($BA640="기간 밖"," / 기간 밖(신고기간 아님)","")&amp;IF(AND($AW640&lt;&gt;"",COUNTIF($AW$8:$AW$1007,$AW640)&gt;1)," / 승인번호 중복(두 번 붙여넣기?)","")&amp;IF(ABS($AU640-ROUND($AT640*0.1,0))&gt;설정!$B$8,IF($AU640=0," / 세액 0원(영세율·면세 여부 확인)"," / 세액이 공급가액 10%와 다름"),"")&amp;IF($BB640="수정"," / 수정세금계산서(합계에서 자동 가감)",""),4,200))</f>
        <v/>
      </c>
      <c r="BD640" s="2">
        <f>IF($BA640&lt;&gt;"포함","",IF(COUNTIFS($AX$8:$AX640,$AX640,$BA$8:$BA640,"포함")=1,MAX($BD$7:BD639)+1,""))</f>
        <v/>
      </c>
      <c r="BE640" s="2">
        <f>IF($BC640="","",MAX($BE$7:BE639)+1)</f>
        <v/>
      </c>
    </row>
    <row r="641">
      <c r="AR641" s="2">
        <f>IF(OR($A$5="",$B$6="",ROW()&lt;$A$5),"",IF(INDEX($A:$AP,ROW(),$B$6)="","",INDEX($A:$AP,ROW(),$B$6)))</f>
        <v/>
      </c>
      <c r="AS641" s="22">
        <f>IF($AR641="","",IF(ISNUMBER($AR641),IF($AR641&gt;=10000000,IFERROR(DATE(INT($AR641/10000),MOD(INT($AR641/100),100),MOD($AR641,100)),""),INT($AR641)),IFERROR(DATE(--LEFT(LEFT(SUBSTITUTE(SUBSTITUTE(SUBSTITUTE(SUBSTITUTE(TRIM($AR641),"-",""),".",""),"/","")," ",""),8),4),--MID(LEFT(SUBSTITUTE(SUBSTITUTE(SUBSTITUTE(SUBSTITUTE(TRIM($AR641),"-",""),".",""),"/","")," ",""),8),5,2),--MID(LEFT(SUBSTITUTE(SUBSTITUTE(SUBSTITUTE(SUBSTITUTE(TRIM($AR641),"-",""),".",""),"/","")," ",""),8),7,2)),"")))</f>
        <v/>
      </c>
      <c r="AT641" s="23">
        <f>IF($AS641="","",IF($F$6="",0,IF(ISNUMBER(INDEX($A:$AP,ROW(),$F$6)),INDEX($A:$AP,ROW(),$F$6),IFERROR(--SUBSTITUTE(SUBSTITUTE(TRIM(INDEX($A:$AP,ROW(),$F$6)),",",""),"원",""),0))))</f>
        <v/>
      </c>
      <c r="AU641" s="23">
        <f>IF($AS641="","",IF($G$6="",0,IF(ISNUMBER(INDEX($A:$AP,ROW(),$G$6)),INDEX($A:$AP,ROW(),$G$6),IFERROR(--SUBSTITUTE(SUBSTITUTE(TRIM(INDEX($A:$AP,ROW(),$G$6)),",",""),"원",""),0))))</f>
        <v/>
      </c>
      <c r="AV641" s="23">
        <f>IF($AS641="","",IF($H$6="",$AT641+$AU641,IF($H$6="",0,IF(ISNUMBER(INDEX($A:$AP,ROW(),$H$6)),INDEX($A:$AP,ROW(),$H$6),IFERROR(--SUBSTITUTE(SUBSTITUTE(TRIM(INDEX($A:$AP,ROW(),$H$6)),",",""),"원",""),0)))))</f>
        <v/>
      </c>
      <c r="AW641" s="2">
        <f>IF(OR($AS641="",$C$6=""),"",TRIM(INDEX($A:$AP,ROW(),$C$6)&amp;""))</f>
        <v/>
      </c>
      <c r="AX641" s="2">
        <f>IF($AS641="","",IF($AZ641&lt;&gt;"",SUBSTITUTE(SUBSTITUTE($AZ641,"-","")," ",""),$AY641))</f>
        <v/>
      </c>
      <c r="AY641" s="2">
        <f>IF(OR($AS641="",$E$6=""),"",TRIM(INDEX($A:$AP,ROW(),$E$6)&amp;""))</f>
        <v/>
      </c>
      <c r="AZ641" s="2">
        <f>IF(OR($AS641="",$D$6=""),"",TRIM(INDEX($A:$AP,ROW(),$D$6)&amp;""))</f>
        <v/>
      </c>
      <c r="BA641" s="2">
        <f>IF($AS641="","",IF(AND($AS641&gt;=설정!$B$10,$AS641&lt;=설정!$B$11),"포함","기간 밖"))</f>
        <v/>
      </c>
      <c r="BB641" s="2">
        <f>IF($AS641="","",IF(OR($AT641&lt;0,AND($I$6&lt;&gt;"",ISNUMBER(FIND("수정",INDEX($A:$AP,ROW(),IF($I$6="",1,$I$6))&amp;"")))),"수정","일반"))</f>
        <v/>
      </c>
      <c r="BC641" s="2">
        <f>IF($AS641="","",MID(IF($BA641="기간 밖"," / 기간 밖(신고기간 아님)","")&amp;IF(AND($AW641&lt;&gt;"",COUNTIF($AW$8:$AW$1007,$AW641)&gt;1)," / 승인번호 중복(두 번 붙여넣기?)","")&amp;IF(ABS($AU641-ROUND($AT641*0.1,0))&gt;설정!$B$8,IF($AU641=0," / 세액 0원(영세율·면세 여부 확인)"," / 세액이 공급가액 10%와 다름"),"")&amp;IF($BB641="수정"," / 수정세금계산서(합계에서 자동 가감)",""),4,200))</f>
        <v/>
      </c>
      <c r="BD641" s="2">
        <f>IF($BA641&lt;&gt;"포함","",IF(COUNTIFS($AX$8:$AX641,$AX641,$BA$8:$BA641,"포함")=1,MAX($BD$7:BD640)+1,""))</f>
        <v/>
      </c>
      <c r="BE641" s="2">
        <f>IF($BC641="","",MAX($BE$7:BE640)+1)</f>
        <v/>
      </c>
    </row>
    <row r="642">
      <c r="AR642" s="2">
        <f>IF(OR($A$5="",$B$6="",ROW()&lt;$A$5),"",IF(INDEX($A:$AP,ROW(),$B$6)="","",INDEX($A:$AP,ROW(),$B$6)))</f>
        <v/>
      </c>
      <c r="AS642" s="22">
        <f>IF($AR642="","",IF(ISNUMBER($AR642),IF($AR642&gt;=10000000,IFERROR(DATE(INT($AR642/10000),MOD(INT($AR642/100),100),MOD($AR642,100)),""),INT($AR642)),IFERROR(DATE(--LEFT(LEFT(SUBSTITUTE(SUBSTITUTE(SUBSTITUTE(SUBSTITUTE(TRIM($AR642),"-",""),".",""),"/","")," ",""),8),4),--MID(LEFT(SUBSTITUTE(SUBSTITUTE(SUBSTITUTE(SUBSTITUTE(TRIM($AR642),"-",""),".",""),"/","")," ",""),8),5,2),--MID(LEFT(SUBSTITUTE(SUBSTITUTE(SUBSTITUTE(SUBSTITUTE(TRIM($AR642),"-",""),".",""),"/","")," ",""),8),7,2)),"")))</f>
        <v/>
      </c>
      <c r="AT642" s="23">
        <f>IF($AS642="","",IF($F$6="",0,IF(ISNUMBER(INDEX($A:$AP,ROW(),$F$6)),INDEX($A:$AP,ROW(),$F$6),IFERROR(--SUBSTITUTE(SUBSTITUTE(TRIM(INDEX($A:$AP,ROW(),$F$6)),",",""),"원",""),0))))</f>
        <v/>
      </c>
      <c r="AU642" s="23">
        <f>IF($AS642="","",IF($G$6="",0,IF(ISNUMBER(INDEX($A:$AP,ROW(),$G$6)),INDEX($A:$AP,ROW(),$G$6),IFERROR(--SUBSTITUTE(SUBSTITUTE(TRIM(INDEX($A:$AP,ROW(),$G$6)),",",""),"원",""),0))))</f>
        <v/>
      </c>
      <c r="AV642" s="23">
        <f>IF($AS642="","",IF($H$6="",$AT642+$AU642,IF($H$6="",0,IF(ISNUMBER(INDEX($A:$AP,ROW(),$H$6)),INDEX($A:$AP,ROW(),$H$6),IFERROR(--SUBSTITUTE(SUBSTITUTE(TRIM(INDEX($A:$AP,ROW(),$H$6)),",",""),"원",""),0)))))</f>
        <v/>
      </c>
      <c r="AW642" s="2">
        <f>IF(OR($AS642="",$C$6=""),"",TRIM(INDEX($A:$AP,ROW(),$C$6)&amp;""))</f>
        <v/>
      </c>
      <c r="AX642" s="2">
        <f>IF($AS642="","",IF($AZ642&lt;&gt;"",SUBSTITUTE(SUBSTITUTE($AZ642,"-","")," ",""),$AY642))</f>
        <v/>
      </c>
      <c r="AY642" s="2">
        <f>IF(OR($AS642="",$E$6=""),"",TRIM(INDEX($A:$AP,ROW(),$E$6)&amp;""))</f>
        <v/>
      </c>
      <c r="AZ642" s="2">
        <f>IF(OR($AS642="",$D$6=""),"",TRIM(INDEX($A:$AP,ROW(),$D$6)&amp;""))</f>
        <v/>
      </c>
      <c r="BA642" s="2">
        <f>IF($AS642="","",IF(AND($AS642&gt;=설정!$B$10,$AS642&lt;=설정!$B$11),"포함","기간 밖"))</f>
        <v/>
      </c>
      <c r="BB642" s="2">
        <f>IF($AS642="","",IF(OR($AT642&lt;0,AND($I$6&lt;&gt;"",ISNUMBER(FIND("수정",INDEX($A:$AP,ROW(),IF($I$6="",1,$I$6))&amp;"")))),"수정","일반"))</f>
        <v/>
      </c>
      <c r="BC642" s="2">
        <f>IF($AS642="","",MID(IF($BA642="기간 밖"," / 기간 밖(신고기간 아님)","")&amp;IF(AND($AW642&lt;&gt;"",COUNTIF($AW$8:$AW$1007,$AW642)&gt;1)," / 승인번호 중복(두 번 붙여넣기?)","")&amp;IF(ABS($AU642-ROUND($AT642*0.1,0))&gt;설정!$B$8,IF($AU642=0," / 세액 0원(영세율·면세 여부 확인)"," / 세액이 공급가액 10%와 다름"),"")&amp;IF($BB642="수정"," / 수정세금계산서(합계에서 자동 가감)",""),4,200))</f>
        <v/>
      </c>
      <c r="BD642" s="2">
        <f>IF($BA642&lt;&gt;"포함","",IF(COUNTIFS($AX$8:$AX642,$AX642,$BA$8:$BA642,"포함")=1,MAX($BD$7:BD641)+1,""))</f>
        <v/>
      </c>
      <c r="BE642" s="2">
        <f>IF($BC642="","",MAX($BE$7:BE641)+1)</f>
        <v/>
      </c>
    </row>
    <row r="643">
      <c r="AR643" s="2">
        <f>IF(OR($A$5="",$B$6="",ROW()&lt;$A$5),"",IF(INDEX($A:$AP,ROW(),$B$6)="","",INDEX($A:$AP,ROW(),$B$6)))</f>
        <v/>
      </c>
      <c r="AS643" s="22">
        <f>IF($AR643="","",IF(ISNUMBER($AR643),IF($AR643&gt;=10000000,IFERROR(DATE(INT($AR643/10000),MOD(INT($AR643/100),100),MOD($AR643,100)),""),INT($AR643)),IFERROR(DATE(--LEFT(LEFT(SUBSTITUTE(SUBSTITUTE(SUBSTITUTE(SUBSTITUTE(TRIM($AR643),"-",""),".",""),"/","")," ",""),8),4),--MID(LEFT(SUBSTITUTE(SUBSTITUTE(SUBSTITUTE(SUBSTITUTE(TRIM($AR643),"-",""),".",""),"/","")," ",""),8),5,2),--MID(LEFT(SUBSTITUTE(SUBSTITUTE(SUBSTITUTE(SUBSTITUTE(TRIM($AR643),"-",""),".",""),"/","")," ",""),8),7,2)),"")))</f>
        <v/>
      </c>
      <c r="AT643" s="23">
        <f>IF($AS643="","",IF($F$6="",0,IF(ISNUMBER(INDEX($A:$AP,ROW(),$F$6)),INDEX($A:$AP,ROW(),$F$6),IFERROR(--SUBSTITUTE(SUBSTITUTE(TRIM(INDEX($A:$AP,ROW(),$F$6)),",",""),"원",""),0))))</f>
        <v/>
      </c>
      <c r="AU643" s="23">
        <f>IF($AS643="","",IF($G$6="",0,IF(ISNUMBER(INDEX($A:$AP,ROW(),$G$6)),INDEX($A:$AP,ROW(),$G$6),IFERROR(--SUBSTITUTE(SUBSTITUTE(TRIM(INDEX($A:$AP,ROW(),$G$6)),",",""),"원",""),0))))</f>
        <v/>
      </c>
      <c r="AV643" s="23">
        <f>IF($AS643="","",IF($H$6="",$AT643+$AU643,IF($H$6="",0,IF(ISNUMBER(INDEX($A:$AP,ROW(),$H$6)),INDEX($A:$AP,ROW(),$H$6),IFERROR(--SUBSTITUTE(SUBSTITUTE(TRIM(INDEX($A:$AP,ROW(),$H$6)),",",""),"원",""),0)))))</f>
        <v/>
      </c>
      <c r="AW643" s="2">
        <f>IF(OR($AS643="",$C$6=""),"",TRIM(INDEX($A:$AP,ROW(),$C$6)&amp;""))</f>
        <v/>
      </c>
      <c r="AX643" s="2">
        <f>IF($AS643="","",IF($AZ643&lt;&gt;"",SUBSTITUTE(SUBSTITUTE($AZ643,"-","")," ",""),$AY643))</f>
        <v/>
      </c>
      <c r="AY643" s="2">
        <f>IF(OR($AS643="",$E$6=""),"",TRIM(INDEX($A:$AP,ROW(),$E$6)&amp;""))</f>
        <v/>
      </c>
      <c r="AZ643" s="2">
        <f>IF(OR($AS643="",$D$6=""),"",TRIM(INDEX($A:$AP,ROW(),$D$6)&amp;""))</f>
        <v/>
      </c>
      <c r="BA643" s="2">
        <f>IF($AS643="","",IF(AND($AS643&gt;=설정!$B$10,$AS643&lt;=설정!$B$11),"포함","기간 밖"))</f>
        <v/>
      </c>
      <c r="BB643" s="2">
        <f>IF($AS643="","",IF(OR($AT643&lt;0,AND($I$6&lt;&gt;"",ISNUMBER(FIND("수정",INDEX($A:$AP,ROW(),IF($I$6="",1,$I$6))&amp;"")))),"수정","일반"))</f>
        <v/>
      </c>
      <c r="BC643" s="2">
        <f>IF($AS643="","",MID(IF($BA643="기간 밖"," / 기간 밖(신고기간 아님)","")&amp;IF(AND($AW643&lt;&gt;"",COUNTIF($AW$8:$AW$1007,$AW643)&gt;1)," / 승인번호 중복(두 번 붙여넣기?)","")&amp;IF(ABS($AU643-ROUND($AT643*0.1,0))&gt;설정!$B$8,IF($AU643=0," / 세액 0원(영세율·면세 여부 확인)"," / 세액이 공급가액 10%와 다름"),"")&amp;IF($BB643="수정"," / 수정세금계산서(합계에서 자동 가감)",""),4,200))</f>
        <v/>
      </c>
      <c r="BD643" s="2">
        <f>IF($BA643&lt;&gt;"포함","",IF(COUNTIFS($AX$8:$AX643,$AX643,$BA$8:$BA643,"포함")=1,MAX($BD$7:BD642)+1,""))</f>
        <v/>
      </c>
      <c r="BE643" s="2">
        <f>IF($BC643="","",MAX($BE$7:BE642)+1)</f>
        <v/>
      </c>
    </row>
    <row r="644">
      <c r="AR644" s="2">
        <f>IF(OR($A$5="",$B$6="",ROW()&lt;$A$5),"",IF(INDEX($A:$AP,ROW(),$B$6)="","",INDEX($A:$AP,ROW(),$B$6)))</f>
        <v/>
      </c>
      <c r="AS644" s="22">
        <f>IF($AR644="","",IF(ISNUMBER($AR644),IF($AR644&gt;=10000000,IFERROR(DATE(INT($AR644/10000),MOD(INT($AR644/100),100),MOD($AR644,100)),""),INT($AR644)),IFERROR(DATE(--LEFT(LEFT(SUBSTITUTE(SUBSTITUTE(SUBSTITUTE(SUBSTITUTE(TRIM($AR644),"-",""),".",""),"/","")," ",""),8),4),--MID(LEFT(SUBSTITUTE(SUBSTITUTE(SUBSTITUTE(SUBSTITUTE(TRIM($AR644),"-",""),".",""),"/","")," ",""),8),5,2),--MID(LEFT(SUBSTITUTE(SUBSTITUTE(SUBSTITUTE(SUBSTITUTE(TRIM($AR644),"-",""),".",""),"/","")," ",""),8),7,2)),"")))</f>
        <v/>
      </c>
      <c r="AT644" s="23">
        <f>IF($AS644="","",IF($F$6="",0,IF(ISNUMBER(INDEX($A:$AP,ROW(),$F$6)),INDEX($A:$AP,ROW(),$F$6),IFERROR(--SUBSTITUTE(SUBSTITUTE(TRIM(INDEX($A:$AP,ROW(),$F$6)),",",""),"원",""),0))))</f>
        <v/>
      </c>
      <c r="AU644" s="23">
        <f>IF($AS644="","",IF($G$6="",0,IF(ISNUMBER(INDEX($A:$AP,ROW(),$G$6)),INDEX($A:$AP,ROW(),$G$6),IFERROR(--SUBSTITUTE(SUBSTITUTE(TRIM(INDEX($A:$AP,ROW(),$G$6)),",",""),"원",""),0))))</f>
        <v/>
      </c>
      <c r="AV644" s="23">
        <f>IF($AS644="","",IF($H$6="",$AT644+$AU644,IF($H$6="",0,IF(ISNUMBER(INDEX($A:$AP,ROW(),$H$6)),INDEX($A:$AP,ROW(),$H$6),IFERROR(--SUBSTITUTE(SUBSTITUTE(TRIM(INDEX($A:$AP,ROW(),$H$6)),",",""),"원",""),0)))))</f>
        <v/>
      </c>
      <c r="AW644" s="2">
        <f>IF(OR($AS644="",$C$6=""),"",TRIM(INDEX($A:$AP,ROW(),$C$6)&amp;""))</f>
        <v/>
      </c>
      <c r="AX644" s="2">
        <f>IF($AS644="","",IF($AZ644&lt;&gt;"",SUBSTITUTE(SUBSTITUTE($AZ644,"-","")," ",""),$AY644))</f>
        <v/>
      </c>
      <c r="AY644" s="2">
        <f>IF(OR($AS644="",$E$6=""),"",TRIM(INDEX($A:$AP,ROW(),$E$6)&amp;""))</f>
        <v/>
      </c>
      <c r="AZ644" s="2">
        <f>IF(OR($AS644="",$D$6=""),"",TRIM(INDEX($A:$AP,ROW(),$D$6)&amp;""))</f>
        <v/>
      </c>
      <c r="BA644" s="2">
        <f>IF($AS644="","",IF(AND($AS644&gt;=설정!$B$10,$AS644&lt;=설정!$B$11),"포함","기간 밖"))</f>
        <v/>
      </c>
      <c r="BB644" s="2">
        <f>IF($AS644="","",IF(OR($AT644&lt;0,AND($I$6&lt;&gt;"",ISNUMBER(FIND("수정",INDEX($A:$AP,ROW(),IF($I$6="",1,$I$6))&amp;"")))),"수정","일반"))</f>
        <v/>
      </c>
      <c r="BC644" s="2">
        <f>IF($AS644="","",MID(IF($BA644="기간 밖"," / 기간 밖(신고기간 아님)","")&amp;IF(AND($AW644&lt;&gt;"",COUNTIF($AW$8:$AW$1007,$AW644)&gt;1)," / 승인번호 중복(두 번 붙여넣기?)","")&amp;IF(ABS($AU644-ROUND($AT644*0.1,0))&gt;설정!$B$8,IF($AU644=0," / 세액 0원(영세율·면세 여부 확인)"," / 세액이 공급가액 10%와 다름"),"")&amp;IF($BB644="수정"," / 수정세금계산서(합계에서 자동 가감)",""),4,200))</f>
        <v/>
      </c>
      <c r="BD644" s="2">
        <f>IF($BA644&lt;&gt;"포함","",IF(COUNTIFS($AX$8:$AX644,$AX644,$BA$8:$BA644,"포함")=1,MAX($BD$7:BD643)+1,""))</f>
        <v/>
      </c>
      <c r="BE644" s="2">
        <f>IF($BC644="","",MAX($BE$7:BE643)+1)</f>
        <v/>
      </c>
    </row>
    <row r="645">
      <c r="AR645" s="2">
        <f>IF(OR($A$5="",$B$6="",ROW()&lt;$A$5),"",IF(INDEX($A:$AP,ROW(),$B$6)="","",INDEX($A:$AP,ROW(),$B$6)))</f>
        <v/>
      </c>
      <c r="AS645" s="22">
        <f>IF($AR645="","",IF(ISNUMBER($AR645),IF($AR645&gt;=10000000,IFERROR(DATE(INT($AR645/10000),MOD(INT($AR645/100),100),MOD($AR645,100)),""),INT($AR645)),IFERROR(DATE(--LEFT(LEFT(SUBSTITUTE(SUBSTITUTE(SUBSTITUTE(SUBSTITUTE(TRIM($AR645),"-",""),".",""),"/","")," ",""),8),4),--MID(LEFT(SUBSTITUTE(SUBSTITUTE(SUBSTITUTE(SUBSTITUTE(TRIM($AR645),"-",""),".",""),"/","")," ",""),8),5,2),--MID(LEFT(SUBSTITUTE(SUBSTITUTE(SUBSTITUTE(SUBSTITUTE(TRIM($AR645),"-",""),".",""),"/","")," ",""),8),7,2)),"")))</f>
        <v/>
      </c>
      <c r="AT645" s="23">
        <f>IF($AS645="","",IF($F$6="",0,IF(ISNUMBER(INDEX($A:$AP,ROW(),$F$6)),INDEX($A:$AP,ROW(),$F$6),IFERROR(--SUBSTITUTE(SUBSTITUTE(TRIM(INDEX($A:$AP,ROW(),$F$6)),",",""),"원",""),0))))</f>
        <v/>
      </c>
      <c r="AU645" s="23">
        <f>IF($AS645="","",IF($G$6="",0,IF(ISNUMBER(INDEX($A:$AP,ROW(),$G$6)),INDEX($A:$AP,ROW(),$G$6),IFERROR(--SUBSTITUTE(SUBSTITUTE(TRIM(INDEX($A:$AP,ROW(),$G$6)),",",""),"원",""),0))))</f>
        <v/>
      </c>
      <c r="AV645" s="23">
        <f>IF($AS645="","",IF($H$6="",$AT645+$AU645,IF($H$6="",0,IF(ISNUMBER(INDEX($A:$AP,ROW(),$H$6)),INDEX($A:$AP,ROW(),$H$6),IFERROR(--SUBSTITUTE(SUBSTITUTE(TRIM(INDEX($A:$AP,ROW(),$H$6)),",",""),"원",""),0)))))</f>
        <v/>
      </c>
      <c r="AW645" s="2">
        <f>IF(OR($AS645="",$C$6=""),"",TRIM(INDEX($A:$AP,ROW(),$C$6)&amp;""))</f>
        <v/>
      </c>
      <c r="AX645" s="2">
        <f>IF($AS645="","",IF($AZ645&lt;&gt;"",SUBSTITUTE(SUBSTITUTE($AZ645,"-","")," ",""),$AY645))</f>
        <v/>
      </c>
      <c r="AY645" s="2">
        <f>IF(OR($AS645="",$E$6=""),"",TRIM(INDEX($A:$AP,ROW(),$E$6)&amp;""))</f>
        <v/>
      </c>
      <c r="AZ645" s="2">
        <f>IF(OR($AS645="",$D$6=""),"",TRIM(INDEX($A:$AP,ROW(),$D$6)&amp;""))</f>
        <v/>
      </c>
      <c r="BA645" s="2">
        <f>IF($AS645="","",IF(AND($AS645&gt;=설정!$B$10,$AS645&lt;=설정!$B$11),"포함","기간 밖"))</f>
        <v/>
      </c>
      <c r="BB645" s="2">
        <f>IF($AS645="","",IF(OR($AT645&lt;0,AND($I$6&lt;&gt;"",ISNUMBER(FIND("수정",INDEX($A:$AP,ROW(),IF($I$6="",1,$I$6))&amp;"")))),"수정","일반"))</f>
        <v/>
      </c>
      <c r="BC645" s="2">
        <f>IF($AS645="","",MID(IF($BA645="기간 밖"," / 기간 밖(신고기간 아님)","")&amp;IF(AND($AW645&lt;&gt;"",COUNTIF($AW$8:$AW$1007,$AW645)&gt;1)," / 승인번호 중복(두 번 붙여넣기?)","")&amp;IF(ABS($AU645-ROUND($AT645*0.1,0))&gt;설정!$B$8,IF($AU645=0," / 세액 0원(영세율·면세 여부 확인)"," / 세액이 공급가액 10%와 다름"),"")&amp;IF($BB645="수정"," / 수정세금계산서(합계에서 자동 가감)",""),4,200))</f>
        <v/>
      </c>
      <c r="BD645" s="2">
        <f>IF($BA645&lt;&gt;"포함","",IF(COUNTIFS($AX$8:$AX645,$AX645,$BA$8:$BA645,"포함")=1,MAX($BD$7:BD644)+1,""))</f>
        <v/>
      </c>
      <c r="BE645" s="2">
        <f>IF($BC645="","",MAX($BE$7:BE644)+1)</f>
        <v/>
      </c>
    </row>
    <row r="646">
      <c r="AR646" s="2">
        <f>IF(OR($A$5="",$B$6="",ROW()&lt;$A$5),"",IF(INDEX($A:$AP,ROW(),$B$6)="","",INDEX($A:$AP,ROW(),$B$6)))</f>
        <v/>
      </c>
      <c r="AS646" s="22">
        <f>IF($AR646="","",IF(ISNUMBER($AR646),IF($AR646&gt;=10000000,IFERROR(DATE(INT($AR646/10000),MOD(INT($AR646/100),100),MOD($AR646,100)),""),INT($AR646)),IFERROR(DATE(--LEFT(LEFT(SUBSTITUTE(SUBSTITUTE(SUBSTITUTE(SUBSTITUTE(TRIM($AR646),"-",""),".",""),"/","")," ",""),8),4),--MID(LEFT(SUBSTITUTE(SUBSTITUTE(SUBSTITUTE(SUBSTITUTE(TRIM($AR646),"-",""),".",""),"/","")," ",""),8),5,2),--MID(LEFT(SUBSTITUTE(SUBSTITUTE(SUBSTITUTE(SUBSTITUTE(TRIM($AR646),"-",""),".",""),"/","")," ",""),8),7,2)),"")))</f>
        <v/>
      </c>
      <c r="AT646" s="23">
        <f>IF($AS646="","",IF($F$6="",0,IF(ISNUMBER(INDEX($A:$AP,ROW(),$F$6)),INDEX($A:$AP,ROW(),$F$6),IFERROR(--SUBSTITUTE(SUBSTITUTE(TRIM(INDEX($A:$AP,ROW(),$F$6)),",",""),"원",""),0))))</f>
        <v/>
      </c>
      <c r="AU646" s="23">
        <f>IF($AS646="","",IF($G$6="",0,IF(ISNUMBER(INDEX($A:$AP,ROW(),$G$6)),INDEX($A:$AP,ROW(),$G$6),IFERROR(--SUBSTITUTE(SUBSTITUTE(TRIM(INDEX($A:$AP,ROW(),$G$6)),",",""),"원",""),0))))</f>
        <v/>
      </c>
      <c r="AV646" s="23">
        <f>IF($AS646="","",IF($H$6="",$AT646+$AU646,IF($H$6="",0,IF(ISNUMBER(INDEX($A:$AP,ROW(),$H$6)),INDEX($A:$AP,ROW(),$H$6),IFERROR(--SUBSTITUTE(SUBSTITUTE(TRIM(INDEX($A:$AP,ROW(),$H$6)),",",""),"원",""),0)))))</f>
        <v/>
      </c>
      <c r="AW646" s="2">
        <f>IF(OR($AS646="",$C$6=""),"",TRIM(INDEX($A:$AP,ROW(),$C$6)&amp;""))</f>
        <v/>
      </c>
      <c r="AX646" s="2">
        <f>IF($AS646="","",IF($AZ646&lt;&gt;"",SUBSTITUTE(SUBSTITUTE($AZ646,"-","")," ",""),$AY646))</f>
        <v/>
      </c>
      <c r="AY646" s="2">
        <f>IF(OR($AS646="",$E$6=""),"",TRIM(INDEX($A:$AP,ROW(),$E$6)&amp;""))</f>
        <v/>
      </c>
      <c r="AZ646" s="2">
        <f>IF(OR($AS646="",$D$6=""),"",TRIM(INDEX($A:$AP,ROW(),$D$6)&amp;""))</f>
        <v/>
      </c>
      <c r="BA646" s="2">
        <f>IF($AS646="","",IF(AND($AS646&gt;=설정!$B$10,$AS646&lt;=설정!$B$11),"포함","기간 밖"))</f>
        <v/>
      </c>
      <c r="BB646" s="2">
        <f>IF($AS646="","",IF(OR($AT646&lt;0,AND($I$6&lt;&gt;"",ISNUMBER(FIND("수정",INDEX($A:$AP,ROW(),IF($I$6="",1,$I$6))&amp;"")))),"수정","일반"))</f>
        <v/>
      </c>
      <c r="BC646" s="2">
        <f>IF($AS646="","",MID(IF($BA646="기간 밖"," / 기간 밖(신고기간 아님)","")&amp;IF(AND($AW646&lt;&gt;"",COUNTIF($AW$8:$AW$1007,$AW646)&gt;1)," / 승인번호 중복(두 번 붙여넣기?)","")&amp;IF(ABS($AU646-ROUND($AT646*0.1,0))&gt;설정!$B$8,IF($AU646=0," / 세액 0원(영세율·면세 여부 확인)"," / 세액이 공급가액 10%와 다름"),"")&amp;IF($BB646="수정"," / 수정세금계산서(합계에서 자동 가감)",""),4,200))</f>
        <v/>
      </c>
      <c r="BD646" s="2">
        <f>IF($BA646&lt;&gt;"포함","",IF(COUNTIFS($AX$8:$AX646,$AX646,$BA$8:$BA646,"포함")=1,MAX($BD$7:BD645)+1,""))</f>
        <v/>
      </c>
      <c r="BE646" s="2">
        <f>IF($BC646="","",MAX($BE$7:BE645)+1)</f>
        <v/>
      </c>
    </row>
    <row r="647">
      <c r="AR647" s="2">
        <f>IF(OR($A$5="",$B$6="",ROW()&lt;$A$5),"",IF(INDEX($A:$AP,ROW(),$B$6)="","",INDEX($A:$AP,ROW(),$B$6)))</f>
        <v/>
      </c>
      <c r="AS647" s="22">
        <f>IF($AR647="","",IF(ISNUMBER($AR647),IF($AR647&gt;=10000000,IFERROR(DATE(INT($AR647/10000),MOD(INT($AR647/100),100),MOD($AR647,100)),""),INT($AR647)),IFERROR(DATE(--LEFT(LEFT(SUBSTITUTE(SUBSTITUTE(SUBSTITUTE(SUBSTITUTE(TRIM($AR647),"-",""),".",""),"/","")," ",""),8),4),--MID(LEFT(SUBSTITUTE(SUBSTITUTE(SUBSTITUTE(SUBSTITUTE(TRIM($AR647),"-",""),".",""),"/","")," ",""),8),5,2),--MID(LEFT(SUBSTITUTE(SUBSTITUTE(SUBSTITUTE(SUBSTITUTE(TRIM($AR647),"-",""),".",""),"/","")," ",""),8),7,2)),"")))</f>
        <v/>
      </c>
      <c r="AT647" s="23">
        <f>IF($AS647="","",IF($F$6="",0,IF(ISNUMBER(INDEX($A:$AP,ROW(),$F$6)),INDEX($A:$AP,ROW(),$F$6),IFERROR(--SUBSTITUTE(SUBSTITUTE(TRIM(INDEX($A:$AP,ROW(),$F$6)),",",""),"원",""),0))))</f>
        <v/>
      </c>
      <c r="AU647" s="23">
        <f>IF($AS647="","",IF($G$6="",0,IF(ISNUMBER(INDEX($A:$AP,ROW(),$G$6)),INDEX($A:$AP,ROW(),$G$6),IFERROR(--SUBSTITUTE(SUBSTITUTE(TRIM(INDEX($A:$AP,ROW(),$G$6)),",",""),"원",""),0))))</f>
        <v/>
      </c>
      <c r="AV647" s="23">
        <f>IF($AS647="","",IF($H$6="",$AT647+$AU647,IF($H$6="",0,IF(ISNUMBER(INDEX($A:$AP,ROW(),$H$6)),INDEX($A:$AP,ROW(),$H$6),IFERROR(--SUBSTITUTE(SUBSTITUTE(TRIM(INDEX($A:$AP,ROW(),$H$6)),",",""),"원",""),0)))))</f>
        <v/>
      </c>
      <c r="AW647" s="2">
        <f>IF(OR($AS647="",$C$6=""),"",TRIM(INDEX($A:$AP,ROW(),$C$6)&amp;""))</f>
        <v/>
      </c>
      <c r="AX647" s="2">
        <f>IF($AS647="","",IF($AZ647&lt;&gt;"",SUBSTITUTE(SUBSTITUTE($AZ647,"-","")," ",""),$AY647))</f>
        <v/>
      </c>
      <c r="AY647" s="2">
        <f>IF(OR($AS647="",$E$6=""),"",TRIM(INDEX($A:$AP,ROW(),$E$6)&amp;""))</f>
        <v/>
      </c>
      <c r="AZ647" s="2">
        <f>IF(OR($AS647="",$D$6=""),"",TRIM(INDEX($A:$AP,ROW(),$D$6)&amp;""))</f>
        <v/>
      </c>
      <c r="BA647" s="2">
        <f>IF($AS647="","",IF(AND($AS647&gt;=설정!$B$10,$AS647&lt;=설정!$B$11),"포함","기간 밖"))</f>
        <v/>
      </c>
      <c r="BB647" s="2">
        <f>IF($AS647="","",IF(OR($AT647&lt;0,AND($I$6&lt;&gt;"",ISNUMBER(FIND("수정",INDEX($A:$AP,ROW(),IF($I$6="",1,$I$6))&amp;"")))),"수정","일반"))</f>
        <v/>
      </c>
      <c r="BC647" s="2">
        <f>IF($AS647="","",MID(IF($BA647="기간 밖"," / 기간 밖(신고기간 아님)","")&amp;IF(AND($AW647&lt;&gt;"",COUNTIF($AW$8:$AW$1007,$AW647)&gt;1)," / 승인번호 중복(두 번 붙여넣기?)","")&amp;IF(ABS($AU647-ROUND($AT647*0.1,0))&gt;설정!$B$8,IF($AU647=0," / 세액 0원(영세율·면세 여부 확인)"," / 세액이 공급가액 10%와 다름"),"")&amp;IF($BB647="수정"," / 수정세금계산서(합계에서 자동 가감)",""),4,200))</f>
        <v/>
      </c>
      <c r="BD647" s="2">
        <f>IF($BA647&lt;&gt;"포함","",IF(COUNTIFS($AX$8:$AX647,$AX647,$BA$8:$BA647,"포함")=1,MAX($BD$7:BD646)+1,""))</f>
        <v/>
      </c>
      <c r="BE647" s="2">
        <f>IF($BC647="","",MAX($BE$7:BE646)+1)</f>
        <v/>
      </c>
    </row>
    <row r="648">
      <c r="AR648" s="2">
        <f>IF(OR($A$5="",$B$6="",ROW()&lt;$A$5),"",IF(INDEX($A:$AP,ROW(),$B$6)="","",INDEX($A:$AP,ROW(),$B$6)))</f>
        <v/>
      </c>
      <c r="AS648" s="22">
        <f>IF($AR648="","",IF(ISNUMBER($AR648),IF($AR648&gt;=10000000,IFERROR(DATE(INT($AR648/10000),MOD(INT($AR648/100),100),MOD($AR648,100)),""),INT($AR648)),IFERROR(DATE(--LEFT(LEFT(SUBSTITUTE(SUBSTITUTE(SUBSTITUTE(SUBSTITUTE(TRIM($AR648),"-",""),".",""),"/","")," ",""),8),4),--MID(LEFT(SUBSTITUTE(SUBSTITUTE(SUBSTITUTE(SUBSTITUTE(TRIM($AR648),"-",""),".",""),"/","")," ",""),8),5,2),--MID(LEFT(SUBSTITUTE(SUBSTITUTE(SUBSTITUTE(SUBSTITUTE(TRIM($AR648),"-",""),".",""),"/","")," ",""),8),7,2)),"")))</f>
        <v/>
      </c>
      <c r="AT648" s="23">
        <f>IF($AS648="","",IF($F$6="",0,IF(ISNUMBER(INDEX($A:$AP,ROW(),$F$6)),INDEX($A:$AP,ROW(),$F$6),IFERROR(--SUBSTITUTE(SUBSTITUTE(TRIM(INDEX($A:$AP,ROW(),$F$6)),",",""),"원",""),0))))</f>
        <v/>
      </c>
      <c r="AU648" s="23">
        <f>IF($AS648="","",IF($G$6="",0,IF(ISNUMBER(INDEX($A:$AP,ROW(),$G$6)),INDEX($A:$AP,ROW(),$G$6),IFERROR(--SUBSTITUTE(SUBSTITUTE(TRIM(INDEX($A:$AP,ROW(),$G$6)),",",""),"원",""),0))))</f>
        <v/>
      </c>
      <c r="AV648" s="23">
        <f>IF($AS648="","",IF($H$6="",$AT648+$AU648,IF($H$6="",0,IF(ISNUMBER(INDEX($A:$AP,ROW(),$H$6)),INDEX($A:$AP,ROW(),$H$6),IFERROR(--SUBSTITUTE(SUBSTITUTE(TRIM(INDEX($A:$AP,ROW(),$H$6)),",",""),"원",""),0)))))</f>
        <v/>
      </c>
      <c r="AW648" s="2">
        <f>IF(OR($AS648="",$C$6=""),"",TRIM(INDEX($A:$AP,ROW(),$C$6)&amp;""))</f>
        <v/>
      </c>
      <c r="AX648" s="2">
        <f>IF($AS648="","",IF($AZ648&lt;&gt;"",SUBSTITUTE(SUBSTITUTE($AZ648,"-","")," ",""),$AY648))</f>
        <v/>
      </c>
      <c r="AY648" s="2">
        <f>IF(OR($AS648="",$E$6=""),"",TRIM(INDEX($A:$AP,ROW(),$E$6)&amp;""))</f>
        <v/>
      </c>
      <c r="AZ648" s="2">
        <f>IF(OR($AS648="",$D$6=""),"",TRIM(INDEX($A:$AP,ROW(),$D$6)&amp;""))</f>
        <v/>
      </c>
      <c r="BA648" s="2">
        <f>IF($AS648="","",IF(AND($AS648&gt;=설정!$B$10,$AS648&lt;=설정!$B$11),"포함","기간 밖"))</f>
        <v/>
      </c>
      <c r="BB648" s="2">
        <f>IF($AS648="","",IF(OR($AT648&lt;0,AND($I$6&lt;&gt;"",ISNUMBER(FIND("수정",INDEX($A:$AP,ROW(),IF($I$6="",1,$I$6))&amp;"")))),"수정","일반"))</f>
        <v/>
      </c>
      <c r="BC648" s="2">
        <f>IF($AS648="","",MID(IF($BA648="기간 밖"," / 기간 밖(신고기간 아님)","")&amp;IF(AND($AW648&lt;&gt;"",COUNTIF($AW$8:$AW$1007,$AW648)&gt;1)," / 승인번호 중복(두 번 붙여넣기?)","")&amp;IF(ABS($AU648-ROUND($AT648*0.1,0))&gt;설정!$B$8,IF($AU648=0," / 세액 0원(영세율·면세 여부 확인)"," / 세액이 공급가액 10%와 다름"),"")&amp;IF($BB648="수정"," / 수정세금계산서(합계에서 자동 가감)",""),4,200))</f>
        <v/>
      </c>
      <c r="BD648" s="2">
        <f>IF($BA648&lt;&gt;"포함","",IF(COUNTIFS($AX$8:$AX648,$AX648,$BA$8:$BA648,"포함")=1,MAX($BD$7:BD647)+1,""))</f>
        <v/>
      </c>
      <c r="BE648" s="2">
        <f>IF($BC648="","",MAX($BE$7:BE647)+1)</f>
        <v/>
      </c>
    </row>
    <row r="649">
      <c r="AR649" s="2">
        <f>IF(OR($A$5="",$B$6="",ROW()&lt;$A$5),"",IF(INDEX($A:$AP,ROW(),$B$6)="","",INDEX($A:$AP,ROW(),$B$6)))</f>
        <v/>
      </c>
      <c r="AS649" s="22">
        <f>IF($AR649="","",IF(ISNUMBER($AR649),IF($AR649&gt;=10000000,IFERROR(DATE(INT($AR649/10000),MOD(INT($AR649/100),100),MOD($AR649,100)),""),INT($AR649)),IFERROR(DATE(--LEFT(LEFT(SUBSTITUTE(SUBSTITUTE(SUBSTITUTE(SUBSTITUTE(TRIM($AR649),"-",""),".",""),"/","")," ",""),8),4),--MID(LEFT(SUBSTITUTE(SUBSTITUTE(SUBSTITUTE(SUBSTITUTE(TRIM($AR649),"-",""),".",""),"/","")," ",""),8),5,2),--MID(LEFT(SUBSTITUTE(SUBSTITUTE(SUBSTITUTE(SUBSTITUTE(TRIM($AR649),"-",""),".",""),"/","")," ",""),8),7,2)),"")))</f>
        <v/>
      </c>
      <c r="AT649" s="23">
        <f>IF($AS649="","",IF($F$6="",0,IF(ISNUMBER(INDEX($A:$AP,ROW(),$F$6)),INDEX($A:$AP,ROW(),$F$6),IFERROR(--SUBSTITUTE(SUBSTITUTE(TRIM(INDEX($A:$AP,ROW(),$F$6)),",",""),"원",""),0))))</f>
        <v/>
      </c>
      <c r="AU649" s="23">
        <f>IF($AS649="","",IF($G$6="",0,IF(ISNUMBER(INDEX($A:$AP,ROW(),$G$6)),INDEX($A:$AP,ROW(),$G$6),IFERROR(--SUBSTITUTE(SUBSTITUTE(TRIM(INDEX($A:$AP,ROW(),$G$6)),",",""),"원",""),0))))</f>
        <v/>
      </c>
      <c r="AV649" s="23">
        <f>IF($AS649="","",IF($H$6="",$AT649+$AU649,IF($H$6="",0,IF(ISNUMBER(INDEX($A:$AP,ROW(),$H$6)),INDEX($A:$AP,ROW(),$H$6),IFERROR(--SUBSTITUTE(SUBSTITUTE(TRIM(INDEX($A:$AP,ROW(),$H$6)),",",""),"원",""),0)))))</f>
        <v/>
      </c>
      <c r="AW649" s="2">
        <f>IF(OR($AS649="",$C$6=""),"",TRIM(INDEX($A:$AP,ROW(),$C$6)&amp;""))</f>
        <v/>
      </c>
      <c r="AX649" s="2">
        <f>IF($AS649="","",IF($AZ649&lt;&gt;"",SUBSTITUTE(SUBSTITUTE($AZ649,"-","")," ",""),$AY649))</f>
        <v/>
      </c>
      <c r="AY649" s="2">
        <f>IF(OR($AS649="",$E$6=""),"",TRIM(INDEX($A:$AP,ROW(),$E$6)&amp;""))</f>
        <v/>
      </c>
      <c r="AZ649" s="2">
        <f>IF(OR($AS649="",$D$6=""),"",TRIM(INDEX($A:$AP,ROW(),$D$6)&amp;""))</f>
        <v/>
      </c>
      <c r="BA649" s="2">
        <f>IF($AS649="","",IF(AND($AS649&gt;=설정!$B$10,$AS649&lt;=설정!$B$11),"포함","기간 밖"))</f>
        <v/>
      </c>
      <c r="BB649" s="2">
        <f>IF($AS649="","",IF(OR($AT649&lt;0,AND($I$6&lt;&gt;"",ISNUMBER(FIND("수정",INDEX($A:$AP,ROW(),IF($I$6="",1,$I$6))&amp;"")))),"수정","일반"))</f>
        <v/>
      </c>
      <c r="BC649" s="2">
        <f>IF($AS649="","",MID(IF($BA649="기간 밖"," / 기간 밖(신고기간 아님)","")&amp;IF(AND($AW649&lt;&gt;"",COUNTIF($AW$8:$AW$1007,$AW649)&gt;1)," / 승인번호 중복(두 번 붙여넣기?)","")&amp;IF(ABS($AU649-ROUND($AT649*0.1,0))&gt;설정!$B$8,IF($AU649=0," / 세액 0원(영세율·면세 여부 확인)"," / 세액이 공급가액 10%와 다름"),"")&amp;IF($BB649="수정"," / 수정세금계산서(합계에서 자동 가감)",""),4,200))</f>
        <v/>
      </c>
      <c r="BD649" s="2">
        <f>IF($BA649&lt;&gt;"포함","",IF(COUNTIFS($AX$8:$AX649,$AX649,$BA$8:$BA649,"포함")=1,MAX($BD$7:BD648)+1,""))</f>
        <v/>
      </c>
      <c r="BE649" s="2">
        <f>IF($BC649="","",MAX($BE$7:BE648)+1)</f>
        <v/>
      </c>
    </row>
    <row r="650">
      <c r="AR650" s="2">
        <f>IF(OR($A$5="",$B$6="",ROW()&lt;$A$5),"",IF(INDEX($A:$AP,ROW(),$B$6)="","",INDEX($A:$AP,ROW(),$B$6)))</f>
        <v/>
      </c>
      <c r="AS650" s="22">
        <f>IF($AR650="","",IF(ISNUMBER($AR650),IF($AR650&gt;=10000000,IFERROR(DATE(INT($AR650/10000),MOD(INT($AR650/100),100),MOD($AR650,100)),""),INT($AR650)),IFERROR(DATE(--LEFT(LEFT(SUBSTITUTE(SUBSTITUTE(SUBSTITUTE(SUBSTITUTE(TRIM($AR650),"-",""),".",""),"/","")," ",""),8),4),--MID(LEFT(SUBSTITUTE(SUBSTITUTE(SUBSTITUTE(SUBSTITUTE(TRIM($AR650),"-",""),".",""),"/","")," ",""),8),5,2),--MID(LEFT(SUBSTITUTE(SUBSTITUTE(SUBSTITUTE(SUBSTITUTE(TRIM($AR650),"-",""),".",""),"/","")," ",""),8),7,2)),"")))</f>
        <v/>
      </c>
      <c r="AT650" s="23">
        <f>IF($AS650="","",IF($F$6="",0,IF(ISNUMBER(INDEX($A:$AP,ROW(),$F$6)),INDEX($A:$AP,ROW(),$F$6),IFERROR(--SUBSTITUTE(SUBSTITUTE(TRIM(INDEX($A:$AP,ROW(),$F$6)),",",""),"원",""),0))))</f>
        <v/>
      </c>
      <c r="AU650" s="23">
        <f>IF($AS650="","",IF($G$6="",0,IF(ISNUMBER(INDEX($A:$AP,ROW(),$G$6)),INDEX($A:$AP,ROW(),$G$6),IFERROR(--SUBSTITUTE(SUBSTITUTE(TRIM(INDEX($A:$AP,ROW(),$G$6)),",",""),"원",""),0))))</f>
        <v/>
      </c>
      <c r="AV650" s="23">
        <f>IF($AS650="","",IF($H$6="",$AT650+$AU650,IF($H$6="",0,IF(ISNUMBER(INDEX($A:$AP,ROW(),$H$6)),INDEX($A:$AP,ROW(),$H$6),IFERROR(--SUBSTITUTE(SUBSTITUTE(TRIM(INDEX($A:$AP,ROW(),$H$6)),",",""),"원",""),0)))))</f>
        <v/>
      </c>
      <c r="AW650" s="2">
        <f>IF(OR($AS650="",$C$6=""),"",TRIM(INDEX($A:$AP,ROW(),$C$6)&amp;""))</f>
        <v/>
      </c>
      <c r="AX650" s="2">
        <f>IF($AS650="","",IF($AZ650&lt;&gt;"",SUBSTITUTE(SUBSTITUTE($AZ650,"-","")," ",""),$AY650))</f>
        <v/>
      </c>
      <c r="AY650" s="2">
        <f>IF(OR($AS650="",$E$6=""),"",TRIM(INDEX($A:$AP,ROW(),$E$6)&amp;""))</f>
        <v/>
      </c>
      <c r="AZ650" s="2">
        <f>IF(OR($AS650="",$D$6=""),"",TRIM(INDEX($A:$AP,ROW(),$D$6)&amp;""))</f>
        <v/>
      </c>
      <c r="BA650" s="2">
        <f>IF($AS650="","",IF(AND($AS650&gt;=설정!$B$10,$AS650&lt;=설정!$B$11),"포함","기간 밖"))</f>
        <v/>
      </c>
      <c r="BB650" s="2">
        <f>IF($AS650="","",IF(OR($AT650&lt;0,AND($I$6&lt;&gt;"",ISNUMBER(FIND("수정",INDEX($A:$AP,ROW(),IF($I$6="",1,$I$6))&amp;"")))),"수정","일반"))</f>
        <v/>
      </c>
      <c r="BC650" s="2">
        <f>IF($AS650="","",MID(IF($BA650="기간 밖"," / 기간 밖(신고기간 아님)","")&amp;IF(AND($AW650&lt;&gt;"",COUNTIF($AW$8:$AW$1007,$AW650)&gt;1)," / 승인번호 중복(두 번 붙여넣기?)","")&amp;IF(ABS($AU650-ROUND($AT650*0.1,0))&gt;설정!$B$8,IF($AU650=0," / 세액 0원(영세율·면세 여부 확인)"," / 세액이 공급가액 10%와 다름"),"")&amp;IF($BB650="수정"," / 수정세금계산서(합계에서 자동 가감)",""),4,200))</f>
        <v/>
      </c>
      <c r="BD650" s="2">
        <f>IF($BA650&lt;&gt;"포함","",IF(COUNTIFS($AX$8:$AX650,$AX650,$BA$8:$BA650,"포함")=1,MAX($BD$7:BD649)+1,""))</f>
        <v/>
      </c>
      <c r="BE650" s="2">
        <f>IF($BC650="","",MAX($BE$7:BE649)+1)</f>
        <v/>
      </c>
    </row>
    <row r="651">
      <c r="AR651" s="2">
        <f>IF(OR($A$5="",$B$6="",ROW()&lt;$A$5),"",IF(INDEX($A:$AP,ROW(),$B$6)="","",INDEX($A:$AP,ROW(),$B$6)))</f>
        <v/>
      </c>
      <c r="AS651" s="22">
        <f>IF($AR651="","",IF(ISNUMBER($AR651),IF($AR651&gt;=10000000,IFERROR(DATE(INT($AR651/10000),MOD(INT($AR651/100),100),MOD($AR651,100)),""),INT($AR651)),IFERROR(DATE(--LEFT(LEFT(SUBSTITUTE(SUBSTITUTE(SUBSTITUTE(SUBSTITUTE(TRIM($AR651),"-",""),".",""),"/","")," ",""),8),4),--MID(LEFT(SUBSTITUTE(SUBSTITUTE(SUBSTITUTE(SUBSTITUTE(TRIM($AR651),"-",""),".",""),"/","")," ",""),8),5,2),--MID(LEFT(SUBSTITUTE(SUBSTITUTE(SUBSTITUTE(SUBSTITUTE(TRIM($AR651),"-",""),".",""),"/","")," ",""),8),7,2)),"")))</f>
        <v/>
      </c>
      <c r="AT651" s="23">
        <f>IF($AS651="","",IF($F$6="",0,IF(ISNUMBER(INDEX($A:$AP,ROW(),$F$6)),INDEX($A:$AP,ROW(),$F$6),IFERROR(--SUBSTITUTE(SUBSTITUTE(TRIM(INDEX($A:$AP,ROW(),$F$6)),",",""),"원",""),0))))</f>
        <v/>
      </c>
      <c r="AU651" s="23">
        <f>IF($AS651="","",IF($G$6="",0,IF(ISNUMBER(INDEX($A:$AP,ROW(),$G$6)),INDEX($A:$AP,ROW(),$G$6),IFERROR(--SUBSTITUTE(SUBSTITUTE(TRIM(INDEX($A:$AP,ROW(),$G$6)),",",""),"원",""),0))))</f>
        <v/>
      </c>
      <c r="AV651" s="23">
        <f>IF($AS651="","",IF($H$6="",$AT651+$AU651,IF($H$6="",0,IF(ISNUMBER(INDEX($A:$AP,ROW(),$H$6)),INDEX($A:$AP,ROW(),$H$6),IFERROR(--SUBSTITUTE(SUBSTITUTE(TRIM(INDEX($A:$AP,ROW(),$H$6)),",",""),"원",""),0)))))</f>
        <v/>
      </c>
      <c r="AW651" s="2">
        <f>IF(OR($AS651="",$C$6=""),"",TRIM(INDEX($A:$AP,ROW(),$C$6)&amp;""))</f>
        <v/>
      </c>
      <c r="AX651" s="2">
        <f>IF($AS651="","",IF($AZ651&lt;&gt;"",SUBSTITUTE(SUBSTITUTE($AZ651,"-","")," ",""),$AY651))</f>
        <v/>
      </c>
      <c r="AY651" s="2">
        <f>IF(OR($AS651="",$E$6=""),"",TRIM(INDEX($A:$AP,ROW(),$E$6)&amp;""))</f>
        <v/>
      </c>
      <c r="AZ651" s="2">
        <f>IF(OR($AS651="",$D$6=""),"",TRIM(INDEX($A:$AP,ROW(),$D$6)&amp;""))</f>
        <v/>
      </c>
      <c r="BA651" s="2">
        <f>IF($AS651="","",IF(AND($AS651&gt;=설정!$B$10,$AS651&lt;=설정!$B$11),"포함","기간 밖"))</f>
        <v/>
      </c>
      <c r="BB651" s="2">
        <f>IF($AS651="","",IF(OR($AT651&lt;0,AND($I$6&lt;&gt;"",ISNUMBER(FIND("수정",INDEX($A:$AP,ROW(),IF($I$6="",1,$I$6))&amp;"")))),"수정","일반"))</f>
        <v/>
      </c>
      <c r="BC651" s="2">
        <f>IF($AS651="","",MID(IF($BA651="기간 밖"," / 기간 밖(신고기간 아님)","")&amp;IF(AND($AW651&lt;&gt;"",COUNTIF($AW$8:$AW$1007,$AW651)&gt;1)," / 승인번호 중복(두 번 붙여넣기?)","")&amp;IF(ABS($AU651-ROUND($AT651*0.1,0))&gt;설정!$B$8,IF($AU651=0," / 세액 0원(영세율·면세 여부 확인)"," / 세액이 공급가액 10%와 다름"),"")&amp;IF($BB651="수정"," / 수정세금계산서(합계에서 자동 가감)",""),4,200))</f>
        <v/>
      </c>
      <c r="BD651" s="2">
        <f>IF($BA651&lt;&gt;"포함","",IF(COUNTIFS($AX$8:$AX651,$AX651,$BA$8:$BA651,"포함")=1,MAX($BD$7:BD650)+1,""))</f>
        <v/>
      </c>
      <c r="BE651" s="2">
        <f>IF($BC651="","",MAX($BE$7:BE650)+1)</f>
        <v/>
      </c>
    </row>
    <row r="652">
      <c r="AR652" s="2">
        <f>IF(OR($A$5="",$B$6="",ROW()&lt;$A$5),"",IF(INDEX($A:$AP,ROW(),$B$6)="","",INDEX($A:$AP,ROW(),$B$6)))</f>
        <v/>
      </c>
      <c r="AS652" s="22">
        <f>IF($AR652="","",IF(ISNUMBER($AR652),IF($AR652&gt;=10000000,IFERROR(DATE(INT($AR652/10000),MOD(INT($AR652/100),100),MOD($AR652,100)),""),INT($AR652)),IFERROR(DATE(--LEFT(LEFT(SUBSTITUTE(SUBSTITUTE(SUBSTITUTE(SUBSTITUTE(TRIM($AR652),"-",""),".",""),"/","")," ",""),8),4),--MID(LEFT(SUBSTITUTE(SUBSTITUTE(SUBSTITUTE(SUBSTITUTE(TRIM($AR652),"-",""),".",""),"/","")," ",""),8),5,2),--MID(LEFT(SUBSTITUTE(SUBSTITUTE(SUBSTITUTE(SUBSTITUTE(TRIM($AR652),"-",""),".",""),"/","")," ",""),8),7,2)),"")))</f>
        <v/>
      </c>
      <c r="AT652" s="23">
        <f>IF($AS652="","",IF($F$6="",0,IF(ISNUMBER(INDEX($A:$AP,ROW(),$F$6)),INDEX($A:$AP,ROW(),$F$6),IFERROR(--SUBSTITUTE(SUBSTITUTE(TRIM(INDEX($A:$AP,ROW(),$F$6)),",",""),"원",""),0))))</f>
        <v/>
      </c>
      <c r="AU652" s="23">
        <f>IF($AS652="","",IF($G$6="",0,IF(ISNUMBER(INDEX($A:$AP,ROW(),$G$6)),INDEX($A:$AP,ROW(),$G$6),IFERROR(--SUBSTITUTE(SUBSTITUTE(TRIM(INDEX($A:$AP,ROW(),$G$6)),",",""),"원",""),0))))</f>
        <v/>
      </c>
      <c r="AV652" s="23">
        <f>IF($AS652="","",IF($H$6="",$AT652+$AU652,IF($H$6="",0,IF(ISNUMBER(INDEX($A:$AP,ROW(),$H$6)),INDEX($A:$AP,ROW(),$H$6),IFERROR(--SUBSTITUTE(SUBSTITUTE(TRIM(INDEX($A:$AP,ROW(),$H$6)),",",""),"원",""),0)))))</f>
        <v/>
      </c>
      <c r="AW652" s="2">
        <f>IF(OR($AS652="",$C$6=""),"",TRIM(INDEX($A:$AP,ROW(),$C$6)&amp;""))</f>
        <v/>
      </c>
      <c r="AX652" s="2">
        <f>IF($AS652="","",IF($AZ652&lt;&gt;"",SUBSTITUTE(SUBSTITUTE($AZ652,"-","")," ",""),$AY652))</f>
        <v/>
      </c>
      <c r="AY652" s="2">
        <f>IF(OR($AS652="",$E$6=""),"",TRIM(INDEX($A:$AP,ROW(),$E$6)&amp;""))</f>
        <v/>
      </c>
      <c r="AZ652" s="2">
        <f>IF(OR($AS652="",$D$6=""),"",TRIM(INDEX($A:$AP,ROW(),$D$6)&amp;""))</f>
        <v/>
      </c>
      <c r="BA652" s="2">
        <f>IF($AS652="","",IF(AND($AS652&gt;=설정!$B$10,$AS652&lt;=설정!$B$11),"포함","기간 밖"))</f>
        <v/>
      </c>
      <c r="BB652" s="2">
        <f>IF($AS652="","",IF(OR($AT652&lt;0,AND($I$6&lt;&gt;"",ISNUMBER(FIND("수정",INDEX($A:$AP,ROW(),IF($I$6="",1,$I$6))&amp;"")))),"수정","일반"))</f>
        <v/>
      </c>
      <c r="BC652" s="2">
        <f>IF($AS652="","",MID(IF($BA652="기간 밖"," / 기간 밖(신고기간 아님)","")&amp;IF(AND($AW652&lt;&gt;"",COUNTIF($AW$8:$AW$1007,$AW652)&gt;1)," / 승인번호 중복(두 번 붙여넣기?)","")&amp;IF(ABS($AU652-ROUND($AT652*0.1,0))&gt;설정!$B$8,IF($AU652=0," / 세액 0원(영세율·면세 여부 확인)"," / 세액이 공급가액 10%와 다름"),"")&amp;IF($BB652="수정"," / 수정세금계산서(합계에서 자동 가감)",""),4,200))</f>
        <v/>
      </c>
      <c r="BD652" s="2">
        <f>IF($BA652&lt;&gt;"포함","",IF(COUNTIFS($AX$8:$AX652,$AX652,$BA$8:$BA652,"포함")=1,MAX($BD$7:BD651)+1,""))</f>
        <v/>
      </c>
      <c r="BE652" s="2">
        <f>IF($BC652="","",MAX($BE$7:BE651)+1)</f>
        <v/>
      </c>
    </row>
    <row r="653">
      <c r="AR653" s="2">
        <f>IF(OR($A$5="",$B$6="",ROW()&lt;$A$5),"",IF(INDEX($A:$AP,ROW(),$B$6)="","",INDEX($A:$AP,ROW(),$B$6)))</f>
        <v/>
      </c>
      <c r="AS653" s="22">
        <f>IF($AR653="","",IF(ISNUMBER($AR653),IF($AR653&gt;=10000000,IFERROR(DATE(INT($AR653/10000),MOD(INT($AR653/100),100),MOD($AR653,100)),""),INT($AR653)),IFERROR(DATE(--LEFT(LEFT(SUBSTITUTE(SUBSTITUTE(SUBSTITUTE(SUBSTITUTE(TRIM($AR653),"-",""),".",""),"/","")," ",""),8),4),--MID(LEFT(SUBSTITUTE(SUBSTITUTE(SUBSTITUTE(SUBSTITUTE(TRIM($AR653),"-",""),".",""),"/","")," ",""),8),5,2),--MID(LEFT(SUBSTITUTE(SUBSTITUTE(SUBSTITUTE(SUBSTITUTE(TRIM($AR653),"-",""),".",""),"/","")," ",""),8),7,2)),"")))</f>
        <v/>
      </c>
      <c r="AT653" s="23">
        <f>IF($AS653="","",IF($F$6="",0,IF(ISNUMBER(INDEX($A:$AP,ROW(),$F$6)),INDEX($A:$AP,ROW(),$F$6),IFERROR(--SUBSTITUTE(SUBSTITUTE(TRIM(INDEX($A:$AP,ROW(),$F$6)),",",""),"원",""),0))))</f>
        <v/>
      </c>
      <c r="AU653" s="23">
        <f>IF($AS653="","",IF($G$6="",0,IF(ISNUMBER(INDEX($A:$AP,ROW(),$G$6)),INDEX($A:$AP,ROW(),$G$6),IFERROR(--SUBSTITUTE(SUBSTITUTE(TRIM(INDEX($A:$AP,ROW(),$G$6)),",",""),"원",""),0))))</f>
        <v/>
      </c>
      <c r="AV653" s="23">
        <f>IF($AS653="","",IF($H$6="",$AT653+$AU653,IF($H$6="",0,IF(ISNUMBER(INDEX($A:$AP,ROW(),$H$6)),INDEX($A:$AP,ROW(),$H$6),IFERROR(--SUBSTITUTE(SUBSTITUTE(TRIM(INDEX($A:$AP,ROW(),$H$6)),",",""),"원",""),0)))))</f>
        <v/>
      </c>
      <c r="AW653" s="2">
        <f>IF(OR($AS653="",$C$6=""),"",TRIM(INDEX($A:$AP,ROW(),$C$6)&amp;""))</f>
        <v/>
      </c>
      <c r="AX653" s="2">
        <f>IF($AS653="","",IF($AZ653&lt;&gt;"",SUBSTITUTE(SUBSTITUTE($AZ653,"-","")," ",""),$AY653))</f>
        <v/>
      </c>
      <c r="AY653" s="2">
        <f>IF(OR($AS653="",$E$6=""),"",TRIM(INDEX($A:$AP,ROW(),$E$6)&amp;""))</f>
        <v/>
      </c>
      <c r="AZ653" s="2">
        <f>IF(OR($AS653="",$D$6=""),"",TRIM(INDEX($A:$AP,ROW(),$D$6)&amp;""))</f>
        <v/>
      </c>
      <c r="BA653" s="2">
        <f>IF($AS653="","",IF(AND($AS653&gt;=설정!$B$10,$AS653&lt;=설정!$B$11),"포함","기간 밖"))</f>
        <v/>
      </c>
      <c r="BB653" s="2">
        <f>IF($AS653="","",IF(OR($AT653&lt;0,AND($I$6&lt;&gt;"",ISNUMBER(FIND("수정",INDEX($A:$AP,ROW(),IF($I$6="",1,$I$6))&amp;"")))),"수정","일반"))</f>
        <v/>
      </c>
      <c r="BC653" s="2">
        <f>IF($AS653="","",MID(IF($BA653="기간 밖"," / 기간 밖(신고기간 아님)","")&amp;IF(AND($AW653&lt;&gt;"",COUNTIF($AW$8:$AW$1007,$AW653)&gt;1)," / 승인번호 중복(두 번 붙여넣기?)","")&amp;IF(ABS($AU653-ROUND($AT653*0.1,0))&gt;설정!$B$8,IF($AU653=0," / 세액 0원(영세율·면세 여부 확인)"," / 세액이 공급가액 10%와 다름"),"")&amp;IF($BB653="수정"," / 수정세금계산서(합계에서 자동 가감)",""),4,200))</f>
        <v/>
      </c>
      <c r="BD653" s="2">
        <f>IF($BA653&lt;&gt;"포함","",IF(COUNTIFS($AX$8:$AX653,$AX653,$BA$8:$BA653,"포함")=1,MAX($BD$7:BD652)+1,""))</f>
        <v/>
      </c>
      <c r="BE653" s="2">
        <f>IF($BC653="","",MAX($BE$7:BE652)+1)</f>
        <v/>
      </c>
    </row>
    <row r="654">
      <c r="AR654" s="2">
        <f>IF(OR($A$5="",$B$6="",ROW()&lt;$A$5),"",IF(INDEX($A:$AP,ROW(),$B$6)="","",INDEX($A:$AP,ROW(),$B$6)))</f>
        <v/>
      </c>
      <c r="AS654" s="22">
        <f>IF($AR654="","",IF(ISNUMBER($AR654),IF($AR654&gt;=10000000,IFERROR(DATE(INT($AR654/10000),MOD(INT($AR654/100),100),MOD($AR654,100)),""),INT($AR654)),IFERROR(DATE(--LEFT(LEFT(SUBSTITUTE(SUBSTITUTE(SUBSTITUTE(SUBSTITUTE(TRIM($AR654),"-",""),".",""),"/","")," ",""),8),4),--MID(LEFT(SUBSTITUTE(SUBSTITUTE(SUBSTITUTE(SUBSTITUTE(TRIM($AR654),"-",""),".",""),"/","")," ",""),8),5,2),--MID(LEFT(SUBSTITUTE(SUBSTITUTE(SUBSTITUTE(SUBSTITUTE(TRIM($AR654),"-",""),".",""),"/","")," ",""),8),7,2)),"")))</f>
        <v/>
      </c>
      <c r="AT654" s="23">
        <f>IF($AS654="","",IF($F$6="",0,IF(ISNUMBER(INDEX($A:$AP,ROW(),$F$6)),INDEX($A:$AP,ROW(),$F$6),IFERROR(--SUBSTITUTE(SUBSTITUTE(TRIM(INDEX($A:$AP,ROW(),$F$6)),",",""),"원",""),0))))</f>
        <v/>
      </c>
      <c r="AU654" s="23">
        <f>IF($AS654="","",IF($G$6="",0,IF(ISNUMBER(INDEX($A:$AP,ROW(),$G$6)),INDEX($A:$AP,ROW(),$G$6),IFERROR(--SUBSTITUTE(SUBSTITUTE(TRIM(INDEX($A:$AP,ROW(),$G$6)),",",""),"원",""),0))))</f>
        <v/>
      </c>
      <c r="AV654" s="23">
        <f>IF($AS654="","",IF($H$6="",$AT654+$AU654,IF($H$6="",0,IF(ISNUMBER(INDEX($A:$AP,ROW(),$H$6)),INDEX($A:$AP,ROW(),$H$6),IFERROR(--SUBSTITUTE(SUBSTITUTE(TRIM(INDEX($A:$AP,ROW(),$H$6)),",",""),"원",""),0)))))</f>
        <v/>
      </c>
      <c r="AW654" s="2">
        <f>IF(OR($AS654="",$C$6=""),"",TRIM(INDEX($A:$AP,ROW(),$C$6)&amp;""))</f>
        <v/>
      </c>
      <c r="AX654" s="2">
        <f>IF($AS654="","",IF($AZ654&lt;&gt;"",SUBSTITUTE(SUBSTITUTE($AZ654,"-","")," ",""),$AY654))</f>
        <v/>
      </c>
      <c r="AY654" s="2">
        <f>IF(OR($AS654="",$E$6=""),"",TRIM(INDEX($A:$AP,ROW(),$E$6)&amp;""))</f>
        <v/>
      </c>
      <c r="AZ654" s="2">
        <f>IF(OR($AS654="",$D$6=""),"",TRIM(INDEX($A:$AP,ROW(),$D$6)&amp;""))</f>
        <v/>
      </c>
      <c r="BA654" s="2">
        <f>IF($AS654="","",IF(AND($AS654&gt;=설정!$B$10,$AS654&lt;=설정!$B$11),"포함","기간 밖"))</f>
        <v/>
      </c>
      <c r="BB654" s="2">
        <f>IF($AS654="","",IF(OR($AT654&lt;0,AND($I$6&lt;&gt;"",ISNUMBER(FIND("수정",INDEX($A:$AP,ROW(),IF($I$6="",1,$I$6))&amp;"")))),"수정","일반"))</f>
        <v/>
      </c>
      <c r="BC654" s="2">
        <f>IF($AS654="","",MID(IF($BA654="기간 밖"," / 기간 밖(신고기간 아님)","")&amp;IF(AND($AW654&lt;&gt;"",COUNTIF($AW$8:$AW$1007,$AW654)&gt;1)," / 승인번호 중복(두 번 붙여넣기?)","")&amp;IF(ABS($AU654-ROUND($AT654*0.1,0))&gt;설정!$B$8,IF($AU654=0," / 세액 0원(영세율·면세 여부 확인)"," / 세액이 공급가액 10%와 다름"),"")&amp;IF($BB654="수정"," / 수정세금계산서(합계에서 자동 가감)",""),4,200))</f>
        <v/>
      </c>
      <c r="BD654" s="2">
        <f>IF($BA654&lt;&gt;"포함","",IF(COUNTIFS($AX$8:$AX654,$AX654,$BA$8:$BA654,"포함")=1,MAX($BD$7:BD653)+1,""))</f>
        <v/>
      </c>
      <c r="BE654" s="2">
        <f>IF($BC654="","",MAX($BE$7:BE653)+1)</f>
        <v/>
      </c>
    </row>
    <row r="655">
      <c r="AR655" s="2">
        <f>IF(OR($A$5="",$B$6="",ROW()&lt;$A$5),"",IF(INDEX($A:$AP,ROW(),$B$6)="","",INDEX($A:$AP,ROW(),$B$6)))</f>
        <v/>
      </c>
      <c r="AS655" s="22">
        <f>IF($AR655="","",IF(ISNUMBER($AR655),IF($AR655&gt;=10000000,IFERROR(DATE(INT($AR655/10000),MOD(INT($AR655/100),100),MOD($AR655,100)),""),INT($AR655)),IFERROR(DATE(--LEFT(LEFT(SUBSTITUTE(SUBSTITUTE(SUBSTITUTE(SUBSTITUTE(TRIM($AR655),"-",""),".",""),"/","")," ",""),8),4),--MID(LEFT(SUBSTITUTE(SUBSTITUTE(SUBSTITUTE(SUBSTITUTE(TRIM($AR655),"-",""),".",""),"/","")," ",""),8),5,2),--MID(LEFT(SUBSTITUTE(SUBSTITUTE(SUBSTITUTE(SUBSTITUTE(TRIM($AR655),"-",""),".",""),"/","")," ",""),8),7,2)),"")))</f>
        <v/>
      </c>
      <c r="AT655" s="23">
        <f>IF($AS655="","",IF($F$6="",0,IF(ISNUMBER(INDEX($A:$AP,ROW(),$F$6)),INDEX($A:$AP,ROW(),$F$6),IFERROR(--SUBSTITUTE(SUBSTITUTE(TRIM(INDEX($A:$AP,ROW(),$F$6)),",",""),"원",""),0))))</f>
        <v/>
      </c>
      <c r="AU655" s="23">
        <f>IF($AS655="","",IF($G$6="",0,IF(ISNUMBER(INDEX($A:$AP,ROW(),$G$6)),INDEX($A:$AP,ROW(),$G$6),IFERROR(--SUBSTITUTE(SUBSTITUTE(TRIM(INDEX($A:$AP,ROW(),$G$6)),",",""),"원",""),0))))</f>
        <v/>
      </c>
      <c r="AV655" s="23">
        <f>IF($AS655="","",IF($H$6="",$AT655+$AU655,IF($H$6="",0,IF(ISNUMBER(INDEX($A:$AP,ROW(),$H$6)),INDEX($A:$AP,ROW(),$H$6),IFERROR(--SUBSTITUTE(SUBSTITUTE(TRIM(INDEX($A:$AP,ROW(),$H$6)),",",""),"원",""),0)))))</f>
        <v/>
      </c>
      <c r="AW655" s="2">
        <f>IF(OR($AS655="",$C$6=""),"",TRIM(INDEX($A:$AP,ROW(),$C$6)&amp;""))</f>
        <v/>
      </c>
      <c r="AX655" s="2">
        <f>IF($AS655="","",IF($AZ655&lt;&gt;"",SUBSTITUTE(SUBSTITUTE($AZ655,"-","")," ",""),$AY655))</f>
        <v/>
      </c>
      <c r="AY655" s="2">
        <f>IF(OR($AS655="",$E$6=""),"",TRIM(INDEX($A:$AP,ROW(),$E$6)&amp;""))</f>
        <v/>
      </c>
      <c r="AZ655" s="2">
        <f>IF(OR($AS655="",$D$6=""),"",TRIM(INDEX($A:$AP,ROW(),$D$6)&amp;""))</f>
        <v/>
      </c>
      <c r="BA655" s="2">
        <f>IF($AS655="","",IF(AND($AS655&gt;=설정!$B$10,$AS655&lt;=설정!$B$11),"포함","기간 밖"))</f>
        <v/>
      </c>
      <c r="BB655" s="2">
        <f>IF($AS655="","",IF(OR($AT655&lt;0,AND($I$6&lt;&gt;"",ISNUMBER(FIND("수정",INDEX($A:$AP,ROW(),IF($I$6="",1,$I$6))&amp;"")))),"수정","일반"))</f>
        <v/>
      </c>
      <c r="BC655" s="2">
        <f>IF($AS655="","",MID(IF($BA655="기간 밖"," / 기간 밖(신고기간 아님)","")&amp;IF(AND($AW655&lt;&gt;"",COUNTIF($AW$8:$AW$1007,$AW655)&gt;1)," / 승인번호 중복(두 번 붙여넣기?)","")&amp;IF(ABS($AU655-ROUND($AT655*0.1,0))&gt;설정!$B$8,IF($AU655=0," / 세액 0원(영세율·면세 여부 확인)"," / 세액이 공급가액 10%와 다름"),"")&amp;IF($BB655="수정"," / 수정세금계산서(합계에서 자동 가감)",""),4,200))</f>
        <v/>
      </c>
      <c r="BD655" s="2">
        <f>IF($BA655&lt;&gt;"포함","",IF(COUNTIFS($AX$8:$AX655,$AX655,$BA$8:$BA655,"포함")=1,MAX($BD$7:BD654)+1,""))</f>
        <v/>
      </c>
      <c r="BE655" s="2">
        <f>IF($BC655="","",MAX($BE$7:BE654)+1)</f>
        <v/>
      </c>
    </row>
    <row r="656">
      <c r="AR656" s="2">
        <f>IF(OR($A$5="",$B$6="",ROW()&lt;$A$5),"",IF(INDEX($A:$AP,ROW(),$B$6)="","",INDEX($A:$AP,ROW(),$B$6)))</f>
        <v/>
      </c>
      <c r="AS656" s="22">
        <f>IF($AR656="","",IF(ISNUMBER($AR656),IF($AR656&gt;=10000000,IFERROR(DATE(INT($AR656/10000),MOD(INT($AR656/100),100),MOD($AR656,100)),""),INT($AR656)),IFERROR(DATE(--LEFT(LEFT(SUBSTITUTE(SUBSTITUTE(SUBSTITUTE(SUBSTITUTE(TRIM($AR656),"-",""),".",""),"/","")," ",""),8),4),--MID(LEFT(SUBSTITUTE(SUBSTITUTE(SUBSTITUTE(SUBSTITUTE(TRIM($AR656),"-",""),".",""),"/","")," ",""),8),5,2),--MID(LEFT(SUBSTITUTE(SUBSTITUTE(SUBSTITUTE(SUBSTITUTE(TRIM($AR656),"-",""),".",""),"/","")," ",""),8),7,2)),"")))</f>
        <v/>
      </c>
      <c r="AT656" s="23">
        <f>IF($AS656="","",IF($F$6="",0,IF(ISNUMBER(INDEX($A:$AP,ROW(),$F$6)),INDEX($A:$AP,ROW(),$F$6),IFERROR(--SUBSTITUTE(SUBSTITUTE(TRIM(INDEX($A:$AP,ROW(),$F$6)),",",""),"원",""),0))))</f>
        <v/>
      </c>
      <c r="AU656" s="23">
        <f>IF($AS656="","",IF($G$6="",0,IF(ISNUMBER(INDEX($A:$AP,ROW(),$G$6)),INDEX($A:$AP,ROW(),$G$6),IFERROR(--SUBSTITUTE(SUBSTITUTE(TRIM(INDEX($A:$AP,ROW(),$G$6)),",",""),"원",""),0))))</f>
        <v/>
      </c>
      <c r="AV656" s="23">
        <f>IF($AS656="","",IF($H$6="",$AT656+$AU656,IF($H$6="",0,IF(ISNUMBER(INDEX($A:$AP,ROW(),$H$6)),INDEX($A:$AP,ROW(),$H$6),IFERROR(--SUBSTITUTE(SUBSTITUTE(TRIM(INDEX($A:$AP,ROW(),$H$6)),",",""),"원",""),0)))))</f>
        <v/>
      </c>
      <c r="AW656" s="2">
        <f>IF(OR($AS656="",$C$6=""),"",TRIM(INDEX($A:$AP,ROW(),$C$6)&amp;""))</f>
        <v/>
      </c>
      <c r="AX656" s="2">
        <f>IF($AS656="","",IF($AZ656&lt;&gt;"",SUBSTITUTE(SUBSTITUTE($AZ656,"-","")," ",""),$AY656))</f>
        <v/>
      </c>
      <c r="AY656" s="2">
        <f>IF(OR($AS656="",$E$6=""),"",TRIM(INDEX($A:$AP,ROW(),$E$6)&amp;""))</f>
        <v/>
      </c>
      <c r="AZ656" s="2">
        <f>IF(OR($AS656="",$D$6=""),"",TRIM(INDEX($A:$AP,ROW(),$D$6)&amp;""))</f>
        <v/>
      </c>
      <c r="BA656" s="2">
        <f>IF($AS656="","",IF(AND($AS656&gt;=설정!$B$10,$AS656&lt;=설정!$B$11),"포함","기간 밖"))</f>
        <v/>
      </c>
      <c r="BB656" s="2">
        <f>IF($AS656="","",IF(OR($AT656&lt;0,AND($I$6&lt;&gt;"",ISNUMBER(FIND("수정",INDEX($A:$AP,ROW(),IF($I$6="",1,$I$6))&amp;"")))),"수정","일반"))</f>
        <v/>
      </c>
      <c r="BC656" s="2">
        <f>IF($AS656="","",MID(IF($BA656="기간 밖"," / 기간 밖(신고기간 아님)","")&amp;IF(AND($AW656&lt;&gt;"",COUNTIF($AW$8:$AW$1007,$AW656)&gt;1)," / 승인번호 중복(두 번 붙여넣기?)","")&amp;IF(ABS($AU656-ROUND($AT656*0.1,0))&gt;설정!$B$8,IF($AU656=0," / 세액 0원(영세율·면세 여부 확인)"," / 세액이 공급가액 10%와 다름"),"")&amp;IF($BB656="수정"," / 수정세금계산서(합계에서 자동 가감)",""),4,200))</f>
        <v/>
      </c>
      <c r="BD656" s="2">
        <f>IF($BA656&lt;&gt;"포함","",IF(COUNTIFS($AX$8:$AX656,$AX656,$BA$8:$BA656,"포함")=1,MAX($BD$7:BD655)+1,""))</f>
        <v/>
      </c>
      <c r="BE656" s="2">
        <f>IF($BC656="","",MAX($BE$7:BE655)+1)</f>
        <v/>
      </c>
    </row>
    <row r="657">
      <c r="AR657" s="2">
        <f>IF(OR($A$5="",$B$6="",ROW()&lt;$A$5),"",IF(INDEX($A:$AP,ROW(),$B$6)="","",INDEX($A:$AP,ROW(),$B$6)))</f>
        <v/>
      </c>
      <c r="AS657" s="22">
        <f>IF($AR657="","",IF(ISNUMBER($AR657),IF($AR657&gt;=10000000,IFERROR(DATE(INT($AR657/10000),MOD(INT($AR657/100),100),MOD($AR657,100)),""),INT($AR657)),IFERROR(DATE(--LEFT(LEFT(SUBSTITUTE(SUBSTITUTE(SUBSTITUTE(SUBSTITUTE(TRIM($AR657),"-",""),".",""),"/","")," ",""),8),4),--MID(LEFT(SUBSTITUTE(SUBSTITUTE(SUBSTITUTE(SUBSTITUTE(TRIM($AR657),"-",""),".",""),"/","")," ",""),8),5,2),--MID(LEFT(SUBSTITUTE(SUBSTITUTE(SUBSTITUTE(SUBSTITUTE(TRIM($AR657),"-",""),".",""),"/","")," ",""),8),7,2)),"")))</f>
        <v/>
      </c>
      <c r="AT657" s="23">
        <f>IF($AS657="","",IF($F$6="",0,IF(ISNUMBER(INDEX($A:$AP,ROW(),$F$6)),INDEX($A:$AP,ROW(),$F$6),IFERROR(--SUBSTITUTE(SUBSTITUTE(TRIM(INDEX($A:$AP,ROW(),$F$6)),",",""),"원",""),0))))</f>
        <v/>
      </c>
      <c r="AU657" s="23">
        <f>IF($AS657="","",IF($G$6="",0,IF(ISNUMBER(INDEX($A:$AP,ROW(),$G$6)),INDEX($A:$AP,ROW(),$G$6),IFERROR(--SUBSTITUTE(SUBSTITUTE(TRIM(INDEX($A:$AP,ROW(),$G$6)),",",""),"원",""),0))))</f>
        <v/>
      </c>
      <c r="AV657" s="23">
        <f>IF($AS657="","",IF($H$6="",$AT657+$AU657,IF($H$6="",0,IF(ISNUMBER(INDEX($A:$AP,ROW(),$H$6)),INDEX($A:$AP,ROW(),$H$6),IFERROR(--SUBSTITUTE(SUBSTITUTE(TRIM(INDEX($A:$AP,ROW(),$H$6)),",",""),"원",""),0)))))</f>
        <v/>
      </c>
      <c r="AW657" s="2">
        <f>IF(OR($AS657="",$C$6=""),"",TRIM(INDEX($A:$AP,ROW(),$C$6)&amp;""))</f>
        <v/>
      </c>
      <c r="AX657" s="2">
        <f>IF($AS657="","",IF($AZ657&lt;&gt;"",SUBSTITUTE(SUBSTITUTE($AZ657,"-","")," ",""),$AY657))</f>
        <v/>
      </c>
      <c r="AY657" s="2">
        <f>IF(OR($AS657="",$E$6=""),"",TRIM(INDEX($A:$AP,ROW(),$E$6)&amp;""))</f>
        <v/>
      </c>
      <c r="AZ657" s="2">
        <f>IF(OR($AS657="",$D$6=""),"",TRIM(INDEX($A:$AP,ROW(),$D$6)&amp;""))</f>
        <v/>
      </c>
      <c r="BA657" s="2">
        <f>IF($AS657="","",IF(AND($AS657&gt;=설정!$B$10,$AS657&lt;=설정!$B$11),"포함","기간 밖"))</f>
        <v/>
      </c>
      <c r="BB657" s="2">
        <f>IF($AS657="","",IF(OR($AT657&lt;0,AND($I$6&lt;&gt;"",ISNUMBER(FIND("수정",INDEX($A:$AP,ROW(),IF($I$6="",1,$I$6))&amp;"")))),"수정","일반"))</f>
        <v/>
      </c>
      <c r="BC657" s="2">
        <f>IF($AS657="","",MID(IF($BA657="기간 밖"," / 기간 밖(신고기간 아님)","")&amp;IF(AND($AW657&lt;&gt;"",COUNTIF($AW$8:$AW$1007,$AW657)&gt;1)," / 승인번호 중복(두 번 붙여넣기?)","")&amp;IF(ABS($AU657-ROUND($AT657*0.1,0))&gt;설정!$B$8,IF($AU657=0," / 세액 0원(영세율·면세 여부 확인)"," / 세액이 공급가액 10%와 다름"),"")&amp;IF($BB657="수정"," / 수정세금계산서(합계에서 자동 가감)",""),4,200))</f>
        <v/>
      </c>
      <c r="BD657" s="2">
        <f>IF($BA657&lt;&gt;"포함","",IF(COUNTIFS($AX$8:$AX657,$AX657,$BA$8:$BA657,"포함")=1,MAX($BD$7:BD656)+1,""))</f>
        <v/>
      </c>
      <c r="BE657" s="2">
        <f>IF($BC657="","",MAX($BE$7:BE656)+1)</f>
        <v/>
      </c>
    </row>
    <row r="658">
      <c r="AR658" s="2">
        <f>IF(OR($A$5="",$B$6="",ROW()&lt;$A$5),"",IF(INDEX($A:$AP,ROW(),$B$6)="","",INDEX($A:$AP,ROW(),$B$6)))</f>
        <v/>
      </c>
      <c r="AS658" s="22">
        <f>IF($AR658="","",IF(ISNUMBER($AR658),IF($AR658&gt;=10000000,IFERROR(DATE(INT($AR658/10000),MOD(INT($AR658/100),100),MOD($AR658,100)),""),INT($AR658)),IFERROR(DATE(--LEFT(LEFT(SUBSTITUTE(SUBSTITUTE(SUBSTITUTE(SUBSTITUTE(TRIM($AR658),"-",""),".",""),"/","")," ",""),8),4),--MID(LEFT(SUBSTITUTE(SUBSTITUTE(SUBSTITUTE(SUBSTITUTE(TRIM($AR658),"-",""),".",""),"/","")," ",""),8),5,2),--MID(LEFT(SUBSTITUTE(SUBSTITUTE(SUBSTITUTE(SUBSTITUTE(TRIM($AR658),"-",""),".",""),"/","")," ",""),8),7,2)),"")))</f>
        <v/>
      </c>
      <c r="AT658" s="23">
        <f>IF($AS658="","",IF($F$6="",0,IF(ISNUMBER(INDEX($A:$AP,ROW(),$F$6)),INDEX($A:$AP,ROW(),$F$6),IFERROR(--SUBSTITUTE(SUBSTITUTE(TRIM(INDEX($A:$AP,ROW(),$F$6)),",",""),"원",""),0))))</f>
        <v/>
      </c>
      <c r="AU658" s="23">
        <f>IF($AS658="","",IF($G$6="",0,IF(ISNUMBER(INDEX($A:$AP,ROW(),$G$6)),INDEX($A:$AP,ROW(),$G$6),IFERROR(--SUBSTITUTE(SUBSTITUTE(TRIM(INDEX($A:$AP,ROW(),$G$6)),",",""),"원",""),0))))</f>
        <v/>
      </c>
      <c r="AV658" s="23">
        <f>IF($AS658="","",IF($H$6="",$AT658+$AU658,IF($H$6="",0,IF(ISNUMBER(INDEX($A:$AP,ROW(),$H$6)),INDEX($A:$AP,ROW(),$H$6),IFERROR(--SUBSTITUTE(SUBSTITUTE(TRIM(INDEX($A:$AP,ROW(),$H$6)),",",""),"원",""),0)))))</f>
        <v/>
      </c>
      <c r="AW658" s="2">
        <f>IF(OR($AS658="",$C$6=""),"",TRIM(INDEX($A:$AP,ROW(),$C$6)&amp;""))</f>
        <v/>
      </c>
      <c r="AX658" s="2">
        <f>IF($AS658="","",IF($AZ658&lt;&gt;"",SUBSTITUTE(SUBSTITUTE($AZ658,"-","")," ",""),$AY658))</f>
        <v/>
      </c>
      <c r="AY658" s="2">
        <f>IF(OR($AS658="",$E$6=""),"",TRIM(INDEX($A:$AP,ROW(),$E$6)&amp;""))</f>
        <v/>
      </c>
      <c r="AZ658" s="2">
        <f>IF(OR($AS658="",$D$6=""),"",TRIM(INDEX($A:$AP,ROW(),$D$6)&amp;""))</f>
        <v/>
      </c>
      <c r="BA658" s="2">
        <f>IF($AS658="","",IF(AND($AS658&gt;=설정!$B$10,$AS658&lt;=설정!$B$11),"포함","기간 밖"))</f>
        <v/>
      </c>
      <c r="BB658" s="2">
        <f>IF($AS658="","",IF(OR($AT658&lt;0,AND($I$6&lt;&gt;"",ISNUMBER(FIND("수정",INDEX($A:$AP,ROW(),IF($I$6="",1,$I$6))&amp;"")))),"수정","일반"))</f>
        <v/>
      </c>
      <c r="BC658" s="2">
        <f>IF($AS658="","",MID(IF($BA658="기간 밖"," / 기간 밖(신고기간 아님)","")&amp;IF(AND($AW658&lt;&gt;"",COUNTIF($AW$8:$AW$1007,$AW658)&gt;1)," / 승인번호 중복(두 번 붙여넣기?)","")&amp;IF(ABS($AU658-ROUND($AT658*0.1,0))&gt;설정!$B$8,IF($AU658=0," / 세액 0원(영세율·면세 여부 확인)"," / 세액이 공급가액 10%와 다름"),"")&amp;IF($BB658="수정"," / 수정세금계산서(합계에서 자동 가감)",""),4,200))</f>
        <v/>
      </c>
      <c r="BD658" s="2">
        <f>IF($BA658&lt;&gt;"포함","",IF(COUNTIFS($AX$8:$AX658,$AX658,$BA$8:$BA658,"포함")=1,MAX($BD$7:BD657)+1,""))</f>
        <v/>
      </c>
      <c r="BE658" s="2">
        <f>IF($BC658="","",MAX($BE$7:BE657)+1)</f>
        <v/>
      </c>
    </row>
    <row r="659">
      <c r="AR659" s="2">
        <f>IF(OR($A$5="",$B$6="",ROW()&lt;$A$5),"",IF(INDEX($A:$AP,ROW(),$B$6)="","",INDEX($A:$AP,ROW(),$B$6)))</f>
        <v/>
      </c>
      <c r="AS659" s="22">
        <f>IF($AR659="","",IF(ISNUMBER($AR659),IF($AR659&gt;=10000000,IFERROR(DATE(INT($AR659/10000),MOD(INT($AR659/100),100),MOD($AR659,100)),""),INT($AR659)),IFERROR(DATE(--LEFT(LEFT(SUBSTITUTE(SUBSTITUTE(SUBSTITUTE(SUBSTITUTE(TRIM($AR659),"-",""),".",""),"/","")," ",""),8),4),--MID(LEFT(SUBSTITUTE(SUBSTITUTE(SUBSTITUTE(SUBSTITUTE(TRIM($AR659),"-",""),".",""),"/","")," ",""),8),5,2),--MID(LEFT(SUBSTITUTE(SUBSTITUTE(SUBSTITUTE(SUBSTITUTE(TRIM($AR659),"-",""),".",""),"/","")," ",""),8),7,2)),"")))</f>
        <v/>
      </c>
      <c r="AT659" s="23">
        <f>IF($AS659="","",IF($F$6="",0,IF(ISNUMBER(INDEX($A:$AP,ROW(),$F$6)),INDEX($A:$AP,ROW(),$F$6),IFERROR(--SUBSTITUTE(SUBSTITUTE(TRIM(INDEX($A:$AP,ROW(),$F$6)),",",""),"원",""),0))))</f>
        <v/>
      </c>
      <c r="AU659" s="23">
        <f>IF($AS659="","",IF($G$6="",0,IF(ISNUMBER(INDEX($A:$AP,ROW(),$G$6)),INDEX($A:$AP,ROW(),$G$6),IFERROR(--SUBSTITUTE(SUBSTITUTE(TRIM(INDEX($A:$AP,ROW(),$G$6)),",",""),"원",""),0))))</f>
        <v/>
      </c>
      <c r="AV659" s="23">
        <f>IF($AS659="","",IF($H$6="",$AT659+$AU659,IF($H$6="",0,IF(ISNUMBER(INDEX($A:$AP,ROW(),$H$6)),INDEX($A:$AP,ROW(),$H$6),IFERROR(--SUBSTITUTE(SUBSTITUTE(TRIM(INDEX($A:$AP,ROW(),$H$6)),",",""),"원",""),0)))))</f>
        <v/>
      </c>
      <c r="AW659" s="2">
        <f>IF(OR($AS659="",$C$6=""),"",TRIM(INDEX($A:$AP,ROW(),$C$6)&amp;""))</f>
        <v/>
      </c>
      <c r="AX659" s="2">
        <f>IF($AS659="","",IF($AZ659&lt;&gt;"",SUBSTITUTE(SUBSTITUTE($AZ659,"-","")," ",""),$AY659))</f>
        <v/>
      </c>
      <c r="AY659" s="2">
        <f>IF(OR($AS659="",$E$6=""),"",TRIM(INDEX($A:$AP,ROW(),$E$6)&amp;""))</f>
        <v/>
      </c>
      <c r="AZ659" s="2">
        <f>IF(OR($AS659="",$D$6=""),"",TRIM(INDEX($A:$AP,ROW(),$D$6)&amp;""))</f>
        <v/>
      </c>
      <c r="BA659" s="2">
        <f>IF($AS659="","",IF(AND($AS659&gt;=설정!$B$10,$AS659&lt;=설정!$B$11),"포함","기간 밖"))</f>
        <v/>
      </c>
      <c r="BB659" s="2">
        <f>IF($AS659="","",IF(OR($AT659&lt;0,AND($I$6&lt;&gt;"",ISNUMBER(FIND("수정",INDEX($A:$AP,ROW(),IF($I$6="",1,$I$6))&amp;"")))),"수정","일반"))</f>
        <v/>
      </c>
      <c r="BC659" s="2">
        <f>IF($AS659="","",MID(IF($BA659="기간 밖"," / 기간 밖(신고기간 아님)","")&amp;IF(AND($AW659&lt;&gt;"",COUNTIF($AW$8:$AW$1007,$AW659)&gt;1)," / 승인번호 중복(두 번 붙여넣기?)","")&amp;IF(ABS($AU659-ROUND($AT659*0.1,0))&gt;설정!$B$8,IF($AU659=0," / 세액 0원(영세율·면세 여부 확인)"," / 세액이 공급가액 10%와 다름"),"")&amp;IF($BB659="수정"," / 수정세금계산서(합계에서 자동 가감)",""),4,200))</f>
        <v/>
      </c>
      <c r="BD659" s="2">
        <f>IF($BA659&lt;&gt;"포함","",IF(COUNTIFS($AX$8:$AX659,$AX659,$BA$8:$BA659,"포함")=1,MAX($BD$7:BD658)+1,""))</f>
        <v/>
      </c>
      <c r="BE659" s="2">
        <f>IF($BC659="","",MAX($BE$7:BE658)+1)</f>
        <v/>
      </c>
    </row>
    <row r="660">
      <c r="AR660" s="2">
        <f>IF(OR($A$5="",$B$6="",ROW()&lt;$A$5),"",IF(INDEX($A:$AP,ROW(),$B$6)="","",INDEX($A:$AP,ROW(),$B$6)))</f>
        <v/>
      </c>
      <c r="AS660" s="22">
        <f>IF($AR660="","",IF(ISNUMBER($AR660),IF($AR660&gt;=10000000,IFERROR(DATE(INT($AR660/10000),MOD(INT($AR660/100),100),MOD($AR660,100)),""),INT($AR660)),IFERROR(DATE(--LEFT(LEFT(SUBSTITUTE(SUBSTITUTE(SUBSTITUTE(SUBSTITUTE(TRIM($AR660),"-",""),".",""),"/","")," ",""),8),4),--MID(LEFT(SUBSTITUTE(SUBSTITUTE(SUBSTITUTE(SUBSTITUTE(TRIM($AR660),"-",""),".",""),"/","")," ",""),8),5,2),--MID(LEFT(SUBSTITUTE(SUBSTITUTE(SUBSTITUTE(SUBSTITUTE(TRIM($AR660),"-",""),".",""),"/","")," ",""),8),7,2)),"")))</f>
        <v/>
      </c>
      <c r="AT660" s="23">
        <f>IF($AS660="","",IF($F$6="",0,IF(ISNUMBER(INDEX($A:$AP,ROW(),$F$6)),INDEX($A:$AP,ROW(),$F$6),IFERROR(--SUBSTITUTE(SUBSTITUTE(TRIM(INDEX($A:$AP,ROW(),$F$6)),",",""),"원",""),0))))</f>
        <v/>
      </c>
      <c r="AU660" s="23">
        <f>IF($AS660="","",IF($G$6="",0,IF(ISNUMBER(INDEX($A:$AP,ROW(),$G$6)),INDEX($A:$AP,ROW(),$G$6),IFERROR(--SUBSTITUTE(SUBSTITUTE(TRIM(INDEX($A:$AP,ROW(),$G$6)),",",""),"원",""),0))))</f>
        <v/>
      </c>
      <c r="AV660" s="23">
        <f>IF($AS660="","",IF($H$6="",$AT660+$AU660,IF($H$6="",0,IF(ISNUMBER(INDEX($A:$AP,ROW(),$H$6)),INDEX($A:$AP,ROW(),$H$6),IFERROR(--SUBSTITUTE(SUBSTITUTE(TRIM(INDEX($A:$AP,ROW(),$H$6)),",",""),"원",""),0)))))</f>
        <v/>
      </c>
      <c r="AW660" s="2">
        <f>IF(OR($AS660="",$C$6=""),"",TRIM(INDEX($A:$AP,ROW(),$C$6)&amp;""))</f>
        <v/>
      </c>
      <c r="AX660" s="2">
        <f>IF($AS660="","",IF($AZ660&lt;&gt;"",SUBSTITUTE(SUBSTITUTE($AZ660,"-","")," ",""),$AY660))</f>
        <v/>
      </c>
      <c r="AY660" s="2">
        <f>IF(OR($AS660="",$E$6=""),"",TRIM(INDEX($A:$AP,ROW(),$E$6)&amp;""))</f>
        <v/>
      </c>
      <c r="AZ660" s="2">
        <f>IF(OR($AS660="",$D$6=""),"",TRIM(INDEX($A:$AP,ROW(),$D$6)&amp;""))</f>
        <v/>
      </c>
      <c r="BA660" s="2">
        <f>IF($AS660="","",IF(AND($AS660&gt;=설정!$B$10,$AS660&lt;=설정!$B$11),"포함","기간 밖"))</f>
        <v/>
      </c>
      <c r="BB660" s="2">
        <f>IF($AS660="","",IF(OR($AT660&lt;0,AND($I$6&lt;&gt;"",ISNUMBER(FIND("수정",INDEX($A:$AP,ROW(),IF($I$6="",1,$I$6))&amp;"")))),"수정","일반"))</f>
        <v/>
      </c>
      <c r="BC660" s="2">
        <f>IF($AS660="","",MID(IF($BA660="기간 밖"," / 기간 밖(신고기간 아님)","")&amp;IF(AND($AW660&lt;&gt;"",COUNTIF($AW$8:$AW$1007,$AW660)&gt;1)," / 승인번호 중복(두 번 붙여넣기?)","")&amp;IF(ABS($AU660-ROUND($AT660*0.1,0))&gt;설정!$B$8,IF($AU660=0," / 세액 0원(영세율·면세 여부 확인)"," / 세액이 공급가액 10%와 다름"),"")&amp;IF($BB660="수정"," / 수정세금계산서(합계에서 자동 가감)",""),4,200))</f>
        <v/>
      </c>
      <c r="BD660" s="2">
        <f>IF($BA660&lt;&gt;"포함","",IF(COUNTIFS($AX$8:$AX660,$AX660,$BA$8:$BA660,"포함")=1,MAX($BD$7:BD659)+1,""))</f>
        <v/>
      </c>
      <c r="BE660" s="2">
        <f>IF($BC660="","",MAX($BE$7:BE659)+1)</f>
        <v/>
      </c>
    </row>
    <row r="661">
      <c r="AR661" s="2">
        <f>IF(OR($A$5="",$B$6="",ROW()&lt;$A$5),"",IF(INDEX($A:$AP,ROW(),$B$6)="","",INDEX($A:$AP,ROW(),$B$6)))</f>
        <v/>
      </c>
      <c r="AS661" s="22">
        <f>IF($AR661="","",IF(ISNUMBER($AR661),IF($AR661&gt;=10000000,IFERROR(DATE(INT($AR661/10000),MOD(INT($AR661/100),100),MOD($AR661,100)),""),INT($AR661)),IFERROR(DATE(--LEFT(LEFT(SUBSTITUTE(SUBSTITUTE(SUBSTITUTE(SUBSTITUTE(TRIM($AR661),"-",""),".",""),"/","")," ",""),8),4),--MID(LEFT(SUBSTITUTE(SUBSTITUTE(SUBSTITUTE(SUBSTITUTE(TRIM($AR661),"-",""),".",""),"/","")," ",""),8),5,2),--MID(LEFT(SUBSTITUTE(SUBSTITUTE(SUBSTITUTE(SUBSTITUTE(TRIM($AR661),"-",""),".",""),"/","")," ",""),8),7,2)),"")))</f>
        <v/>
      </c>
      <c r="AT661" s="23">
        <f>IF($AS661="","",IF($F$6="",0,IF(ISNUMBER(INDEX($A:$AP,ROW(),$F$6)),INDEX($A:$AP,ROW(),$F$6),IFERROR(--SUBSTITUTE(SUBSTITUTE(TRIM(INDEX($A:$AP,ROW(),$F$6)),",",""),"원",""),0))))</f>
        <v/>
      </c>
      <c r="AU661" s="23">
        <f>IF($AS661="","",IF($G$6="",0,IF(ISNUMBER(INDEX($A:$AP,ROW(),$G$6)),INDEX($A:$AP,ROW(),$G$6),IFERROR(--SUBSTITUTE(SUBSTITUTE(TRIM(INDEX($A:$AP,ROW(),$G$6)),",",""),"원",""),0))))</f>
        <v/>
      </c>
      <c r="AV661" s="23">
        <f>IF($AS661="","",IF($H$6="",$AT661+$AU661,IF($H$6="",0,IF(ISNUMBER(INDEX($A:$AP,ROW(),$H$6)),INDEX($A:$AP,ROW(),$H$6),IFERROR(--SUBSTITUTE(SUBSTITUTE(TRIM(INDEX($A:$AP,ROW(),$H$6)),",",""),"원",""),0)))))</f>
        <v/>
      </c>
      <c r="AW661" s="2">
        <f>IF(OR($AS661="",$C$6=""),"",TRIM(INDEX($A:$AP,ROW(),$C$6)&amp;""))</f>
        <v/>
      </c>
      <c r="AX661" s="2">
        <f>IF($AS661="","",IF($AZ661&lt;&gt;"",SUBSTITUTE(SUBSTITUTE($AZ661,"-","")," ",""),$AY661))</f>
        <v/>
      </c>
      <c r="AY661" s="2">
        <f>IF(OR($AS661="",$E$6=""),"",TRIM(INDEX($A:$AP,ROW(),$E$6)&amp;""))</f>
        <v/>
      </c>
      <c r="AZ661" s="2">
        <f>IF(OR($AS661="",$D$6=""),"",TRIM(INDEX($A:$AP,ROW(),$D$6)&amp;""))</f>
        <v/>
      </c>
      <c r="BA661" s="2">
        <f>IF($AS661="","",IF(AND($AS661&gt;=설정!$B$10,$AS661&lt;=설정!$B$11),"포함","기간 밖"))</f>
        <v/>
      </c>
      <c r="BB661" s="2">
        <f>IF($AS661="","",IF(OR($AT661&lt;0,AND($I$6&lt;&gt;"",ISNUMBER(FIND("수정",INDEX($A:$AP,ROW(),IF($I$6="",1,$I$6))&amp;"")))),"수정","일반"))</f>
        <v/>
      </c>
      <c r="BC661" s="2">
        <f>IF($AS661="","",MID(IF($BA661="기간 밖"," / 기간 밖(신고기간 아님)","")&amp;IF(AND($AW661&lt;&gt;"",COUNTIF($AW$8:$AW$1007,$AW661)&gt;1)," / 승인번호 중복(두 번 붙여넣기?)","")&amp;IF(ABS($AU661-ROUND($AT661*0.1,0))&gt;설정!$B$8,IF($AU661=0," / 세액 0원(영세율·면세 여부 확인)"," / 세액이 공급가액 10%와 다름"),"")&amp;IF($BB661="수정"," / 수정세금계산서(합계에서 자동 가감)",""),4,200))</f>
        <v/>
      </c>
      <c r="BD661" s="2">
        <f>IF($BA661&lt;&gt;"포함","",IF(COUNTIFS($AX$8:$AX661,$AX661,$BA$8:$BA661,"포함")=1,MAX($BD$7:BD660)+1,""))</f>
        <v/>
      </c>
      <c r="BE661" s="2">
        <f>IF($BC661="","",MAX($BE$7:BE660)+1)</f>
        <v/>
      </c>
    </row>
    <row r="662">
      <c r="AR662" s="2">
        <f>IF(OR($A$5="",$B$6="",ROW()&lt;$A$5),"",IF(INDEX($A:$AP,ROW(),$B$6)="","",INDEX($A:$AP,ROW(),$B$6)))</f>
        <v/>
      </c>
      <c r="AS662" s="22">
        <f>IF($AR662="","",IF(ISNUMBER($AR662),IF($AR662&gt;=10000000,IFERROR(DATE(INT($AR662/10000),MOD(INT($AR662/100),100),MOD($AR662,100)),""),INT($AR662)),IFERROR(DATE(--LEFT(LEFT(SUBSTITUTE(SUBSTITUTE(SUBSTITUTE(SUBSTITUTE(TRIM($AR662),"-",""),".",""),"/","")," ",""),8),4),--MID(LEFT(SUBSTITUTE(SUBSTITUTE(SUBSTITUTE(SUBSTITUTE(TRIM($AR662),"-",""),".",""),"/","")," ",""),8),5,2),--MID(LEFT(SUBSTITUTE(SUBSTITUTE(SUBSTITUTE(SUBSTITUTE(TRIM($AR662),"-",""),".",""),"/","")," ",""),8),7,2)),"")))</f>
        <v/>
      </c>
      <c r="AT662" s="23">
        <f>IF($AS662="","",IF($F$6="",0,IF(ISNUMBER(INDEX($A:$AP,ROW(),$F$6)),INDEX($A:$AP,ROW(),$F$6),IFERROR(--SUBSTITUTE(SUBSTITUTE(TRIM(INDEX($A:$AP,ROW(),$F$6)),",",""),"원",""),0))))</f>
        <v/>
      </c>
      <c r="AU662" s="23">
        <f>IF($AS662="","",IF($G$6="",0,IF(ISNUMBER(INDEX($A:$AP,ROW(),$G$6)),INDEX($A:$AP,ROW(),$G$6),IFERROR(--SUBSTITUTE(SUBSTITUTE(TRIM(INDEX($A:$AP,ROW(),$G$6)),",",""),"원",""),0))))</f>
        <v/>
      </c>
      <c r="AV662" s="23">
        <f>IF($AS662="","",IF($H$6="",$AT662+$AU662,IF($H$6="",0,IF(ISNUMBER(INDEX($A:$AP,ROW(),$H$6)),INDEX($A:$AP,ROW(),$H$6),IFERROR(--SUBSTITUTE(SUBSTITUTE(TRIM(INDEX($A:$AP,ROW(),$H$6)),",",""),"원",""),0)))))</f>
        <v/>
      </c>
      <c r="AW662" s="2">
        <f>IF(OR($AS662="",$C$6=""),"",TRIM(INDEX($A:$AP,ROW(),$C$6)&amp;""))</f>
        <v/>
      </c>
      <c r="AX662" s="2">
        <f>IF($AS662="","",IF($AZ662&lt;&gt;"",SUBSTITUTE(SUBSTITUTE($AZ662,"-","")," ",""),$AY662))</f>
        <v/>
      </c>
      <c r="AY662" s="2">
        <f>IF(OR($AS662="",$E$6=""),"",TRIM(INDEX($A:$AP,ROW(),$E$6)&amp;""))</f>
        <v/>
      </c>
      <c r="AZ662" s="2">
        <f>IF(OR($AS662="",$D$6=""),"",TRIM(INDEX($A:$AP,ROW(),$D$6)&amp;""))</f>
        <v/>
      </c>
      <c r="BA662" s="2">
        <f>IF($AS662="","",IF(AND($AS662&gt;=설정!$B$10,$AS662&lt;=설정!$B$11),"포함","기간 밖"))</f>
        <v/>
      </c>
      <c r="BB662" s="2">
        <f>IF($AS662="","",IF(OR($AT662&lt;0,AND($I$6&lt;&gt;"",ISNUMBER(FIND("수정",INDEX($A:$AP,ROW(),IF($I$6="",1,$I$6))&amp;"")))),"수정","일반"))</f>
        <v/>
      </c>
      <c r="BC662" s="2">
        <f>IF($AS662="","",MID(IF($BA662="기간 밖"," / 기간 밖(신고기간 아님)","")&amp;IF(AND($AW662&lt;&gt;"",COUNTIF($AW$8:$AW$1007,$AW662)&gt;1)," / 승인번호 중복(두 번 붙여넣기?)","")&amp;IF(ABS($AU662-ROUND($AT662*0.1,0))&gt;설정!$B$8,IF($AU662=0," / 세액 0원(영세율·면세 여부 확인)"," / 세액이 공급가액 10%와 다름"),"")&amp;IF($BB662="수정"," / 수정세금계산서(합계에서 자동 가감)",""),4,200))</f>
        <v/>
      </c>
      <c r="BD662" s="2">
        <f>IF($BA662&lt;&gt;"포함","",IF(COUNTIFS($AX$8:$AX662,$AX662,$BA$8:$BA662,"포함")=1,MAX($BD$7:BD661)+1,""))</f>
        <v/>
      </c>
      <c r="BE662" s="2">
        <f>IF($BC662="","",MAX($BE$7:BE661)+1)</f>
        <v/>
      </c>
    </row>
    <row r="663">
      <c r="AR663" s="2">
        <f>IF(OR($A$5="",$B$6="",ROW()&lt;$A$5),"",IF(INDEX($A:$AP,ROW(),$B$6)="","",INDEX($A:$AP,ROW(),$B$6)))</f>
        <v/>
      </c>
      <c r="AS663" s="22">
        <f>IF($AR663="","",IF(ISNUMBER($AR663),IF($AR663&gt;=10000000,IFERROR(DATE(INT($AR663/10000),MOD(INT($AR663/100),100),MOD($AR663,100)),""),INT($AR663)),IFERROR(DATE(--LEFT(LEFT(SUBSTITUTE(SUBSTITUTE(SUBSTITUTE(SUBSTITUTE(TRIM($AR663),"-",""),".",""),"/","")," ",""),8),4),--MID(LEFT(SUBSTITUTE(SUBSTITUTE(SUBSTITUTE(SUBSTITUTE(TRIM($AR663),"-",""),".",""),"/","")," ",""),8),5,2),--MID(LEFT(SUBSTITUTE(SUBSTITUTE(SUBSTITUTE(SUBSTITUTE(TRIM($AR663),"-",""),".",""),"/","")," ",""),8),7,2)),"")))</f>
        <v/>
      </c>
      <c r="AT663" s="23">
        <f>IF($AS663="","",IF($F$6="",0,IF(ISNUMBER(INDEX($A:$AP,ROW(),$F$6)),INDEX($A:$AP,ROW(),$F$6),IFERROR(--SUBSTITUTE(SUBSTITUTE(TRIM(INDEX($A:$AP,ROW(),$F$6)),",",""),"원",""),0))))</f>
        <v/>
      </c>
      <c r="AU663" s="23">
        <f>IF($AS663="","",IF($G$6="",0,IF(ISNUMBER(INDEX($A:$AP,ROW(),$G$6)),INDEX($A:$AP,ROW(),$G$6),IFERROR(--SUBSTITUTE(SUBSTITUTE(TRIM(INDEX($A:$AP,ROW(),$G$6)),",",""),"원",""),0))))</f>
        <v/>
      </c>
      <c r="AV663" s="23">
        <f>IF($AS663="","",IF($H$6="",$AT663+$AU663,IF($H$6="",0,IF(ISNUMBER(INDEX($A:$AP,ROW(),$H$6)),INDEX($A:$AP,ROW(),$H$6),IFERROR(--SUBSTITUTE(SUBSTITUTE(TRIM(INDEX($A:$AP,ROW(),$H$6)),",",""),"원",""),0)))))</f>
        <v/>
      </c>
      <c r="AW663" s="2">
        <f>IF(OR($AS663="",$C$6=""),"",TRIM(INDEX($A:$AP,ROW(),$C$6)&amp;""))</f>
        <v/>
      </c>
      <c r="AX663" s="2">
        <f>IF($AS663="","",IF($AZ663&lt;&gt;"",SUBSTITUTE(SUBSTITUTE($AZ663,"-","")," ",""),$AY663))</f>
        <v/>
      </c>
      <c r="AY663" s="2">
        <f>IF(OR($AS663="",$E$6=""),"",TRIM(INDEX($A:$AP,ROW(),$E$6)&amp;""))</f>
        <v/>
      </c>
      <c r="AZ663" s="2">
        <f>IF(OR($AS663="",$D$6=""),"",TRIM(INDEX($A:$AP,ROW(),$D$6)&amp;""))</f>
        <v/>
      </c>
      <c r="BA663" s="2">
        <f>IF($AS663="","",IF(AND($AS663&gt;=설정!$B$10,$AS663&lt;=설정!$B$11),"포함","기간 밖"))</f>
        <v/>
      </c>
      <c r="BB663" s="2">
        <f>IF($AS663="","",IF(OR($AT663&lt;0,AND($I$6&lt;&gt;"",ISNUMBER(FIND("수정",INDEX($A:$AP,ROW(),IF($I$6="",1,$I$6))&amp;"")))),"수정","일반"))</f>
        <v/>
      </c>
      <c r="BC663" s="2">
        <f>IF($AS663="","",MID(IF($BA663="기간 밖"," / 기간 밖(신고기간 아님)","")&amp;IF(AND($AW663&lt;&gt;"",COUNTIF($AW$8:$AW$1007,$AW663)&gt;1)," / 승인번호 중복(두 번 붙여넣기?)","")&amp;IF(ABS($AU663-ROUND($AT663*0.1,0))&gt;설정!$B$8,IF($AU663=0," / 세액 0원(영세율·면세 여부 확인)"," / 세액이 공급가액 10%와 다름"),"")&amp;IF($BB663="수정"," / 수정세금계산서(합계에서 자동 가감)",""),4,200))</f>
        <v/>
      </c>
      <c r="BD663" s="2">
        <f>IF($BA663&lt;&gt;"포함","",IF(COUNTIFS($AX$8:$AX663,$AX663,$BA$8:$BA663,"포함")=1,MAX($BD$7:BD662)+1,""))</f>
        <v/>
      </c>
      <c r="BE663" s="2">
        <f>IF($BC663="","",MAX($BE$7:BE662)+1)</f>
        <v/>
      </c>
    </row>
    <row r="664">
      <c r="AR664" s="2">
        <f>IF(OR($A$5="",$B$6="",ROW()&lt;$A$5),"",IF(INDEX($A:$AP,ROW(),$B$6)="","",INDEX($A:$AP,ROW(),$B$6)))</f>
        <v/>
      </c>
      <c r="AS664" s="22">
        <f>IF($AR664="","",IF(ISNUMBER($AR664),IF($AR664&gt;=10000000,IFERROR(DATE(INT($AR664/10000),MOD(INT($AR664/100),100),MOD($AR664,100)),""),INT($AR664)),IFERROR(DATE(--LEFT(LEFT(SUBSTITUTE(SUBSTITUTE(SUBSTITUTE(SUBSTITUTE(TRIM($AR664),"-",""),".",""),"/","")," ",""),8),4),--MID(LEFT(SUBSTITUTE(SUBSTITUTE(SUBSTITUTE(SUBSTITUTE(TRIM($AR664),"-",""),".",""),"/","")," ",""),8),5,2),--MID(LEFT(SUBSTITUTE(SUBSTITUTE(SUBSTITUTE(SUBSTITUTE(TRIM($AR664),"-",""),".",""),"/","")," ",""),8),7,2)),"")))</f>
        <v/>
      </c>
      <c r="AT664" s="23">
        <f>IF($AS664="","",IF($F$6="",0,IF(ISNUMBER(INDEX($A:$AP,ROW(),$F$6)),INDEX($A:$AP,ROW(),$F$6),IFERROR(--SUBSTITUTE(SUBSTITUTE(TRIM(INDEX($A:$AP,ROW(),$F$6)),",",""),"원",""),0))))</f>
        <v/>
      </c>
      <c r="AU664" s="23">
        <f>IF($AS664="","",IF($G$6="",0,IF(ISNUMBER(INDEX($A:$AP,ROW(),$G$6)),INDEX($A:$AP,ROW(),$G$6),IFERROR(--SUBSTITUTE(SUBSTITUTE(TRIM(INDEX($A:$AP,ROW(),$G$6)),",",""),"원",""),0))))</f>
        <v/>
      </c>
      <c r="AV664" s="23">
        <f>IF($AS664="","",IF($H$6="",$AT664+$AU664,IF($H$6="",0,IF(ISNUMBER(INDEX($A:$AP,ROW(),$H$6)),INDEX($A:$AP,ROW(),$H$6),IFERROR(--SUBSTITUTE(SUBSTITUTE(TRIM(INDEX($A:$AP,ROW(),$H$6)),",",""),"원",""),0)))))</f>
        <v/>
      </c>
      <c r="AW664" s="2">
        <f>IF(OR($AS664="",$C$6=""),"",TRIM(INDEX($A:$AP,ROW(),$C$6)&amp;""))</f>
        <v/>
      </c>
      <c r="AX664" s="2">
        <f>IF($AS664="","",IF($AZ664&lt;&gt;"",SUBSTITUTE(SUBSTITUTE($AZ664,"-","")," ",""),$AY664))</f>
        <v/>
      </c>
      <c r="AY664" s="2">
        <f>IF(OR($AS664="",$E$6=""),"",TRIM(INDEX($A:$AP,ROW(),$E$6)&amp;""))</f>
        <v/>
      </c>
      <c r="AZ664" s="2">
        <f>IF(OR($AS664="",$D$6=""),"",TRIM(INDEX($A:$AP,ROW(),$D$6)&amp;""))</f>
        <v/>
      </c>
      <c r="BA664" s="2">
        <f>IF($AS664="","",IF(AND($AS664&gt;=설정!$B$10,$AS664&lt;=설정!$B$11),"포함","기간 밖"))</f>
        <v/>
      </c>
      <c r="BB664" s="2">
        <f>IF($AS664="","",IF(OR($AT664&lt;0,AND($I$6&lt;&gt;"",ISNUMBER(FIND("수정",INDEX($A:$AP,ROW(),IF($I$6="",1,$I$6))&amp;"")))),"수정","일반"))</f>
        <v/>
      </c>
      <c r="BC664" s="2">
        <f>IF($AS664="","",MID(IF($BA664="기간 밖"," / 기간 밖(신고기간 아님)","")&amp;IF(AND($AW664&lt;&gt;"",COUNTIF($AW$8:$AW$1007,$AW664)&gt;1)," / 승인번호 중복(두 번 붙여넣기?)","")&amp;IF(ABS($AU664-ROUND($AT664*0.1,0))&gt;설정!$B$8,IF($AU664=0," / 세액 0원(영세율·면세 여부 확인)"," / 세액이 공급가액 10%와 다름"),"")&amp;IF($BB664="수정"," / 수정세금계산서(합계에서 자동 가감)",""),4,200))</f>
        <v/>
      </c>
      <c r="BD664" s="2">
        <f>IF($BA664&lt;&gt;"포함","",IF(COUNTIFS($AX$8:$AX664,$AX664,$BA$8:$BA664,"포함")=1,MAX($BD$7:BD663)+1,""))</f>
        <v/>
      </c>
      <c r="BE664" s="2">
        <f>IF($BC664="","",MAX($BE$7:BE663)+1)</f>
        <v/>
      </c>
    </row>
    <row r="665">
      <c r="AR665" s="2">
        <f>IF(OR($A$5="",$B$6="",ROW()&lt;$A$5),"",IF(INDEX($A:$AP,ROW(),$B$6)="","",INDEX($A:$AP,ROW(),$B$6)))</f>
        <v/>
      </c>
      <c r="AS665" s="22">
        <f>IF($AR665="","",IF(ISNUMBER($AR665),IF($AR665&gt;=10000000,IFERROR(DATE(INT($AR665/10000),MOD(INT($AR665/100),100),MOD($AR665,100)),""),INT($AR665)),IFERROR(DATE(--LEFT(LEFT(SUBSTITUTE(SUBSTITUTE(SUBSTITUTE(SUBSTITUTE(TRIM($AR665),"-",""),".",""),"/","")," ",""),8),4),--MID(LEFT(SUBSTITUTE(SUBSTITUTE(SUBSTITUTE(SUBSTITUTE(TRIM($AR665),"-",""),".",""),"/","")," ",""),8),5,2),--MID(LEFT(SUBSTITUTE(SUBSTITUTE(SUBSTITUTE(SUBSTITUTE(TRIM($AR665),"-",""),".",""),"/","")," ",""),8),7,2)),"")))</f>
        <v/>
      </c>
      <c r="AT665" s="23">
        <f>IF($AS665="","",IF($F$6="",0,IF(ISNUMBER(INDEX($A:$AP,ROW(),$F$6)),INDEX($A:$AP,ROW(),$F$6),IFERROR(--SUBSTITUTE(SUBSTITUTE(TRIM(INDEX($A:$AP,ROW(),$F$6)),",",""),"원",""),0))))</f>
        <v/>
      </c>
      <c r="AU665" s="23">
        <f>IF($AS665="","",IF($G$6="",0,IF(ISNUMBER(INDEX($A:$AP,ROW(),$G$6)),INDEX($A:$AP,ROW(),$G$6),IFERROR(--SUBSTITUTE(SUBSTITUTE(TRIM(INDEX($A:$AP,ROW(),$G$6)),",",""),"원",""),0))))</f>
        <v/>
      </c>
      <c r="AV665" s="23">
        <f>IF($AS665="","",IF($H$6="",$AT665+$AU665,IF($H$6="",0,IF(ISNUMBER(INDEX($A:$AP,ROW(),$H$6)),INDEX($A:$AP,ROW(),$H$6),IFERROR(--SUBSTITUTE(SUBSTITUTE(TRIM(INDEX($A:$AP,ROW(),$H$6)),",",""),"원",""),0)))))</f>
        <v/>
      </c>
      <c r="AW665" s="2">
        <f>IF(OR($AS665="",$C$6=""),"",TRIM(INDEX($A:$AP,ROW(),$C$6)&amp;""))</f>
        <v/>
      </c>
      <c r="AX665" s="2">
        <f>IF($AS665="","",IF($AZ665&lt;&gt;"",SUBSTITUTE(SUBSTITUTE($AZ665,"-","")," ",""),$AY665))</f>
        <v/>
      </c>
      <c r="AY665" s="2">
        <f>IF(OR($AS665="",$E$6=""),"",TRIM(INDEX($A:$AP,ROW(),$E$6)&amp;""))</f>
        <v/>
      </c>
      <c r="AZ665" s="2">
        <f>IF(OR($AS665="",$D$6=""),"",TRIM(INDEX($A:$AP,ROW(),$D$6)&amp;""))</f>
        <v/>
      </c>
      <c r="BA665" s="2">
        <f>IF($AS665="","",IF(AND($AS665&gt;=설정!$B$10,$AS665&lt;=설정!$B$11),"포함","기간 밖"))</f>
        <v/>
      </c>
      <c r="BB665" s="2">
        <f>IF($AS665="","",IF(OR($AT665&lt;0,AND($I$6&lt;&gt;"",ISNUMBER(FIND("수정",INDEX($A:$AP,ROW(),IF($I$6="",1,$I$6))&amp;"")))),"수정","일반"))</f>
        <v/>
      </c>
      <c r="BC665" s="2">
        <f>IF($AS665="","",MID(IF($BA665="기간 밖"," / 기간 밖(신고기간 아님)","")&amp;IF(AND($AW665&lt;&gt;"",COUNTIF($AW$8:$AW$1007,$AW665)&gt;1)," / 승인번호 중복(두 번 붙여넣기?)","")&amp;IF(ABS($AU665-ROUND($AT665*0.1,0))&gt;설정!$B$8,IF($AU665=0," / 세액 0원(영세율·면세 여부 확인)"," / 세액이 공급가액 10%와 다름"),"")&amp;IF($BB665="수정"," / 수정세금계산서(합계에서 자동 가감)",""),4,200))</f>
        <v/>
      </c>
      <c r="BD665" s="2">
        <f>IF($BA665&lt;&gt;"포함","",IF(COUNTIFS($AX$8:$AX665,$AX665,$BA$8:$BA665,"포함")=1,MAX($BD$7:BD664)+1,""))</f>
        <v/>
      </c>
      <c r="BE665" s="2">
        <f>IF($BC665="","",MAX($BE$7:BE664)+1)</f>
        <v/>
      </c>
    </row>
    <row r="666">
      <c r="AR666" s="2">
        <f>IF(OR($A$5="",$B$6="",ROW()&lt;$A$5),"",IF(INDEX($A:$AP,ROW(),$B$6)="","",INDEX($A:$AP,ROW(),$B$6)))</f>
        <v/>
      </c>
      <c r="AS666" s="22">
        <f>IF($AR666="","",IF(ISNUMBER($AR666),IF($AR666&gt;=10000000,IFERROR(DATE(INT($AR666/10000),MOD(INT($AR666/100),100),MOD($AR666,100)),""),INT($AR666)),IFERROR(DATE(--LEFT(LEFT(SUBSTITUTE(SUBSTITUTE(SUBSTITUTE(SUBSTITUTE(TRIM($AR666),"-",""),".",""),"/","")," ",""),8),4),--MID(LEFT(SUBSTITUTE(SUBSTITUTE(SUBSTITUTE(SUBSTITUTE(TRIM($AR666),"-",""),".",""),"/","")," ",""),8),5,2),--MID(LEFT(SUBSTITUTE(SUBSTITUTE(SUBSTITUTE(SUBSTITUTE(TRIM($AR666),"-",""),".",""),"/","")," ",""),8),7,2)),"")))</f>
        <v/>
      </c>
      <c r="AT666" s="23">
        <f>IF($AS666="","",IF($F$6="",0,IF(ISNUMBER(INDEX($A:$AP,ROW(),$F$6)),INDEX($A:$AP,ROW(),$F$6),IFERROR(--SUBSTITUTE(SUBSTITUTE(TRIM(INDEX($A:$AP,ROW(),$F$6)),",",""),"원",""),0))))</f>
        <v/>
      </c>
      <c r="AU666" s="23">
        <f>IF($AS666="","",IF($G$6="",0,IF(ISNUMBER(INDEX($A:$AP,ROW(),$G$6)),INDEX($A:$AP,ROW(),$G$6),IFERROR(--SUBSTITUTE(SUBSTITUTE(TRIM(INDEX($A:$AP,ROW(),$G$6)),",",""),"원",""),0))))</f>
        <v/>
      </c>
      <c r="AV666" s="23">
        <f>IF($AS666="","",IF($H$6="",$AT666+$AU666,IF($H$6="",0,IF(ISNUMBER(INDEX($A:$AP,ROW(),$H$6)),INDEX($A:$AP,ROW(),$H$6),IFERROR(--SUBSTITUTE(SUBSTITUTE(TRIM(INDEX($A:$AP,ROW(),$H$6)),",",""),"원",""),0)))))</f>
        <v/>
      </c>
      <c r="AW666" s="2">
        <f>IF(OR($AS666="",$C$6=""),"",TRIM(INDEX($A:$AP,ROW(),$C$6)&amp;""))</f>
        <v/>
      </c>
      <c r="AX666" s="2">
        <f>IF($AS666="","",IF($AZ666&lt;&gt;"",SUBSTITUTE(SUBSTITUTE($AZ666,"-","")," ",""),$AY666))</f>
        <v/>
      </c>
      <c r="AY666" s="2">
        <f>IF(OR($AS666="",$E$6=""),"",TRIM(INDEX($A:$AP,ROW(),$E$6)&amp;""))</f>
        <v/>
      </c>
      <c r="AZ666" s="2">
        <f>IF(OR($AS666="",$D$6=""),"",TRIM(INDEX($A:$AP,ROW(),$D$6)&amp;""))</f>
        <v/>
      </c>
      <c r="BA666" s="2">
        <f>IF($AS666="","",IF(AND($AS666&gt;=설정!$B$10,$AS666&lt;=설정!$B$11),"포함","기간 밖"))</f>
        <v/>
      </c>
      <c r="BB666" s="2">
        <f>IF($AS666="","",IF(OR($AT666&lt;0,AND($I$6&lt;&gt;"",ISNUMBER(FIND("수정",INDEX($A:$AP,ROW(),IF($I$6="",1,$I$6))&amp;"")))),"수정","일반"))</f>
        <v/>
      </c>
      <c r="BC666" s="2">
        <f>IF($AS666="","",MID(IF($BA666="기간 밖"," / 기간 밖(신고기간 아님)","")&amp;IF(AND($AW666&lt;&gt;"",COUNTIF($AW$8:$AW$1007,$AW666)&gt;1)," / 승인번호 중복(두 번 붙여넣기?)","")&amp;IF(ABS($AU666-ROUND($AT666*0.1,0))&gt;설정!$B$8,IF($AU666=0," / 세액 0원(영세율·면세 여부 확인)"," / 세액이 공급가액 10%와 다름"),"")&amp;IF($BB666="수정"," / 수정세금계산서(합계에서 자동 가감)",""),4,200))</f>
        <v/>
      </c>
      <c r="BD666" s="2">
        <f>IF($BA666&lt;&gt;"포함","",IF(COUNTIFS($AX$8:$AX666,$AX666,$BA$8:$BA666,"포함")=1,MAX($BD$7:BD665)+1,""))</f>
        <v/>
      </c>
      <c r="BE666" s="2">
        <f>IF($BC666="","",MAX($BE$7:BE665)+1)</f>
        <v/>
      </c>
    </row>
    <row r="667">
      <c r="AR667" s="2">
        <f>IF(OR($A$5="",$B$6="",ROW()&lt;$A$5),"",IF(INDEX($A:$AP,ROW(),$B$6)="","",INDEX($A:$AP,ROW(),$B$6)))</f>
        <v/>
      </c>
      <c r="AS667" s="22">
        <f>IF($AR667="","",IF(ISNUMBER($AR667),IF($AR667&gt;=10000000,IFERROR(DATE(INT($AR667/10000),MOD(INT($AR667/100),100),MOD($AR667,100)),""),INT($AR667)),IFERROR(DATE(--LEFT(LEFT(SUBSTITUTE(SUBSTITUTE(SUBSTITUTE(SUBSTITUTE(TRIM($AR667),"-",""),".",""),"/","")," ",""),8),4),--MID(LEFT(SUBSTITUTE(SUBSTITUTE(SUBSTITUTE(SUBSTITUTE(TRIM($AR667),"-",""),".",""),"/","")," ",""),8),5,2),--MID(LEFT(SUBSTITUTE(SUBSTITUTE(SUBSTITUTE(SUBSTITUTE(TRIM($AR667),"-",""),".",""),"/","")," ",""),8),7,2)),"")))</f>
        <v/>
      </c>
      <c r="AT667" s="23">
        <f>IF($AS667="","",IF($F$6="",0,IF(ISNUMBER(INDEX($A:$AP,ROW(),$F$6)),INDEX($A:$AP,ROW(),$F$6),IFERROR(--SUBSTITUTE(SUBSTITUTE(TRIM(INDEX($A:$AP,ROW(),$F$6)),",",""),"원",""),0))))</f>
        <v/>
      </c>
      <c r="AU667" s="23">
        <f>IF($AS667="","",IF($G$6="",0,IF(ISNUMBER(INDEX($A:$AP,ROW(),$G$6)),INDEX($A:$AP,ROW(),$G$6),IFERROR(--SUBSTITUTE(SUBSTITUTE(TRIM(INDEX($A:$AP,ROW(),$G$6)),",",""),"원",""),0))))</f>
        <v/>
      </c>
      <c r="AV667" s="23">
        <f>IF($AS667="","",IF($H$6="",$AT667+$AU667,IF($H$6="",0,IF(ISNUMBER(INDEX($A:$AP,ROW(),$H$6)),INDEX($A:$AP,ROW(),$H$6),IFERROR(--SUBSTITUTE(SUBSTITUTE(TRIM(INDEX($A:$AP,ROW(),$H$6)),",",""),"원",""),0)))))</f>
        <v/>
      </c>
      <c r="AW667" s="2">
        <f>IF(OR($AS667="",$C$6=""),"",TRIM(INDEX($A:$AP,ROW(),$C$6)&amp;""))</f>
        <v/>
      </c>
      <c r="AX667" s="2">
        <f>IF($AS667="","",IF($AZ667&lt;&gt;"",SUBSTITUTE(SUBSTITUTE($AZ667,"-","")," ",""),$AY667))</f>
        <v/>
      </c>
      <c r="AY667" s="2">
        <f>IF(OR($AS667="",$E$6=""),"",TRIM(INDEX($A:$AP,ROW(),$E$6)&amp;""))</f>
        <v/>
      </c>
      <c r="AZ667" s="2">
        <f>IF(OR($AS667="",$D$6=""),"",TRIM(INDEX($A:$AP,ROW(),$D$6)&amp;""))</f>
        <v/>
      </c>
      <c r="BA667" s="2">
        <f>IF($AS667="","",IF(AND($AS667&gt;=설정!$B$10,$AS667&lt;=설정!$B$11),"포함","기간 밖"))</f>
        <v/>
      </c>
      <c r="BB667" s="2">
        <f>IF($AS667="","",IF(OR($AT667&lt;0,AND($I$6&lt;&gt;"",ISNUMBER(FIND("수정",INDEX($A:$AP,ROW(),IF($I$6="",1,$I$6))&amp;"")))),"수정","일반"))</f>
        <v/>
      </c>
      <c r="BC667" s="2">
        <f>IF($AS667="","",MID(IF($BA667="기간 밖"," / 기간 밖(신고기간 아님)","")&amp;IF(AND($AW667&lt;&gt;"",COUNTIF($AW$8:$AW$1007,$AW667)&gt;1)," / 승인번호 중복(두 번 붙여넣기?)","")&amp;IF(ABS($AU667-ROUND($AT667*0.1,0))&gt;설정!$B$8,IF($AU667=0," / 세액 0원(영세율·면세 여부 확인)"," / 세액이 공급가액 10%와 다름"),"")&amp;IF($BB667="수정"," / 수정세금계산서(합계에서 자동 가감)",""),4,200))</f>
        <v/>
      </c>
      <c r="BD667" s="2">
        <f>IF($BA667&lt;&gt;"포함","",IF(COUNTIFS($AX$8:$AX667,$AX667,$BA$8:$BA667,"포함")=1,MAX($BD$7:BD666)+1,""))</f>
        <v/>
      </c>
      <c r="BE667" s="2">
        <f>IF($BC667="","",MAX($BE$7:BE666)+1)</f>
        <v/>
      </c>
    </row>
    <row r="668">
      <c r="AR668" s="2">
        <f>IF(OR($A$5="",$B$6="",ROW()&lt;$A$5),"",IF(INDEX($A:$AP,ROW(),$B$6)="","",INDEX($A:$AP,ROW(),$B$6)))</f>
        <v/>
      </c>
      <c r="AS668" s="22">
        <f>IF($AR668="","",IF(ISNUMBER($AR668),IF($AR668&gt;=10000000,IFERROR(DATE(INT($AR668/10000),MOD(INT($AR668/100),100),MOD($AR668,100)),""),INT($AR668)),IFERROR(DATE(--LEFT(LEFT(SUBSTITUTE(SUBSTITUTE(SUBSTITUTE(SUBSTITUTE(TRIM($AR668),"-",""),".",""),"/","")," ",""),8),4),--MID(LEFT(SUBSTITUTE(SUBSTITUTE(SUBSTITUTE(SUBSTITUTE(TRIM($AR668),"-",""),".",""),"/","")," ",""),8),5,2),--MID(LEFT(SUBSTITUTE(SUBSTITUTE(SUBSTITUTE(SUBSTITUTE(TRIM($AR668),"-",""),".",""),"/","")," ",""),8),7,2)),"")))</f>
        <v/>
      </c>
      <c r="AT668" s="23">
        <f>IF($AS668="","",IF($F$6="",0,IF(ISNUMBER(INDEX($A:$AP,ROW(),$F$6)),INDEX($A:$AP,ROW(),$F$6),IFERROR(--SUBSTITUTE(SUBSTITUTE(TRIM(INDEX($A:$AP,ROW(),$F$6)),",",""),"원",""),0))))</f>
        <v/>
      </c>
      <c r="AU668" s="23">
        <f>IF($AS668="","",IF($G$6="",0,IF(ISNUMBER(INDEX($A:$AP,ROW(),$G$6)),INDEX($A:$AP,ROW(),$G$6),IFERROR(--SUBSTITUTE(SUBSTITUTE(TRIM(INDEX($A:$AP,ROW(),$G$6)),",",""),"원",""),0))))</f>
        <v/>
      </c>
      <c r="AV668" s="23">
        <f>IF($AS668="","",IF($H$6="",$AT668+$AU668,IF($H$6="",0,IF(ISNUMBER(INDEX($A:$AP,ROW(),$H$6)),INDEX($A:$AP,ROW(),$H$6),IFERROR(--SUBSTITUTE(SUBSTITUTE(TRIM(INDEX($A:$AP,ROW(),$H$6)),",",""),"원",""),0)))))</f>
        <v/>
      </c>
      <c r="AW668" s="2">
        <f>IF(OR($AS668="",$C$6=""),"",TRIM(INDEX($A:$AP,ROW(),$C$6)&amp;""))</f>
        <v/>
      </c>
      <c r="AX668" s="2">
        <f>IF($AS668="","",IF($AZ668&lt;&gt;"",SUBSTITUTE(SUBSTITUTE($AZ668,"-","")," ",""),$AY668))</f>
        <v/>
      </c>
      <c r="AY668" s="2">
        <f>IF(OR($AS668="",$E$6=""),"",TRIM(INDEX($A:$AP,ROW(),$E$6)&amp;""))</f>
        <v/>
      </c>
      <c r="AZ668" s="2">
        <f>IF(OR($AS668="",$D$6=""),"",TRIM(INDEX($A:$AP,ROW(),$D$6)&amp;""))</f>
        <v/>
      </c>
      <c r="BA668" s="2">
        <f>IF($AS668="","",IF(AND($AS668&gt;=설정!$B$10,$AS668&lt;=설정!$B$11),"포함","기간 밖"))</f>
        <v/>
      </c>
      <c r="BB668" s="2">
        <f>IF($AS668="","",IF(OR($AT668&lt;0,AND($I$6&lt;&gt;"",ISNUMBER(FIND("수정",INDEX($A:$AP,ROW(),IF($I$6="",1,$I$6))&amp;"")))),"수정","일반"))</f>
        <v/>
      </c>
      <c r="BC668" s="2">
        <f>IF($AS668="","",MID(IF($BA668="기간 밖"," / 기간 밖(신고기간 아님)","")&amp;IF(AND($AW668&lt;&gt;"",COUNTIF($AW$8:$AW$1007,$AW668)&gt;1)," / 승인번호 중복(두 번 붙여넣기?)","")&amp;IF(ABS($AU668-ROUND($AT668*0.1,0))&gt;설정!$B$8,IF($AU668=0," / 세액 0원(영세율·면세 여부 확인)"," / 세액이 공급가액 10%와 다름"),"")&amp;IF($BB668="수정"," / 수정세금계산서(합계에서 자동 가감)",""),4,200))</f>
        <v/>
      </c>
      <c r="BD668" s="2">
        <f>IF($BA668&lt;&gt;"포함","",IF(COUNTIFS($AX$8:$AX668,$AX668,$BA$8:$BA668,"포함")=1,MAX($BD$7:BD667)+1,""))</f>
        <v/>
      </c>
      <c r="BE668" s="2">
        <f>IF($BC668="","",MAX($BE$7:BE667)+1)</f>
        <v/>
      </c>
    </row>
    <row r="669">
      <c r="AR669" s="2">
        <f>IF(OR($A$5="",$B$6="",ROW()&lt;$A$5),"",IF(INDEX($A:$AP,ROW(),$B$6)="","",INDEX($A:$AP,ROW(),$B$6)))</f>
        <v/>
      </c>
      <c r="AS669" s="22">
        <f>IF($AR669="","",IF(ISNUMBER($AR669),IF($AR669&gt;=10000000,IFERROR(DATE(INT($AR669/10000),MOD(INT($AR669/100),100),MOD($AR669,100)),""),INT($AR669)),IFERROR(DATE(--LEFT(LEFT(SUBSTITUTE(SUBSTITUTE(SUBSTITUTE(SUBSTITUTE(TRIM($AR669),"-",""),".",""),"/","")," ",""),8),4),--MID(LEFT(SUBSTITUTE(SUBSTITUTE(SUBSTITUTE(SUBSTITUTE(TRIM($AR669),"-",""),".",""),"/","")," ",""),8),5,2),--MID(LEFT(SUBSTITUTE(SUBSTITUTE(SUBSTITUTE(SUBSTITUTE(TRIM($AR669),"-",""),".",""),"/","")," ",""),8),7,2)),"")))</f>
        <v/>
      </c>
      <c r="AT669" s="23">
        <f>IF($AS669="","",IF($F$6="",0,IF(ISNUMBER(INDEX($A:$AP,ROW(),$F$6)),INDEX($A:$AP,ROW(),$F$6),IFERROR(--SUBSTITUTE(SUBSTITUTE(TRIM(INDEX($A:$AP,ROW(),$F$6)),",",""),"원",""),0))))</f>
        <v/>
      </c>
      <c r="AU669" s="23">
        <f>IF($AS669="","",IF($G$6="",0,IF(ISNUMBER(INDEX($A:$AP,ROW(),$G$6)),INDEX($A:$AP,ROW(),$G$6),IFERROR(--SUBSTITUTE(SUBSTITUTE(TRIM(INDEX($A:$AP,ROW(),$G$6)),",",""),"원",""),0))))</f>
        <v/>
      </c>
      <c r="AV669" s="23">
        <f>IF($AS669="","",IF($H$6="",$AT669+$AU669,IF($H$6="",0,IF(ISNUMBER(INDEX($A:$AP,ROW(),$H$6)),INDEX($A:$AP,ROW(),$H$6),IFERROR(--SUBSTITUTE(SUBSTITUTE(TRIM(INDEX($A:$AP,ROW(),$H$6)),",",""),"원",""),0)))))</f>
        <v/>
      </c>
      <c r="AW669" s="2">
        <f>IF(OR($AS669="",$C$6=""),"",TRIM(INDEX($A:$AP,ROW(),$C$6)&amp;""))</f>
        <v/>
      </c>
      <c r="AX669" s="2">
        <f>IF($AS669="","",IF($AZ669&lt;&gt;"",SUBSTITUTE(SUBSTITUTE($AZ669,"-","")," ",""),$AY669))</f>
        <v/>
      </c>
      <c r="AY669" s="2">
        <f>IF(OR($AS669="",$E$6=""),"",TRIM(INDEX($A:$AP,ROW(),$E$6)&amp;""))</f>
        <v/>
      </c>
      <c r="AZ669" s="2">
        <f>IF(OR($AS669="",$D$6=""),"",TRIM(INDEX($A:$AP,ROW(),$D$6)&amp;""))</f>
        <v/>
      </c>
      <c r="BA669" s="2">
        <f>IF($AS669="","",IF(AND($AS669&gt;=설정!$B$10,$AS669&lt;=설정!$B$11),"포함","기간 밖"))</f>
        <v/>
      </c>
      <c r="BB669" s="2">
        <f>IF($AS669="","",IF(OR($AT669&lt;0,AND($I$6&lt;&gt;"",ISNUMBER(FIND("수정",INDEX($A:$AP,ROW(),IF($I$6="",1,$I$6))&amp;"")))),"수정","일반"))</f>
        <v/>
      </c>
      <c r="BC669" s="2">
        <f>IF($AS669="","",MID(IF($BA669="기간 밖"," / 기간 밖(신고기간 아님)","")&amp;IF(AND($AW669&lt;&gt;"",COUNTIF($AW$8:$AW$1007,$AW669)&gt;1)," / 승인번호 중복(두 번 붙여넣기?)","")&amp;IF(ABS($AU669-ROUND($AT669*0.1,0))&gt;설정!$B$8,IF($AU669=0," / 세액 0원(영세율·면세 여부 확인)"," / 세액이 공급가액 10%와 다름"),"")&amp;IF($BB669="수정"," / 수정세금계산서(합계에서 자동 가감)",""),4,200))</f>
        <v/>
      </c>
      <c r="BD669" s="2">
        <f>IF($BA669&lt;&gt;"포함","",IF(COUNTIFS($AX$8:$AX669,$AX669,$BA$8:$BA669,"포함")=1,MAX($BD$7:BD668)+1,""))</f>
        <v/>
      </c>
      <c r="BE669" s="2">
        <f>IF($BC669="","",MAX($BE$7:BE668)+1)</f>
        <v/>
      </c>
    </row>
    <row r="670">
      <c r="AR670" s="2">
        <f>IF(OR($A$5="",$B$6="",ROW()&lt;$A$5),"",IF(INDEX($A:$AP,ROW(),$B$6)="","",INDEX($A:$AP,ROW(),$B$6)))</f>
        <v/>
      </c>
      <c r="AS670" s="22">
        <f>IF($AR670="","",IF(ISNUMBER($AR670),IF($AR670&gt;=10000000,IFERROR(DATE(INT($AR670/10000),MOD(INT($AR670/100),100),MOD($AR670,100)),""),INT($AR670)),IFERROR(DATE(--LEFT(LEFT(SUBSTITUTE(SUBSTITUTE(SUBSTITUTE(SUBSTITUTE(TRIM($AR670),"-",""),".",""),"/","")," ",""),8),4),--MID(LEFT(SUBSTITUTE(SUBSTITUTE(SUBSTITUTE(SUBSTITUTE(TRIM($AR670),"-",""),".",""),"/","")," ",""),8),5,2),--MID(LEFT(SUBSTITUTE(SUBSTITUTE(SUBSTITUTE(SUBSTITUTE(TRIM($AR670),"-",""),".",""),"/","")," ",""),8),7,2)),"")))</f>
        <v/>
      </c>
      <c r="AT670" s="23">
        <f>IF($AS670="","",IF($F$6="",0,IF(ISNUMBER(INDEX($A:$AP,ROW(),$F$6)),INDEX($A:$AP,ROW(),$F$6),IFERROR(--SUBSTITUTE(SUBSTITUTE(TRIM(INDEX($A:$AP,ROW(),$F$6)),",",""),"원",""),0))))</f>
        <v/>
      </c>
      <c r="AU670" s="23">
        <f>IF($AS670="","",IF($G$6="",0,IF(ISNUMBER(INDEX($A:$AP,ROW(),$G$6)),INDEX($A:$AP,ROW(),$G$6),IFERROR(--SUBSTITUTE(SUBSTITUTE(TRIM(INDEX($A:$AP,ROW(),$G$6)),",",""),"원",""),0))))</f>
        <v/>
      </c>
      <c r="AV670" s="23">
        <f>IF($AS670="","",IF($H$6="",$AT670+$AU670,IF($H$6="",0,IF(ISNUMBER(INDEX($A:$AP,ROW(),$H$6)),INDEX($A:$AP,ROW(),$H$6),IFERROR(--SUBSTITUTE(SUBSTITUTE(TRIM(INDEX($A:$AP,ROW(),$H$6)),",",""),"원",""),0)))))</f>
        <v/>
      </c>
      <c r="AW670" s="2">
        <f>IF(OR($AS670="",$C$6=""),"",TRIM(INDEX($A:$AP,ROW(),$C$6)&amp;""))</f>
        <v/>
      </c>
      <c r="AX670" s="2">
        <f>IF($AS670="","",IF($AZ670&lt;&gt;"",SUBSTITUTE(SUBSTITUTE($AZ670,"-","")," ",""),$AY670))</f>
        <v/>
      </c>
      <c r="AY670" s="2">
        <f>IF(OR($AS670="",$E$6=""),"",TRIM(INDEX($A:$AP,ROW(),$E$6)&amp;""))</f>
        <v/>
      </c>
      <c r="AZ670" s="2">
        <f>IF(OR($AS670="",$D$6=""),"",TRIM(INDEX($A:$AP,ROW(),$D$6)&amp;""))</f>
        <v/>
      </c>
      <c r="BA670" s="2">
        <f>IF($AS670="","",IF(AND($AS670&gt;=설정!$B$10,$AS670&lt;=설정!$B$11),"포함","기간 밖"))</f>
        <v/>
      </c>
      <c r="BB670" s="2">
        <f>IF($AS670="","",IF(OR($AT670&lt;0,AND($I$6&lt;&gt;"",ISNUMBER(FIND("수정",INDEX($A:$AP,ROW(),IF($I$6="",1,$I$6))&amp;"")))),"수정","일반"))</f>
        <v/>
      </c>
      <c r="BC670" s="2">
        <f>IF($AS670="","",MID(IF($BA670="기간 밖"," / 기간 밖(신고기간 아님)","")&amp;IF(AND($AW670&lt;&gt;"",COUNTIF($AW$8:$AW$1007,$AW670)&gt;1)," / 승인번호 중복(두 번 붙여넣기?)","")&amp;IF(ABS($AU670-ROUND($AT670*0.1,0))&gt;설정!$B$8,IF($AU670=0," / 세액 0원(영세율·면세 여부 확인)"," / 세액이 공급가액 10%와 다름"),"")&amp;IF($BB670="수정"," / 수정세금계산서(합계에서 자동 가감)",""),4,200))</f>
        <v/>
      </c>
      <c r="BD670" s="2">
        <f>IF($BA670&lt;&gt;"포함","",IF(COUNTIFS($AX$8:$AX670,$AX670,$BA$8:$BA670,"포함")=1,MAX($BD$7:BD669)+1,""))</f>
        <v/>
      </c>
      <c r="BE670" s="2">
        <f>IF($BC670="","",MAX($BE$7:BE669)+1)</f>
        <v/>
      </c>
    </row>
    <row r="671">
      <c r="AR671" s="2">
        <f>IF(OR($A$5="",$B$6="",ROW()&lt;$A$5),"",IF(INDEX($A:$AP,ROW(),$B$6)="","",INDEX($A:$AP,ROW(),$B$6)))</f>
        <v/>
      </c>
      <c r="AS671" s="22">
        <f>IF($AR671="","",IF(ISNUMBER($AR671),IF($AR671&gt;=10000000,IFERROR(DATE(INT($AR671/10000),MOD(INT($AR671/100),100),MOD($AR671,100)),""),INT($AR671)),IFERROR(DATE(--LEFT(LEFT(SUBSTITUTE(SUBSTITUTE(SUBSTITUTE(SUBSTITUTE(TRIM($AR671),"-",""),".",""),"/","")," ",""),8),4),--MID(LEFT(SUBSTITUTE(SUBSTITUTE(SUBSTITUTE(SUBSTITUTE(TRIM($AR671),"-",""),".",""),"/","")," ",""),8),5,2),--MID(LEFT(SUBSTITUTE(SUBSTITUTE(SUBSTITUTE(SUBSTITUTE(TRIM($AR671),"-",""),".",""),"/","")," ",""),8),7,2)),"")))</f>
        <v/>
      </c>
      <c r="AT671" s="23">
        <f>IF($AS671="","",IF($F$6="",0,IF(ISNUMBER(INDEX($A:$AP,ROW(),$F$6)),INDEX($A:$AP,ROW(),$F$6),IFERROR(--SUBSTITUTE(SUBSTITUTE(TRIM(INDEX($A:$AP,ROW(),$F$6)),",",""),"원",""),0))))</f>
        <v/>
      </c>
      <c r="AU671" s="23">
        <f>IF($AS671="","",IF($G$6="",0,IF(ISNUMBER(INDEX($A:$AP,ROW(),$G$6)),INDEX($A:$AP,ROW(),$G$6),IFERROR(--SUBSTITUTE(SUBSTITUTE(TRIM(INDEX($A:$AP,ROW(),$G$6)),",",""),"원",""),0))))</f>
        <v/>
      </c>
      <c r="AV671" s="23">
        <f>IF($AS671="","",IF($H$6="",$AT671+$AU671,IF($H$6="",0,IF(ISNUMBER(INDEX($A:$AP,ROW(),$H$6)),INDEX($A:$AP,ROW(),$H$6),IFERROR(--SUBSTITUTE(SUBSTITUTE(TRIM(INDEX($A:$AP,ROW(),$H$6)),",",""),"원",""),0)))))</f>
        <v/>
      </c>
      <c r="AW671" s="2">
        <f>IF(OR($AS671="",$C$6=""),"",TRIM(INDEX($A:$AP,ROW(),$C$6)&amp;""))</f>
        <v/>
      </c>
      <c r="AX671" s="2">
        <f>IF($AS671="","",IF($AZ671&lt;&gt;"",SUBSTITUTE(SUBSTITUTE($AZ671,"-","")," ",""),$AY671))</f>
        <v/>
      </c>
      <c r="AY671" s="2">
        <f>IF(OR($AS671="",$E$6=""),"",TRIM(INDEX($A:$AP,ROW(),$E$6)&amp;""))</f>
        <v/>
      </c>
      <c r="AZ671" s="2">
        <f>IF(OR($AS671="",$D$6=""),"",TRIM(INDEX($A:$AP,ROW(),$D$6)&amp;""))</f>
        <v/>
      </c>
      <c r="BA671" s="2">
        <f>IF($AS671="","",IF(AND($AS671&gt;=설정!$B$10,$AS671&lt;=설정!$B$11),"포함","기간 밖"))</f>
        <v/>
      </c>
      <c r="BB671" s="2">
        <f>IF($AS671="","",IF(OR($AT671&lt;0,AND($I$6&lt;&gt;"",ISNUMBER(FIND("수정",INDEX($A:$AP,ROW(),IF($I$6="",1,$I$6))&amp;"")))),"수정","일반"))</f>
        <v/>
      </c>
      <c r="BC671" s="2">
        <f>IF($AS671="","",MID(IF($BA671="기간 밖"," / 기간 밖(신고기간 아님)","")&amp;IF(AND($AW671&lt;&gt;"",COUNTIF($AW$8:$AW$1007,$AW671)&gt;1)," / 승인번호 중복(두 번 붙여넣기?)","")&amp;IF(ABS($AU671-ROUND($AT671*0.1,0))&gt;설정!$B$8,IF($AU671=0," / 세액 0원(영세율·면세 여부 확인)"," / 세액이 공급가액 10%와 다름"),"")&amp;IF($BB671="수정"," / 수정세금계산서(합계에서 자동 가감)",""),4,200))</f>
        <v/>
      </c>
      <c r="BD671" s="2">
        <f>IF($BA671&lt;&gt;"포함","",IF(COUNTIFS($AX$8:$AX671,$AX671,$BA$8:$BA671,"포함")=1,MAX($BD$7:BD670)+1,""))</f>
        <v/>
      </c>
      <c r="BE671" s="2">
        <f>IF($BC671="","",MAX($BE$7:BE670)+1)</f>
        <v/>
      </c>
    </row>
    <row r="672">
      <c r="AR672" s="2">
        <f>IF(OR($A$5="",$B$6="",ROW()&lt;$A$5),"",IF(INDEX($A:$AP,ROW(),$B$6)="","",INDEX($A:$AP,ROW(),$B$6)))</f>
        <v/>
      </c>
      <c r="AS672" s="22">
        <f>IF($AR672="","",IF(ISNUMBER($AR672),IF($AR672&gt;=10000000,IFERROR(DATE(INT($AR672/10000),MOD(INT($AR672/100),100),MOD($AR672,100)),""),INT($AR672)),IFERROR(DATE(--LEFT(LEFT(SUBSTITUTE(SUBSTITUTE(SUBSTITUTE(SUBSTITUTE(TRIM($AR672),"-",""),".",""),"/","")," ",""),8),4),--MID(LEFT(SUBSTITUTE(SUBSTITUTE(SUBSTITUTE(SUBSTITUTE(TRIM($AR672),"-",""),".",""),"/","")," ",""),8),5,2),--MID(LEFT(SUBSTITUTE(SUBSTITUTE(SUBSTITUTE(SUBSTITUTE(TRIM($AR672),"-",""),".",""),"/","")," ",""),8),7,2)),"")))</f>
        <v/>
      </c>
      <c r="AT672" s="23">
        <f>IF($AS672="","",IF($F$6="",0,IF(ISNUMBER(INDEX($A:$AP,ROW(),$F$6)),INDEX($A:$AP,ROW(),$F$6),IFERROR(--SUBSTITUTE(SUBSTITUTE(TRIM(INDEX($A:$AP,ROW(),$F$6)),",",""),"원",""),0))))</f>
        <v/>
      </c>
      <c r="AU672" s="23">
        <f>IF($AS672="","",IF($G$6="",0,IF(ISNUMBER(INDEX($A:$AP,ROW(),$G$6)),INDEX($A:$AP,ROW(),$G$6),IFERROR(--SUBSTITUTE(SUBSTITUTE(TRIM(INDEX($A:$AP,ROW(),$G$6)),",",""),"원",""),0))))</f>
        <v/>
      </c>
      <c r="AV672" s="23">
        <f>IF($AS672="","",IF($H$6="",$AT672+$AU672,IF($H$6="",0,IF(ISNUMBER(INDEX($A:$AP,ROW(),$H$6)),INDEX($A:$AP,ROW(),$H$6),IFERROR(--SUBSTITUTE(SUBSTITUTE(TRIM(INDEX($A:$AP,ROW(),$H$6)),",",""),"원",""),0)))))</f>
        <v/>
      </c>
      <c r="AW672" s="2">
        <f>IF(OR($AS672="",$C$6=""),"",TRIM(INDEX($A:$AP,ROW(),$C$6)&amp;""))</f>
        <v/>
      </c>
      <c r="AX672" s="2">
        <f>IF($AS672="","",IF($AZ672&lt;&gt;"",SUBSTITUTE(SUBSTITUTE($AZ672,"-","")," ",""),$AY672))</f>
        <v/>
      </c>
      <c r="AY672" s="2">
        <f>IF(OR($AS672="",$E$6=""),"",TRIM(INDEX($A:$AP,ROW(),$E$6)&amp;""))</f>
        <v/>
      </c>
      <c r="AZ672" s="2">
        <f>IF(OR($AS672="",$D$6=""),"",TRIM(INDEX($A:$AP,ROW(),$D$6)&amp;""))</f>
        <v/>
      </c>
      <c r="BA672" s="2">
        <f>IF($AS672="","",IF(AND($AS672&gt;=설정!$B$10,$AS672&lt;=설정!$B$11),"포함","기간 밖"))</f>
        <v/>
      </c>
      <c r="BB672" s="2">
        <f>IF($AS672="","",IF(OR($AT672&lt;0,AND($I$6&lt;&gt;"",ISNUMBER(FIND("수정",INDEX($A:$AP,ROW(),IF($I$6="",1,$I$6))&amp;"")))),"수정","일반"))</f>
        <v/>
      </c>
      <c r="BC672" s="2">
        <f>IF($AS672="","",MID(IF($BA672="기간 밖"," / 기간 밖(신고기간 아님)","")&amp;IF(AND($AW672&lt;&gt;"",COUNTIF($AW$8:$AW$1007,$AW672)&gt;1)," / 승인번호 중복(두 번 붙여넣기?)","")&amp;IF(ABS($AU672-ROUND($AT672*0.1,0))&gt;설정!$B$8,IF($AU672=0," / 세액 0원(영세율·면세 여부 확인)"," / 세액이 공급가액 10%와 다름"),"")&amp;IF($BB672="수정"," / 수정세금계산서(합계에서 자동 가감)",""),4,200))</f>
        <v/>
      </c>
      <c r="BD672" s="2">
        <f>IF($BA672&lt;&gt;"포함","",IF(COUNTIFS($AX$8:$AX672,$AX672,$BA$8:$BA672,"포함")=1,MAX($BD$7:BD671)+1,""))</f>
        <v/>
      </c>
      <c r="BE672" s="2">
        <f>IF($BC672="","",MAX($BE$7:BE671)+1)</f>
        <v/>
      </c>
    </row>
    <row r="673">
      <c r="AR673" s="2">
        <f>IF(OR($A$5="",$B$6="",ROW()&lt;$A$5),"",IF(INDEX($A:$AP,ROW(),$B$6)="","",INDEX($A:$AP,ROW(),$B$6)))</f>
        <v/>
      </c>
      <c r="AS673" s="22">
        <f>IF($AR673="","",IF(ISNUMBER($AR673),IF($AR673&gt;=10000000,IFERROR(DATE(INT($AR673/10000),MOD(INT($AR673/100),100),MOD($AR673,100)),""),INT($AR673)),IFERROR(DATE(--LEFT(LEFT(SUBSTITUTE(SUBSTITUTE(SUBSTITUTE(SUBSTITUTE(TRIM($AR673),"-",""),".",""),"/","")," ",""),8),4),--MID(LEFT(SUBSTITUTE(SUBSTITUTE(SUBSTITUTE(SUBSTITUTE(TRIM($AR673),"-",""),".",""),"/","")," ",""),8),5,2),--MID(LEFT(SUBSTITUTE(SUBSTITUTE(SUBSTITUTE(SUBSTITUTE(TRIM($AR673),"-",""),".",""),"/","")," ",""),8),7,2)),"")))</f>
        <v/>
      </c>
      <c r="AT673" s="23">
        <f>IF($AS673="","",IF($F$6="",0,IF(ISNUMBER(INDEX($A:$AP,ROW(),$F$6)),INDEX($A:$AP,ROW(),$F$6),IFERROR(--SUBSTITUTE(SUBSTITUTE(TRIM(INDEX($A:$AP,ROW(),$F$6)),",",""),"원",""),0))))</f>
        <v/>
      </c>
      <c r="AU673" s="23">
        <f>IF($AS673="","",IF($G$6="",0,IF(ISNUMBER(INDEX($A:$AP,ROW(),$G$6)),INDEX($A:$AP,ROW(),$G$6),IFERROR(--SUBSTITUTE(SUBSTITUTE(TRIM(INDEX($A:$AP,ROW(),$G$6)),",",""),"원",""),0))))</f>
        <v/>
      </c>
      <c r="AV673" s="23">
        <f>IF($AS673="","",IF($H$6="",$AT673+$AU673,IF($H$6="",0,IF(ISNUMBER(INDEX($A:$AP,ROW(),$H$6)),INDEX($A:$AP,ROW(),$H$6),IFERROR(--SUBSTITUTE(SUBSTITUTE(TRIM(INDEX($A:$AP,ROW(),$H$6)),",",""),"원",""),0)))))</f>
        <v/>
      </c>
      <c r="AW673" s="2">
        <f>IF(OR($AS673="",$C$6=""),"",TRIM(INDEX($A:$AP,ROW(),$C$6)&amp;""))</f>
        <v/>
      </c>
      <c r="AX673" s="2">
        <f>IF($AS673="","",IF($AZ673&lt;&gt;"",SUBSTITUTE(SUBSTITUTE($AZ673,"-","")," ",""),$AY673))</f>
        <v/>
      </c>
      <c r="AY673" s="2">
        <f>IF(OR($AS673="",$E$6=""),"",TRIM(INDEX($A:$AP,ROW(),$E$6)&amp;""))</f>
        <v/>
      </c>
      <c r="AZ673" s="2">
        <f>IF(OR($AS673="",$D$6=""),"",TRIM(INDEX($A:$AP,ROW(),$D$6)&amp;""))</f>
        <v/>
      </c>
      <c r="BA673" s="2">
        <f>IF($AS673="","",IF(AND($AS673&gt;=설정!$B$10,$AS673&lt;=설정!$B$11),"포함","기간 밖"))</f>
        <v/>
      </c>
      <c r="BB673" s="2">
        <f>IF($AS673="","",IF(OR($AT673&lt;0,AND($I$6&lt;&gt;"",ISNUMBER(FIND("수정",INDEX($A:$AP,ROW(),IF($I$6="",1,$I$6))&amp;"")))),"수정","일반"))</f>
        <v/>
      </c>
      <c r="BC673" s="2">
        <f>IF($AS673="","",MID(IF($BA673="기간 밖"," / 기간 밖(신고기간 아님)","")&amp;IF(AND($AW673&lt;&gt;"",COUNTIF($AW$8:$AW$1007,$AW673)&gt;1)," / 승인번호 중복(두 번 붙여넣기?)","")&amp;IF(ABS($AU673-ROUND($AT673*0.1,0))&gt;설정!$B$8,IF($AU673=0," / 세액 0원(영세율·면세 여부 확인)"," / 세액이 공급가액 10%와 다름"),"")&amp;IF($BB673="수정"," / 수정세금계산서(합계에서 자동 가감)",""),4,200))</f>
        <v/>
      </c>
      <c r="BD673" s="2">
        <f>IF($BA673&lt;&gt;"포함","",IF(COUNTIFS($AX$8:$AX673,$AX673,$BA$8:$BA673,"포함")=1,MAX($BD$7:BD672)+1,""))</f>
        <v/>
      </c>
      <c r="BE673" s="2">
        <f>IF($BC673="","",MAX($BE$7:BE672)+1)</f>
        <v/>
      </c>
    </row>
    <row r="674">
      <c r="AR674" s="2">
        <f>IF(OR($A$5="",$B$6="",ROW()&lt;$A$5),"",IF(INDEX($A:$AP,ROW(),$B$6)="","",INDEX($A:$AP,ROW(),$B$6)))</f>
        <v/>
      </c>
      <c r="AS674" s="22">
        <f>IF($AR674="","",IF(ISNUMBER($AR674),IF($AR674&gt;=10000000,IFERROR(DATE(INT($AR674/10000),MOD(INT($AR674/100),100),MOD($AR674,100)),""),INT($AR674)),IFERROR(DATE(--LEFT(LEFT(SUBSTITUTE(SUBSTITUTE(SUBSTITUTE(SUBSTITUTE(TRIM($AR674),"-",""),".",""),"/","")," ",""),8),4),--MID(LEFT(SUBSTITUTE(SUBSTITUTE(SUBSTITUTE(SUBSTITUTE(TRIM($AR674),"-",""),".",""),"/","")," ",""),8),5,2),--MID(LEFT(SUBSTITUTE(SUBSTITUTE(SUBSTITUTE(SUBSTITUTE(TRIM($AR674),"-",""),".",""),"/","")," ",""),8),7,2)),"")))</f>
        <v/>
      </c>
      <c r="AT674" s="23">
        <f>IF($AS674="","",IF($F$6="",0,IF(ISNUMBER(INDEX($A:$AP,ROW(),$F$6)),INDEX($A:$AP,ROW(),$F$6),IFERROR(--SUBSTITUTE(SUBSTITUTE(TRIM(INDEX($A:$AP,ROW(),$F$6)),",",""),"원",""),0))))</f>
        <v/>
      </c>
      <c r="AU674" s="23">
        <f>IF($AS674="","",IF($G$6="",0,IF(ISNUMBER(INDEX($A:$AP,ROW(),$G$6)),INDEX($A:$AP,ROW(),$G$6),IFERROR(--SUBSTITUTE(SUBSTITUTE(TRIM(INDEX($A:$AP,ROW(),$G$6)),",",""),"원",""),0))))</f>
        <v/>
      </c>
      <c r="AV674" s="23">
        <f>IF($AS674="","",IF($H$6="",$AT674+$AU674,IF($H$6="",0,IF(ISNUMBER(INDEX($A:$AP,ROW(),$H$6)),INDEX($A:$AP,ROW(),$H$6),IFERROR(--SUBSTITUTE(SUBSTITUTE(TRIM(INDEX($A:$AP,ROW(),$H$6)),",",""),"원",""),0)))))</f>
        <v/>
      </c>
      <c r="AW674" s="2">
        <f>IF(OR($AS674="",$C$6=""),"",TRIM(INDEX($A:$AP,ROW(),$C$6)&amp;""))</f>
        <v/>
      </c>
      <c r="AX674" s="2">
        <f>IF($AS674="","",IF($AZ674&lt;&gt;"",SUBSTITUTE(SUBSTITUTE($AZ674,"-","")," ",""),$AY674))</f>
        <v/>
      </c>
      <c r="AY674" s="2">
        <f>IF(OR($AS674="",$E$6=""),"",TRIM(INDEX($A:$AP,ROW(),$E$6)&amp;""))</f>
        <v/>
      </c>
      <c r="AZ674" s="2">
        <f>IF(OR($AS674="",$D$6=""),"",TRIM(INDEX($A:$AP,ROW(),$D$6)&amp;""))</f>
        <v/>
      </c>
      <c r="BA674" s="2">
        <f>IF($AS674="","",IF(AND($AS674&gt;=설정!$B$10,$AS674&lt;=설정!$B$11),"포함","기간 밖"))</f>
        <v/>
      </c>
      <c r="BB674" s="2">
        <f>IF($AS674="","",IF(OR($AT674&lt;0,AND($I$6&lt;&gt;"",ISNUMBER(FIND("수정",INDEX($A:$AP,ROW(),IF($I$6="",1,$I$6))&amp;"")))),"수정","일반"))</f>
        <v/>
      </c>
      <c r="BC674" s="2">
        <f>IF($AS674="","",MID(IF($BA674="기간 밖"," / 기간 밖(신고기간 아님)","")&amp;IF(AND($AW674&lt;&gt;"",COUNTIF($AW$8:$AW$1007,$AW674)&gt;1)," / 승인번호 중복(두 번 붙여넣기?)","")&amp;IF(ABS($AU674-ROUND($AT674*0.1,0))&gt;설정!$B$8,IF($AU674=0," / 세액 0원(영세율·면세 여부 확인)"," / 세액이 공급가액 10%와 다름"),"")&amp;IF($BB674="수정"," / 수정세금계산서(합계에서 자동 가감)",""),4,200))</f>
        <v/>
      </c>
      <c r="BD674" s="2">
        <f>IF($BA674&lt;&gt;"포함","",IF(COUNTIFS($AX$8:$AX674,$AX674,$BA$8:$BA674,"포함")=1,MAX($BD$7:BD673)+1,""))</f>
        <v/>
      </c>
      <c r="BE674" s="2">
        <f>IF($BC674="","",MAX($BE$7:BE673)+1)</f>
        <v/>
      </c>
    </row>
    <row r="675">
      <c r="AR675" s="2">
        <f>IF(OR($A$5="",$B$6="",ROW()&lt;$A$5),"",IF(INDEX($A:$AP,ROW(),$B$6)="","",INDEX($A:$AP,ROW(),$B$6)))</f>
        <v/>
      </c>
      <c r="AS675" s="22">
        <f>IF($AR675="","",IF(ISNUMBER($AR675),IF($AR675&gt;=10000000,IFERROR(DATE(INT($AR675/10000),MOD(INT($AR675/100),100),MOD($AR675,100)),""),INT($AR675)),IFERROR(DATE(--LEFT(LEFT(SUBSTITUTE(SUBSTITUTE(SUBSTITUTE(SUBSTITUTE(TRIM($AR675),"-",""),".",""),"/","")," ",""),8),4),--MID(LEFT(SUBSTITUTE(SUBSTITUTE(SUBSTITUTE(SUBSTITUTE(TRIM($AR675),"-",""),".",""),"/","")," ",""),8),5,2),--MID(LEFT(SUBSTITUTE(SUBSTITUTE(SUBSTITUTE(SUBSTITUTE(TRIM($AR675),"-",""),".",""),"/","")," ",""),8),7,2)),"")))</f>
        <v/>
      </c>
      <c r="AT675" s="23">
        <f>IF($AS675="","",IF($F$6="",0,IF(ISNUMBER(INDEX($A:$AP,ROW(),$F$6)),INDEX($A:$AP,ROW(),$F$6),IFERROR(--SUBSTITUTE(SUBSTITUTE(TRIM(INDEX($A:$AP,ROW(),$F$6)),",",""),"원",""),0))))</f>
        <v/>
      </c>
      <c r="AU675" s="23">
        <f>IF($AS675="","",IF($G$6="",0,IF(ISNUMBER(INDEX($A:$AP,ROW(),$G$6)),INDEX($A:$AP,ROW(),$G$6),IFERROR(--SUBSTITUTE(SUBSTITUTE(TRIM(INDEX($A:$AP,ROW(),$G$6)),",",""),"원",""),0))))</f>
        <v/>
      </c>
      <c r="AV675" s="23">
        <f>IF($AS675="","",IF($H$6="",$AT675+$AU675,IF($H$6="",0,IF(ISNUMBER(INDEX($A:$AP,ROW(),$H$6)),INDEX($A:$AP,ROW(),$H$6),IFERROR(--SUBSTITUTE(SUBSTITUTE(TRIM(INDEX($A:$AP,ROW(),$H$6)),",",""),"원",""),0)))))</f>
        <v/>
      </c>
      <c r="AW675" s="2">
        <f>IF(OR($AS675="",$C$6=""),"",TRIM(INDEX($A:$AP,ROW(),$C$6)&amp;""))</f>
        <v/>
      </c>
      <c r="AX675" s="2">
        <f>IF($AS675="","",IF($AZ675&lt;&gt;"",SUBSTITUTE(SUBSTITUTE($AZ675,"-","")," ",""),$AY675))</f>
        <v/>
      </c>
      <c r="AY675" s="2">
        <f>IF(OR($AS675="",$E$6=""),"",TRIM(INDEX($A:$AP,ROW(),$E$6)&amp;""))</f>
        <v/>
      </c>
      <c r="AZ675" s="2">
        <f>IF(OR($AS675="",$D$6=""),"",TRIM(INDEX($A:$AP,ROW(),$D$6)&amp;""))</f>
        <v/>
      </c>
      <c r="BA675" s="2">
        <f>IF($AS675="","",IF(AND($AS675&gt;=설정!$B$10,$AS675&lt;=설정!$B$11),"포함","기간 밖"))</f>
        <v/>
      </c>
      <c r="BB675" s="2">
        <f>IF($AS675="","",IF(OR($AT675&lt;0,AND($I$6&lt;&gt;"",ISNUMBER(FIND("수정",INDEX($A:$AP,ROW(),IF($I$6="",1,$I$6))&amp;"")))),"수정","일반"))</f>
        <v/>
      </c>
      <c r="BC675" s="2">
        <f>IF($AS675="","",MID(IF($BA675="기간 밖"," / 기간 밖(신고기간 아님)","")&amp;IF(AND($AW675&lt;&gt;"",COUNTIF($AW$8:$AW$1007,$AW675)&gt;1)," / 승인번호 중복(두 번 붙여넣기?)","")&amp;IF(ABS($AU675-ROUND($AT675*0.1,0))&gt;설정!$B$8,IF($AU675=0," / 세액 0원(영세율·면세 여부 확인)"," / 세액이 공급가액 10%와 다름"),"")&amp;IF($BB675="수정"," / 수정세금계산서(합계에서 자동 가감)",""),4,200))</f>
        <v/>
      </c>
      <c r="BD675" s="2">
        <f>IF($BA675&lt;&gt;"포함","",IF(COUNTIFS($AX$8:$AX675,$AX675,$BA$8:$BA675,"포함")=1,MAX($BD$7:BD674)+1,""))</f>
        <v/>
      </c>
      <c r="BE675" s="2">
        <f>IF($BC675="","",MAX($BE$7:BE674)+1)</f>
        <v/>
      </c>
    </row>
    <row r="676">
      <c r="AR676" s="2">
        <f>IF(OR($A$5="",$B$6="",ROW()&lt;$A$5),"",IF(INDEX($A:$AP,ROW(),$B$6)="","",INDEX($A:$AP,ROW(),$B$6)))</f>
        <v/>
      </c>
      <c r="AS676" s="22">
        <f>IF($AR676="","",IF(ISNUMBER($AR676),IF($AR676&gt;=10000000,IFERROR(DATE(INT($AR676/10000),MOD(INT($AR676/100),100),MOD($AR676,100)),""),INT($AR676)),IFERROR(DATE(--LEFT(LEFT(SUBSTITUTE(SUBSTITUTE(SUBSTITUTE(SUBSTITUTE(TRIM($AR676),"-",""),".",""),"/","")," ",""),8),4),--MID(LEFT(SUBSTITUTE(SUBSTITUTE(SUBSTITUTE(SUBSTITUTE(TRIM($AR676),"-",""),".",""),"/","")," ",""),8),5,2),--MID(LEFT(SUBSTITUTE(SUBSTITUTE(SUBSTITUTE(SUBSTITUTE(TRIM($AR676),"-",""),".",""),"/","")," ",""),8),7,2)),"")))</f>
        <v/>
      </c>
      <c r="AT676" s="23">
        <f>IF($AS676="","",IF($F$6="",0,IF(ISNUMBER(INDEX($A:$AP,ROW(),$F$6)),INDEX($A:$AP,ROW(),$F$6),IFERROR(--SUBSTITUTE(SUBSTITUTE(TRIM(INDEX($A:$AP,ROW(),$F$6)),",",""),"원",""),0))))</f>
        <v/>
      </c>
      <c r="AU676" s="23">
        <f>IF($AS676="","",IF($G$6="",0,IF(ISNUMBER(INDEX($A:$AP,ROW(),$G$6)),INDEX($A:$AP,ROW(),$G$6),IFERROR(--SUBSTITUTE(SUBSTITUTE(TRIM(INDEX($A:$AP,ROW(),$G$6)),",",""),"원",""),0))))</f>
        <v/>
      </c>
      <c r="AV676" s="23">
        <f>IF($AS676="","",IF($H$6="",$AT676+$AU676,IF($H$6="",0,IF(ISNUMBER(INDEX($A:$AP,ROW(),$H$6)),INDEX($A:$AP,ROW(),$H$6),IFERROR(--SUBSTITUTE(SUBSTITUTE(TRIM(INDEX($A:$AP,ROW(),$H$6)),",",""),"원",""),0)))))</f>
        <v/>
      </c>
      <c r="AW676" s="2">
        <f>IF(OR($AS676="",$C$6=""),"",TRIM(INDEX($A:$AP,ROW(),$C$6)&amp;""))</f>
        <v/>
      </c>
      <c r="AX676" s="2">
        <f>IF($AS676="","",IF($AZ676&lt;&gt;"",SUBSTITUTE(SUBSTITUTE($AZ676,"-","")," ",""),$AY676))</f>
        <v/>
      </c>
      <c r="AY676" s="2">
        <f>IF(OR($AS676="",$E$6=""),"",TRIM(INDEX($A:$AP,ROW(),$E$6)&amp;""))</f>
        <v/>
      </c>
      <c r="AZ676" s="2">
        <f>IF(OR($AS676="",$D$6=""),"",TRIM(INDEX($A:$AP,ROW(),$D$6)&amp;""))</f>
        <v/>
      </c>
      <c r="BA676" s="2">
        <f>IF($AS676="","",IF(AND($AS676&gt;=설정!$B$10,$AS676&lt;=설정!$B$11),"포함","기간 밖"))</f>
        <v/>
      </c>
      <c r="BB676" s="2">
        <f>IF($AS676="","",IF(OR($AT676&lt;0,AND($I$6&lt;&gt;"",ISNUMBER(FIND("수정",INDEX($A:$AP,ROW(),IF($I$6="",1,$I$6))&amp;"")))),"수정","일반"))</f>
        <v/>
      </c>
      <c r="BC676" s="2">
        <f>IF($AS676="","",MID(IF($BA676="기간 밖"," / 기간 밖(신고기간 아님)","")&amp;IF(AND($AW676&lt;&gt;"",COUNTIF($AW$8:$AW$1007,$AW676)&gt;1)," / 승인번호 중복(두 번 붙여넣기?)","")&amp;IF(ABS($AU676-ROUND($AT676*0.1,0))&gt;설정!$B$8,IF($AU676=0," / 세액 0원(영세율·면세 여부 확인)"," / 세액이 공급가액 10%와 다름"),"")&amp;IF($BB676="수정"," / 수정세금계산서(합계에서 자동 가감)",""),4,200))</f>
        <v/>
      </c>
      <c r="BD676" s="2">
        <f>IF($BA676&lt;&gt;"포함","",IF(COUNTIFS($AX$8:$AX676,$AX676,$BA$8:$BA676,"포함")=1,MAX($BD$7:BD675)+1,""))</f>
        <v/>
      </c>
      <c r="BE676" s="2">
        <f>IF($BC676="","",MAX($BE$7:BE675)+1)</f>
        <v/>
      </c>
    </row>
    <row r="677">
      <c r="AR677" s="2">
        <f>IF(OR($A$5="",$B$6="",ROW()&lt;$A$5),"",IF(INDEX($A:$AP,ROW(),$B$6)="","",INDEX($A:$AP,ROW(),$B$6)))</f>
        <v/>
      </c>
      <c r="AS677" s="22">
        <f>IF($AR677="","",IF(ISNUMBER($AR677),IF($AR677&gt;=10000000,IFERROR(DATE(INT($AR677/10000),MOD(INT($AR677/100),100),MOD($AR677,100)),""),INT($AR677)),IFERROR(DATE(--LEFT(LEFT(SUBSTITUTE(SUBSTITUTE(SUBSTITUTE(SUBSTITUTE(TRIM($AR677),"-",""),".",""),"/","")," ",""),8),4),--MID(LEFT(SUBSTITUTE(SUBSTITUTE(SUBSTITUTE(SUBSTITUTE(TRIM($AR677),"-",""),".",""),"/","")," ",""),8),5,2),--MID(LEFT(SUBSTITUTE(SUBSTITUTE(SUBSTITUTE(SUBSTITUTE(TRIM($AR677),"-",""),".",""),"/","")," ",""),8),7,2)),"")))</f>
        <v/>
      </c>
      <c r="AT677" s="23">
        <f>IF($AS677="","",IF($F$6="",0,IF(ISNUMBER(INDEX($A:$AP,ROW(),$F$6)),INDEX($A:$AP,ROW(),$F$6),IFERROR(--SUBSTITUTE(SUBSTITUTE(TRIM(INDEX($A:$AP,ROW(),$F$6)),",",""),"원",""),0))))</f>
        <v/>
      </c>
      <c r="AU677" s="23">
        <f>IF($AS677="","",IF($G$6="",0,IF(ISNUMBER(INDEX($A:$AP,ROW(),$G$6)),INDEX($A:$AP,ROW(),$G$6),IFERROR(--SUBSTITUTE(SUBSTITUTE(TRIM(INDEX($A:$AP,ROW(),$G$6)),",",""),"원",""),0))))</f>
        <v/>
      </c>
      <c r="AV677" s="23">
        <f>IF($AS677="","",IF($H$6="",$AT677+$AU677,IF($H$6="",0,IF(ISNUMBER(INDEX($A:$AP,ROW(),$H$6)),INDEX($A:$AP,ROW(),$H$6),IFERROR(--SUBSTITUTE(SUBSTITUTE(TRIM(INDEX($A:$AP,ROW(),$H$6)),",",""),"원",""),0)))))</f>
        <v/>
      </c>
      <c r="AW677" s="2">
        <f>IF(OR($AS677="",$C$6=""),"",TRIM(INDEX($A:$AP,ROW(),$C$6)&amp;""))</f>
        <v/>
      </c>
      <c r="AX677" s="2">
        <f>IF($AS677="","",IF($AZ677&lt;&gt;"",SUBSTITUTE(SUBSTITUTE($AZ677,"-","")," ",""),$AY677))</f>
        <v/>
      </c>
      <c r="AY677" s="2">
        <f>IF(OR($AS677="",$E$6=""),"",TRIM(INDEX($A:$AP,ROW(),$E$6)&amp;""))</f>
        <v/>
      </c>
      <c r="AZ677" s="2">
        <f>IF(OR($AS677="",$D$6=""),"",TRIM(INDEX($A:$AP,ROW(),$D$6)&amp;""))</f>
        <v/>
      </c>
      <c r="BA677" s="2">
        <f>IF($AS677="","",IF(AND($AS677&gt;=설정!$B$10,$AS677&lt;=설정!$B$11),"포함","기간 밖"))</f>
        <v/>
      </c>
      <c r="BB677" s="2">
        <f>IF($AS677="","",IF(OR($AT677&lt;0,AND($I$6&lt;&gt;"",ISNUMBER(FIND("수정",INDEX($A:$AP,ROW(),IF($I$6="",1,$I$6))&amp;"")))),"수정","일반"))</f>
        <v/>
      </c>
      <c r="BC677" s="2">
        <f>IF($AS677="","",MID(IF($BA677="기간 밖"," / 기간 밖(신고기간 아님)","")&amp;IF(AND($AW677&lt;&gt;"",COUNTIF($AW$8:$AW$1007,$AW677)&gt;1)," / 승인번호 중복(두 번 붙여넣기?)","")&amp;IF(ABS($AU677-ROUND($AT677*0.1,0))&gt;설정!$B$8,IF($AU677=0," / 세액 0원(영세율·면세 여부 확인)"," / 세액이 공급가액 10%와 다름"),"")&amp;IF($BB677="수정"," / 수정세금계산서(합계에서 자동 가감)",""),4,200))</f>
        <v/>
      </c>
      <c r="BD677" s="2">
        <f>IF($BA677&lt;&gt;"포함","",IF(COUNTIFS($AX$8:$AX677,$AX677,$BA$8:$BA677,"포함")=1,MAX($BD$7:BD676)+1,""))</f>
        <v/>
      </c>
      <c r="BE677" s="2">
        <f>IF($BC677="","",MAX($BE$7:BE676)+1)</f>
        <v/>
      </c>
    </row>
    <row r="678">
      <c r="AR678" s="2">
        <f>IF(OR($A$5="",$B$6="",ROW()&lt;$A$5),"",IF(INDEX($A:$AP,ROW(),$B$6)="","",INDEX($A:$AP,ROW(),$B$6)))</f>
        <v/>
      </c>
      <c r="AS678" s="22">
        <f>IF($AR678="","",IF(ISNUMBER($AR678),IF($AR678&gt;=10000000,IFERROR(DATE(INT($AR678/10000),MOD(INT($AR678/100),100),MOD($AR678,100)),""),INT($AR678)),IFERROR(DATE(--LEFT(LEFT(SUBSTITUTE(SUBSTITUTE(SUBSTITUTE(SUBSTITUTE(TRIM($AR678),"-",""),".",""),"/","")," ",""),8),4),--MID(LEFT(SUBSTITUTE(SUBSTITUTE(SUBSTITUTE(SUBSTITUTE(TRIM($AR678),"-",""),".",""),"/","")," ",""),8),5,2),--MID(LEFT(SUBSTITUTE(SUBSTITUTE(SUBSTITUTE(SUBSTITUTE(TRIM($AR678),"-",""),".",""),"/","")," ",""),8),7,2)),"")))</f>
        <v/>
      </c>
      <c r="AT678" s="23">
        <f>IF($AS678="","",IF($F$6="",0,IF(ISNUMBER(INDEX($A:$AP,ROW(),$F$6)),INDEX($A:$AP,ROW(),$F$6),IFERROR(--SUBSTITUTE(SUBSTITUTE(TRIM(INDEX($A:$AP,ROW(),$F$6)),",",""),"원",""),0))))</f>
        <v/>
      </c>
      <c r="AU678" s="23">
        <f>IF($AS678="","",IF($G$6="",0,IF(ISNUMBER(INDEX($A:$AP,ROW(),$G$6)),INDEX($A:$AP,ROW(),$G$6),IFERROR(--SUBSTITUTE(SUBSTITUTE(TRIM(INDEX($A:$AP,ROW(),$G$6)),",",""),"원",""),0))))</f>
        <v/>
      </c>
      <c r="AV678" s="23">
        <f>IF($AS678="","",IF($H$6="",$AT678+$AU678,IF($H$6="",0,IF(ISNUMBER(INDEX($A:$AP,ROW(),$H$6)),INDEX($A:$AP,ROW(),$H$6),IFERROR(--SUBSTITUTE(SUBSTITUTE(TRIM(INDEX($A:$AP,ROW(),$H$6)),",",""),"원",""),0)))))</f>
        <v/>
      </c>
      <c r="AW678" s="2">
        <f>IF(OR($AS678="",$C$6=""),"",TRIM(INDEX($A:$AP,ROW(),$C$6)&amp;""))</f>
        <v/>
      </c>
      <c r="AX678" s="2">
        <f>IF($AS678="","",IF($AZ678&lt;&gt;"",SUBSTITUTE(SUBSTITUTE($AZ678,"-","")," ",""),$AY678))</f>
        <v/>
      </c>
      <c r="AY678" s="2">
        <f>IF(OR($AS678="",$E$6=""),"",TRIM(INDEX($A:$AP,ROW(),$E$6)&amp;""))</f>
        <v/>
      </c>
      <c r="AZ678" s="2">
        <f>IF(OR($AS678="",$D$6=""),"",TRIM(INDEX($A:$AP,ROW(),$D$6)&amp;""))</f>
        <v/>
      </c>
      <c r="BA678" s="2">
        <f>IF($AS678="","",IF(AND($AS678&gt;=설정!$B$10,$AS678&lt;=설정!$B$11),"포함","기간 밖"))</f>
        <v/>
      </c>
      <c r="BB678" s="2">
        <f>IF($AS678="","",IF(OR($AT678&lt;0,AND($I$6&lt;&gt;"",ISNUMBER(FIND("수정",INDEX($A:$AP,ROW(),IF($I$6="",1,$I$6))&amp;"")))),"수정","일반"))</f>
        <v/>
      </c>
      <c r="BC678" s="2">
        <f>IF($AS678="","",MID(IF($BA678="기간 밖"," / 기간 밖(신고기간 아님)","")&amp;IF(AND($AW678&lt;&gt;"",COUNTIF($AW$8:$AW$1007,$AW678)&gt;1)," / 승인번호 중복(두 번 붙여넣기?)","")&amp;IF(ABS($AU678-ROUND($AT678*0.1,0))&gt;설정!$B$8,IF($AU678=0," / 세액 0원(영세율·면세 여부 확인)"," / 세액이 공급가액 10%와 다름"),"")&amp;IF($BB678="수정"," / 수정세금계산서(합계에서 자동 가감)",""),4,200))</f>
        <v/>
      </c>
      <c r="BD678" s="2">
        <f>IF($BA678&lt;&gt;"포함","",IF(COUNTIFS($AX$8:$AX678,$AX678,$BA$8:$BA678,"포함")=1,MAX($BD$7:BD677)+1,""))</f>
        <v/>
      </c>
      <c r="BE678" s="2">
        <f>IF($BC678="","",MAX($BE$7:BE677)+1)</f>
        <v/>
      </c>
    </row>
    <row r="679">
      <c r="AR679" s="2">
        <f>IF(OR($A$5="",$B$6="",ROW()&lt;$A$5),"",IF(INDEX($A:$AP,ROW(),$B$6)="","",INDEX($A:$AP,ROW(),$B$6)))</f>
        <v/>
      </c>
      <c r="AS679" s="22">
        <f>IF($AR679="","",IF(ISNUMBER($AR679),IF($AR679&gt;=10000000,IFERROR(DATE(INT($AR679/10000),MOD(INT($AR679/100),100),MOD($AR679,100)),""),INT($AR679)),IFERROR(DATE(--LEFT(LEFT(SUBSTITUTE(SUBSTITUTE(SUBSTITUTE(SUBSTITUTE(TRIM($AR679),"-",""),".",""),"/","")," ",""),8),4),--MID(LEFT(SUBSTITUTE(SUBSTITUTE(SUBSTITUTE(SUBSTITUTE(TRIM($AR679),"-",""),".",""),"/","")," ",""),8),5,2),--MID(LEFT(SUBSTITUTE(SUBSTITUTE(SUBSTITUTE(SUBSTITUTE(TRIM($AR679),"-",""),".",""),"/","")," ",""),8),7,2)),"")))</f>
        <v/>
      </c>
      <c r="AT679" s="23">
        <f>IF($AS679="","",IF($F$6="",0,IF(ISNUMBER(INDEX($A:$AP,ROW(),$F$6)),INDEX($A:$AP,ROW(),$F$6),IFERROR(--SUBSTITUTE(SUBSTITUTE(TRIM(INDEX($A:$AP,ROW(),$F$6)),",",""),"원",""),0))))</f>
        <v/>
      </c>
      <c r="AU679" s="23">
        <f>IF($AS679="","",IF($G$6="",0,IF(ISNUMBER(INDEX($A:$AP,ROW(),$G$6)),INDEX($A:$AP,ROW(),$G$6),IFERROR(--SUBSTITUTE(SUBSTITUTE(TRIM(INDEX($A:$AP,ROW(),$G$6)),",",""),"원",""),0))))</f>
        <v/>
      </c>
      <c r="AV679" s="23">
        <f>IF($AS679="","",IF($H$6="",$AT679+$AU679,IF($H$6="",0,IF(ISNUMBER(INDEX($A:$AP,ROW(),$H$6)),INDEX($A:$AP,ROW(),$H$6),IFERROR(--SUBSTITUTE(SUBSTITUTE(TRIM(INDEX($A:$AP,ROW(),$H$6)),",",""),"원",""),0)))))</f>
        <v/>
      </c>
      <c r="AW679" s="2">
        <f>IF(OR($AS679="",$C$6=""),"",TRIM(INDEX($A:$AP,ROW(),$C$6)&amp;""))</f>
        <v/>
      </c>
      <c r="AX679" s="2">
        <f>IF($AS679="","",IF($AZ679&lt;&gt;"",SUBSTITUTE(SUBSTITUTE($AZ679,"-","")," ",""),$AY679))</f>
        <v/>
      </c>
      <c r="AY679" s="2">
        <f>IF(OR($AS679="",$E$6=""),"",TRIM(INDEX($A:$AP,ROW(),$E$6)&amp;""))</f>
        <v/>
      </c>
      <c r="AZ679" s="2">
        <f>IF(OR($AS679="",$D$6=""),"",TRIM(INDEX($A:$AP,ROW(),$D$6)&amp;""))</f>
        <v/>
      </c>
      <c r="BA679" s="2">
        <f>IF($AS679="","",IF(AND($AS679&gt;=설정!$B$10,$AS679&lt;=설정!$B$11),"포함","기간 밖"))</f>
        <v/>
      </c>
      <c r="BB679" s="2">
        <f>IF($AS679="","",IF(OR($AT679&lt;0,AND($I$6&lt;&gt;"",ISNUMBER(FIND("수정",INDEX($A:$AP,ROW(),IF($I$6="",1,$I$6))&amp;"")))),"수정","일반"))</f>
        <v/>
      </c>
      <c r="BC679" s="2">
        <f>IF($AS679="","",MID(IF($BA679="기간 밖"," / 기간 밖(신고기간 아님)","")&amp;IF(AND($AW679&lt;&gt;"",COUNTIF($AW$8:$AW$1007,$AW679)&gt;1)," / 승인번호 중복(두 번 붙여넣기?)","")&amp;IF(ABS($AU679-ROUND($AT679*0.1,0))&gt;설정!$B$8,IF($AU679=0," / 세액 0원(영세율·면세 여부 확인)"," / 세액이 공급가액 10%와 다름"),"")&amp;IF($BB679="수정"," / 수정세금계산서(합계에서 자동 가감)",""),4,200))</f>
        <v/>
      </c>
      <c r="BD679" s="2">
        <f>IF($BA679&lt;&gt;"포함","",IF(COUNTIFS($AX$8:$AX679,$AX679,$BA$8:$BA679,"포함")=1,MAX($BD$7:BD678)+1,""))</f>
        <v/>
      </c>
      <c r="BE679" s="2">
        <f>IF($BC679="","",MAX($BE$7:BE678)+1)</f>
        <v/>
      </c>
    </row>
    <row r="680">
      <c r="AR680" s="2">
        <f>IF(OR($A$5="",$B$6="",ROW()&lt;$A$5),"",IF(INDEX($A:$AP,ROW(),$B$6)="","",INDEX($A:$AP,ROW(),$B$6)))</f>
        <v/>
      </c>
      <c r="AS680" s="22">
        <f>IF($AR680="","",IF(ISNUMBER($AR680),IF($AR680&gt;=10000000,IFERROR(DATE(INT($AR680/10000),MOD(INT($AR680/100),100),MOD($AR680,100)),""),INT($AR680)),IFERROR(DATE(--LEFT(LEFT(SUBSTITUTE(SUBSTITUTE(SUBSTITUTE(SUBSTITUTE(TRIM($AR680),"-",""),".",""),"/","")," ",""),8),4),--MID(LEFT(SUBSTITUTE(SUBSTITUTE(SUBSTITUTE(SUBSTITUTE(TRIM($AR680),"-",""),".",""),"/","")," ",""),8),5,2),--MID(LEFT(SUBSTITUTE(SUBSTITUTE(SUBSTITUTE(SUBSTITUTE(TRIM($AR680),"-",""),".",""),"/","")," ",""),8),7,2)),"")))</f>
        <v/>
      </c>
      <c r="AT680" s="23">
        <f>IF($AS680="","",IF($F$6="",0,IF(ISNUMBER(INDEX($A:$AP,ROW(),$F$6)),INDEX($A:$AP,ROW(),$F$6),IFERROR(--SUBSTITUTE(SUBSTITUTE(TRIM(INDEX($A:$AP,ROW(),$F$6)),",",""),"원",""),0))))</f>
        <v/>
      </c>
      <c r="AU680" s="23">
        <f>IF($AS680="","",IF($G$6="",0,IF(ISNUMBER(INDEX($A:$AP,ROW(),$G$6)),INDEX($A:$AP,ROW(),$G$6),IFERROR(--SUBSTITUTE(SUBSTITUTE(TRIM(INDEX($A:$AP,ROW(),$G$6)),",",""),"원",""),0))))</f>
        <v/>
      </c>
      <c r="AV680" s="23">
        <f>IF($AS680="","",IF($H$6="",$AT680+$AU680,IF($H$6="",0,IF(ISNUMBER(INDEX($A:$AP,ROW(),$H$6)),INDEX($A:$AP,ROW(),$H$6),IFERROR(--SUBSTITUTE(SUBSTITUTE(TRIM(INDEX($A:$AP,ROW(),$H$6)),",",""),"원",""),0)))))</f>
        <v/>
      </c>
      <c r="AW680" s="2">
        <f>IF(OR($AS680="",$C$6=""),"",TRIM(INDEX($A:$AP,ROW(),$C$6)&amp;""))</f>
        <v/>
      </c>
      <c r="AX680" s="2">
        <f>IF($AS680="","",IF($AZ680&lt;&gt;"",SUBSTITUTE(SUBSTITUTE($AZ680,"-","")," ",""),$AY680))</f>
        <v/>
      </c>
      <c r="AY680" s="2">
        <f>IF(OR($AS680="",$E$6=""),"",TRIM(INDEX($A:$AP,ROW(),$E$6)&amp;""))</f>
        <v/>
      </c>
      <c r="AZ680" s="2">
        <f>IF(OR($AS680="",$D$6=""),"",TRIM(INDEX($A:$AP,ROW(),$D$6)&amp;""))</f>
        <v/>
      </c>
      <c r="BA680" s="2">
        <f>IF($AS680="","",IF(AND($AS680&gt;=설정!$B$10,$AS680&lt;=설정!$B$11),"포함","기간 밖"))</f>
        <v/>
      </c>
      <c r="BB680" s="2">
        <f>IF($AS680="","",IF(OR($AT680&lt;0,AND($I$6&lt;&gt;"",ISNUMBER(FIND("수정",INDEX($A:$AP,ROW(),IF($I$6="",1,$I$6))&amp;"")))),"수정","일반"))</f>
        <v/>
      </c>
      <c r="BC680" s="2">
        <f>IF($AS680="","",MID(IF($BA680="기간 밖"," / 기간 밖(신고기간 아님)","")&amp;IF(AND($AW680&lt;&gt;"",COUNTIF($AW$8:$AW$1007,$AW680)&gt;1)," / 승인번호 중복(두 번 붙여넣기?)","")&amp;IF(ABS($AU680-ROUND($AT680*0.1,0))&gt;설정!$B$8,IF($AU680=0," / 세액 0원(영세율·면세 여부 확인)"," / 세액이 공급가액 10%와 다름"),"")&amp;IF($BB680="수정"," / 수정세금계산서(합계에서 자동 가감)",""),4,200))</f>
        <v/>
      </c>
      <c r="BD680" s="2">
        <f>IF($BA680&lt;&gt;"포함","",IF(COUNTIFS($AX$8:$AX680,$AX680,$BA$8:$BA680,"포함")=1,MAX($BD$7:BD679)+1,""))</f>
        <v/>
      </c>
      <c r="BE680" s="2">
        <f>IF($BC680="","",MAX($BE$7:BE679)+1)</f>
        <v/>
      </c>
    </row>
    <row r="681">
      <c r="AR681" s="2">
        <f>IF(OR($A$5="",$B$6="",ROW()&lt;$A$5),"",IF(INDEX($A:$AP,ROW(),$B$6)="","",INDEX($A:$AP,ROW(),$B$6)))</f>
        <v/>
      </c>
      <c r="AS681" s="22">
        <f>IF($AR681="","",IF(ISNUMBER($AR681),IF($AR681&gt;=10000000,IFERROR(DATE(INT($AR681/10000),MOD(INT($AR681/100),100),MOD($AR681,100)),""),INT($AR681)),IFERROR(DATE(--LEFT(LEFT(SUBSTITUTE(SUBSTITUTE(SUBSTITUTE(SUBSTITUTE(TRIM($AR681),"-",""),".",""),"/","")," ",""),8),4),--MID(LEFT(SUBSTITUTE(SUBSTITUTE(SUBSTITUTE(SUBSTITUTE(TRIM($AR681),"-",""),".",""),"/","")," ",""),8),5,2),--MID(LEFT(SUBSTITUTE(SUBSTITUTE(SUBSTITUTE(SUBSTITUTE(TRIM($AR681),"-",""),".",""),"/","")," ",""),8),7,2)),"")))</f>
        <v/>
      </c>
      <c r="AT681" s="23">
        <f>IF($AS681="","",IF($F$6="",0,IF(ISNUMBER(INDEX($A:$AP,ROW(),$F$6)),INDEX($A:$AP,ROW(),$F$6),IFERROR(--SUBSTITUTE(SUBSTITUTE(TRIM(INDEX($A:$AP,ROW(),$F$6)),",",""),"원",""),0))))</f>
        <v/>
      </c>
      <c r="AU681" s="23">
        <f>IF($AS681="","",IF($G$6="",0,IF(ISNUMBER(INDEX($A:$AP,ROW(),$G$6)),INDEX($A:$AP,ROW(),$G$6),IFERROR(--SUBSTITUTE(SUBSTITUTE(TRIM(INDEX($A:$AP,ROW(),$G$6)),",",""),"원",""),0))))</f>
        <v/>
      </c>
      <c r="AV681" s="23">
        <f>IF($AS681="","",IF($H$6="",$AT681+$AU681,IF($H$6="",0,IF(ISNUMBER(INDEX($A:$AP,ROW(),$H$6)),INDEX($A:$AP,ROW(),$H$6),IFERROR(--SUBSTITUTE(SUBSTITUTE(TRIM(INDEX($A:$AP,ROW(),$H$6)),",",""),"원",""),0)))))</f>
        <v/>
      </c>
      <c r="AW681" s="2">
        <f>IF(OR($AS681="",$C$6=""),"",TRIM(INDEX($A:$AP,ROW(),$C$6)&amp;""))</f>
        <v/>
      </c>
      <c r="AX681" s="2">
        <f>IF($AS681="","",IF($AZ681&lt;&gt;"",SUBSTITUTE(SUBSTITUTE($AZ681,"-","")," ",""),$AY681))</f>
        <v/>
      </c>
      <c r="AY681" s="2">
        <f>IF(OR($AS681="",$E$6=""),"",TRIM(INDEX($A:$AP,ROW(),$E$6)&amp;""))</f>
        <v/>
      </c>
      <c r="AZ681" s="2">
        <f>IF(OR($AS681="",$D$6=""),"",TRIM(INDEX($A:$AP,ROW(),$D$6)&amp;""))</f>
        <v/>
      </c>
      <c r="BA681" s="2">
        <f>IF($AS681="","",IF(AND($AS681&gt;=설정!$B$10,$AS681&lt;=설정!$B$11),"포함","기간 밖"))</f>
        <v/>
      </c>
      <c r="BB681" s="2">
        <f>IF($AS681="","",IF(OR($AT681&lt;0,AND($I$6&lt;&gt;"",ISNUMBER(FIND("수정",INDEX($A:$AP,ROW(),IF($I$6="",1,$I$6))&amp;"")))),"수정","일반"))</f>
        <v/>
      </c>
      <c r="BC681" s="2">
        <f>IF($AS681="","",MID(IF($BA681="기간 밖"," / 기간 밖(신고기간 아님)","")&amp;IF(AND($AW681&lt;&gt;"",COUNTIF($AW$8:$AW$1007,$AW681)&gt;1)," / 승인번호 중복(두 번 붙여넣기?)","")&amp;IF(ABS($AU681-ROUND($AT681*0.1,0))&gt;설정!$B$8,IF($AU681=0," / 세액 0원(영세율·면세 여부 확인)"," / 세액이 공급가액 10%와 다름"),"")&amp;IF($BB681="수정"," / 수정세금계산서(합계에서 자동 가감)",""),4,200))</f>
        <v/>
      </c>
      <c r="BD681" s="2">
        <f>IF($BA681&lt;&gt;"포함","",IF(COUNTIFS($AX$8:$AX681,$AX681,$BA$8:$BA681,"포함")=1,MAX($BD$7:BD680)+1,""))</f>
        <v/>
      </c>
      <c r="BE681" s="2">
        <f>IF($BC681="","",MAX($BE$7:BE680)+1)</f>
        <v/>
      </c>
    </row>
    <row r="682">
      <c r="AR682" s="2">
        <f>IF(OR($A$5="",$B$6="",ROW()&lt;$A$5),"",IF(INDEX($A:$AP,ROW(),$B$6)="","",INDEX($A:$AP,ROW(),$B$6)))</f>
        <v/>
      </c>
      <c r="AS682" s="22">
        <f>IF($AR682="","",IF(ISNUMBER($AR682),IF($AR682&gt;=10000000,IFERROR(DATE(INT($AR682/10000),MOD(INT($AR682/100),100),MOD($AR682,100)),""),INT($AR682)),IFERROR(DATE(--LEFT(LEFT(SUBSTITUTE(SUBSTITUTE(SUBSTITUTE(SUBSTITUTE(TRIM($AR682),"-",""),".",""),"/","")," ",""),8),4),--MID(LEFT(SUBSTITUTE(SUBSTITUTE(SUBSTITUTE(SUBSTITUTE(TRIM($AR682),"-",""),".",""),"/","")," ",""),8),5,2),--MID(LEFT(SUBSTITUTE(SUBSTITUTE(SUBSTITUTE(SUBSTITUTE(TRIM($AR682),"-",""),".",""),"/","")," ",""),8),7,2)),"")))</f>
        <v/>
      </c>
      <c r="AT682" s="23">
        <f>IF($AS682="","",IF($F$6="",0,IF(ISNUMBER(INDEX($A:$AP,ROW(),$F$6)),INDEX($A:$AP,ROW(),$F$6),IFERROR(--SUBSTITUTE(SUBSTITUTE(TRIM(INDEX($A:$AP,ROW(),$F$6)),",",""),"원",""),0))))</f>
        <v/>
      </c>
      <c r="AU682" s="23">
        <f>IF($AS682="","",IF($G$6="",0,IF(ISNUMBER(INDEX($A:$AP,ROW(),$G$6)),INDEX($A:$AP,ROW(),$G$6),IFERROR(--SUBSTITUTE(SUBSTITUTE(TRIM(INDEX($A:$AP,ROW(),$G$6)),",",""),"원",""),0))))</f>
        <v/>
      </c>
      <c r="AV682" s="23">
        <f>IF($AS682="","",IF($H$6="",$AT682+$AU682,IF($H$6="",0,IF(ISNUMBER(INDEX($A:$AP,ROW(),$H$6)),INDEX($A:$AP,ROW(),$H$6),IFERROR(--SUBSTITUTE(SUBSTITUTE(TRIM(INDEX($A:$AP,ROW(),$H$6)),",",""),"원",""),0)))))</f>
        <v/>
      </c>
      <c r="AW682" s="2">
        <f>IF(OR($AS682="",$C$6=""),"",TRIM(INDEX($A:$AP,ROW(),$C$6)&amp;""))</f>
        <v/>
      </c>
      <c r="AX682" s="2">
        <f>IF($AS682="","",IF($AZ682&lt;&gt;"",SUBSTITUTE(SUBSTITUTE($AZ682,"-","")," ",""),$AY682))</f>
        <v/>
      </c>
      <c r="AY682" s="2">
        <f>IF(OR($AS682="",$E$6=""),"",TRIM(INDEX($A:$AP,ROW(),$E$6)&amp;""))</f>
        <v/>
      </c>
      <c r="AZ682" s="2">
        <f>IF(OR($AS682="",$D$6=""),"",TRIM(INDEX($A:$AP,ROW(),$D$6)&amp;""))</f>
        <v/>
      </c>
      <c r="BA682" s="2">
        <f>IF($AS682="","",IF(AND($AS682&gt;=설정!$B$10,$AS682&lt;=설정!$B$11),"포함","기간 밖"))</f>
        <v/>
      </c>
      <c r="BB682" s="2">
        <f>IF($AS682="","",IF(OR($AT682&lt;0,AND($I$6&lt;&gt;"",ISNUMBER(FIND("수정",INDEX($A:$AP,ROW(),IF($I$6="",1,$I$6))&amp;"")))),"수정","일반"))</f>
        <v/>
      </c>
      <c r="BC682" s="2">
        <f>IF($AS682="","",MID(IF($BA682="기간 밖"," / 기간 밖(신고기간 아님)","")&amp;IF(AND($AW682&lt;&gt;"",COUNTIF($AW$8:$AW$1007,$AW682)&gt;1)," / 승인번호 중복(두 번 붙여넣기?)","")&amp;IF(ABS($AU682-ROUND($AT682*0.1,0))&gt;설정!$B$8,IF($AU682=0," / 세액 0원(영세율·면세 여부 확인)"," / 세액이 공급가액 10%와 다름"),"")&amp;IF($BB682="수정"," / 수정세금계산서(합계에서 자동 가감)",""),4,200))</f>
        <v/>
      </c>
      <c r="BD682" s="2">
        <f>IF($BA682&lt;&gt;"포함","",IF(COUNTIFS($AX$8:$AX682,$AX682,$BA$8:$BA682,"포함")=1,MAX($BD$7:BD681)+1,""))</f>
        <v/>
      </c>
      <c r="BE682" s="2">
        <f>IF($BC682="","",MAX($BE$7:BE681)+1)</f>
        <v/>
      </c>
    </row>
    <row r="683">
      <c r="AR683" s="2">
        <f>IF(OR($A$5="",$B$6="",ROW()&lt;$A$5),"",IF(INDEX($A:$AP,ROW(),$B$6)="","",INDEX($A:$AP,ROW(),$B$6)))</f>
        <v/>
      </c>
      <c r="AS683" s="22">
        <f>IF($AR683="","",IF(ISNUMBER($AR683),IF($AR683&gt;=10000000,IFERROR(DATE(INT($AR683/10000),MOD(INT($AR683/100),100),MOD($AR683,100)),""),INT($AR683)),IFERROR(DATE(--LEFT(LEFT(SUBSTITUTE(SUBSTITUTE(SUBSTITUTE(SUBSTITUTE(TRIM($AR683),"-",""),".",""),"/","")," ",""),8),4),--MID(LEFT(SUBSTITUTE(SUBSTITUTE(SUBSTITUTE(SUBSTITUTE(TRIM($AR683),"-",""),".",""),"/","")," ",""),8),5,2),--MID(LEFT(SUBSTITUTE(SUBSTITUTE(SUBSTITUTE(SUBSTITUTE(TRIM($AR683),"-",""),".",""),"/","")," ",""),8),7,2)),"")))</f>
        <v/>
      </c>
      <c r="AT683" s="23">
        <f>IF($AS683="","",IF($F$6="",0,IF(ISNUMBER(INDEX($A:$AP,ROW(),$F$6)),INDEX($A:$AP,ROW(),$F$6),IFERROR(--SUBSTITUTE(SUBSTITUTE(TRIM(INDEX($A:$AP,ROW(),$F$6)),",",""),"원",""),0))))</f>
        <v/>
      </c>
      <c r="AU683" s="23">
        <f>IF($AS683="","",IF($G$6="",0,IF(ISNUMBER(INDEX($A:$AP,ROW(),$G$6)),INDEX($A:$AP,ROW(),$G$6),IFERROR(--SUBSTITUTE(SUBSTITUTE(TRIM(INDEX($A:$AP,ROW(),$G$6)),",",""),"원",""),0))))</f>
        <v/>
      </c>
      <c r="AV683" s="23">
        <f>IF($AS683="","",IF($H$6="",$AT683+$AU683,IF($H$6="",0,IF(ISNUMBER(INDEX($A:$AP,ROW(),$H$6)),INDEX($A:$AP,ROW(),$H$6),IFERROR(--SUBSTITUTE(SUBSTITUTE(TRIM(INDEX($A:$AP,ROW(),$H$6)),",",""),"원",""),0)))))</f>
        <v/>
      </c>
      <c r="AW683" s="2">
        <f>IF(OR($AS683="",$C$6=""),"",TRIM(INDEX($A:$AP,ROW(),$C$6)&amp;""))</f>
        <v/>
      </c>
      <c r="AX683" s="2">
        <f>IF($AS683="","",IF($AZ683&lt;&gt;"",SUBSTITUTE(SUBSTITUTE($AZ683,"-","")," ",""),$AY683))</f>
        <v/>
      </c>
      <c r="AY683" s="2">
        <f>IF(OR($AS683="",$E$6=""),"",TRIM(INDEX($A:$AP,ROW(),$E$6)&amp;""))</f>
        <v/>
      </c>
      <c r="AZ683" s="2">
        <f>IF(OR($AS683="",$D$6=""),"",TRIM(INDEX($A:$AP,ROW(),$D$6)&amp;""))</f>
        <v/>
      </c>
      <c r="BA683" s="2">
        <f>IF($AS683="","",IF(AND($AS683&gt;=설정!$B$10,$AS683&lt;=설정!$B$11),"포함","기간 밖"))</f>
        <v/>
      </c>
      <c r="BB683" s="2">
        <f>IF($AS683="","",IF(OR($AT683&lt;0,AND($I$6&lt;&gt;"",ISNUMBER(FIND("수정",INDEX($A:$AP,ROW(),IF($I$6="",1,$I$6))&amp;"")))),"수정","일반"))</f>
        <v/>
      </c>
      <c r="BC683" s="2">
        <f>IF($AS683="","",MID(IF($BA683="기간 밖"," / 기간 밖(신고기간 아님)","")&amp;IF(AND($AW683&lt;&gt;"",COUNTIF($AW$8:$AW$1007,$AW683)&gt;1)," / 승인번호 중복(두 번 붙여넣기?)","")&amp;IF(ABS($AU683-ROUND($AT683*0.1,0))&gt;설정!$B$8,IF($AU683=0," / 세액 0원(영세율·면세 여부 확인)"," / 세액이 공급가액 10%와 다름"),"")&amp;IF($BB683="수정"," / 수정세금계산서(합계에서 자동 가감)",""),4,200))</f>
        <v/>
      </c>
      <c r="BD683" s="2">
        <f>IF($BA683&lt;&gt;"포함","",IF(COUNTIFS($AX$8:$AX683,$AX683,$BA$8:$BA683,"포함")=1,MAX($BD$7:BD682)+1,""))</f>
        <v/>
      </c>
      <c r="BE683" s="2">
        <f>IF($BC683="","",MAX($BE$7:BE682)+1)</f>
        <v/>
      </c>
    </row>
    <row r="684">
      <c r="AR684" s="2">
        <f>IF(OR($A$5="",$B$6="",ROW()&lt;$A$5),"",IF(INDEX($A:$AP,ROW(),$B$6)="","",INDEX($A:$AP,ROW(),$B$6)))</f>
        <v/>
      </c>
      <c r="AS684" s="22">
        <f>IF($AR684="","",IF(ISNUMBER($AR684),IF($AR684&gt;=10000000,IFERROR(DATE(INT($AR684/10000),MOD(INT($AR684/100),100),MOD($AR684,100)),""),INT($AR684)),IFERROR(DATE(--LEFT(LEFT(SUBSTITUTE(SUBSTITUTE(SUBSTITUTE(SUBSTITUTE(TRIM($AR684),"-",""),".",""),"/","")," ",""),8),4),--MID(LEFT(SUBSTITUTE(SUBSTITUTE(SUBSTITUTE(SUBSTITUTE(TRIM($AR684),"-",""),".",""),"/","")," ",""),8),5,2),--MID(LEFT(SUBSTITUTE(SUBSTITUTE(SUBSTITUTE(SUBSTITUTE(TRIM($AR684),"-",""),".",""),"/","")," ",""),8),7,2)),"")))</f>
        <v/>
      </c>
      <c r="AT684" s="23">
        <f>IF($AS684="","",IF($F$6="",0,IF(ISNUMBER(INDEX($A:$AP,ROW(),$F$6)),INDEX($A:$AP,ROW(),$F$6),IFERROR(--SUBSTITUTE(SUBSTITUTE(TRIM(INDEX($A:$AP,ROW(),$F$6)),",",""),"원",""),0))))</f>
        <v/>
      </c>
      <c r="AU684" s="23">
        <f>IF($AS684="","",IF($G$6="",0,IF(ISNUMBER(INDEX($A:$AP,ROW(),$G$6)),INDEX($A:$AP,ROW(),$G$6),IFERROR(--SUBSTITUTE(SUBSTITUTE(TRIM(INDEX($A:$AP,ROW(),$G$6)),",",""),"원",""),0))))</f>
        <v/>
      </c>
      <c r="AV684" s="23">
        <f>IF($AS684="","",IF($H$6="",$AT684+$AU684,IF($H$6="",0,IF(ISNUMBER(INDEX($A:$AP,ROW(),$H$6)),INDEX($A:$AP,ROW(),$H$6),IFERROR(--SUBSTITUTE(SUBSTITUTE(TRIM(INDEX($A:$AP,ROW(),$H$6)),",",""),"원",""),0)))))</f>
        <v/>
      </c>
      <c r="AW684" s="2">
        <f>IF(OR($AS684="",$C$6=""),"",TRIM(INDEX($A:$AP,ROW(),$C$6)&amp;""))</f>
        <v/>
      </c>
      <c r="AX684" s="2">
        <f>IF($AS684="","",IF($AZ684&lt;&gt;"",SUBSTITUTE(SUBSTITUTE($AZ684,"-","")," ",""),$AY684))</f>
        <v/>
      </c>
      <c r="AY684" s="2">
        <f>IF(OR($AS684="",$E$6=""),"",TRIM(INDEX($A:$AP,ROW(),$E$6)&amp;""))</f>
        <v/>
      </c>
      <c r="AZ684" s="2">
        <f>IF(OR($AS684="",$D$6=""),"",TRIM(INDEX($A:$AP,ROW(),$D$6)&amp;""))</f>
        <v/>
      </c>
      <c r="BA684" s="2">
        <f>IF($AS684="","",IF(AND($AS684&gt;=설정!$B$10,$AS684&lt;=설정!$B$11),"포함","기간 밖"))</f>
        <v/>
      </c>
      <c r="BB684" s="2">
        <f>IF($AS684="","",IF(OR($AT684&lt;0,AND($I$6&lt;&gt;"",ISNUMBER(FIND("수정",INDEX($A:$AP,ROW(),IF($I$6="",1,$I$6))&amp;"")))),"수정","일반"))</f>
        <v/>
      </c>
      <c r="BC684" s="2">
        <f>IF($AS684="","",MID(IF($BA684="기간 밖"," / 기간 밖(신고기간 아님)","")&amp;IF(AND($AW684&lt;&gt;"",COUNTIF($AW$8:$AW$1007,$AW684)&gt;1)," / 승인번호 중복(두 번 붙여넣기?)","")&amp;IF(ABS($AU684-ROUND($AT684*0.1,0))&gt;설정!$B$8,IF($AU684=0," / 세액 0원(영세율·면세 여부 확인)"," / 세액이 공급가액 10%와 다름"),"")&amp;IF($BB684="수정"," / 수정세금계산서(합계에서 자동 가감)",""),4,200))</f>
        <v/>
      </c>
      <c r="BD684" s="2">
        <f>IF($BA684&lt;&gt;"포함","",IF(COUNTIFS($AX$8:$AX684,$AX684,$BA$8:$BA684,"포함")=1,MAX($BD$7:BD683)+1,""))</f>
        <v/>
      </c>
      <c r="BE684" s="2">
        <f>IF($BC684="","",MAX($BE$7:BE683)+1)</f>
        <v/>
      </c>
    </row>
    <row r="685">
      <c r="AR685" s="2">
        <f>IF(OR($A$5="",$B$6="",ROW()&lt;$A$5),"",IF(INDEX($A:$AP,ROW(),$B$6)="","",INDEX($A:$AP,ROW(),$B$6)))</f>
        <v/>
      </c>
      <c r="AS685" s="22">
        <f>IF($AR685="","",IF(ISNUMBER($AR685),IF($AR685&gt;=10000000,IFERROR(DATE(INT($AR685/10000),MOD(INT($AR685/100),100),MOD($AR685,100)),""),INT($AR685)),IFERROR(DATE(--LEFT(LEFT(SUBSTITUTE(SUBSTITUTE(SUBSTITUTE(SUBSTITUTE(TRIM($AR685),"-",""),".",""),"/","")," ",""),8),4),--MID(LEFT(SUBSTITUTE(SUBSTITUTE(SUBSTITUTE(SUBSTITUTE(TRIM($AR685),"-",""),".",""),"/","")," ",""),8),5,2),--MID(LEFT(SUBSTITUTE(SUBSTITUTE(SUBSTITUTE(SUBSTITUTE(TRIM($AR685),"-",""),".",""),"/","")," ",""),8),7,2)),"")))</f>
        <v/>
      </c>
      <c r="AT685" s="23">
        <f>IF($AS685="","",IF($F$6="",0,IF(ISNUMBER(INDEX($A:$AP,ROW(),$F$6)),INDEX($A:$AP,ROW(),$F$6),IFERROR(--SUBSTITUTE(SUBSTITUTE(TRIM(INDEX($A:$AP,ROW(),$F$6)),",",""),"원",""),0))))</f>
        <v/>
      </c>
      <c r="AU685" s="23">
        <f>IF($AS685="","",IF($G$6="",0,IF(ISNUMBER(INDEX($A:$AP,ROW(),$G$6)),INDEX($A:$AP,ROW(),$G$6),IFERROR(--SUBSTITUTE(SUBSTITUTE(TRIM(INDEX($A:$AP,ROW(),$G$6)),",",""),"원",""),0))))</f>
        <v/>
      </c>
      <c r="AV685" s="23">
        <f>IF($AS685="","",IF($H$6="",$AT685+$AU685,IF($H$6="",0,IF(ISNUMBER(INDEX($A:$AP,ROW(),$H$6)),INDEX($A:$AP,ROW(),$H$6),IFERROR(--SUBSTITUTE(SUBSTITUTE(TRIM(INDEX($A:$AP,ROW(),$H$6)),",",""),"원",""),0)))))</f>
        <v/>
      </c>
      <c r="AW685" s="2">
        <f>IF(OR($AS685="",$C$6=""),"",TRIM(INDEX($A:$AP,ROW(),$C$6)&amp;""))</f>
        <v/>
      </c>
      <c r="AX685" s="2">
        <f>IF($AS685="","",IF($AZ685&lt;&gt;"",SUBSTITUTE(SUBSTITUTE($AZ685,"-","")," ",""),$AY685))</f>
        <v/>
      </c>
      <c r="AY685" s="2">
        <f>IF(OR($AS685="",$E$6=""),"",TRIM(INDEX($A:$AP,ROW(),$E$6)&amp;""))</f>
        <v/>
      </c>
      <c r="AZ685" s="2">
        <f>IF(OR($AS685="",$D$6=""),"",TRIM(INDEX($A:$AP,ROW(),$D$6)&amp;""))</f>
        <v/>
      </c>
      <c r="BA685" s="2">
        <f>IF($AS685="","",IF(AND($AS685&gt;=설정!$B$10,$AS685&lt;=설정!$B$11),"포함","기간 밖"))</f>
        <v/>
      </c>
      <c r="BB685" s="2">
        <f>IF($AS685="","",IF(OR($AT685&lt;0,AND($I$6&lt;&gt;"",ISNUMBER(FIND("수정",INDEX($A:$AP,ROW(),IF($I$6="",1,$I$6))&amp;"")))),"수정","일반"))</f>
        <v/>
      </c>
      <c r="BC685" s="2">
        <f>IF($AS685="","",MID(IF($BA685="기간 밖"," / 기간 밖(신고기간 아님)","")&amp;IF(AND($AW685&lt;&gt;"",COUNTIF($AW$8:$AW$1007,$AW685)&gt;1)," / 승인번호 중복(두 번 붙여넣기?)","")&amp;IF(ABS($AU685-ROUND($AT685*0.1,0))&gt;설정!$B$8,IF($AU685=0," / 세액 0원(영세율·면세 여부 확인)"," / 세액이 공급가액 10%와 다름"),"")&amp;IF($BB685="수정"," / 수정세금계산서(합계에서 자동 가감)",""),4,200))</f>
        <v/>
      </c>
      <c r="BD685" s="2">
        <f>IF($BA685&lt;&gt;"포함","",IF(COUNTIFS($AX$8:$AX685,$AX685,$BA$8:$BA685,"포함")=1,MAX($BD$7:BD684)+1,""))</f>
        <v/>
      </c>
      <c r="BE685" s="2">
        <f>IF($BC685="","",MAX($BE$7:BE684)+1)</f>
        <v/>
      </c>
    </row>
    <row r="686">
      <c r="AR686" s="2">
        <f>IF(OR($A$5="",$B$6="",ROW()&lt;$A$5),"",IF(INDEX($A:$AP,ROW(),$B$6)="","",INDEX($A:$AP,ROW(),$B$6)))</f>
        <v/>
      </c>
      <c r="AS686" s="22">
        <f>IF($AR686="","",IF(ISNUMBER($AR686),IF($AR686&gt;=10000000,IFERROR(DATE(INT($AR686/10000),MOD(INT($AR686/100),100),MOD($AR686,100)),""),INT($AR686)),IFERROR(DATE(--LEFT(LEFT(SUBSTITUTE(SUBSTITUTE(SUBSTITUTE(SUBSTITUTE(TRIM($AR686),"-",""),".",""),"/","")," ",""),8),4),--MID(LEFT(SUBSTITUTE(SUBSTITUTE(SUBSTITUTE(SUBSTITUTE(TRIM($AR686),"-",""),".",""),"/","")," ",""),8),5,2),--MID(LEFT(SUBSTITUTE(SUBSTITUTE(SUBSTITUTE(SUBSTITUTE(TRIM($AR686),"-",""),".",""),"/","")," ",""),8),7,2)),"")))</f>
        <v/>
      </c>
      <c r="AT686" s="23">
        <f>IF($AS686="","",IF($F$6="",0,IF(ISNUMBER(INDEX($A:$AP,ROW(),$F$6)),INDEX($A:$AP,ROW(),$F$6),IFERROR(--SUBSTITUTE(SUBSTITUTE(TRIM(INDEX($A:$AP,ROW(),$F$6)),",",""),"원",""),0))))</f>
        <v/>
      </c>
      <c r="AU686" s="23">
        <f>IF($AS686="","",IF($G$6="",0,IF(ISNUMBER(INDEX($A:$AP,ROW(),$G$6)),INDEX($A:$AP,ROW(),$G$6),IFERROR(--SUBSTITUTE(SUBSTITUTE(TRIM(INDEX($A:$AP,ROW(),$G$6)),",",""),"원",""),0))))</f>
        <v/>
      </c>
      <c r="AV686" s="23">
        <f>IF($AS686="","",IF($H$6="",$AT686+$AU686,IF($H$6="",0,IF(ISNUMBER(INDEX($A:$AP,ROW(),$H$6)),INDEX($A:$AP,ROW(),$H$6),IFERROR(--SUBSTITUTE(SUBSTITUTE(TRIM(INDEX($A:$AP,ROW(),$H$6)),",",""),"원",""),0)))))</f>
        <v/>
      </c>
      <c r="AW686" s="2">
        <f>IF(OR($AS686="",$C$6=""),"",TRIM(INDEX($A:$AP,ROW(),$C$6)&amp;""))</f>
        <v/>
      </c>
      <c r="AX686" s="2">
        <f>IF($AS686="","",IF($AZ686&lt;&gt;"",SUBSTITUTE(SUBSTITUTE($AZ686,"-","")," ",""),$AY686))</f>
        <v/>
      </c>
      <c r="AY686" s="2">
        <f>IF(OR($AS686="",$E$6=""),"",TRIM(INDEX($A:$AP,ROW(),$E$6)&amp;""))</f>
        <v/>
      </c>
      <c r="AZ686" s="2">
        <f>IF(OR($AS686="",$D$6=""),"",TRIM(INDEX($A:$AP,ROW(),$D$6)&amp;""))</f>
        <v/>
      </c>
      <c r="BA686" s="2">
        <f>IF($AS686="","",IF(AND($AS686&gt;=설정!$B$10,$AS686&lt;=설정!$B$11),"포함","기간 밖"))</f>
        <v/>
      </c>
      <c r="BB686" s="2">
        <f>IF($AS686="","",IF(OR($AT686&lt;0,AND($I$6&lt;&gt;"",ISNUMBER(FIND("수정",INDEX($A:$AP,ROW(),IF($I$6="",1,$I$6))&amp;"")))),"수정","일반"))</f>
        <v/>
      </c>
      <c r="BC686" s="2">
        <f>IF($AS686="","",MID(IF($BA686="기간 밖"," / 기간 밖(신고기간 아님)","")&amp;IF(AND($AW686&lt;&gt;"",COUNTIF($AW$8:$AW$1007,$AW686)&gt;1)," / 승인번호 중복(두 번 붙여넣기?)","")&amp;IF(ABS($AU686-ROUND($AT686*0.1,0))&gt;설정!$B$8,IF($AU686=0," / 세액 0원(영세율·면세 여부 확인)"," / 세액이 공급가액 10%와 다름"),"")&amp;IF($BB686="수정"," / 수정세금계산서(합계에서 자동 가감)",""),4,200))</f>
        <v/>
      </c>
      <c r="BD686" s="2">
        <f>IF($BA686&lt;&gt;"포함","",IF(COUNTIFS($AX$8:$AX686,$AX686,$BA$8:$BA686,"포함")=1,MAX($BD$7:BD685)+1,""))</f>
        <v/>
      </c>
      <c r="BE686" s="2">
        <f>IF($BC686="","",MAX($BE$7:BE685)+1)</f>
        <v/>
      </c>
    </row>
    <row r="687">
      <c r="AR687" s="2">
        <f>IF(OR($A$5="",$B$6="",ROW()&lt;$A$5),"",IF(INDEX($A:$AP,ROW(),$B$6)="","",INDEX($A:$AP,ROW(),$B$6)))</f>
        <v/>
      </c>
      <c r="AS687" s="22">
        <f>IF($AR687="","",IF(ISNUMBER($AR687),IF($AR687&gt;=10000000,IFERROR(DATE(INT($AR687/10000),MOD(INT($AR687/100),100),MOD($AR687,100)),""),INT($AR687)),IFERROR(DATE(--LEFT(LEFT(SUBSTITUTE(SUBSTITUTE(SUBSTITUTE(SUBSTITUTE(TRIM($AR687),"-",""),".",""),"/","")," ",""),8),4),--MID(LEFT(SUBSTITUTE(SUBSTITUTE(SUBSTITUTE(SUBSTITUTE(TRIM($AR687),"-",""),".",""),"/","")," ",""),8),5,2),--MID(LEFT(SUBSTITUTE(SUBSTITUTE(SUBSTITUTE(SUBSTITUTE(TRIM($AR687),"-",""),".",""),"/","")," ",""),8),7,2)),"")))</f>
        <v/>
      </c>
      <c r="AT687" s="23">
        <f>IF($AS687="","",IF($F$6="",0,IF(ISNUMBER(INDEX($A:$AP,ROW(),$F$6)),INDEX($A:$AP,ROW(),$F$6),IFERROR(--SUBSTITUTE(SUBSTITUTE(TRIM(INDEX($A:$AP,ROW(),$F$6)),",",""),"원",""),0))))</f>
        <v/>
      </c>
      <c r="AU687" s="23">
        <f>IF($AS687="","",IF($G$6="",0,IF(ISNUMBER(INDEX($A:$AP,ROW(),$G$6)),INDEX($A:$AP,ROW(),$G$6),IFERROR(--SUBSTITUTE(SUBSTITUTE(TRIM(INDEX($A:$AP,ROW(),$G$6)),",",""),"원",""),0))))</f>
        <v/>
      </c>
      <c r="AV687" s="23">
        <f>IF($AS687="","",IF($H$6="",$AT687+$AU687,IF($H$6="",0,IF(ISNUMBER(INDEX($A:$AP,ROW(),$H$6)),INDEX($A:$AP,ROW(),$H$6),IFERROR(--SUBSTITUTE(SUBSTITUTE(TRIM(INDEX($A:$AP,ROW(),$H$6)),",",""),"원",""),0)))))</f>
        <v/>
      </c>
      <c r="AW687" s="2">
        <f>IF(OR($AS687="",$C$6=""),"",TRIM(INDEX($A:$AP,ROW(),$C$6)&amp;""))</f>
        <v/>
      </c>
      <c r="AX687" s="2">
        <f>IF($AS687="","",IF($AZ687&lt;&gt;"",SUBSTITUTE(SUBSTITUTE($AZ687,"-","")," ",""),$AY687))</f>
        <v/>
      </c>
      <c r="AY687" s="2">
        <f>IF(OR($AS687="",$E$6=""),"",TRIM(INDEX($A:$AP,ROW(),$E$6)&amp;""))</f>
        <v/>
      </c>
      <c r="AZ687" s="2">
        <f>IF(OR($AS687="",$D$6=""),"",TRIM(INDEX($A:$AP,ROW(),$D$6)&amp;""))</f>
        <v/>
      </c>
      <c r="BA687" s="2">
        <f>IF($AS687="","",IF(AND($AS687&gt;=설정!$B$10,$AS687&lt;=설정!$B$11),"포함","기간 밖"))</f>
        <v/>
      </c>
      <c r="BB687" s="2">
        <f>IF($AS687="","",IF(OR($AT687&lt;0,AND($I$6&lt;&gt;"",ISNUMBER(FIND("수정",INDEX($A:$AP,ROW(),IF($I$6="",1,$I$6))&amp;"")))),"수정","일반"))</f>
        <v/>
      </c>
      <c r="BC687" s="2">
        <f>IF($AS687="","",MID(IF($BA687="기간 밖"," / 기간 밖(신고기간 아님)","")&amp;IF(AND($AW687&lt;&gt;"",COUNTIF($AW$8:$AW$1007,$AW687)&gt;1)," / 승인번호 중복(두 번 붙여넣기?)","")&amp;IF(ABS($AU687-ROUND($AT687*0.1,0))&gt;설정!$B$8,IF($AU687=0," / 세액 0원(영세율·면세 여부 확인)"," / 세액이 공급가액 10%와 다름"),"")&amp;IF($BB687="수정"," / 수정세금계산서(합계에서 자동 가감)",""),4,200))</f>
        <v/>
      </c>
      <c r="BD687" s="2">
        <f>IF($BA687&lt;&gt;"포함","",IF(COUNTIFS($AX$8:$AX687,$AX687,$BA$8:$BA687,"포함")=1,MAX($BD$7:BD686)+1,""))</f>
        <v/>
      </c>
      <c r="BE687" s="2">
        <f>IF($BC687="","",MAX($BE$7:BE686)+1)</f>
        <v/>
      </c>
    </row>
    <row r="688">
      <c r="AR688" s="2">
        <f>IF(OR($A$5="",$B$6="",ROW()&lt;$A$5),"",IF(INDEX($A:$AP,ROW(),$B$6)="","",INDEX($A:$AP,ROW(),$B$6)))</f>
        <v/>
      </c>
      <c r="AS688" s="22">
        <f>IF($AR688="","",IF(ISNUMBER($AR688),IF($AR688&gt;=10000000,IFERROR(DATE(INT($AR688/10000),MOD(INT($AR688/100),100),MOD($AR688,100)),""),INT($AR688)),IFERROR(DATE(--LEFT(LEFT(SUBSTITUTE(SUBSTITUTE(SUBSTITUTE(SUBSTITUTE(TRIM($AR688),"-",""),".",""),"/","")," ",""),8),4),--MID(LEFT(SUBSTITUTE(SUBSTITUTE(SUBSTITUTE(SUBSTITUTE(TRIM($AR688),"-",""),".",""),"/","")," ",""),8),5,2),--MID(LEFT(SUBSTITUTE(SUBSTITUTE(SUBSTITUTE(SUBSTITUTE(TRIM($AR688),"-",""),".",""),"/","")," ",""),8),7,2)),"")))</f>
        <v/>
      </c>
      <c r="AT688" s="23">
        <f>IF($AS688="","",IF($F$6="",0,IF(ISNUMBER(INDEX($A:$AP,ROW(),$F$6)),INDEX($A:$AP,ROW(),$F$6),IFERROR(--SUBSTITUTE(SUBSTITUTE(TRIM(INDEX($A:$AP,ROW(),$F$6)),",",""),"원",""),0))))</f>
        <v/>
      </c>
      <c r="AU688" s="23">
        <f>IF($AS688="","",IF($G$6="",0,IF(ISNUMBER(INDEX($A:$AP,ROW(),$G$6)),INDEX($A:$AP,ROW(),$G$6),IFERROR(--SUBSTITUTE(SUBSTITUTE(TRIM(INDEX($A:$AP,ROW(),$G$6)),",",""),"원",""),0))))</f>
        <v/>
      </c>
      <c r="AV688" s="23">
        <f>IF($AS688="","",IF($H$6="",$AT688+$AU688,IF($H$6="",0,IF(ISNUMBER(INDEX($A:$AP,ROW(),$H$6)),INDEX($A:$AP,ROW(),$H$6),IFERROR(--SUBSTITUTE(SUBSTITUTE(TRIM(INDEX($A:$AP,ROW(),$H$6)),",",""),"원",""),0)))))</f>
        <v/>
      </c>
      <c r="AW688" s="2">
        <f>IF(OR($AS688="",$C$6=""),"",TRIM(INDEX($A:$AP,ROW(),$C$6)&amp;""))</f>
        <v/>
      </c>
      <c r="AX688" s="2">
        <f>IF($AS688="","",IF($AZ688&lt;&gt;"",SUBSTITUTE(SUBSTITUTE($AZ688,"-","")," ",""),$AY688))</f>
        <v/>
      </c>
      <c r="AY688" s="2">
        <f>IF(OR($AS688="",$E$6=""),"",TRIM(INDEX($A:$AP,ROW(),$E$6)&amp;""))</f>
        <v/>
      </c>
      <c r="AZ688" s="2">
        <f>IF(OR($AS688="",$D$6=""),"",TRIM(INDEX($A:$AP,ROW(),$D$6)&amp;""))</f>
        <v/>
      </c>
      <c r="BA688" s="2">
        <f>IF($AS688="","",IF(AND($AS688&gt;=설정!$B$10,$AS688&lt;=설정!$B$11),"포함","기간 밖"))</f>
        <v/>
      </c>
      <c r="BB688" s="2">
        <f>IF($AS688="","",IF(OR($AT688&lt;0,AND($I$6&lt;&gt;"",ISNUMBER(FIND("수정",INDEX($A:$AP,ROW(),IF($I$6="",1,$I$6))&amp;"")))),"수정","일반"))</f>
        <v/>
      </c>
      <c r="BC688" s="2">
        <f>IF($AS688="","",MID(IF($BA688="기간 밖"," / 기간 밖(신고기간 아님)","")&amp;IF(AND($AW688&lt;&gt;"",COUNTIF($AW$8:$AW$1007,$AW688)&gt;1)," / 승인번호 중복(두 번 붙여넣기?)","")&amp;IF(ABS($AU688-ROUND($AT688*0.1,0))&gt;설정!$B$8,IF($AU688=0," / 세액 0원(영세율·면세 여부 확인)"," / 세액이 공급가액 10%와 다름"),"")&amp;IF($BB688="수정"," / 수정세금계산서(합계에서 자동 가감)",""),4,200))</f>
        <v/>
      </c>
      <c r="BD688" s="2">
        <f>IF($BA688&lt;&gt;"포함","",IF(COUNTIFS($AX$8:$AX688,$AX688,$BA$8:$BA688,"포함")=1,MAX($BD$7:BD687)+1,""))</f>
        <v/>
      </c>
      <c r="BE688" s="2">
        <f>IF($BC688="","",MAX($BE$7:BE687)+1)</f>
        <v/>
      </c>
    </row>
    <row r="689">
      <c r="AR689" s="2">
        <f>IF(OR($A$5="",$B$6="",ROW()&lt;$A$5),"",IF(INDEX($A:$AP,ROW(),$B$6)="","",INDEX($A:$AP,ROW(),$B$6)))</f>
        <v/>
      </c>
      <c r="AS689" s="22">
        <f>IF($AR689="","",IF(ISNUMBER($AR689),IF($AR689&gt;=10000000,IFERROR(DATE(INT($AR689/10000),MOD(INT($AR689/100),100),MOD($AR689,100)),""),INT($AR689)),IFERROR(DATE(--LEFT(LEFT(SUBSTITUTE(SUBSTITUTE(SUBSTITUTE(SUBSTITUTE(TRIM($AR689),"-",""),".",""),"/","")," ",""),8),4),--MID(LEFT(SUBSTITUTE(SUBSTITUTE(SUBSTITUTE(SUBSTITUTE(TRIM($AR689),"-",""),".",""),"/","")," ",""),8),5,2),--MID(LEFT(SUBSTITUTE(SUBSTITUTE(SUBSTITUTE(SUBSTITUTE(TRIM($AR689),"-",""),".",""),"/","")," ",""),8),7,2)),"")))</f>
        <v/>
      </c>
      <c r="AT689" s="23">
        <f>IF($AS689="","",IF($F$6="",0,IF(ISNUMBER(INDEX($A:$AP,ROW(),$F$6)),INDEX($A:$AP,ROW(),$F$6),IFERROR(--SUBSTITUTE(SUBSTITUTE(TRIM(INDEX($A:$AP,ROW(),$F$6)),",",""),"원",""),0))))</f>
        <v/>
      </c>
      <c r="AU689" s="23">
        <f>IF($AS689="","",IF($G$6="",0,IF(ISNUMBER(INDEX($A:$AP,ROW(),$G$6)),INDEX($A:$AP,ROW(),$G$6),IFERROR(--SUBSTITUTE(SUBSTITUTE(TRIM(INDEX($A:$AP,ROW(),$G$6)),",",""),"원",""),0))))</f>
        <v/>
      </c>
      <c r="AV689" s="23">
        <f>IF($AS689="","",IF($H$6="",$AT689+$AU689,IF($H$6="",0,IF(ISNUMBER(INDEX($A:$AP,ROW(),$H$6)),INDEX($A:$AP,ROW(),$H$6),IFERROR(--SUBSTITUTE(SUBSTITUTE(TRIM(INDEX($A:$AP,ROW(),$H$6)),",",""),"원",""),0)))))</f>
        <v/>
      </c>
      <c r="AW689" s="2">
        <f>IF(OR($AS689="",$C$6=""),"",TRIM(INDEX($A:$AP,ROW(),$C$6)&amp;""))</f>
        <v/>
      </c>
      <c r="AX689" s="2">
        <f>IF($AS689="","",IF($AZ689&lt;&gt;"",SUBSTITUTE(SUBSTITUTE($AZ689,"-","")," ",""),$AY689))</f>
        <v/>
      </c>
      <c r="AY689" s="2">
        <f>IF(OR($AS689="",$E$6=""),"",TRIM(INDEX($A:$AP,ROW(),$E$6)&amp;""))</f>
        <v/>
      </c>
      <c r="AZ689" s="2">
        <f>IF(OR($AS689="",$D$6=""),"",TRIM(INDEX($A:$AP,ROW(),$D$6)&amp;""))</f>
        <v/>
      </c>
      <c r="BA689" s="2">
        <f>IF($AS689="","",IF(AND($AS689&gt;=설정!$B$10,$AS689&lt;=설정!$B$11),"포함","기간 밖"))</f>
        <v/>
      </c>
      <c r="BB689" s="2">
        <f>IF($AS689="","",IF(OR($AT689&lt;0,AND($I$6&lt;&gt;"",ISNUMBER(FIND("수정",INDEX($A:$AP,ROW(),IF($I$6="",1,$I$6))&amp;"")))),"수정","일반"))</f>
        <v/>
      </c>
      <c r="BC689" s="2">
        <f>IF($AS689="","",MID(IF($BA689="기간 밖"," / 기간 밖(신고기간 아님)","")&amp;IF(AND($AW689&lt;&gt;"",COUNTIF($AW$8:$AW$1007,$AW689)&gt;1)," / 승인번호 중복(두 번 붙여넣기?)","")&amp;IF(ABS($AU689-ROUND($AT689*0.1,0))&gt;설정!$B$8,IF($AU689=0," / 세액 0원(영세율·면세 여부 확인)"," / 세액이 공급가액 10%와 다름"),"")&amp;IF($BB689="수정"," / 수정세금계산서(합계에서 자동 가감)",""),4,200))</f>
        <v/>
      </c>
      <c r="BD689" s="2">
        <f>IF($BA689&lt;&gt;"포함","",IF(COUNTIFS($AX$8:$AX689,$AX689,$BA$8:$BA689,"포함")=1,MAX($BD$7:BD688)+1,""))</f>
        <v/>
      </c>
      <c r="BE689" s="2">
        <f>IF($BC689="","",MAX($BE$7:BE688)+1)</f>
        <v/>
      </c>
    </row>
    <row r="690">
      <c r="AR690" s="2">
        <f>IF(OR($A$5="",$B$6="",ROW()&lt;$A$5),"",IF(INDEX($A:$AP,ROW(),$B$6)="","",INDEX($A:$AP,ROW(),$B$6)))</f>
        <v/>
      </c>
      <c r="AS690" s="22">
        <f>IF($AR690="","",IF(ISNUMBER($AR690),IF($AR690&gt;=10000000,IFERROR(DATE(INT($AR690/10000),MOD(INT($AR690/100),100),MOD($AR690,100)),""),INT($AR690)),IFERROR(DATE(--LEFT(LEFT(SUBSTITUTE(SUBSTITUTE(SUBSTITUTE(SUBSTITUTE(TRIM($AR690),"-",""),".",""),"/","")," ",""),8),4),--MID(LEFT(SUBSTITUTE(SUBSTITUTE(SUBSTITUTE(SUBSTITUTE(TRIM($AR690),"-",""),".",""),"/","")," ",""),8),5,2),--MID(LEFT(SUBSTITUTE(SUBSTITUTE(SUBSTITUTE(SUBSTITUTE(TRIM($AR690),"-",""),".",""),"/","")," ",""),8),7,2)),"")))</f>
        <v/>
      </c>
      <c r="AT690" s="23">
        <f>IF($AS690="","",IF($F$6="",0,IF(ISNUMBER(INDEX($A:$AP,ROW(),$F$6)),INDEX($A:$AP,ROW(),$F$6),IFERROR(--SUBSTITUTE(SUBSTITUTE(TRIM(INDEX($A:$AP,ROW(),$F$6)),",",""),"원",""),0))))</f>
        <v/>
      </c>
      <c r="AU690" s="23">
        <f>IF($AS690="","",IF($G$6="",0,IF(ISNUMBER(INDEX($A:$AP,ROW(),$G$6)),INDEX($A:$AP,ROW(),$G$6),IFERROR(--SUBSTITUTE(SUBSTITUTE(TRIM(INDEX($A:$AP,ROW(),$G$6)),",",""),"원",""),0))))</f>
        <v/>
      </c>
      <c r="AV690" s="23">
        <f>IF($AS690="","",IF($H$6="",$AT690+$AU690,IF($H$6="",0,IF(ISNUMBER(INDEX($A:$AP,ROW(),$H$6)),INDEX($A:$AP,ROW(),$H$6),IFERROR(--SUBSTITUTE(SUBSTITUTE(TRIM(INDEX($A:$AP,ROW(),$H$6)),",",""),"원",""),0)))))</f>
        <v/>
      </c>
      <c r="AW690" s="2">
        <f>IF(OR($AS690="",$C$6=""),"",TRIM(INDEX($A:$AP,ROW(),$C$6)&amp;""))</f>
        <v/>
      </c>
      <c r="AX690" s="2">
        <f>IF($AS690="","",IF($AZ690&lt;&gt;"",SUBSTITUTE(SUBSTITUTE($AZ690,"-","")," ",""),$AY690))</f>
        <v/>
      </c>
      <c r="AY690" s="2">
        <f>IF(OR($AS690="",$E$6=""),"",TRIM(INDEX($A:$AP,ROW(),$E$6)&amp;""))</f>
        <v/>
      </c>
      <c r="AZ690" s="2">
        <f>IF(OR($AS690="",$D$6=""),"",TRIM(INDEX($A:$AP,ROW(),$D$6)&amp;""))</f>
        <v/>
      </c>
      <c r="BA690" s="2">
        <f>IF($AS690="","",IF(AND($AS690&gt;=설정!$B$10,$AS690&lt;=설정!$B$11),"포함","기간 밖"))</f>
        <v/>
      </c>
      <c r="BB690" s="2">
        <f>IF($AS690="","",IF(OR($AT690&lt;0,AND($I$6&lt;&gt;"",ISNUMBER(FIND("수정",INDEX($A:$AP,ROW(),IF($I$6="",1,$I$6))&amp;"")))),"수정","일반"))</f>
        <v/>
      </c>
      <c r="BC690" s="2">
        <f>IF($AS690="","",MID(IF($BA690="기간 밖"," / 기간 밖(신고기간 아님)","")&amp;IF(AND($AW690&lt;&gt;"",COUNTIF($AW$8:$AW$1007,$AW690)&gt;1)," / 승인번호 중복(두 번 붙여넣기?)","")&amp;IF(ABS($AU690-ROUND($AT690*0.1,0))&gt;설정!$B$8,IF($AU690=0," / 세액 0원(영세율·면세 여부 확인)"," / 세액이 공급가액 10%와 다름"),"")&amp;IF($BB690="수정"," / 수정세금계산서(합계에서 자동 가감)",""),4,200))</f>
        <v/>
      </c>
      <c r="BD690" s="2">
        <f>IF($BA690&lt;&gt;"포함","",IF(COUNTIFS($AX$8:$AX690,$AX690,$BA$8:$BA690,"포함")=1,MAX($BD$7:BD689)+1,""))</f>
        <v/>
      </c>
      <c r="BE690" s="2">
        <f>IF($BC690="","",MAX($BE$7:BE689)+1)</f>
        <v/>
      </c>
    </row>
    <row r="691">
      <c r="AR691" s="2">
        <f>IF(OR($A$5="",$B$6="",ROW()&lt;$A$5),"",IF(INDEX($A:$AP,ROW(),$B$6)="","",INDEX($A:$AP,ROW(),$B$6)))</f>
        <v/>
      </c>
      <c r="AS691" s="22">
        <f>IF($AR691="","",IF(ISNUMBER($AR691),IF($AR691&gt;=10000000,IFERROR(DATE(INT($AR691/10000),MOD(INT($AR691/100),100),MOD($AR691,100)),""),INT($AR691)),IFERROR(DATE(--LEFT(LEFT(SUBSTITUTE(SUBSTITUTE(SUBSTITUTE(SUBSTITUTE(TRIM($AR691),"-",""),".",""),"/","")," ",""),8),4),--MID(LEFT(SUBSTITUTE(SUBSTITUTE(SUBSTITUTE(SUBSTITUTE(TRIM($AR691),"-",""),".",""),"/","")," ",""),8),5,2),--MID(LEFT(SUBSTITUTE(SUBSTITUTE(SUBSTITUTE(SUBSTITUTE(TRIM($AR691),"-",""),".",""),"/","")," ",""),8),7,2)),"")))</f>
        <v/>
      </c>
      <c r="AT691" s="23">
        <f>IF($AS691="","",IF($F$6="",0,IF(ISNUMBER(INDEX($A:$AP,ROW(),$F$6)),INDEX($A:$AP,ROW(),$F$6),IFERROR(--SUBSTITUTE(SUBSTITUTE(TRIM(INDEX($A:$AP,ROW(),$F$6)),",",""),"원",""),0))))</f>
        <v/>
      </c>
      <c r="AU691" s="23">
        <f>IF($AS691="","",IF($G$6="",0,IF(ISNUMBER(INDEX($A:$AP,ROW(),$G$6)),INDEX($A:$AP,ROW(),$G$6),IFERROR(--SUBSTITUTE(SUBSTITUTE(TRIM(INDEX($A:$AP,ROW(),$G$6)),",",""),"원",""),0))))</f>
        <v/>
      </c>
      <c r="AV691" s="23">
        <f>IF($AS691="","",IF($H$6="",$AT691+$AU691,IF($H$6="",0,IF(ISNUMBER(INDEX($A:$AP,ROW(),$H$6)),INDEX($A:$AP,ROW(),$H$6),IFERROR(--SUBSTITUTE(SUBSTITUTE(TRIM(INDEX($A:$AP,ROW(),$H$6)),",",""),"원",""),0)))))</f>
        <v/>
      </c>
      <c r="AW691" s="2">
        <f>IF(OR($AS691="",$C$6=""),"",TRIM(INDEX($A:$AP,ROW(),$C$6)&amp;""))</f>
        <v/>
      </c>
      <c r="AX691" s="2">
        <f>IF($AS691="","",IF($AZ691&lt;&gt;"",SUBSTITUTE(SUBSTITUTE($AZ691,"-","")," ",""),$AY691))</f>
        <v/>
      </c>
      <c r="AY691" s="2">
        <f>IF(OR($AS691="",$E$6=""),"",TRIM(INDEX($A:$AP,ROW(),$E$6)&amp;""))</f>
        <v/>
      </c>
      <c r="AZ691" s="2">
        <f>IF(OR($AS691="",$D$6=""),"",TRIM(INDEX($A:$AP,ROW(),$D$6)&amp;""))</f>
        <v/>
      </c>
      <c r="BA691" s="2">
        <f>IF($AS691="","",IF(AND($AS691&gt;=설정!$B$10,$AS691&lt;=설정!$B$11),"포함","기간 밖"))</f>
        <v/>
      </c>
      <c r="BB691" s="2">
        <f>IF($AS691="","",IF(OR($AT691&lt;0,AND($I$6&lt;&gt;"",ISNUMBER(FIND("수정",INDEX($A:$AP,ROW(),IF($I$6="",1,$I$6))&amp;"")))),"수정","일반"))</f>
        <v/>
      </c>
      <c r="BC691" s="2">
        <f>IF($AS691="","",MID(IF($BA691="기간 밖"," / 기간 밖(신고기간 아님)","")&amp;IF(AND($AW691&lt;&gt;"",COUNTIF($AW$8:$AW$1007,$AW691)&gt;1)," / 승인번호 중복(두 번 붙여넣기?)","")&amp;IF(ABS($AU691-ROUND($AT691*0.1,0))&gt;설정!$B$8,IF($AU691=0," / 세액 0원(영세율·면세 여부 확인)"," / 세액이 공급가액 10%와 다름"),"")&amp;IF($BB691="수정"," / 수정세금계산서(합계에서 자동 가감)",""),4,200))</f>
        <v/>
      </c>
      <c r="BD691" s="2">
        <f>IF($BA691&lt;&gt;"포함","",IF(COUNTIFS($AX$8:$AX691,$AX691,$BA$8:$BA691,"포함")=1,MAX($BD$7:BD690)+1,""))</f>
        <v/>
      </c>
      <c r="BE691" s="2">
        <f>IF($BC691="","",MAX($BE$7:BE690)+1)</f>
        <v/>
      </c>
    </row>
    <row r="692">
      <c r="AR692" s="2">
        <f>IF(OR($A$5="",$B$6="",ROW()&lt;$A$5),"",IF(INDEX($A:$AP,ROW(),$B$6)="","",INDEX($A:$AP,ROW(),$B$6)))</f>
        <v/>
      </c>
      <c r="AS692" s="22">
        <f>IF($AR692="","",IF(ISNUMBER($AR692),IF($AR692&gt;=10000000,IFERROR(DATE(INT($AR692/10000),MOD(INT($AR692/100),100),MOD($AR692,100)),""),INT($AR692)),IFERROR(DATE(--LEFT(LEFT(SUBSTITUTE(SUBSTITUTE(SUBSTITUTE(SUBSTITUTE(TRIM($AR692),"-",""),".",""),"/","")," ",""),8),4),--MID(LEFT(SUBSTITUTE(SUBSTITUTE(SUBSTITUTE(SUBSTITUTE(TRIM($AR692),"-",""),".",""),"/","")," ",""),8),5,2),--MID(LEFT(SUBSTITUTE(SUBSTITUTE(SUBSTITUTE(SUBSTITUTE(TRIM($AR692),"-",""),".",""),"/","")," ",""),8),7,2)),"")))</f>
        <v/>
      </c>
      <c r="AT692" s="23">
        <f>IF($AS692="","",IF($F$6="",0,IF(ISNUMBER(INDEX($A:$AP,ROW(),$F$6)),INDEX($A:$AP,ROW(),$F$6),IFERROR(--SUBSTITUTE(SUBSTITUTE(TRIM(INDEX($A:$AP,ROW(),$F$6)),",",""),"원",""),0))))</f>
        <v/>
      </c>
      <c r="AU692" s="23">
        <f>IF($AS692="","",IF($G$6="",0,IF(ISNUMBER(INDEX($A:$AP,ROW(),$G$6)),INDEX($A:$AP,ROW(),$G$6),IFERROR(--SUBSTITUTE(SUBSTITUTE(TRIM(INDEX($A:$AP,ROW(),$G$6)),",",""),"원",""),0))))</f>
        <v/>
      </c>
      <c r="AV692" s="23">
        <f>IF($AS692="","",IF($H$6="",$AT692+$AU692,IF($H$6="",0,IF(ISNUMBER(INDEX($A:$AP,ROW(),$H$6)),INDEX($A:$AP,ROW(),$H$6),IFERROR(--SUBSTITUTE(SUBSTITUTE(TRIM(INDEX($A:$AP,ROW(),$H$6)),",",""),"원",""),0)))))</f>
        <v/>
      </c>
      <c r="AW692" s="2">
        <f>IF(OR($AS692="",$C$6=""),"",TRIM(INDEX($A:$AP,ROW(),$C$6)&amp;""))</f>
        <v/>
      </c>
      <c r="AX692" s="2">
        <f>IF($AS692="","",IF($AZ692&lt;&gt;"",SUBSTITUTE(SUBSTITUTE($AZ692,"-","")," ",""),$AY692))</f>
        <v/>
      </c>
      <c r="AY692" s="2">
        <f>IF(OR($AS692="",$E$6=""),"",TRIM(INDEX($A:$AP,ROW(),$E$6)&amp;""))</f>
        <v/>
      </c>
      <c r="AZ692" s="2">
        <f>IF(OR($AS692="",$D$6=""),"",TRIM(INDEX($A:$AP,ROW(),$D$6)&amp;""))</f>
        <v/>
      </c>
      <c r="BA692" s="2">
        <f>IF($AS692="","",IF(AND($AS692&gt;=설정!$B$10,$AS692&lt;=설정!$B$11),"포함","기간 밖"))</f>
        <v/>
      </c>
      <c r="BB692" s="2">
        <f>IF($AS692="","",IF(OR($AT692&lt;0,AND($I$6&lt;&gt;"",ISNUMBER(FIND("수정",INDEX($A:$AP,ROW(),IF($I$6="",1,$I$6))&amp;"")))),"수정","일반"))</f>
        <v/>
      </c>
      <c r="BC692" s="2">
        <f>IF($AS692="","",MID(IF($BA692="기간 밖"," / 기간 밖(신고기간 아님)","")&amp;IF(AND($AW692&lt;&gt;"",COUNTIF($AW$8:$AW$1007,$AW692)&gt;1)," / 승인번호 중복(두 번 붙여넣기?)","")&amp;IF(ABS($AU692-ROUND($AT692*0.1,0))&gt;설정!$B$8,IF($AU692=0," / 세액 0원(영세율·면세 여부 확인)"," / 세액이 공급가액 10%와 다름"),"")&amp;IF($BB692="수정"," / 수정세금계산서(합계에서 자동 가감)",""),4,200))</f>
        <v/>
      </c>
      <c r="BD692" s="2">
        <f>IF($BA692&lt;&gt;"포함","",IF(COUNTIFS($AX$8:$AX692,$AX692,$BA$8:$BA692,"포함")=1,MAX($BD$7:BD691)+1,""))</f>
        <v/>
      </c>
      <c r="BE692" s="2">
        <f>IF($BC692="","",MAX($BE$7:BE691)+1)</f>
        <v/>
      </c>
    </row>
    <row r="693">
      <c r="AR693" s="2">
        <f>IF(OR($A$5="",$B$6="",ROW()&lt;$A$5),"",IF(INDEX($A:$AP,ROW(),$B$6)="","",INDEX($A:$AP,ROW(),$B$6)))</f>
        <v/>
      </c>
      <c r="AS693" s="22">
        <f>IF($AR693="","",IF(ISNUMBER($AR693),IF($AR693&gt;=10000000,IFERROR(DATE(INT($AR693/10000),MOD(INT($AR693/100),100),MOD($AR693,100)),""),INT($AR693)),IFERROR(DATE(--LEFT(LEFT(SUBSTITUTE(SUBSTITUTE(SUBSTITUTE(SUBSTITUTE(TRIM($AR693),"-",""),".",""),"/","")," ",""),8),4),--MID(LEFT(SUBSTITUTE(SUBSTITUTE(SUBSTITUTE(SUBSTITUTE(TRIM($AR693),"-",""),".",""),"/","")," ",""),8),5,2),--MID(LEFT(SUBSTITUTE(SUBSTITUTE(SUBSTITUTE(SUBSTITUTE(TRIM($AR693),"-",""),".",""),"/","")," ",""),8),7,2)),"")))</f>
        <v/>
      </c>
      <c r="AT693" s="23">
        <f>IF($AS693="","",IF($F$6="",0,IF(ISNUMBER(INDEX($A:$AP,ROW(),$F$6)),INDEX($A:$AP,ROW(),$F$6),IFERROR(--SUBSTITUTE(SUBSTITUTE(TRIM(INDEX($A:$AP,ROW(),$F$6)),",",""),"원",""),0))))</f>
        <v/>
      </c>
      <c r="AU693" s="23">
        <f>IF($AS693="","",IF($G$6="",0,IF(ISNUMBER(INDEX($A:$AP,ROW(),$G$6)),INDEX($A:$AP,ROW(),$G$6),IFERROR(--SUBSTITUTE(SUBSTITUTE(TRIM(INDEX($A:$AP,ROW(),$G$6)),",",""),"원",""),0))))</f>
        <v/>
      </c>
      <c r="AV693" s="23">
        <f>IF($AS693="","",IF($H$6="",$AT693+$AU693,IF($H$6="",0,IF(ISNUMBER(INDEX($A:$AP,ROW(),$H$6)),INDEX($A:$AP,ROW(),$H$6),IFERROR(--SUBSTITUTE(SUBSTITUTE(TRIM(INDEX($A:$AP,ROW(),$H$6)),",",""),"원",""),0)))))</f>
        <v/>
      </c>
      <c r="AW693" s="2">
        <f>IF(OR($AS693="",$C$6=""),"",TRIM(INDEX($A:$AP,ROW(),$C$6)&amp;""))</f>
        <v/>
      </c>
      <c r="AX693" s="2">
        <f>IF($AS693="","",IF($AZ693&lt;&gt;"",SUBSTITUTE(SUBSTITUTE($AZ693,"-","")," ",""),$AY693))</f>
        <v/>
      </c>
      <c r="AY693" s="2">
        <f>IF(OR($AS693="",$E$6=""),"",TRIM(INDEX($A:$AP,ROW(),$E$6)&amp;""))</f>
        <v/>
      </c>
      <c r="AZ693" s="2">
        <f>IF(OR($AS693="",$D$6=""),"",TRIM(INDEX($A:$AP,ROW(),$D$6)&amp;""))</f>
        <v/>
      </c>
      <c r="BA693" s="2">
        <f>IF($AS693="","",IF(AND($AS693&gt;=설정!$B$10,$AS693&lt;=설정!$B$11),"포함","기간 밖"))</f>
        <v/>
      </c>
      <c r="BB693" s="2">
        <f>IF($AS693="","",IF(OR($AT693&lt;0,AND($I$6&lt;&gt;"",ISNUMBER(FIND("수정",INDEX($A:$AP,ROW(),IF($I$6="",1,$I$6))&amp;"")))),"수정","일반"))</f>
        <v/>
      </c>
      <c r="BC693" s="2">
        <f>IF($AS693="","",MID(IF($BA693="기간 밖"," / 기간 밖(신고기간 아님)","")&amp;IF(AND($AW693&lt;&gt;"",COUNTIF($AW$8:$AW$1007,$AW693)&gt;1)," / 승인번호 중복(두 번 붙여넣기?)","")&amp;IF(ABS($AU693-ROUND($AT693*0.1,0))&gt;설정!$B$8,IF($AU693=0," / 세액 0원(영세율·면세 여부 확인)"," / 세액이 공급가액 10%와 다름"),"")&amp;IF($BB693="수정"," / 수정세금계산서(합계에서 자동 가감)",""),4,200))</f>
        <v/>
      </c>
      <c r="BD693" s="2">
        <f>IF($BA693&lt;&gt;"포함","",IF(COUNTIFS($AX$8:$AX693,$AX693,$BA$8:$BA693,"포함")=1,MAX($BD$7:BD692)+1,""))</f>
        <v/>
      </c>
      <c r="BE693" s="2">
        <f>IF($BC693="","",MAX($BE$7:BE692)+1)</f>
        <v/>
      </c>
    </row>
    <row r="694">
      <c r="AR694" s="2">
        <f>IF(OR($A$5="",$B$6="",ROW()&lt;$A$5),"",IF(INDEX($A:$AP,ROW(),$B$6)="","",INDEX($A:$AP,ROW(),$B$6)))</f>
        <v/>
      </c>
      <c r="AS694" s="22">
        <f>IF($AR694="","",IF(ISNUMBER($AR694),IF($AR694&gt;=10000000,IFERROR(DATE(INT($AR694/10000),MOD(INT($AR694/100),100),MOD($AR694,100)),""),INT($AR694)),IFERROR(DATE(--LEFT(LEFT(SUBSTITUTE(SUBSTITUTE(SUBSTITUTE(SUBSTITUTE(TRIM($AR694),"-",""),".",""),"/","")," ",""),8),4),--MID(LEFT(SUBSTITUTE(SUBSTITUTE(SUBSTITUTE(SUBSTITUTE(TRIM($AR694),"-",""),".",""),"/","")," ",""),8),5,2),--MID(LEFT(SUBSTITUTE(SUBSTITUTE(SUBSTITUTE(SUBSTITUTE(TRIM($AR694),"-",""),".",""),"/","")," ",""),8),7,2)),"")))</f>
        <v/>
      </c>
      <c r="AT694" s="23">
        <f>IF($AS694="","",IF($F$6="",0,IF(ISNUMBER(INDEX($A:$AP,ROW(),$F$6)),INDEX($A:$AP,ROW(),$F$6),IFERROR(--SUBSTITUTE(SUBSTITUTE(TRIM(INDEX($A:$AP,ROW(),$F$6)),",",""),"원",""),0))))</f>
        <v/>
      </c>
      <c r="AU694" s="23">
        <f>IF($AS694="","",IF($G$6="",0,IF(ISNUMBER(INDEX($A:$AP,ROW(),$G$6)),INDEX($A:$AP,ROW(),$G$6),IFERROR(--SUBSTITUTE(SUBSTITUTE(TRIM(INDEX($A:$AP,ROW(),$G$6)),",",""),"원",""),0))))</f>
        <v/>
      </c>
      <c r="AV694" s="23">
        <f>IF($AS694="","",IF($H$6="",$AT694+$AU694,IF($H$6="",0,IF(ISNUMBER(INDEX($A:$AP,ROW(),$H$6)),INDEX($A:$AP,ROW(),$H$6),IFERROR(--SUBSTITUTE(SUBSTITUTE(TRIM(INDEX($A:$AP,ROW(),$H$6)),",",""),"원",""),0)))))</f>
        <v/>
      </c>
      <c r="AW694" s="2">
        <f>IF(OR($AS694="",$C$6=""),"",TRIM(INDEX($A:$AP,ROW(),$C$6)&amp;""))</f>
        <v/>
      </c>
      <c r="AX694" s="2">
        <f>IF($AS694="","",IF($AZ694&lt;&gt;"",SUBSTITUTE(SUBSTITUTE($AZ694,"-","")," ",""),$AY694))</f>
        <v/>
      </c>
      <c r="AY694" s="2">
        <f>IF(OR($AS694="",$E$6=""),"",TRIM(INDEX($A:$AP,ROW(),$E$6)&amp;""))</f>
        <v/>
      </c>
      <c r="AZ694" s="2">
        <f>IF(OR($AS694="",$D$6=""),"",TRIM(INDEX($A:$AP,ROW(),$D$6)&amp;""))</f>
        <v/>
      </c>
      <c r="BA694" s="2">
        <f>IF($AS694="","",IF(AND($AS694&gt;=설정!$B$10,$AS694&lt;=설정!$B$11),"포함","기간 밖"))</f>
        <v/>
      </c>
      <c r="BB694" s="2">
        <f>IF($AS694="","",IF(OR($AT694&lt;0,AND($I$6&lt;&gt;"",ISNUMBER(FIND("수정",INDEX($A:$AP,ROW(),IF($I$6="",1,$I$6))&amp;"")))),"수정","일반"))</f>
        <v/>
      </c>
      <c r="BC694" s="2">
        <f>IF($AS694="","",MID(IF($BA694="기간 밖"," / 기간 밖(신고기간 아님)","")&amp;IF(AND($AW694&lt;&gt;"",COUNTIF($AW$8:$AW$1007,$AW694)&gt;1)," / 승인번호 중복(두 번 붙여넣기?)","")&amp;IF(ABS($AU694-ROUND($AT694*0.1,0))&gt;설정!$B$8,IF($AU694=0," / 세액 0원(영세율·면세 여부 확인)"," / 세액이 공급가액 10%와 다름"),"")&amp;IF($BB694="수정"," / 수정세금계산서(합계에서 자동 가감)",""),4,200))</f>
        <v/>
      </c>
      <c r="BD694" s="2">
        <f>IF($BA694&lt;&gt;"포함","",IF(COUNTIFS($AX$8:$AX694,$AX694,$BA$8:$BA694,"포함")=1,MAX($BD$7:BD693)+1,""))</f>
        <v/>
      </c>
      <c r="BE694" s="2">
        <f>IF($BC694="","",MAX($BE$7:BE693)+1)</f>
        <v/>
      </c>
    </row>
    <row r="695">
      <c r="AR695" s="2">
        <f>IF(OR($A$5="",$B$6="",ROW()&lt;$A$5),"",IF(INDEX($A:$AP,ROW(),$B$6)="","",INDEX($A:$AP,ROW(),$B$6)))</f>
        <v/>
      </c>
      <c r="AS695" s="22">
        <f>IF($AR695="","",IF(ISNUMBER($AR695),IF($AR695&gt;=10000000,IFERROR(DATE(INT($AR695/10000),MOD(INT($AR695/100),100),MOD($AR695,100)),""),INT($AR695)),IFERROR(DATE(--LEFT(LEFT(SUBSTITUTE(SUBSTITUTE(SUBSTITUTE(SUBSTITUTE(TRIM($AR695),"-",""),".",""),"/","")," ",""),8),4),--MID(LEFT(SUBSTITUTE(SUBSTITUTE(SUBSTITUTE(SUBSTITUTE(TRIM($AR695),"-",""),".",""),"/","")," ",""),8),5,2),--MID(LEFT(SUBSTITUTE(SUBSTITUTE(SUBSTITUTE(SUBSTITUTE(TRIM($AR695),"-",""),".",""),"/","")," ",""),8),7,2)),"")))</f>
        <v/>
      </c>
      <c r="AT695" s="23">
        <f>IF($AS695="","",IF($F$6="",0,IF(ISNUMBER(INDEX($A:$AP,ROW(),$F$6)),INDEX($A:$AP,ROW(),$F$6),IFERROR(--SUBSTITUTE(SUBSTITUTE(TRIM(INDEX($A:$AP,ROW(),$F$6)),",",""),"원",""),0))))</f>
        <v/>
      </c>
      <c r="AU695" s="23">
        <f>IF($AS695="","",IF($G$6="",0,IF(ISNUMBER(INDEX($A:$AP,ROW(),$G$6)),INDEX($A:$AP,ROW(),$G$6),IFERROR(--SUBSTITUTE(SUBSTITUTE(TRIM(INDEX($A:$AP,ROW(),$G$6)),",",""),"원",""),0))))</f>
        <v/>
      </c>
      <c r="AV695" s="23">
        <f>IF($AS695="","",IF($H$6="",$AT695+$AU695,IF($H$6="",0,IF(ISNUMBER(INDEX($A:$AP,ROW(),$H$6)),INDEX($A:$AP,ROW(),$H$6),IFERROR(--SUBSTITUTE(SUBSTITUTE(TRIM(INDEX($A:$AP,ROW(),$H$6)),",",""),"원",""),0)))))</f>
        <v/>
      </c>
      <c r="AW695" s="2">
        <f>IF(OR($AS695="",$C$6=""),"",TRIM(INDEX($A:$AP,ROW(),$C$6)&amp;""))</f>
        <v/>
      </c>
      <c r="AX695" s="2">
        <f>IF($AS695="","",IF($AZ695&lt;&gt;"",SUBSTITUTE(SUBSTITUTE($AZ695,"-","")," ",""),$AY695))</f>
        <v/>
      </c>
      <c r="AY695" s="2">
        <f>IF(OR($AS695="",$E$6=""),"",TRIM(INDEX($A:$AP,ROW(),$E$6)&amp;""))</f>
        <v/>
      </c>
      <c r="AZ695" s="2">
        <f>IF(OR($AS695="",$D$6=""),"",TRIM(INDEX($A:$AP,ROW(),$D$6)&amp;""))</f>
        <v/>
      </c>
      <c r="BA695" s="2">
        <f>IF($AS695="","",IF(AND($AS695&gt;=설정!$B$10,$AS695&lt;=설정!$B$11),"포함","기간 밖"))</f>
        <v/>
      </c>
      <c r="BB695" s="2">
        <f>IF($AS695="","",IF(OR($AT695&lt;0,AND($I$6&lt;&gt;"",ISNUMBER(FIND("수정",INDEX($A:$AP,ROW(),IF($I$6="",1,$I$6))&amp;"")))),"수정","일반"))</f>
        <v/>
      </c>
      <c r="BC695" s="2">
        <f>IF($AS695="","",MID(IF($BA695="기간 밖"," / 기간 밖(신고기간 아님)","")&amp;IF(AND($AW695&lt;&gt;"",COUNTIF($AW$8:$AW$1007,$AW695)&gt;1)," / 승인번호 중복(두 번 붙여넣기?)","")&amp;IF(ABS($AU695-ROUND($AT695*0.1,0))&gt;설정!$B$8,IF($AU695=0," / 세액 0원(영세율·면세 여부 확인)"," / 세액이 공급가액 10%와 다름"),"")&amp;IF($BB695="수정"," / 수정세금계산서(합계에서 자동 가감)",""),4,200))</f>
        <v/>
      </c>
      <c r="BD695" s="2">
        <f>IF($BA695&lt;&gt;"포함","",IF(COUNTIFS($AX$8:$AX695,$AX695,$BA$8:$BA695,"포함")=1,MAX($BD$7:BD694)+1,""))</f>
        <v/>
      </c>
      <c r="BE695" s="2">
        <f>IF($BC695="","",MAX($BE$7:BE694)+1)</f>
        <v/>
      </c>
    </row>
    <row r="696">
      <c r="AR696" s="2">
        <f>IF(OR($A$5="",$B$6="",ROW()&lt;$A$5),"",IF(INDEX($A:$AP,ROW(),$B$6)="","",INDEX($A:$AP,ROW(),$B$6)))</f>
        <v/>
      </c>
      <c r="AS696" s="22">
        <f>IF($AR696="","",IF(ISNUMBER($AR696),IF($AR696&gt;=10000000,IFERROR(DATE(INT($AR696/10000),MOD(INT($AR696/100),100),MOD($AR696,100)),""),INT($AR696)),IFERROR(DATE(--LEFT(LEFT(SUBSTITUTE(SUBSTITUTE(SUBSTITUTE(SUBSTITUTE(TRIM($AR696),"-",""),".",""),"/","")," ",""),8),4),--MID(LEFT(SUBSTITUTE(SUBSTITUTE(SUBSTITUTE(SUBSTITUTE(TRIM($AR696),"-",""),".",""),"/","")," ",""),8),5,2),--MID(LEFT(SUBSTITUTE(SUBSTITUTE(SUBSTITUTE(SUBSTITUTE(TRIM($AR696),"-",""),".",""),"/","")," ",""),8),7,2)),"")))</f>
        <v/>
      </c>
      <c r="AT696" s="23">
        <f>IF($AS696="","",IF($F$6="",0,IF(ISNUMBER(INDEX($A:$AP,ROW(),$F$6)),INDEX($A:$AP,ROW(),$F$6),IFERROR(--SUBSTITUTE(SUBSTITUTE(TRIM(INDEX($A:$AP,ROW(),$F$6)),",",""),"원",""),0))))</f>
        <v/>
      </c>
      <c r="AU696" s="23">
        <f>IF($AS696="","",IF($G$6="",0,IF(ISNUMBER(INDEX($A:$AP,ROW(),$G$6)),INDEX($A:$AP,ROW(),$G$6),IFERROR(--SUBSTITUTE(SUBSTITUTE(TRIM(INDEX($A:$AP,ROW(),$G$6)),",",""),"원",""),0))))</f>
        <v/>
      </c>
      <c r="AV696" s="23">
        <f>IF($AS696="","",IF($H$6="",$AT696+$AU696,IF($H$6="",0,IF(ISNUMBER(INDEX($A:$AP,ROW(),$H$6)),INDEX($A:$AP,ROW(),$H$6),IFERROR(--SUBSTITUTE(SUBSTITUTE(TRIM(INDEX($A:$AP,ROW(),$H$6)),",",""),"원",""),0)))))</f>
        <v/>
      </c>
      <c r="AW696" s="2">
        <f>IF(OR($AS696="",$C$6=""),"",TRIM(INDEX($A:$AP,ROW(),$C$6)&amp;""))</f>
        <v/>
      </c>
      <c r="AX696" s="2">
        <f>IF($AS696="","",IF($AZ696&lt;&gt;"",SUBSTITUTE(SUBSTITUTE($AZ696,"-","")," ",""),$AY696))</f>
        <v/>
      </c>
      <c r="AY696" s="2">
        <f>IF(OR($AS696="",$E$6=""),"",TRIM(INDEX($A:$AP,ROW(),$E$6)&amp;""))</f>
        <v/>
      </c>
      <c r="AZ696" s="2">
        <f>IF(OR($AS696="",$D$6=""),"",TRIM(INDEX($A:$AP,ROW(),$D$6)&amp;""))</f>
        <v/>
      </c>
      <c r="BA696" s="2">
        <f>IF($AS696="","",IF(AND($AS696&gt;=설정!$B$10,$AS696&lt;=설정!$B$11),"포함","기간 밖"))</f>
        <v/>
      </c>
      <c r="BB696" s="2">
        <f>IF($AS696="","",IF(OR($AT696&lt;0,AND($I$6&lt;&gt;"",ISNUMBER(FIND("수정",INDEX($A:$AP,ROW(),IF($I$6="",1,$I$6))&amp;"")))),"수정","일반"))</f>
        <v/>
      </c>
      <c r="BC696" s="2">
        <f>IF($AS696="","",MID(IF($BA696="기간 밖"," / 기간 밖(신고기간 아님)","")&amp;IF(AND($AW696&lt;&gt;"",COUNTIF($AW$8:$AW$1007,$AW696)&gt;1)," / 승인번호 중복(두 번 붙여넣기?)","")&amp;IF(ABS($AU696-ROUND($AT696*0.1,0))&gt;설정!$B$8,IF($AU696=0," / 세액 0원(영세율·면세 여부 확인)"," / 세액이 공급가액 10%와 다름"),"")&amp;IF($BB696="수정"," / 수정세금계산서(합계에서 자동 가감)",""),4,200))</f>
        <v/>
      </c>
      <c r="BD696" s="2">
        <f>IF($BA696&lt;&gt;"포함","",IF(COUNTIFS($AX$8:$AX696,$AX696,$BA$8:$BA696,"포함")=1,MAX($BD$7:BD695)+1,""))</f>
        <v/>
      </c>
      <c r="BE696" s="2">
        <f>IF($BC696="","",MAX($BE$7:BE695)+1)</f>
        <v/>
      </c>
    </row>
    <row r="697">
      <c r="AR697" s="2">
        <f>IF(OR($A$5="",$B$6="",ROW()&lt;$A$5),"",IF(INDEX($A:$AP,ROW(),$B$6)="","",INDEX($A:$AP,ROW(),$B$6)))</f>
        <v/>
      </c>
      <c r="AS697" s="22">
        <f>IF($AR697="","",IF(ISNUMBER($AR697),IF($AR697&gt;=10000000,IFERROR(DATE(INT($AR697/10000),MOD(INT($AR697/100),100),MOD($AR697,100)),""),INT($AR697)),IFERROR(DATE(--LEFT(LEFT(SUBSTITUTE(SUBSTITUTE(SUBSTITUTE(SUBSTITUTE(TRIM($AR697),"-",""),".",""),"/","")," ",""),8),4),--MID(LEFT(SUBSTITUTE(SUBSTITUTE(SUBSTITUTE(SUBSTITUTE(TRIM($AR697),"-",""),".",""),"/","")," ",""),8),5,2),--MID(LEFT(SUBSTITUTE(SUBSTITUTE(SUBSTITUTE(SUBSTITUTE(TRIM($AR697),"-",""),".",""),"/","")," ",""),8),7,2)),"")))</f>
        <v/>
      </c>
      <c r="AT697" s="23">
        <f>IF($AS697="","",IF($F$6="",0,IF(ISNUMBER(INDEX($A:$AP,ROW(),$F$6)),INDEX($A:$AP,ROW(),$F$6),IFERROR(--SUBSTITUTE(SUBSTITUTE(TRIM(INDEX($A:$AP,ROW(),$F$6)),",",""),"원",""),0))))</f>
        <v/>
      </c>
      <c r="AU697" s="23">
        <f>IF($AS697="","",IF($G$6="",0,IF(ISNUMBER(INDEX($A:$AP,ROW(),$G$6)),INDEX($A:$AP,ROW(),$G$6),IFERROR(--SUBSTITUTE(SUBSTITUTE(TRIM(INDEX($A:$AP,ROW(),$G$6)),",",""),"원",""),0))))</f>
        <v/>
      </c>
      <c r="AV697" s="23">
        <f>IF($AS697="","",IF($H$6="",$AT697+$AU697,IF($H$6="",0,IF(ISNUMBER(INDEX($A:$AP,ROW(),$H$6)),INDEX($A:$AP,ROW(),$H$6),IFERROR(--SUBSTITUTE(SUBSTITUTE(TRIM(INDEX($A:$AP,ROW(),$H$6)),",",""),"원",""),0)))))</f>
        <v/>
      </c>
      <c r="AW697" s="2">
        <f>IF(OR($AS697="",$C$6=""),"",TRIM(INDEX($A:$AP,ROW(),$C$6)&amp;""))</f>
        <v/>
      </c>
      <c r="AX697" s="2">
        <f>IF($AS697="","",IF($AZ697&lt;&gt;"",SUBSTITUTE(SUBSTITUTE($AZ697,"-","")," ",""),$AY697))</f>
        <v/>
      </c>
      <c r="AY697" s="2">
        <f>IF(OR($AS697="",$E$6=""),"",TRIM(INDEX($A:$AP,ROW(),$E$6)&amp;""))</f>
        <v/>
      </c>
      <c r="AZ697" s="2">
        <f>IF(OR($AS697="",$D$6=""),"",TRIM(INDEX($A:$AP,ROW(),$D$6)&amp;""))</f>
        <v/>
      </c>
      <c r="BA697" s="2">
        <f>IF($AS697="","",IF(AND($AS697&gt;=설정!$B$10,$AS697&lt;=설정!$B$11),"포함","기간 밖"))</f>
        <v/>
      </c>
      <c r="BB697" s="2">
        <f>IF($AS697="","",IF(OR($AT697&lt;0,AND($I$6&lt;&gt;"",ISNUMBER(FIND("수정",INDEX($A:$AP,ROW(),IF($I$6="",1,$I$6))&amp;"")))),"수정","일반"))</f>
        <v/>
      </c>
      <c r="BC697" s="2">
        <f>IF($AS697="","",MID(IF($BA697="기간 밖"," / 기간 밖(신고기간 아님)","")&amp;IF(AND($AW697&lt;&gt;"",COUNTIF($AW$8:$AW$1007,$AW697)&gt;1)," / 승인번호 중복(두 번 붙여넣기?)","")&amp;IF(ABS($AU697-ROUND($AT697*0.1,0))&gt;설정!$B$8,IF($AU697=0," / 세액 0원(영세율·면세 여부 확인)"," / 세액이 공급가액 10%와 다름"),"")&amp;IF($BB697="수정"," / 수정세금계산서(합계에서 자동 가감)",""),4,200))</f>
        <v/>
      </c>
      <c r="BD697" s="2">
        <f>IF($BA697&lt;&gt;"포함","",IF(COUNTIFS($AX$8:$AX697,$AX697,$BA$8:$BA697,"포함")=1,MAX($BD$7:BD696)+1,""))</f>
        <v/>
      </c>
      <c r="BE697" s="2">
        <f>IF($BC697="","",MAX($BE$7:BE696)+1)</f>
        <v/>
      </c>
    </row>
    <row r="698">
      <c r="AR698" s="2">
        <f>IF(OR($A$5="",$B$6="",ROW()&lt;$A$5),"",IF(INDEX($A:$AP,ROW(),$B$6)="","",INDEX($A:$AP,ROW(),$B$6)))</f>
        <v/>
      </c>
      <c r="AS698" s="22">
        <f>IF($AR698="","",IF(ISNUMBER($AR698),IF($AR698&gt;=10000000,IFERROR(DATE(INT($AR698/10000),MOD(INT($AR698/100),100),MOD($AR698,100)),""),INT($AR698)),IFERROR(DATE(--LEFT(LEFT(SUBSTITUTE(SUBSTITUTE(SUBSTITUTE(SUBSTITUTE(TRIM($AR698),"-",""),".",""),"/","")," ",""),8),4),--MID(LEFT(SUBSTITUTE(SUBSTITUTE(SUBSTITUTE(SUBSTITUTE(TRIM($AR698),"-",""),".",""),"/","")," ",""),8),5,2),--MID(LEFT(SUBSTITUTE(SUBSTITUTE(SUBSTITUTE(SUBSTITUTE(TRIM($AR698),"-",""),".",""),"/","")," ",""),8),7,2)),"")))</f>
        <v/>
      </c>
      <c r="AT698" s="23">
        <f>IF($AS698="","",IF($F$6="",0,IF(ISNUMBER(INDEX($A:$AP,ROW(),$F$6)),INDEX($A:$AP,ROW(),$F$6),IFERROR(--SUBSTITUTE(SUBSTITUTE(TRIM(INDEX($A:$AP,ROW(),$F$6)),",",""),"원",""),0))))</f>
        <v/>
      </c>
      <c r="AU698" s="23">
        <f>IF($AS698="","",IF($G$6="",0,IF(ISNUMBER(INDEX($A:$AP,ROW(),$G$6)),INDEX($A:$AP,ROW(),$G$6),IFERROR(--SUBSTITUTE(SUBSTITUTE(TRIM(INDEX($A:$AP,ROW(),$G$6)),",",""),"원",""),0))))</f>
        <v/>
      </c>
      <c r="AV698" s="23">
        <f>IF($AS698="","",IF($H$6="",$AT698+$AU698,IF($H$6="",0,IF(ISNUMBER(INDEX($A:$AP,ROW(),$H$6)),INDEX($A:$AP,ROW(),$H$6),IFERROR(--SUBSTITUTE(SUBSTITUTE(TRIM(INDEX($A:$AP,ROW(),$H$6)),",",""),"원",""),0)))))</f>
        <v/>
      </c>
      <c r="AW698" s="2">
        <f>IF(OR($AS698="",$C$6=""),"",TRIM(INDEX($A:$AP,ROW(),$C$6)&amp;""))</f>
        <v/>
      </c>
      <c r="AX698" s="2">
        <f>IF($AS698="","",IF($AZ698&lt;&gt;"",SUBSTITUTE(SUBSTITUTE($AZ698,"-","")," ",""),$AY698))</f>
        <v/>
      </c>
      <c r="AY698" s="2">
        <f>IF(OR($AS698="",$E$6=""),"",TRIM(INDEX($A:$AP,ROW(),$E$6)&amp;""))</f>
        <v/>
      </c>
      <c r="AZ698" s="2">
        <f>IF(OR($AS698="",$D$6=""),"",TRIM(INDEX($A:$AP,ROW(),$D$6)&amp;""))</f>
        <v/>
      </c>
      <c r="BA698" s="2">
        <f>IF($AS698="","",IF(AND($AS698&gt;=설정!$B$10,$AS698&lt;=설정!$B$11),"포함","기간 밖"))</f>
        <v/>
      </c>
      <c r="BB698" s="2">
        <f>IF($AS698="","",IF(OR($AT698&lt;0,AND($I$6&lt;&gt;"",ISNUMBER(FIND("수정",INDEX($A:$AP,ROW(),IF($I$6="",1,$I$6))&amp;"")))),"수정","일반"))</f>
        <v/>
      </c>
      <c r="BC698" s="2">
        <f>IF($AS698="","",MID(IF($BA698="기간 밖"," / 기간 밖(신고기간 아님)","")&amp;IF(AND($AW698&lt;&gt;"",COUNTIF($AW$8:$AW$1007,$AW698)&gt;1)," / 승인번호 중복(두 번 붙여넣기?)","")&amp;IF(ABS($AU698-ROUND($AT698*0.1,0))&gt;설정!$B$8,IF($AU698=0," / 세액 0원(영세율·면세 여부 확인)"," / 세액이 공급가액 10%와 다름"),"")&amp;IF($BB698="수정"," / 수정세금계산서(합계에서 자동 가감)",""),4,200))</f>
        <v/>
      </c>
      <c r="BD698" s="2">
        <f>IF($BA698&lt;&gt;"포함","",IF(COUNTIFS($AX$8:$AX698,$AX698,$BA$8:$BA698,"포함")=1,MAX($BD$7:BD697)+1,""))</f>
        <v/>
      </c>
      <c r="BE698" s="2">
        <f>IF($BC698="","",MAX($BE$7:BE697)+1)</f>
        <v/>
      </c>
    </row>
    <row r="699">
      <c r="AR699" s="2">
        <f>IF(OR($A$5="",$B$6="",ROW()&lt;$A$5),"",IF(INDEX($A:$AP,ROW(),$B$6)="","",INDEX($A:$AP,ROW(),$B$6)))</f>
        <v/>
      </c>
      <c r="AS699" s="22">
        <f>IF($AR699="","",IF(ISNUMBER($AR699),IF($AR699&gt;=10000000,IFERROR(DATE(INT($AR699/10000),MOD(INT($AR699/100),100),MOD($AR699,100)),""),INT($AR699)),IFERROR(DATE(--LEFT(LEFT(SUBSTITUTE(SUBSTITUTE(SUBSTITUTE(SUBSTITUTE(TRIM($AR699),"-",""),".",""),"/","")," ",""),8),4),--MID(LEFT(SUBSTITUTE(SUBSTITUTE(SUBSTITUTE(SUBSTITUTE(TRIM($AR699),"-",""),".",""),"/","")," ",""),8),5,2),--MID(LEFT(SUBSTITUTE(SUBSTITUTE(SUBSTITUTE(SUBSTITUTE(TRIM($AR699),"-",""),".",""),"/","")," ",""),8),7,2)),"")))</f>
        <v/>
      </c>
      <c r="AT699" s="23">
        <f>IF($AS699="","",IF($F$6="",0,IF(ISNUMBER(INDEX($A:$AP,ROW(),$F$6)),INDEX($A:$AP,ROW(),$F$6),IFERROR(--SUBSTITUTE(SUBSTITUTE(TRIM(INDEX($A:$AP,ROW(),$F$6)),",",""),"원",""),0))))</f>
        <v/>
      </c>
      <c r="AU699" s="23">
        <f>IF($AS699="","",IF($G$6="",0,IF(ISNUMBER(INDEX($A:$AP,ROW(),$G$6)),INDEX($A:$AP,ROW(),$G$6),IFERROR(--SUBSTITUTE(SUBSTITUTE(TRIM(INDEX($A:$AP,ROW(),$G$6)),",",""),"원",""),0))))</f>
        <v/>
      </c>
      <c r="AV699" s="23">
        <f>IF($AS699="","",IF($H$6="",$AT699+$AU699,IF($H$6="",0,IF(ISNUMBER(INDEX($A:$AP,ROW(),$H$6)),INDEX($A:$AP,ROW(),$H$6),IFERROR(--SUBSTITUTE(SUBSTITUTE(TRIM(INDEX($A:$AP,ROW(),$H$6)),",",""),"원",""),0)))))</f>
        <v/>
      </c>
      <c r="AW699" s="2">
        <f>IF(OR($AS699="",$C$6=""),"",TRIM(INDEX($A:$AP,ROW(),$C$6)&amp;""))</f>
        <v/>
      </c>
      <c r="AX699" s="2">
        <f>IF($AS699="","",IF($AZ699&lt;&gt;"",SUBSTITUTE(SUBSTITUTE($AZ699,"-","")," ",""),$AY699))</f>
        <v/>
      </c>
      <c r="AY699" s="2">
        <f>IF(OR($AS699="",$E$6=""),"",TRIM(INDEX($A:$AP,ROW(),$E$6)&amp;""))</f>
        <v/>
      </c>
      <c r="AZ699" s="2">
        <f>IF(OR($AS699="",$D$6=""),"",TRIM(INDEX($A:$AP,ROW(),$D$6)&amp;""))</f>
        <v/>
      </c>
      <c r="BA699" s="2">
        <f>IF($AS699="","",IF(AND($AS699&gt;=설정!$B$10,$AS699&lt;=설정!$B$11),"포함","기간 밖"))</f>
        <v/>
      </c>
      <c r="BB699" s="2">
        <f>IF($AS699="","",IF(OR($AT699&lt;0,AND($I$6&lt;&gt;"",ISNUMBER(FIND("수정",INDEX($A:$AP,ROW(),IF($I$6="",1,$I$6))&amp;"")))),"수정","일반"))</f>
        <v/>
      </c>
      <c r="BC699" s="2">
        <f>IF($AS699="","",MID(IF($BA699="기간 밖"," / 기간 밖(신고기간 아님)","")&amp;IF(AND($AW699&lt;&gt;"",COUNTIF($AW$8:$AW$1007,$AW699)&gt;1)," / 승인번호 중복(두 번 붙여넣기?)","")&amp;IF(ABS($AU699-ROUND($AT699*0.1,0))&gt;설정!$B$8,IF($AU699=0," / 세액 0원(영세율·면세 여부 확인)"," / 세액이 공급가액 10%와 다름"),"")&amp;IF($BB699="수정"," / 수정세금계산서(합계에서 자동 가감)",""),4,200))</f>
        <v/>
      </c>
      <c r="BD699" s="2">
        <f>IF($BA699&lt;&gt;"포함","",IF(COUNTIFS($AX$8:$AX699,$AX699,$BA$8:$BA699,"포함")=1,MAX($BD$7:BD698)+1,""))</f>
        <v/>
      </c>
      <c r="BE699" s="2">
        <f>IF($BC699="","",MAX($BE$7:BE698)+1)</f>
        <v/>
      </c>
    </row>
    <row r="700">
      <c r="AR700" s="2">
        <f>IF(OR($A$5="",$B$6="",ROW()&lt;$A$5),"",IF(INDEX($A:$AP,ROW(),$B$6)="","",INDEX($A:$AP,ROW(),$B$6)))</f>
        <v/>
      </c>
      <c r="AS700" s="22">
        <f>IF($AR700="","",IF(ISNUMBER($AR700),IF($AR700&gt;=10000000,IFERROR(DATE(INT($AR700/10000),MOD(INT($AR700/100),100),MOD($AR700,100)),""),INT($AR700)),IFERROR(DATE(--LEFT(LEFT(SUBSTITUTE(SUBSTITUTE(SUBSTITUTE(SUBSTITUTE(TRIM($AR700),"-",""),".",""),"/","")," ",""),8),4),--MID(LEFT(SUBSTITUTE(SUBSTITUTE(SUBSTITUTE(SUBSTITUTE(TRIM($AR700),"-",""),".",""),"/","")," ",""),8),5,2),--MID(LEFT(SUBSTITUTE(SUBSTITUTE(SUBSTITUTE(SUBSTITUTE(TRIM($AR700),"-",""),".",""),"/","")," ",""),8),7,2)),"")))</f>
        <v/>
      </c>
      <c r="AT700" s="23">
        <f>IF($AS700="","",IF($F$6="",0,IF(ISNUMBER(INDEX($A:$AP,ROW(),$F$6)),INDEX($A:$AP,ROW(),$F$6),IFERROR(--SUBSTITUTE(SUBSTITUTE(TRIM(INDEX($A:$AP,ROW(),$F$6)),",",""),"원",""),0))))</f>
        <v/>
      </c>
      <c r="AU700" s="23">
        <f>IF($AS700="","",IF($G$6="",0,IF(ISNUMBER(INDEX($A:$AP,ROW(),$G$6)),INDEX($A:$AP,ROW(),$G$6),IFERROR(--SUBSTITUTE(SUBSTITUTE(TRIM(INDEX($A:$AP,ROW(),$G$6)),",",""),"원",""),0))))</f>
        <v/>
      </c>
      <c r="AV700" s="23">
        <f>IF($AS700="","",IF($H$6="",$AT700+$AU700,IF($H$6="",0,IF(ISNUMBER(INDEX($A:$AP,ROW(),$H$6)),INDEX($A:$AP,ROW(),$H$6),IFERROR(--SUBSTITUTE(SUBSTITUTE(TRIM(INDEX($A:$AP,ROW(),$H$6)),",",""),"원",""),0)))))</f>
        <v/>
      </c>
      <c r="AW700" s="2">
        <f>IF(OR($AS700="",$C$6=""),"",TRIM(INDEX($A:$AP,ROW(),$C$6)&amp;""))</f>
        <v/>
      </c>
      <c r="AX700" s="2">
        <f>IF($AS700="","",IF($AZ700&lt;&gt;"",SUBSTITUTE(SUBSTITUTE($AZ700,"-","")," ",""),$AY700))</f>
        <v/>
      </c>
      <c r="AY700" s="2">
        <f>IF(OR($AS700="",$E$6=""),"",TRIM(INDEX($A:$AP,ROW(),$E$6)&amp;""))</f>
        <v/>
      </c>
      <c r="AZ700" s="2">
        <f>IF(OR($AS700="",$D$6=""),"",TRIM(INDEX($A:$AP,ROW(),$D$6)&amp;""))</f>
        <v/>
      </c>
      <c r="BA700" s="2">
        <f>IF($AS700="","",IF(AND($AS700&gt;=설정!$B$10,$AS700&lt;=설정!$B$11),"포함","기간 밖"))</f>
        <v/>
      </c>
      <c r="BB700" s="2">
        <f>IF($AS700="","",IF(OR($AT700&lt;0,AND($I$6&lt;&gt;"",ISNUMBER(FIND("수정",INDEX($A:$AP,ROW(),IF($I$6="",1,$I$6))&amp;"")))),"수정","일반"))</f>
        <v/>
      </c>
      <c r="BC700" s="2">
        <f>IF($AS700="","",MID(IF($BA700="기간 밖"," / 기간 밖(신고기간 아님)","")&amp;IF(AND($AW700&lt;&gt;"",COUNTIF($AW$8:$AW$1007,$AW700)&gt;1)," / 승인번호 중복(두 번 붙여넣기?)","")&amp;IF(ABS($AU700-ROUND($AT700*0.1,0))&gt;설정!$B$8,IF($AU700=0," / 세액 0원(영세율·면세 여부 확인)"," / 세액이 공급가액 10%와 다름"),"")&amp;IF($BB700="수정"," / 수정세금계산서(합계에서 자동 가감)",""),4,200))</f>
        <v/>
      </c>
      <c r="BD700" s="2">
        <f>IF($BA700&lt;&gt;"포함","",IF(COUNTIFS($AX$8:$AX700,$AX700,$BA$8:$BA700,"포함")=1,MAX($BD$7:BD699)+1,""))</f>
        <v/>
      </c>
      <c r="BE700" s="2">
        <f>IF($BC700="","",MAX($BE$7:BE699)+1)</f>
        <v/>
      </c>
    </row>
    <row r="701">
      <c r="AR701" s="2">
        <f>IF(OR($A$5="",$B$6="",ROW()&lt;$A$5),"",IF(INDEX($A:$AP,ROW(),$B$6)="","",INDEX($A:$AP,ROW(),$B$6)))</f>
        <v/>
      </c>
      <c r="AS701" s="22">
        <f>IF($AR701="","",IF(ISNUMBER($AR701),IF($AR701&gt;=10000000,IFERROR(DATE(INT($AR701/10000),MOD(INT($AR701/100),100),MOD($AR701,100)),""),INT($AR701)),IFERROR(DATE(--LEFT(LEFT(SUBSTITUTE(SUBSTITUTE(SUBSTITUTE(SUBSTITUTE(TRIM($AR701),"-",""),".",""),"/","")," ",""),8),4),--MID(LEFT(SUBSTITUTE(SUBSTITUTE(SUBSTITUTE(SUBSTITUTE(TRIM($AR701),"-",""),".",""),"/","")," ",""),8),5,2),--MID(LEFT(SUBSTITUTE(SUBSTITUTE(SUBSTITUTE(SUBSTITUTE(TRIM($AR701),"-",""),".",""),"/","")," ",""),8),7,2)),"")))</f>
        <v/>
      </c>
      <c r="AT701" s="23">
        <f>IF($AS701="","",IF($F$6="",0,IF(ISNUMBER(INDEX($A:$AP,ROW(),$F$6)),INDEX($A:$AP,ROW(),$F$6),IFERROR(--SUBSTITUTE(SUBSTITUTE(TRIM(INDEX($A:$AP,ROW(),$F$6)),",",""),"원",""),0))))</f>
        <v/>
      </c>
      <c r="AU701" s="23">
        <f>IF($AS701="","",IF($G$6="",0,IF(ISNUMBER(INDEX($A:$AP,ROW(),$G$6)),INDEX($A:$AP,ROW(),$G$6),IFERROR(--SUBSTITUTE(SUBSTITUTE(TRIM(INDEX($A:$AP,ROW(),$G$6)),",",""),"원",""),0))))</f>
        <v/>
      </c>
      <c r="AV701" s="23">
        <f>IF($AS701="","",IF($H$6="",$AT701+$AU701,IF($H$6="",0,IF(ISNUMBER(INDEX($A:$AP,ROW(),$H$6)),INDEX($A:$AP,ROW(),$H$6),IFERROR(--SUBSTITUTE(SUBSTITUTE(TRIM(INDEX($A:$AP,ROW(),$H$6)),",",""),"원",""),0)))))</f>
        <v/>
      </c>
      <c r="AW701" s="2">
        <f>IF(OR($AS701="",$C$6=""),"",TRIM(INDEX($A:$AP,ROW(),$C$6)&amp;""))</f>
        <v/>
      </c>
      <c r="AX701" s="2">
        <f>IF($AS701="","",IF($AZ701&lt;&gt;"",SUBSTITUTE(SUBSTITUTE($AZ701,"-","")," ",""),$AY701))</f>
        <v/>
      </c>
      <c r="AY701" s="2">
        <f>IF(OR($AS701="",$E$6=""),"",TRIM(INDEX($A:$AP,ROW(),$E$6)&amp;""))</f>
        <v/>
      </c>
      <c r="AZ701" s="2">
        <f>IF(OR($AS701="",$D$6=""),"",TRIM(INDEX($A:$AP,ROW(),$D$6)&amp;""))</f>
        <v/>
      </c>
      <c r="BA701" s="2">
        <f>IF($AS701="","",IF(AND($AS701&gt;=설정!$B$10,$AS701&lt;=설정!$B$11),"포함","기간 밖"))</f>
        <v/>
      </c>
      <c r="BB701" s="2">
        <f>IF($AS701="","",IF(OR($AT701&lt;0,AND($I$6&lt;&gt;"",ISNUMBER(FIND("수정",INDEX($A:$AP,ROW(),IF($I$6="",1,$I$6))&amp;"")))),"수정","일반"))</f>
        <v/>
      </c>
      <c r="BC701" s="2">
        <f>IF($AS701="","",MID(IF($BA701="기간 밖"," / 기간 밖(신고기간 아님)","")&amp;IF(AND($AW701&lt;&gt;"",COUNTIF($AW$8:$AW$1007,$AW701)&gt;1)," / 승인번호 중복(두 번 붙여넣기?)","")&amp;IF(ABS($AU701-ROUND($AT701*0.1,0))&gt;설정!$B$8,IF($AU701=0," / 세액 0원(영세율·면세 여부 확인)"," / 세액이 공급가액 10%와 다름"),"")&amp;IF($BB701="수정"," / 수정세금계산서(합계에서 자동 가감)",""),4,200))</f>
        <v/>
      </c>
      <c r="BD701" s="2">
        <f>IF($BA701&lt;&gt;"포함","",IF(COUNTIFS($AX$8:$AX701,$AX701,$BA$8:$BA701,"포함")=1,MAX($BD$7:BD700)+1,""))</f>
        <v/>
      </c>
      <c r="BE701" s="2">
        <f>IF($BC701="","",MAX($BE$7:BE700)+1)</f>
        <v/>
      </c>
    </row>
    <row r="702">
      <c r="AR702" s="2">
        <f>IF(OR($A$5="",$B$6="",ROW()&lt;$A$5),"",IF(INDEX($A:$AP,ROW(),$B$6)="","",INDEX($A:$AP,ROW(),$B$6)))</f>
        <v/>
      </c>
      <c r="AS702" s="22">
        <f>IF($AR702="","",IF(ISNUMBER($AR702),IF($AR702&gt;=10000000,IFERROR(DATE(INT($AR702/10000),MOD(INT($AR702/100),100),MOD($AR702,100)),""),INT($AR702)),IFERROR(DATE(--LEFT(LEFT(SUBSTITUTE(SUBSTITUTE(SUBSTITUTE(SUBSTITUTE(TRIM($AR702),"-",""),".",""),"/","")," ",""),8),4),--MID(LEFT(SUBSTITUTE(SUBSTITUTE(SUBSTITUTE(SUBSTITUTE(TRIM($AR702),"-",""),".",""),"/","")," ",""),8),5,2),--MID(LEFT(SUBSTITUTE(SUBSTITUTE(SUBSTITUTE(SUBSTITUTE(TRIM($AR702),"-",""),".",""),"/","")," ",""),8),7,2)),"")))</f>
        <v/>
      </c>
      <c r="AT702" s="23">
        <f>IF($AS702="","",IF($F$6="",0,IF(ISNUMBER(INDEX($A:$AP,ROW(),$F$6)),INDEX($A:$AP,ROW(),$F$6),IFERROR(--SUBSTITUTE(SUBSTITUTE(TRIM(INDEX($A:$AP,ROW(),$F$6)),",",""),"원",""),0))))</f>
        <v/>
      </c>
      <c r="AU702" s="23">
        <f>IF($AS702="","",IF($G$6="",0,IF(ISNUMBER(INDEX($A:$AP,ROW(),$G$6)),INDEX($A:$AP,ROW(),$G$6),IFERROR(--SUBSTITUTE(SUBSTITUTE(TRIM(INDEX($A:$AP,ROW(),$G$6)),",",""),"원",""),0))))</f>
        <v/>
      </c>
      <c r="AV702" s="23">
        <f>IF($AS702="","",IF($H$6="",$AT702+$AU702,IF($H$6="",0,IF(ISNUMBER(INDEX($A:$AP,ROW(),$H$6)),INDEX($A:$AP,ROW(),$H$6),IFERROR(--SUBSTITUTE(SUBSTITUTE(TRIM(INDEX($A:$AP,ROW(),$H$6)),",",""),"원",""),0)))))</f>
        <v/>
      </c>
      <c r="AW702" s="2">
        <f>IF(OR($AS702="",$C$6=""),"",TRIM(INDEX($A:$AP,ROW(),$C$6)&amp;""))</f>
        <v/>
      </c>
      <c r="AX702" s="2">
        <f>IF($AS702="","",IF($AZ702&lt;&gt;"",SUBSTITUTE(SUBSTITUTE($AZ702,"-","")," ",""),$AY702))</f>
        <v/>
      </c>
      <c r="AY702" s="2">
        <f>IF(OR($AS702="",$E$6=""),"",TRIM(INDEX($A:$AP,ROW(),$E$6)&amp;""))</f>
        <v/>
      </c>
      <c r="AZ702" s="2">
        <f>IF(OR($AS702="",$D$6=""),"",TRIM(INDEX($A:$AP,ROW(),$D$6)&amp;""))</f>
        <v/>
      </c>
      <c r="BA702" s="2">
        <f>IF($AS702="","",IF(AND($AS702&gt;=설정!$B$10,$AS702&lt;=설정!$B$11),"포함","기간 밖"))</f>
        <v/>
      </c>
      <c r="BB702" s="2">
        <f>IF($AS702="","",IF(OR($AT702&lt;0,AND($I$6&lt;&gt;"",ISNUMBER(FIND("수정",INDEX($A:$AP,ROW(),IF($I$6="",1,$I$6))&amp;"")))),"수정","일반"))</f>
        <v/>
      </c>
      <c r="BC702" s="2">
        <f>IF($AS702="","",MID(IF($BA702="기간 밖"," / 기간 밖(신고기간 아님)","")&amp;IF(AND($AW702&lt;&gt;"",COUNTIF($AW$8:$AW$1007,$AW702)&gt;1)," / 승인번호 중복(두 번 붙여넣기?)","")&amp;IF(ABS($AU702-ROUND($AT702*0.1,0))&gt;설정!$B$8,IF($AU702=0," / 세액 0원(영세율·면세 여부 확인)"," / 세액이 공급가액 10%와 다름"),"")&amp;IF($BB702="수정"," / 수정세금계산서(합계에서 자동 가감)",""),4,200))</f>
        <v/>
      </c>
      <c r="BD702" s="2">
        <f>IF($BA702&lt;&gt;"포함","",IF(COUNTIFS($AX$8:$AX702,$AX702,$BA$8:$BA702,"포함")=1,MAX($BD$7:BD701)+1,""))</f>
        <v/>
      </c>
      <c r="BE702" s="2">
        <f>IF($BC702="","",MAX($BE$7:BE701)+1)</f>
        <v/>
      </c>
    </row>
    <row r="703">
      <c r="AR703" s="2">
        <f>IF(OR($A$5="",$B$6="",ROW()&lt;$A$5),"",IF(INDEX($A:$AP,ROW(),$B$6)="","",INDEX($A:$AP,ROW(),$B$6)))</f>
        <v/>
      </c>
      <c r="AS703" s="22">
        <f>IF($AR703="","",IF(ISNUMBER($AR703),IF($AR703&gt;=10000000,IFERROR(DATE(INT($AR703/10000),MOD(INT($AR703/100),100),MOD($AR703,100)),""),INT($AR703)),IFERROR(DATE(--LEFT(LEFT(SUBSTITUTE(SUBSTITUTE(SUBSTITUTE(SUBSTITUTE(TRIM($AR703),"-",""),".",""),"/","")," ",""),8),4),--MID(LEFT(SUBSTITUTE(SUBSTITUTE(SUBSTITUTE(SUBSTITUTE(TRIM($AR703),"-",""),".",""),"/","")," ",""),8),5,2),--MID(LEFT(SUBSTITUTE(SUBSTITUTE(SUBSTITUTE(SUBSTITUTE(TRIM($AR703),"-",""),".",""),"/","")," ",""),8),7,2)),"")))</f>
        <v/>
      </c>
      <c r="AT703" s="23">
        <f>IF($AS703="","",IF($F$6="",0,IF(ISNUMBER(INDEX($A:$AP,ROW(),$F$6)),INDEX($A:$AP,ROW(),$F$6),IFERROR(--SUBSTITUTE(SUBSTITUTE(TRIM(INDEX($A:$AP,ROW(),$F$6)),",",""),"원",""),0))))</f>
        <v/>
      </c>
      <c r="AU703" s="23">
        <f>IF($AS703="","",IF($G$6="",0,IF(ISNUMBER(INDEX($A:$AP,ROW(),$G$6)),INDEX($A:$AP,ROW(),$G$6),IFERROR(--SUBSTITUTE(SUBSTITUTE(TRIM(INDEX($A:$AP,ROW(),$G$6)),",",""),"원",""),0))))</f>
        <v/>
      </c>
      <c r="AV703" s="23">
        <f>IF($AS703="","",IF($H$6="",$AT703+$AU703,IF($H$6="",0,IF(ISNUMBER(INDEX($A:$AP,ROW(),$H$6)),INDEX($A:$AP,ROW(),$H$6),IFERROR(--SUBSTITUTE(SUBSTITUTE(TRIM(INDEX($A:$AP,ROW(),$H$6)),",",""),"원",""),0)))))</f>
        <v/>
      </c>
      <c r="AW703" s="2">
        <f>IF(OR($AS703="",$C$6=""),"",TRIM(INDEX($A:$AP,ROW(),$C$6)&amp;""))</f>
        <v/>
      </c>
      <c r="AX703" s="2">
        <f>IF($AS703="","",IF($AZ703&lt;&gt;"",SUBSTITUTE(SUBSTITUTE($AZ703,"-","")," ",""),$AY703))</f>
        <v/>
      </c>
      <c r="AY703" s="2">
        <f>IF(OR($AS703="",$E$6=""),"",TRIM(INDEX($A:$AP,ROW(),$E$6)&amp;""))</f>
        <v/>
      </c>
      <c r="AZ703" s="2">
        <f>IF(OR($AS703="",$D$6=""),"",TRIM(INDEX($A:$AP,ROW(),$D$6)&amp;""))</f>
        <v/>
      </c>
      <c r="BA703" s="2">
        <f>IF($AS703="","",IF(AND($AS703&gt;=설정!$B$10,$AS703&lt;=설정!$B$11),"포함","기간 밖"))</f>
        <v/>
      </c>
      <c r="BB703" s="2">
        <f>IF($AS703="","",IF(OR($AT703&lt;0,AND($I$6&lt;&gt;"",ISNUMBER(FIND("수정",INDEX($A:$AP,ROW(),IF($I$6="",1,$I$6))&amp;"")))),"수정","일반"))</f>
        <v/>
      </c>
      <c r="BC703" s="2">
        <f>IF($AS703="","",MID(IF($BA703="기간 밖"," / 기간 밖(신고기간 아님)","")&amp;IF(AND($AW703&lt;&gt;"",COUNTIF($AW$8:$AW$1007,$AW703)&gt;1)," / 승인번호 중복(두 번 붙여넣기?)","")&amp;IF(ABS($AU703-ROUND($AT703*0.1,0))&gt;설정!$B$8,IF($AU703=0," / 세액 0원(영세율·면세 여부 확인)"," / 세액이 공급가액 10%와 다름"),"")&amp;IF($BB703="수정"," / 수정세금계산서(합계에서 자동 가감)",""),4,200))</f>
        <v/>
      </c>
      <c r="BD703" s="2">
        <f>IF($BA703&lt;&gt;"포함","",IF(COUNTIFS($AX$8:$AX703,$AX703,$BA$8:$BA703,"포함")=1,MAX($BD$7:BD702)+1,""))</f>
        <v/>
      </c>
      <c r="BE703" s="2">
        <f>IF($BC703="","",MAX($BE$7:BE702)+1)</f>
        <v/>
      </c>
    </row>
    <row r="704">
      <c r="AR704" s="2">
        <f>IF(OR($A$5="",$B$6="",ROW()&lt;$A$5),"",IF(INDEX($A:$AP,ROW(),$B$6)="","",INDEX($A:$AP,ROW(),$B$6)))</f>
        <v/>
      </c>
      <c r="AS704" s="22">
        <f>IF($AR704="","",IF(ISNUMBER($AR704),IF($AR704&gt;=10000000,IFERROR(DATE(INT($AR704/10000),MOD(INT($AR704/100),100),MOD($AR704,100)),""),INT($AR704)),IFERROR(DATE(--LEFT(LEFT(SUBSTITUTE(SUBSTITUTE(SUBSTITUTE(SUBSTITUTE(TRIM($AR704),"-",""),".",""),"/","")," ",""),8),4),--MID(LEFT(SUBSTITUTE(SUBSTITUTE(SUBSTITUTE(SUBSTITUTE(TRIM($AR704),"-",""),".",""),"/","")," ",""),8),5,2),--MID(LEFT(SUBSTITUTE(SUBSTITUTE(SUBSTITUTE(SUBSTITUTE(TRIM($AR704),"-",""),".",""),"/","")," ",""),8),7,2)),"")))</f>
        <v/>
      </c>
      <c r="AT704" s="23">
        <f>IF($AS704="","",IF($F$6="",0,IF(ISNUMBER(INDEX($A:$AP,ROW(),$F$6)),INDEX($A:$AP,ROW(),$F$6),IFERROR(--SUBSTITUTE(SUBSTITUTE(TRIM(INDEX($A:$AP,ROW(),$F$6)),",",""),"원",""),0))))</f>
        <v/>
      </c>
      <c r="AU704" s="23">
        <f>IF($AS704="","",IF($G$6="",0,IF(ISNUMBER(INDEX($A:$AP,ROW(),$G$6)),INDEX($A:$AP,ROW(),$G$6),IFERROR(--SUBSTITUTE(SUBSTITUTE(TRIM(INDEX($A:$AP,ROW(),$G$6)),",",""),"원",""),0))))</f>
        <v/>
      </c>
      <c r="AV704" s="23">
        <f>IF($AS704="","",IF($H$6="",$AT704+$AU704,IF($H$6="",0,IF(ISNUMBER(INDEX($A:$AP,ROW(),$H$6)),INDEX($A:$AP,ROW(),$H$6),IFERROR(--SUBSTITUTE(SUBSTITUTE(TRIM(INDEX($A:$AP,ROW(),$H$6)),",",""),"원",""),0)))))</f>
        <v/>
      </c>
      <c r="AW704" s="2">
        <f>IF(OR($AS704="",$C$6=""),"",TRIM(INDEX($A:$AP,ROW(),$C$6)&amp;""))</f>
        <v/>
      </c>
      <c r="AX704" s="2">
        <f>IF($AS704="","",IF($AZ704&lt;&gt;"",SUBSTITUTE(SUBSTITUTE($AZ704,"-","")," ",""),$AY704))</f>
        <v/>
      </c>
      <c r="AY704" s="2">
        <f>IF(OR($AS704="",$E$6=""),"",TRIM(INDEX($A:$AP,ROW(),$E$6)&amp;""))</f>
        <v/>
      </c>
      <c r="AZ704" s="2">
        <f>IF(OR($AS704="",$D$6=""),"",TRIM(INDEX($A:$AP,ROW(),$D$6)&amp;""))</f>
        <v/>
      </c>
      <c r="BA704" s="2">
        <f>IF($AS704="","",IF(AND($AS704&gt;=설정!$B$10,$AS704&lt;=설정!$B$11),"포함","기간 밖"))</f>
        <v/>
      </c>
      <c r="BB704" s="2">
        <f>IF($AS704="","",IF(OR($AT704&lt;0,AND($I$6&lt;&gt;"",ISNUMBER(FIND("수정",INDEX($A:$AP,ROW(),IF($I$6="",1,$I$6))&amp;"")))),"수정","일반"))</f>
        <v/>
      </c>
      <c r="BC704" s="2">
        <f>IF($AS704="","",MID(IF($BA704="기간 밖"," / 기간 밖(신고기간 아님)","")&amp;IF(AND($AW704&lt;&gt;"",COUNTIF($AW$8:$AW$1007,$AW704)&gt;1)," / 승인번호 중복(두 번 붙여넣기?)","")&amp;IF(ABS($AU704-ROUND($AT704*0.1,0))&gt;설정!$B$8,IF($AU704=0," / 세액 0원(영세율·면세 여부 확인)"," / 세액이 공급가액 10%와 다름"),"")&amp;IF($BB704="수정"," / 수정세금계산서(합계에서 자동 가감)",""),4,200))</f>
        <v/>
      </c>
      <c r="BD704" s="2">
        <f>IF($BA704&lt;&gt;"포함","",IF(COUNTIFS($AX$8:$AX704,$AX704,$BA$8:$BA704,"포함")=1,MAX($BD$7:BD703)+1,""))</f>
        <v/>
      </c>
      <c r="BE704" s="2">
        <f>IF($BC704="","",MAX($BE$7:BE703)+1)</f>
        <v/>
      </c>
    </row>
    <row r="705">
      <c r="AR705" s="2">
        <f>IF(OR($A$5="",$B$6="",ROW()&lt;$A$5),"",IF(INDEX($A:$AP,ROW(),$B$6)="","",INDEX($A:$AP,ROW(),$B$6)))</f>
        <v/>
      </c>
      <c r="AS705" s="22">
        <f>IF($AR705="","",IF(ISNUMBER($AR705),IF($AR705&gt;=10000000,IFERROR(DATE(INT($AR705/10000),MOD(INT($AR705/100),100),MOD($AR705,100)),""),INT($AR705)),IFERROR(DATE(--LEFT(LEFT(SUBSTITUTE(SUBSTITUTE(SUBSTITUTE(SUBSTITUTE(TRIM($AR705),"-",""),".",""),"/","")," ",""),8),4),--MID(LEFT(SUBSTITUTE(SUBSTITUTE(SUBSTITUTE(SUBSTITUTE(TRIM($AR705),"-",""),".",""),"/","")," ",""),8),5,2),--MID(LEFT(SUBSTITUTE(SUBSTITUTE(SUBSTITUTE(SUBSTITUTE(TRIM($AR705),"-",""),".",""),"/","")," ",""),8),7,2)),"")))</f>
        <v/>
      </c>
      <c r="AT705" s="23">
        <f>IF($AS705="","",IF($F$6="",0,IF(ISNUMBER(INDEX($A:$AP,ROW(),$F$6)),INDEX($A:$AP,ROW(),$F$6),IFERROR(--SUBSTITUTE(SUBSTITUTE(TRIM(INDEX($A:$AP,ROW(),$F$6)),",",""),"원",""),0))))</f>
        <v/>
      </c>
      <c r="AU705" s="23">
        <f>IF($AS705="","",IF($G$6="",0,IF(ISNUMBER(INDEX($A:$AP,ROW(),$G$6)),INDEX($A:$AP,ROW(),$G$6),IFERROR(--SUBSTITUTE(SUBSTITUTE(TRIM(INDEX($A:$AP,ROW(),$G$6)),",",""),"원",""),0))))</f>
        <v/>
      </c>
      <c r="AV705" s="23">
        <f>IF($AS705="","",IF($H$6="",$AT705+$AU705,IF($H$6="",0,IF(ISNUMBER(INDEX($A:$AP,ROW(),$H$6)),INDEX($A:$AP,ROW(),$H$6),IFERROR(--SUBSTITUTE(SUBSTITUTE(TRIM(INDEX($A:$AP,ROW(),$H$6)),",",""),"원",""),0)))))</f>
        <v/>
      </c>
      <c r="AW705" s="2">
        <f>IF(OR($AS705="",$C$6=""),"",TRIM(INDEX($A:$AP,ROW(),$C$6)&amp;""))</f>
        <v/>
      </c>
      <c r="AX705" s="2">
        <f>IF($AS705="","",IF($AZ705&lt;&gt;"",SUBSTITUTE(SUBSTITUTE($AZ705,"-","")," ",""),$AY705))</f>
        <v/>
      </c>
      <c r="AY705" s="2">
        <f>IF(OR($AS705="",$E$6=""),"",TRIM(INDEX($A:$AP,ROW(),$E$6)&amp;""))</f>
        <v/>
      </c>
      <c r="AZ705" s="2">
        <f>IF(OR($AS705="",$D$6=""),"",TRIM(INDEX($A:$AP,ROW(),$D$6)&amp;""))</f>
        <v/>
      </c>
      <c r="BA705" s="2">
        <f>IF($AS705="","",IF(AND($AS705&gt;=설정!$B$10,$AS705&lt;=설정!$B$11),"포함","기간 밖"))</f>
        <v/>
      </c>
      <c r="BB705" s="2">
        <f>IF($AS705="","",IF(OR($AT705&lt;0,AND($I$6&lt;&gt;"",ISNUMBER(FIND("수정",INDEX($A:$AP,ROW(),IF($I$6="",1,$I$6))&amp;"")))),"수정","일반"))</f>
        <v/>
      </c>
      <c r="BC705" s="2">
        <f>IF($AS705="","",MID(IF($BA705="기간 밖"," / 기간 밖(신고기간 아님)","")&amp;IF(AND($AW705&lt;&gt;"",COUNTIF($AW$8:$AW$1007,$AW705)&gt;1)," / 승인번호 중복(두 번 붙여넣기?)","")&amp;IF(ABS($AU705-ROUND($AT705*0.1,0))&gt;설정!$B$8,IF($AU705=0," / 세액 0원(영세율·면세 여부 확인)"," / 세액이 공급가액 10%와 다름"),"")&amp;IF($BB705="수정"," / 수정세금계산서(합계에서 자동 가감)",""),4,200))</f>
        <v/>
      </c>
      <c r="BD705" s="2">
        <f>IF($BA705&lt;&gt;"포함","",IF(COUNTIFS($AX$8:$AX705,$AX705,$BA$8:$BA705,"포함")=1,MAX($BD$7:BD704)+1,""))</f>
        <v/>
      </c>
      <c r="BE705" s="2">
        <f>IF($BC705="","",MAX($BE$7:BE704)+1)</f>
        <v/>
      </c>
    </row>
    <row r="706">
      <c r="AR706" s="2">
        <f>IF(OR($A$5="",$B$6="",ROW()&lt;$A$5),"",IF(INDEX($A:$AP,ROW(),$B$6)="","",INDEX($A:$AP,ROW(),$B$6)))</f>
        <v/>
      </c>
      <c r="AS706" s="22">
        <f>IF($AR706="","",IF(ISNUMBER($AR706),IF($AR706&gt;=10000000,IFERROR(DATE(INT($AR706/10000),MOD(INT($AR706/100),100),MOD($AR706,100)),""),INT($AR706)),IFERROR(DATE(--LEFT(LEFT(SUBSTITUTE(SUBSTITUTE(SUBSTITUTE(SUBSTITUTE(TRIM($AR706),"-",""),".",""),"/","")," ",""),8),4),--MID(LEFT(SUBSTITUTE(SUBSTITUTE(SUBSTITUTE(SUBSTITUTE(TRIM($AR706),"-",""),".",""),"/","")," ",""),8),5,2),--MID(LEFT(SUBSTITUTE(SUBSTITUTE(SUBSTITUTE(SUBSTITUTE(TRIM($AR706),"-",""),".",""),"/","")," ",""),8),7,2)),"")))</f>
        <v/>
      </c>
      <c r="AT706" s="23">
        <f>IF($AS706="","",IF($F$6="",0,IF(ISNUMBER(INDEX($A:$AP,ROW(),$F$6)),INDEX($A:$AP,ROW(),$F$6),IFERROR(--SUBSTITUTE(SUBSTITUTE(TRIM(INDEX($A:$AP,ROW(),$F$6)),",",""),"원",""),0))))</f>
        <v/>
      </c>
      <c r="AU706" s="23">
        <f>IF($AS706="","",IF($G$6="",0,IF(ISNUMBER(INDEX($A:$AP,ROW(),$G$6)),INDEX($A:$AP,ROW(),$G$6),IFERROR(--SUBSTITUTE(SUBSTITUTE(TRIM(INDEX($A:$AP,ROW(),$G$6)),",",""),"원",""),0))))</f>
        <v/>
      </c>
      <c r="AV706" s="23">
        <f>IF($AS706="","",IF($H$6="",$AT706+$AU706,IF($H$6="",0,IF(ISNUMBER(INDEX($A:$AP,ROW(),$H$6)),INDEX($A:$AP,ROW(),$H$6),IFERROR(--SUBSTITUTE(SUBSTITUTE(TRIM(INDEX($A:$AP,ROW(),$H$6)),",",""),"원",""),0)))))</f>
        <v/>
      </c>
      <c r="AW706" s="2">
        <f>IF(OR($AS706="",$C$6=""),"",TRIM(INDEX($A:$AP,ROW(),$C$6)&amp;""))</f>
        <v/>
      </c>
      <c r="AX706" s="2">
        <f>IF($AS706="","",IF($AZ706&lt;&gt;"",SUBSTITUTE(SUBSTITUTE($AZ706,"-","")," ",""),$AY706))</f>
        <v/>
      </c>
      <c r="AY706" s="2">
        <f>IF(OR($AS706="",$E$6=""),"",TRIM(INDEX($A:$AP,ROW(),$E$6)&amp;""))</f>
        <v/>
      </c>
      <c r="AZ706" s="2">
        <f>IF(OR($AS706="",$D$6=""),"",TRIM(INDEX($A:$AP,ROW(),$D$6)&amp;""))</f>
        <v/>
      </c>
      <c r="BA706" s="2">
        <f>IF($AS706="","",IF(AND($AS706&gt;=설정!$B$10,$AS706&lt;=설정!$B$11),"포함","기간 밖"))</f>
        <v/>
      </c>
      <c r="BB706" s="2">
        <f>IF($AS706="","",IF(OR($AT706&lt;0,AND($I$6&lt;&gt;"",ISNUMBER(FIND("수정",INDEX($A:$AP,ROW(),IF($I$6="",1,$I$6))&amp;"")))),"수정","일반"))</f>
        <v/>
      </c>
      <c r="BC706" s="2">
        <f>IF($AS706="","",MID(IF($BA706="기간 밖"," / 기간 밖(신고기간 아님)","")&amp;IF(AND($AW706&lt;&gt;"",COUNTIF($AW$8:$AW$1007,$AW706)&gt;1)," / 승인번호 중복(두 번 붙여넣기?)","")&amp;IF(ABS($AU706-ROUND($AT706*0.1,0))&gt;설정!$B$8,IF($AU706=0," / 세액 0원(영세율·면세 여부 확인)"," / 세액이 공급가액 10%와 다름"),"")&amp;IF($BB706="수정"," / 수정세금계산서(합계에서 자동 가감)",""),4,200))</f>
        <v/>
      </c>
      <c r="BD706" s="2">
        <f>IF($BA706&lt;&gt;"포함","",IF(COUNTIFS($AX$8:$AX706,$AX706,$BA$8:$BA706,"포함")=1,MAX($BD$7:BD705)+1,""))</f>
        <v/>
      </c>
      <c r="BE706" s="2">
        <f>IF($BC706="","",MAX($BE$7:BE705)+1)</f>
        <v/>
      </c>
    </row>
    <row r="707">
      <c r="AR707" s="2">
        <f>IF(OR($A$5="",$B$6="",ROW()&lt;$A$5),"",IF(INDEX($A:$AP,ROW(),$B$6)="","",INDEX($A:$AP,ROW(),$B$6)))</f>
        <v/>
      </c>
      <c r="AS707" s="22">
        <f>IF($AR707="","",IF(ISNUMBER($AR707),IF($AR707&gt;=10000000,IFERROR(DATE(INT($AR707/10000),MOD(INT($AR707/100),100),MOD($AR707,100)),""),INT($AR707)),IFERROR(DATE(--LEFT(LEFT(SUBSTITUTE(SUBSTITUTE(SUBSTITUTE(SUBSTITUTE(TRIM($AR707),"-",""),".",""),"/","")," ",""),8),4),--MID(LEFT(SUBSTITUTE(SUBSTITUTE(SUBSTITUTE(SUBSTITUTE(TRIM($AR707),"-",""),".",""),"/","")," ",""),8),5,2),--MID(LEFT(SUBSTITUTE(SUBSTITUTE(SUBSTITUTE(SUBSTITUTE(TRIM($AR707),"-",""),".",""),"/","")," ",""),8),7,2)),"")))</f>
        <v/>
      </c>
      <c r="AT707" s="23">
        <f>IF($AS707="","",IF($F$6="",0,IF(ISNUMBER(INDEX($A:$AP,ROW(),$F$6)),INDEX($A:$AP,ROW(),$F$6),IFERROR(--SUBSTITUTE(SUBSTITUTE(TRIM(INDEX($A:$AP,ROW(),$F$6)),",",""),"원",""),0))))</f>
        <v/>
      </c>
      <c r="AU707" s="23">
        <f>IF($AS707="","",IF($G$6="",0,IF(ISNUMBER(INDEX($A:$AP,ROW(),$G$6)),INDEX($A:$AP,ROW(),$G$6),IFERROR(--SUBSTITUTE(SUBSTITUTE(TRIM(INDEX($A:$AP,ROW(),$G$6)),",",""),"원",""),0))))</f>
        <v/>
      </c>
      <c r="AV707" s="23">
        <f>IF($AS707="","",IF($H$6="",$AT707+$AU707,IF($H$6="",0,IF(ISNUMBER(INDEX($A:$AP,ROW(),$H$6)),INDEX($A:$AP,ROW(),$H$6),IFERROR(--SUBSTITUTE(SUBSTITUTE(TRIM(INDEX($A:$AP,ROW(),$H$6)),",",""),"원",""),0)))))</f>
        <v/>
      </c>
      <c r="AW707" s="2">
        <f>IF(OR($AS707="",$C$6=""),"",TRIM(INDEX($A:$AP,ROW(),$C$6)&amp;""))</f>
        <v/>
      </c>
      <c r="AX707" s="2">
        <f>IF($AS707="","",IF($AZ707&lt;&gt;"",SUBSTITUTE(SUBSTITUTE($AZ707,"-","")," ",""),$AY707))</f>
        <v/>
      </c>
      <c r="AY707" s="2">
        <f>IF(OR($AS707="",$E$6=""),"",TRIM(INDEX($A:$AP,ROW(),$E$6)&amp;""))</f>
        <v/>
      </c>
      <c r="AZ707" s="2">
        <f>IF(OR($AS707="",$D$6=""),"",TRIM(INDEX($A:$AP,ROW(),$D$6)&amp;""))</f>
        <v/>
      </c>
      <c r="BA707" s="2">
        <f>IF($AS707="","",IF(AND($AS707&gt;=설정!$B$10,$AS707&lt;=설정!$B$11),"포함","기간 밖"))</f>
        <v/>
      </c>
      <c r="BB707" s="2">
        <f>IF($AS707="","",IF(OR($AT707&lt;0,AND($I$6&lt;&gt;"",ISNUMBER(FIND("수정",INDEX($A:$AP,ROW(),IF($I$6="",1,$I$6))&amp;"")))),"수정","일반"))</f>
        <v/>
      </c>
      <c r="BC707" s="2">
        <f>IF($AS707="","",MID(IF($BA707="기간 밖"," / 기간 밖(신고기간 아님)","")&amp;IF(AND($AW707&lt;&gt;"",COUNTIF($AW$8:$AW$1007,$AW707)&gt;1)," / 승인번호 중복(두 번 붙여넣기?)","")&amp;IF(ABS($AU707-ROUND($AT707*0.1,0))&gt;설정!$B$8,IF($AU707=0," / 세액 0원(영세율·면세 여부 확인)"," / 세액이 공급가액 10%와 다름"),"")&amp;IF($BB707="수정"," / 수정세금계산서(합계에서 자동 가감)",""),4,200))</f>
        <v/>
      </c>
      <c r="BD707" s="2">
        <f>IF($BA707&lt;&gt;"포함","",IF(COUNTIFS($AX$8:$AX707,$AX707,$BA$8:$BA707,"포함")=1,MAX($BD$7:BD706)+1,""))</f>
        <v/>
      </c>
      <c r="BE707" s="2">
        <f>IF($BC707="","",MAX($BE$7:BE706)+1)</f>
        <v/>
      </c>
    </row>
    <row r="708">
      <c r="AR708" s="2">
        <f>IF(OR($A$5="",$B$6="",ROW()&lt;$A$5),"",IF(INDEX($A:$AP,ROW(),$B$6)="","",INDEX($A:$AP,ROW(),$B$6)))</f>
        <v/>
      </c>
      <c r="AS708" s="22">
        <f>IF($AR708="","",IF(ISNUMBER($AR708),IF($AR708&gt;=10000000,IFERROR(DATE(INT($AR708/10000),MOD(INT($AR708/100),100),MOD($AR708,100)),""),INT($AR708)),IFERROR(DATE(--LEFT(LEFT(SUBSTITUTE(SUBSTITUTE(SUBSTITUTE(SUBSTITUTE(TRIM($AR708),"-",""),".",""),"/","")," ",""),8),4),--MID(LEFT(SUBSTITUTE(SUBSTITUTE(SUBSTITUTE(SUBSTITUTE(TRIM($AR708),"-",""),".",""),"/","")," ",""),8),5,2),--MID(LEFT(SUBSTITUTE(SUBSTITUTE(SUBSTITUTE(SUBSTITUTE(TRIM($AR708),"-",""),".",""),"/","")," ",""),8),7,2)),"")))</f>
        <v/>
      </c>
      <c r="AT708" s="23">
        <f>IF($AS708="","",IF($F$6="",0,IF(ISNUMBER(INDEX($A:$AP,ROW(),$F$6)),INDEX($A:$AP,ROW(),$F$6),IFERROR(--SUBSTITUTE(SUBSTITUTE(TRIM(INDEX($A:$AP,ROW(),$F$6)),",",""),"원",""),0))))</f>
        <v/>
      </c>
      <c r="AU708" s="23">
        <f>IF($AS708="","",IF($G$6="",0,IF(ISNUMBER(INDEX($A:$AP,ROW(),$G$6)),INDEX($A:$AP,ROW(),$G$6),IFERROR(--SUBSTITUTE(SUBSTITUTE(TRIM(INDEX($A:$AP,ROW(),$G$6)),",",""),"원",""),0))))</f>
        <v/>
      </c>
      <c r="AV708" s="23">
        <f>IF($AS708="","",IF($H$6="",$AT708+$AU708,IF($H$6="",0,IF(ISNUMBER(INDEX($A:$AP,ROW(),$H$6)),INDEX($A:$AP,ROW(),$H$6),IFERROR(--SUBSTITUTE(SUBSTITUTE(TRIM(INDEX($A:$AP,ROW(),$H$6)),",",""),"원",""),0)))))</f>
        <v/>
      </c>
      <c r="AW708" s="2">
        <f>IF(OR($AS708="",$C$6=""),"",TRIM(INDEX($A:$AP,ROW(),$C$6)&amp;""))</f>
        <v/>
      </c>
      <c r="AX708" s="2">
        <f>IF($AS708="","",IF($AZ708&lt;&gt;"",SUBSTITUTE(SUBSTITUTE($AZ708,"-","")," ",""),$AY708))</f>
        <v/>
      </c>
      <c r="AY708" s="2">
        <f>IF(OR($AS708="",$E$6=""),"",TRIM(INDEX($A:$AP,ROW(),$E$6)&amp;""))</f>
        <v/>
      </c>
      <c r="AZ708" s="2">
        <f>IF(OR($AS708="",$D$6=""),"",TRIM(INDEX($A:$AP,ROW(),$D$6)&amp;""))</f>
        <v/>
      </c>
      <c r="BA708" s="2">
        <f>IF($AS708="","",IF(AND($AS708&gt;=설정!$B$10,$AS708&lt;=설정!$B$11),"포함","기간 밖"))</f>
        <v/>
      </c>
      <c r="BB708" s="2">
        <f>IF($AS708="","",IF(OR($AT708&lt;0,AND($I$6&lt;&gt;"",ISNUMBER(FIND("수정",INDEX($A:$AP,ROW(),IF($I$6="",1,$I$6))&amp;"")))),"수정","일반"))</f>
        <v/>
      </c>
      <c r="BC708" s="2">
        <f>IF($AS708="","",MID(IF($BA708="기간 밖"," / 기간 밖(신고기간 아님)","")&amp;IF(AND($AW708&lt;&gt;"",COUNTIF($AW$8:$AW$1007,$AW708)&gt;1)," / 승인번호 중복(두 번 붙여넣기?)","")&amp;IF(ABS($AU708-ROUND($AT708*0.1,0))&gt;설정!$B$8,IF($AU708=0," / 세액 0원(영세율·면세 여부 확인)"," / 세액이 공급가액 10%와 다름"),"")&amp;IF($BB708="수정"," / 수정세금계산서(합계에서 자동 가감)",""),4,200))</f>
        <v/>
      </c>
      <c r="BD708" s="2">
        <f>IF($BA708&lt;&gt;"포함","",IF(COUNTIFS($AX$8:$AX708,$AX708,$BA$8:$BA708,"포함")=1,MAX($BD$7:BD707)+1,""))</f>
        <v/>
      </c>
      <c r="BE708" s="2">
        <f>IF($BC708="","",MAX($BE$7:BE707)+1)</f>
        <v/>
      </c>
    </row>
    <row r="709">
      <c r="AR709" s="2">
        <f>IF(OR($A$5="",$B$6="",ROW()&lt;$A$5),"",IF(INDEX($A:$AP,ROW(),$B$6)="","",INDEX($A:$AP,ROW(),$B$6)))</f>
        <v/>
      </c>
      <c r="AS709" s="22">
        <f>IF($AR709="","",IF(ISNUMBER($AR709),IF($AR709&gt;=10000000,IFERROR(DATE(INT($AR709/10000),MOD(INT($AR709/100),100),MOD($AR709,100)),""),INT($AR709)),IFERROR(DATE(--LEFT(LEFT(SUBSTITUTE(SUBSTITUTE(SUBSTITUTE(SUBSTITUTE(TRIM($AR709),"-",""),".",""),"/","")," ",""),8),4),--MID(LEFT(SUBSTITUTE(SUBSTITUTE(SUBSTITUTE(SUBSTITUTE(TRIM($AR709),"-",""),".",""),"/","")," ",""),8),5,2),--MID(LEFT(SUBSTITUTE(SUBSTITUTE(SUBSTITUTE(SUBSTITUTE(TRIM($AR709),"-",""),".",""),"/","")," ",""),8),7,2)),"")))</f>
        <v/>
      </c>
      <c r="AT709" s="23">
        <f>IF($AS709="","",IF($F$6="",0,IF(ISNUMBER(INDEX($A:$AP,ROW(),$F$6)),INDEX($A:$AP,ROW(),$F$6),IFERROR(--SUBSTITUTE(SUBSTITUTE(TRIM(INDEX($A:$AP,ROW(),$F$6)),",",""),"원",""),0))))</f>
        <v/>
      </c>
      <c r="AU709" s="23">
        <f>IF($AS709="","",IF($G$6="",0,IF(ISNUMBER(INDEX($A:$AP,ROW(),$G$6)),INDEX($A:$AP,ROW(),$G$6),IFERROR(--SUBSTITUTE(SUBSTITUTE(TRIM(INDEX($A:$AP,ROW(),$G$6)),",",""),"원",""),0))))</f>
        <v/>
      </c>
      <c r="AV709" s="23">
        <f>IF($AS709="","",IF($H$6="",$AT709+$AU709,IF($H$6="",0,IF(ISNUMBER(INDEX($A:$AP,ROW(),$H$6)),INDEX($A:$AP,ROW(),$H$6),IFERROR(--SUBSTITUTE(SUBSTITUTE(TRIM(INDEX($A:$AP,ROW(),$H$6)),",",""),"원",""),0)))))</f>
        <v/>
      </c>
      <c r="AW709" s="2">
        <f>IF(OR($AS709="",$C$6=""),"",TRIM(INDEX($A:$AP,ROW(),$C$6)&amp;""))</f>
        <v/>
      </c>
      <c r="AX709" s="2">
        <f>IF($AS709="","",IF($AZ709&lt;&gt;"",SUBSTITUTE(SUBSTITUTE($AZ709,"-","")," ",""),$AY709))</f>
        <v/>
      </c>
      <c r="AY709" s="2">
        <f>IF(OR($AS709="",$E$6=""),"",TRIM(INDEX($A:$AP,ROW(),$E$6)&amp;""))</f>
        <v/>
      </c>
      <c r="AZ709" s="2">
        <f>IF(OR($AS709="",$D$6=""),"",TRIM(INDEX($A:$AP,ROW(),$D$6)&amp;""))</f>
        <v/>
      </c>
      <c r="BA709" s="2">
        <f>IF($AS709="","",IF(AND($AS709&gt;=설정!$B$10,$AS709&lt;=설정!$B$11),"포함","기간 밖"))</f>
        <v/>
      </c>
      <c r="BB709" s="2">
        <f>IF($AS709="","",IF(OR($AT709&lt;0,AND($I$6&lt;&gt;"",ISNUMBER(FIND("수정",INDEX($A:$AP,ROW(),IF($I$6="",1,$I$6))&amp;"")))),"수정","일반"))</f>
        <v/>
      </c>
      <c r="BC709" s="2">
        <f>IF($AS709="","",MID(IF($BA709="기간 밖"," / 기간 밖(신고기간 아님)","")&amp;IF(AND($AW709&lt;&gt;"",COUNTIF($AW$8:$AW$1007,$AW709)&gt;1)," / 승인번호 중복(두 번 붙여넣기?)","")&amp;IF(ABS($AU709-ROUND($AT709*0.1,0))&gt;설정!$B$8,IF($AU709=0," / 세액 0원(영세율·면세 여부 확인)"," / 세액이 공급가액 10%와 다름"),"")&amp;IF($BB709="수정"," / 수정세금계산서(합계에서 자동 가감)",""),4,200))</f>
        <v/>
      </c>
      <c r="BD709" s="2">
        <f>IF($BA709&lt;&gt;"포함","",IF(COUNTIFS($AX$8:$AX709,$AX709,$BA$8:$BA709,"포함")=1,MAX($BD$7:BD708)+1,""))</f>
        <v/>
      </c>
      <c r="BE709" s="2">
        <f>IF($BC709="","",MAX($BE$7:BE708)+1)</f>
        <v/>
      </c>
    </row>
    <row r="710">
      <c r="AR710" s="2">
        <f>IF(OR($A$5="",$B$6="",ROW()&lt;$A$5),"",IF(INDEX($A:$AP,ROW(),$B$6)="","",INDEX($A:$AP,ROW(),$B$6)))</f>
        <v/>
      </c>
      <c r="AS710" s="22">
        <f>IF($AR710="","",IF(ISNUMBER($AR710),IF($AR710&gt;=10000000,IFERROR(DATE(INT($AR710/10000),MOD(INT($AR710/100),100),MOD($AR710,100)),""),INT($AR710)),IFERROR(DATE(--LEFT(LEFT(SUBSTITUTE(SUBSTITUTE(SUBSTITUTE(SUBSTITUTE(TRIM($AR710),"-",""),".",""),"/","")," ",""),8),4),--MID(LEFT(SUBSTITUTE(SUBSTITUTE(SUBSTITUTE(SUBSTITUTE(TRIM($AR710),"-",""),".",""),"/","")," ",""),8),5,2),--MID(LEFT(SUBSTITUTE(SUBSTITUTE(SUBSTITUTE(SUBSTITUTE(TRIM($AR710),"-",""),".",""),"/","")," ",""),8),7,2)),"")))</f>
        <v/>
      </c>
      <c r="AT710" s="23">
        <f>IF($AS710="","",IF($F$6="",0,IF(ISNUMBER(INDEX($A:$AP,ROW(),$F$6)),INDEX($A:$AP,ROW(),$F$6),IFERROR(--SUBSTITUTE(SUBSTITUTE(TRIM(INDEX($A:$AP,ROW(),$F$6)),",",""),"원",""),0))))</f>
        <v/>
      </c>
      <c r="AU710" s="23">
        <f>IF($AS710="","",IF($G$6="",0,IF(ISNUMBER(INDEX($A:$AP,ROW(),$G$6)),INDEX($A:$AP,ROW(),$G$6),IFERROR(--SUBSTITUTE(SUBSTITUTE(TRIM(INDEX($A:$AP,ROW(),$G$6)),",",""),"원",""),0))))</f>
        <v/>
      </c>
      <c r="AV710" s="23">
        <f>IF($AS710="","",IF($H$6="",$AT710+$AU710,IF($H$6="",0,IF(ISNUMBER(INDEX($A:$AP,ROW(),$H$6)),INDEX($A:$AP,ROW(),$H$6),IFERROR(--SUBSTITUTE(SUBSTITUTE(TRIM(INDEX($A:$AP,ROW(),$H$6)),",",""),"원",""),0)))))</f>
        <v/>
      </c>
      <c r="AW710" s="2">
        <f>IF(OR($AS710="",$C$6=""),"",TRIM(INDEX($A:$AP,ROW(),$C$6)&amp;""))</f>
        <v/>
      </c>
      <c r="AX710" s="2">
        <f>IF($AS710="","",IF($AZ710&lt;&gt;"",SUBSTITUTE(SUBSTITUTE($AZ710,"-","")," ",""),$AY710))</f>
        <v/>
      </c>
      <c r="AY710" s="2">
        <f>IF(OR($AS710="",$E$6=""),"",TRIM(INDEX($A:$AP,ROW(),$E$6)&amp;""))</f>
        <v/>
      </c>
      <c r="AZ710" s="2">
        <f>IF(OR($AS710="",$D$6=""),"",TRIM(INDEX($A:$AP,ROW(),$D$6)&amp;""))</f>
        <v/>
      </c>
      <c r="BA710" s="2">
        <f>IF($AS710="","",IF(AND($AS710&gt;=설정!$B$10,$AS710&lt;=설정!$B$11),"포함","기간 밖"))</f>
        <v/>
      </c>
      <c r="BB710" s="2">
        <f>IF($AS710="","",IF(OR($AT710&lt;0,AND($I$6&lt;&gt;"",ISNUMBER(FIND("수정",INDEX($A:$AP,ROW(),IF($I$6="",1,$I$6))&amp;"")))),"수정","일반"))</f>
        <v/>
      </c>
      <c r="BC710" s="2">
        <f>IF($AS710="","",MID(IF($BA710="기간 밖"," / 기간 밖(신고기간 아님)","")&amp;IF(AND($AW710&lt;&gt;"",COUNTIF($AW$8:$AW$1007,$AW710)&gt;1)," / 승인번호 중복(두 번 붙여넣기?)","")&amp;IF(ABS($AU710-ROUND($AT710*0.1,0))&gt;설정!$B$8,IF($AU710=0," / 세액 0원(영세율·면세 여부 확인)"," / 세액이 공급가액 10%와 다름"),"")&amp;IF($BB710="수정"," / 수정세금계산서(합계에서 자동 가감)",""),4,200))</f>
        <v/>
      </c>
      <c r="BD710" s="2">
        <f>IF($BA710&lt;&gt;"포함","",IF(COUNTIFS($AX$8:$AX710,$AX710,$BA$8:$BA710,"포함")=1,MAX($BD$7:BD709)+1,""))</f>
        <v/>
      </c>
      <c r="BE710" s="2">
        <f>IF($BC710="","",MAX($BE$7:BE709)+1)</f>
        <v/>
      </c>
    </row>
    <row r="711">
      <c r="AR711" s="2">
        <f>IF(OR($A$5="",$B$6="",ROW()&lt;$A$5),"",IF(INDEX($A:$AP,ROW(),$B$6)="","",INDEX($A:$AP,ROW(),$B$6)))</f>
        <v/>
      </c>
      <c r="AS711" s="22">
        <f>IF($AR711="","",IF(ISNUMBER($AR711),IF($AR711&gt;=10000000,IFERROR(DATE(INT($AR711/10000),MOD(INT($AR711/100),100),MOD($AR711,100)),""),INT($AR711)),IFERROR(DATE(--LEFT(LEFT(SUBSTITUTE(SUBSTITUTE(SUBSTITUTE(SUBSTITUTE(TRIM($AR711),"-",""),".",""),"/","")," ",""),8),4),--MID(LEFT(SUBSTITUTE(SUBSTITUTE(SUBSTITUTE(SUBSTITUTE(TRIM($AR711),"-",""),".",""),"/","")," ",""),8),5,2),--MID(LEFT(SUBSTITUTE(SUBSTITUTE(SUBSTITUTE(SUBSTITUTE(TRIM($AR711),"-",""),".",""),"/","")," ",""),8),7,2)),"")))</f>
        <v/>
      </c>
      <c r="AT711" s="23">
        <f>IF($AS711="","",IF($F$6="",0,IF(ISNUMBER(INDEX($A:$AP,ROW(),$F$6)),INDEX($A:$AP,ROW(),$F$6),IFERROR(--SUBSTITUTE(SUBSTITUTE(TRIM(INDEX($A:$AP,ROW(),$F$6)),",",""),"원",""),0))))</f>
        <v/>
      </c>
      <c r="AU711" s="23">
        <f>IF($AS711="","",IF($G$6="",0,IF(ISNUMBER(INDEX($A:$AP,ROW(),$G$6)),INDEX($A:$AP,ROW(),$G$6),IFERROR(--SUBSTITUTE(SUBSTITUTE(TRIM(INDEX($A:$AP,ROW(),$G$6)),",",""),"원",""),0))))</f>
        <v/>
      </c>
      <c r="AV711" s="23">
        <f>IF($AS711="","",IF($H$6="",$AT711+$AU711,IF($H$6="",0,IF(ISNUMBER(INDEX($A:$AP,ROW(),$H$6)),INDEX($A:$AP,ROW(),$H$6),IFERROR(--SUBSTITUTE(SUBSTITUTE(TRIM(INDEX($A:$AP,ROW(),$H$6)),",",""),"원",""),0)))))</f>
        <v/>
      </c>
      <c r="AW711" s="2">
        <f>IF(OR($AS711="",$C$6=""),"",TRIM(INDEX($A:$AP,ROW(),$C$6)&amp;""))</f>
        <v/>
      </c>
      <c r="AX711" s="2">
        <f>IF($AS711="","",IF($AZ711&lt;&gt;"",SUBSTITUTE(SUBSTITUTE($AZ711,"-","")," ",""),$AY711))</f>
        <v/>
      </c>
      <c r="AY711" s="2">
        <f>IF(OR($AS711="",$E$6=""),"",TRIM(INDEX($A:$AP,ROW(),$E$6)&amp;""))</f>
        <v/>
      </c>
      <c r="AZ711" s="2">
        <f>IF(OR($AS711="",$D$6=""),"",TRIM(INDEX($A:$AP,ROW(),$D$6)&amp;""))</f>
        <v/>
      </c>
      <c r="BA711" s="2">
        <f>IF($AS711="","",IF(AND($AS711&gt;=설정!$B$10,$AS711&lt;=설정!$B$11),"포함","기간 밖"))</f>
        <v/>
      </c>
      <c r="BB711" s="2">
        <f>IF($AS711="","",IF(OR($AT711&lt;0,AND($I$6&lt;&gt;"",ISNUMBER(FIND("수정",INDEX($A:$AP,ROW(),IF($I$6="",1,$I$6))&amp;"")))),"수정","일반"))</f>
        <v/>
      </c>
      <c r="BC711" s="2">
        <f>IF($AS711="","",MID(IF($BA711="기간 밖"," / 기간 밖(신고기간 아님)","")&amp;IF(AND($AW711&lt;&gt;"",COUNTIF($AW$8:$AW$1007,$AW711)&gt;1)," / 승인번호 중복(두 번 붙여넣기?)","")&amp;IF(ABS($AU711-ROUND($AT711*0.1,0))&gt;설정!$B$8,IF($AU711=0," / 세액 0원(영세율·면세 여부 확인)"," / 세액이 공급가액 10%와 다름"),"")&amp;IF($BB711="수정"," / 수정세금계산서(합계에서 자동 가감)",""),4,200))</f>
        <v/>
      </c>
      <c r="BD711" s="2">
        <f>IF($BA711&lt;&gt;"포함","",IF(COUNTIFS($AX$8:$AX711,$AX711,$BA$8:$BA711,"포함")=1,MAX($BD$7:BD710)+1,""))</f>
        <v/>
      </c>
      <c r="BE711" s="2">
        <f>IF($BC711="","",MAX($BE$7:BE710)+1)</f>
        <v/>
      </c>
    </row>
    <row r="712">
      <c r="AR712" s="2">
        <f>IF(OR($A$5="",$B$6="",ROW()&lt;$A$5),"",IF(INDEX($A:$AP,ROW(),$B$6)="","",INDEX($A:$AP,ROW(),$B$6)))</f>
        <v/>
      </c>
      <c r="AS712" s="22">
        <f>IF($AR712="","",IF(ISNUMBER($AR712),IF($AR712&gt;=10000000,IFERROR(DATE(INT($AR712/10000),MOD(INT($AR712/100),100),MOD($AR712,100)),""),INT($AR712)),IFERROR(DATE(--LEFT(LEFT(SUBSTITUTE(SUBSTITUTE(SUBSTITUTE(SUBSTITUTE(TRIM($AR712),"-",""),".",""),"/","")," ",""),8),4),--MID(LEFT(SUBSTITUTE(SUBSTITUTE(SUBSTITUTE(SUBSTITUTE(TRIM($AR712),"-",""),".",""),"/","")," ",""),8),5,2),--MID(LEFT(SUBSTITUTE(SUBSTITUTE(SUBSTITUTE(SUBSTITUTE(TRIM($AR712),"-",""),".",""),"/","")," ",""),8),7,2)),"")))</f>
        <v/>
      </c>
      <c r="AT712" s="23">
        <f>IF($AS712="","",IF($F$6="",0,IF(ISNUMBER(INDEX($A:$AP,ROW(),$F$6)),INDEX($A:$AP,ROW(),$F$6),IFERROR(--SUBSTITUTE(SUBSTITUTE(TRIM(INDEX($A:$AP,ROW(),$F$6)),",",""),"원",""),0))))</f>
        <v/>
      </c>
      <c r="AU712" s="23">
        <f>IF($AS712="","",IF($G$6="",0,IF(ISNUMBER(INDEX($A:$AP,ROW(),$G$6)),INDEX($A:$AP,ROW(),$G$6),IFERROR(--SUBSTITUTE(SUBSTITUTE(TRIM(INDEX($A:$AP,ROW(),$G$6)),",",""),"원",""),0))))</f>
        <v/>
      </c>
      <c r="AV712" s="23">
        <f>IF($AS712="","",IF($H$6="",$AT712+$AU712,IF($H$6="",0,IF(ISNUMBER(INDEX($A:$AP,ROW(),$H$6)),INDEX($A:$AP,ROW(),$H$6),IFERROR(--SUBSTITUTE(SUBSTITUTE(TRIM(INDEX($A:$AP,ROW(),$H$6)),",",""),"원",""),0)))))</f>
        <v/>
      </c>
      <c r="AW712" s="2">
        <f>IF(OR($AS712="",$C$6=""),"",TRIM(INDEX($A:$AP,ROW(),$C$6)&amp;""))</f>
        <v/>
      </c>
      <c r="AX712" s="2">
        <f>IF($AS712="","",IF($AZ712&lt;&gt;"",SUBSTITUTE(SUBSTITUTE($AZ712,"-","")," ",""),$AY712))</f>
        <v/>
      </c>
      <c r="AY712" s="2">
        <f>IF(OR($AS712="",$E$6=""),"",TRIM(INDEX($A:$AP,ROW(),$E$6)&amp;""))</f>
        <v/>
      </c>
      <c r="AZ712" s="2">
        <f>IF(OR($AS712="",$D$6=""),"",TRIM(INDEX($A:$AP,ROW(),$D$6)&amp;""))</f>
        <v/>
      </c>
      <c r="BA712" s="2">
        <f>IF($AS712="","",IF(AND($AS712&gt;=설정!$B$10,$AS712&lt;=설정!$B$11),"포함","기간 밖"))</f>
        <v/>
      </c>
      <c r="BB712" s="2">
        <f>IF($AS712="","",IF(OR($AT712&lt;0,AND($I$6&lt;&gt;"",ISNUMBER(FIND("수정",INDEX($A:$AP,ROW(),IF($I$6="",1,$I$6))&amp;"")))),"수정","일반"))</f>
        <v/>
      </c>
      <c r="BC712" s="2">
        <f>IF($AS712="","",MID(IF($BA712="기간 밖"," / 기간 밖(신고기간 아님)","")&amp;IF(AND($AW712&lt;&gt;"",COUNTIF($AW$8:$AW$1007,$AW712)&gt;1)," / 승인번호 중복(두 번 붙여넣기?)","")&amp;IF(ABS($AU712-ROUND($AT712*0.1,0))&gt;설정!$B$8,IF($AU712=0," / 세액 0원(영세율·면세 여부 확인)"," / 세액이 공급가액 10%와 다름"),"")&amp;IF($BB712="수정"," / 수정세금계산서(합계에서 자동 가감)",""),4,200))</f>
        <v/>
      </c>
      <c r="BD712" s="2">
        <f>IF($BA712&lt;&gt;"포함","",IF(COUNTIFS($AX$8:$AX712,$AX712,$BA$8:$BA712,"포함")=1,MAX($BD$7:BD711)+1,""))</f>
        <v/>
      </c>
      <c r="BE712" s="2">
        <f>IF($BC712="","",MAX($BE$7:BE711)+1)</f>
        <v/>
      </c>
    </row>
    <row r="713">
      <c r="AR713" s="2">
        <f>IF(OR($A$5="",$B$6="",ROW()&lt;$A$5),"",IF(INDEX($A:$AP,ROW(),$B$6)="","",INDEX($A:$AP,ROW(),$B$6)))</f>
        <v/>
      </c>
      <c r="AS713" s="22">
        <f>IF($AR713="","",IF(ISNUMBER($AR713),IF($AR713&gt;=10000000,IFERROR(DATE(INT($AR713/10000),MOD(INT($AR713/100),100),MOD($AR713,100)),""),INT($AR713)),IFERROR(DATE(--LEFT(LEFT(SUBSTITUTE(SUBSTITUTE(SUBSTITUTE(SUBSTITUTE(TRIM($AR713),"-",""),".",""),"/","")," ",""),8),4),--MID(LEFT(SUBSTITUTE(SUBSTITUTE(SUBSTITUTE(SUBSTITUTE(TRIM($AR713),"-",""),".",""),"/","")," ",""),8),5,2),--MID(LEFT(SUBSTITUTE(SUBSTITUTE(SUBSTITUTE(SUBSTITUTE(TRIM($AR713),"-",""),".",""),"/","")," ",""),8),7,2)),"")))</f>
        <v/>
      </c>
      <c r="AT713" s="23">
        <f>IF($AS713="","",IF($F$6="",0,IF(ISNUMBER(INDEX($A:$AP,ROW(),$F$6)),INDEX($A:$AP,ROW(),$F$6),IFERROR(--SUBSTITUTE(SUBSTITUTE(TRIM(INDEX($A:$AP,ROW(),$F$6)),",",""),"원",""),0))))</f>
        <v/>
      </c>
      <c r="AU713" s="23">
        <f>IF($AS713="","",IF($G$6="",0,IF(ISNUMBER(INDEX($A:$AP,ROW(),$G$6)),INDEX($A:$AP,ROW(),$G$6),IFERROR(--SUBSTITUTE(SUBSTITUTE(TRIM(INDEX($A:$AP,ROW(),$G$6)),",",""),"원",""),0))))</f>
        <v/>
      </c>
      <c r="AV713" s="23">
        <f>IF($AS713="","",IF($H$6="",$AT713+$AU713,IF($H$6="",0,IF(ISNUMBER(INDEX($A:$AP,ROW(),$H$6)),INDEX($A:$AP,ROW(),$H$6),IFERROR(--SUBSTITUTE(SUBSTITUTE(TRIM(INDEX($A:$AP,ROW(),$H$6)),",",""),"원",""),0)))))</f>
        <v/>
      </c>
      <c r="AW713" s="2">
        <f>IF(OR($AS713="",$C$6=""),"",TRIM(INDEX($A:$AP,ROW(),$C$6)&amp;""))</f>
        <v/>
      </c>
      <c r="AX713" s="2">
        <f>IF($AS713="","",IF($AZ713&lt;&gt;"",SUBSTITUTE(SUBSTITUTE($AZ713,"-","")," ",""),$AY713))</f>
        <v/>
      </c>
      <c r="AY713" s="2">
        <f>IF(OR($AS713="",$E$6=""),"",TRIM(INDEX($A:$AP,ROW(),$E$6)&amp;""))</f>
        <v/>
      </c>
      <c r="AZ713" s="2">
        <f>IF(OR($AS713="",$D$6=""),"",TRIM(INDEX($A:$AP,ROW(),$D$6)&amp;""))</f>
        <v/>
      </c>
      <c r="BA713" s="2">
        <f>IF($AS713="","",IF(AND($AS713&gt;=설정!$B$10,$AS713&lt;=설정!$B$11),"포함","기간 밖"))</f>
        <v/>
      </c>
      <c r="BB713" s="2">
        <f>IF($AS713="","",IF(OR($AT713&lt;0,AND($I$6&lt;&gt;"",ISNUMBER(FIND("수정",INDEX($A:$AP,ROW(),IF($I$6="",1,$I$6))&amp;"")))),"수정","일반"))</f>
        <v/>
      </c>
      <c r="BC713" s="2">
        <f>IF($AS713="","",MID(IF($BA713="기간 밖"," / 기간 밖(신고기간 아님)","")&amp;IF(AND($AW713&lt;&gt;"",COUNTIF($AW$8:$AW$1007,$AW713)&gt;1)," / 승인번호 중복(두 번 붙여넣기?)","")&amp;IF(ABS($AU713-ROUND($AT713*0.1,0))&gt;설정!$B$8,IF($AU713=0," / 세액 0원(영세율·면세 여부 확인)"," / 세액이 공급가액 10%와 다름"),"")&amp;IF($BB713="수정"," / 수정세금계산서(합계에서 자동 가감)",""),4,200))</f>
        <v/>
      </c>
      <c r="BD713" s="2">
        <f>IF($BA713&lt;&gt;"포함","",IF(COUNTIFS($AX$8:$AX713,$AX713,$BA$8:$BA713,"포함")=1,MAX($BD$7:BD712)+1,""))</f>
        <v/>
      </c>
      <c r="BE713" s="2">
        <f>IF($BC713="","",MAX($BE$7:BE712)+1)</f>
        <v/>
      </c>
    </row>
    <row r="714">
      <c r="AR714" s="2">
        <f>IF(OR($A$5="",$B$6="",ROW()&lt;$A$5),"",IF(INDEX($A:$AP,ROW(),$B$6)="","",INDEX($A:$AP,ROW(),$B$6)))</f>
        <v/>
      </c>
      <c r="AS714" s="22">
        <f>IF($AR714="","",IF(ISNUMBER($AR714),IF($AR714&gt;=10000000,IFERROR(DATE(INT($AR714/10000),MOD(INT($AR714/100),100),MOD($AR714,100)),""),INT($AR714)),IFERROR(DATE(--LEFT(LEFT(SUBSTITUTE(SUBSTITUTE(SUBSTITUTE(SUBSTITUTE(TRIM($AR714),"-",""),".",""),"/","")," ",""),8),4),--MID(LEFT(SUBSTITUTE(SUBSTITUTE(SUBSTITUTE(SUBSTITUTE(TRIM($AR714),"-",""),".",""),"/","")," ",""),8),5,2),--MID(LEFT(SUBSTITUTE(SUBSTITUTE(SUBSTITUTE(SUBSTITUTE(TRIM($AR714),"-",""),".",""),"/","")," ",""),8),7,2)),"")))</f>
        <v/>
      </c>
      <c r="AT714" s="23">
        <f>IF($AS714="","",IF($F$6="",0,IF(ISNUMBER(INDEX($A:$AP,ROW(),$F$6)),INDEX($A:$AP,ROW(),$F$6),IFERROR(--SUBSTITUTE(SUBSTITUTE(TRIM(INDEX($A:$AP,ROW(),$F$6)),",",""),"원",""),0))))</f>
        <v/>
      </c>
      <c r="AU714" s="23">
        <f>IF($AS714="","",IF($G$6="",0,IF(ISNUMBER(INDEX($A:$AP,ROW(),$G$6)),INDEX($A:$AP,ROW(),$G$6),IFERROR(--SUBSTITUTE(SUBSTITUTE(TRIM(INDEX($A:$AP,ROW(),$G$6)),",",""),"원",""),0))))</f>
        <v/>
      </c>
      <c r="AV714" s="23">
        <f>IF($AS714="","",IF($H$6="",$AT714+$AU714,IF($H$6="",0,IF(ISNUMBER(INDEX($A:$AP,ROW(),$H$6)),INDEX($A:$AP,ROW(),$H$6),IFERROR(--SUBSTITUTE(SUBSTITUTE(TRIM(INDEX($A:$AP,ROW(),$H$6)),",",""),"원",""),0)))))</f>
        <v/>
      </c>
      <c r="AW714" s="2">
        <f>IF(OR($AS714="",$C$6=""),"",TRIM(INDEX($A:$AP,ROW(),$C$6)&amp;""))</f>
        <v/>
      </c>
      <c r="AX714" s="2">
        <f>IF($AS714="","",IF($AZ714&lt;&gt;"",SUBSTITUTE(SUBSTITUTE($AZ714,"-","")," ",""),$AY714))</f>
        <v/>
      </c>
      <c r="AY714" s="2">
        <f>IF(OR($AS714="",$E$6=""),"",TRIM(INDEX($A:$AP,ROW(),$E$6)&amp;""))</f>
        <v/>
      </c>
      <c r="AZ714" s="2">
        <f>IF(OR($AS714="",$D$6=""),"",TRIM(INDEX($A:$AP,ROW(),$D$6)&amp;""))</f>
        <v/>
      </c>
      <c r="BA714" s="2">
        <f>IF($AS714="","",IF(AND($AS714&gt;=설정!$B$10,$AS714&lt;=설정!$B$11),"포함","기간 밖"))</f>
        <v/>
      </c>
      <c r="BB714" s="2">
        <f>IF($AS714="","",IF(OR($AT714&lt;0,AND($I$6&lt;&gt;"",ISNUMBER(FIND("수정",INDEX($A:$AP,ROW(),IF($I$6="",1,$I$6))&amp;"")))),"수정","일반"))</f>
        <v/>
      </c>
      <c r="BC714" s="2">
        <f>IF($AS714="","",MID(IF($BA714="기간 밖"," / 기간 밖(신고기간 아님)","")&amp;IF(AND($AW714&lt;&gt;"",COUNTIF($AW$8:$AW$1007,$AW714)&gt;1)," / 승인번호 중복(두 번 붙여넣기?)","")&amp;IF(ABS($AU714-ROUND($AT714*0.1,0))&gt;설정!$B$8,IF($AU714=0," / 세액 0원(영세율·면세 여부 확인)"," / 세액이 공급가액 10%와 다름"),"")&amp;IF($BB714="수정"," / 수정세금계산서(합계에서 자동 가감)",""),4,200))</f>
        <v/>
      </c>
      <c r="BD714" s="2">
        <f>IF($BA714&lt;&gt;"포함","",IF(COUNTIFS($AX$8:$AX714,$AX714,$BA$8:$BA714,"포함")=1,MAX($BD$7:BD713)+1,""))</f>
        <v/>
      </c>
      <c r="BE714" s="2">
        <f>IF($BC714="","",MAX($BE$7:BE713)+1)</f>
        <v/>
      </c>
    </row>
    <row r="715">
      <c r="AR715" s="2">
        <f>IF(OR($A$5="",$B$6="",ROW()&lt;$A$5),"",IF(INDEX($A:$AP,ROW(),$B$6)="","",INDEX($A:$AP,ROW(),$B$6)))</f>
        <v/>
      </c>
      <c r="AS715" s="22">
        <f>IF($AR715="","",IF(ISNUMBER($AR715),IF($AR715&gt;=10000000,IFERROR(DATE(INT($AR715/10000),MOD(INT($AR715/100),100),MOD($AR715,100)),""),INT($AR715)),IFERROR(DATE(--LEFT(LEFT(SUBSTITUTE(SUBSTITUTE(SUBSTITUTE(SUBSTITUTE(TRIM($AR715),"-",""),".",""),"/","")," ",""),8),4),--MID(LEFT(SUBSTITUTE(SUBSTITUTE(SUBSTITUTE(SUBSTITUTE(TRIM($AR715),"-",""),".",""),"/","")," ",""),8),5,2),--MID(LEFT(SUBSTITUTE(SUBSTITUTE(SUBSTITUTE(SUBSTITUTE(TRIM($AR715),"-",""),".",""),"/","")," ",""),8),7,2)),"")))</f>
        <v/>
      </c>
      <c r="AT715" s="23">
        <f>IF($AS715="","",IF($F$6="",0,IF(ISNUMBER(INDEX($A:$AP,ROW(),$F$6)),INDEX($A:$AP,ROW(),$F$6),IFERROR(--SUBSTITUTE(SUBSTITUTE(TRIM(INDEX($A:$AP,ROW(),$F$6)),",",""),"원",""),0))))</f>
        <v/>
      </c>
      <c r="AU715" s="23">
        <f>IF($AS715="","",IF($G$6="",0,IF(ISNUMBER(INDEX($A:$AP,ROW(),$G$6)),INDEX($A:$AP,ROW(),$G$6),IFERROR(--SUBSTITUTE(SUBSTITUTE(TRIM(INDEX($A:$AP,ROW(),$G$6)),",",""),"원",""),0))))</f>
        <v/>
      </c>
      <c r="AV715" s="23">
        <f>IF($AS715="","",IF($H$6="",$AT715+$AU715,IF($H$6="",0,IF(ISNUMBER(INDEX($A:$AP,ROW(),$H$6)),INDEX($A:$AP,ROW(),$H$6),IFERROR(--SUBSTITUTE(SUBSTITUTE(TRIM(INDEX($A:$AP,ROW(),$H$6)),",",""),"원",""),0)))))</f>
        <v/>
      </c>
      <c r="AW715" s="2">
        <f>IF(OR($AS715="",$C$6=""),"",TRIM(INDEX($A:$AP,ROW(),$C$6)&amp;""))</f>
        <v/>
      </c>
      <c r="AX715" s="2">
        <f>IF($AS715="","",IF($AZ715&lt;&gt;"",SUBSTITUTE(SUBSTITUTE($AZ715,"-","")," ",""),$AY715))</f>
        <v/>
      </c>
      <c r="AY715" s="2">
        <f>IF(OR($AS715="",$E$6=""),"",TRIM(INDEX($A:$AP,ROW(),$E$6)&amp;""))</f>
        <v/>
      </c>
      <c r="AZ715" s="2">
        <f>IF(OR($AS715="",$D$6=""),"",TRIM(INDEX($A:$AP,ROW(),$D$6)&amp;""))</f>
        <v/>
      </c>
      <c r="BA715" s="2">
        <f>IF($AS715="","",IF(AND($AS715&gt;=설정!$B$10,$AS715&lt;=설정!$B$11),"포함","기간 밖"))</f>
        <v/>
      </c>
      <c r="BB715" s="2">
        <f>IF($AS715="","",IF(OR($AT715&lt;0,AND($I$6&lt;&gt;"",ISNUMBER(FIND("수정",INDEX($A:$AP,ROW(),IF($I$6="",1,$I$6))&amp;"")))),"수정","일반"))</f>
        <v/>
      </c>
      <c r="BC715" s="2">
        <f>IF($AS715="","",MID(IF($BA715="기간 밖"," / 기간 밖(신고기간 아님)","")&amp;IF(AND($AW715&lt;&gt;"",COUNTIF($AW$8:$AW$1007,$AW715)&gt;1)," / 승인번호 중복(두 번 붙여넣기?)","")&amp;IF(ABS($AU715-ROUND($AT715*0.1,0))&gt;설정!$B$8,IF($AU715=0," / 세액 0원(영세율·면세 여부 확인)"," / 세액이 공급가액 10%와 다름"),"")&amp;IF($BB715="수정"," / 수정세금계산서(합계에서 자동 가감)",""),4,200))</f>
        <v/>
      </c>
      <c r="BD715" s="2">
        <f>IF($BA715&lt;&gt;"포함","",IF(COUNTIFS($AX$8:$AX715,$AX715,$BA$8:$BA715,"포함")=1,MAX($BD$7:BD714)+1,""))</f>
        <v/>
      </c>
      <c r="BE715" s="2">
        <f>IF($BC715="","",MAX($BE$7:BE714)+1)</f>
        <v/>
      </c>
    </row>
    <row r="716">
      <c r="AR716" s="2">
        <f>IF(OR($A$5="",$B$6="",ROW()&lt;$A$5),"",IF(INDEX($A:$AP,ROW(),$B$6)="","",INDEX($A:$AP,ROW(),$B$6)))</f>
        <v/>
      </c>
      <c r="AS716" s="22">
        <f>IF($AR716="","",IF(ISNUMBER($AR716),IF($AR716&gt;=10000000,IFERROR(DATE(INT($AR716/10000),MOD(INT($AR716/100),100),MOD($AR716,100)),""),INT($AR716)),IFERROR(DATE(--LEFT(LEFT(SUBSTITUTE(SUBSTITUTE(SUBSTITUTE(SUBSTITUTE(TRIM($AR716),"-",""),".",""),"/","")," ",""),8),4),--MID(LEFT(SUBSTITUTE(SUBSTITUTE(SUBSTITUTE(SUBSTITUTE(TRIM($AR716),"-",""),".",""),"/","")," ",""),8),5,2),--MID(LEFT(SUBSTITUTE(SUBSTITUTE(SUBSTITUTE(SUBSTITUTE(TRIM($AR716),"-",""),".",""),"/","")," ",""),8),7,2)),"")))</f>
        <v/>
      </c>
      <c r="AT716" s="23">
        <f>IF($AS716="","",IF($F$6="",0,IF(ISNUMBER(INDEX($A:$AP,ROW(),$F$6)),INDEX($A:$AP,ROW(),$F$6),IFERROR(--SUBSTITUTE(SUBSTITUTE(TRIM(INDEX($A:$AP,ROW(),$F$6)),",",""),"원",""),0))))</f>
        <v/>
      </c>
      <c r="AU716" s="23">
        <f>IF($AS716="","",IF($G$6="",0,IF(ISNUMBER(INDEX($A:$AP,ROW(),$G$6)),INDEX($A:$AP,ROW(),$G$6),IFERROR(--SUBSTITUTE(SUBSTITUTE(TRIM(INDEX($A:$AP,ROW(),$G$6)),",",""),"원",""),0))))</f>
        <v/>
      </c>
      <c r="AV716" s="23">
        <f>IF($AS716="","",IF($H$6="",$AT716+$AU716,IF($H$6="",0,IF(ISNUMBER(INDEX($A:$AP,ROW(),$H$6)),INDEX($A:$AP,ROW(),$H$6),IFERROR(--SUBSTITUTE(SUBSTITUTE(TRIM(INDEX($A:$AP,ROW(),$H$6)),",",""),"원",""),0)))))</f>
        <v/>
      </c>
      <c r="AW716" s="2">
        <f>IF(OR($AS716="",$C$6=""),"",TRIM(INDEX($A:$AP,ROW(),$C$6)&amp;""))</f>
        <v/>
      </c>
      <c r="AX716" s="2">
        <f>IF($AS716="","",IF($AZ716&lt;&gt;"",SUBSTITUTE(SUBSTITUTE($AZ716,"-","")," ",""),$AY716))</f>
        <v/>
      </c>
      <c r="AY716" s="2">
        <f>IF(OR($AS716="",$E$6=""),"",TRIM(INDEX($A:$AP,ROW(),$E$6)&amp;""))</f>
        <v/>
      </c>
      <c r="AZ716" s="2">
        <f>IF(OR($AS716="",$D$6=""),"",TRIM(INDEX($A:$AP,ROW(),$D$6)&amp;""))</f>
        <v/>
      </c>
      <c r="BA716" s="2">
        <f>IF($AS716="","",IF(AND($AS716&gt;=설정!$B$10,$AS716&lt;=설정!$B$11),"포함","기간 밖"))</f>
        <v/>
      </c>
      <c r="BB716" s="2">
        <f>IF($AS716="","",IF(OR($AT716&lt;0,AND($I$6&lt;&gt;"",ISNUMBER(FIND("수정",INDEX($A:$AP,ROW(),IF($I$6="",1,$I$6))&amp;"")))),"수정","일반"))</f>
        <v/>
      </c>
      <c r="BC716" s="2">
        <f>IF($AS716="","",MID(IF($BA716="기간 밖"," / 기간 밖(신고기간 아님)","")&amp;IF(AND($AW716&lt;&gt;"",COUNTIF($AW$8:$AW$1007,$AW716)&gt;1)," / 승인번호 중복(두 번 붙여넣기?)","")&amp;IF(ABS($AU716-ROUND($AT716*0.1,0))&gt;설정!$B$8,IF($AU716=0," / 세액 0원(영세율·면세 여부 확인)"," / 세액이 공급가액 10%와 다름"),"")&amp;IF($BB716="수정"," / 수정세금계산서(합계에서 자동 가감)",""),4,200))</f>
        <v/>
      </c>
      <c r="BD716" s="2">
        <f>IF($BA716&lt;&gt;"포함","",IF(COUNTIFS($AX$8:$AX716,$AX716,$BA$8:$BA716,"포함")=1,MAX($BD$7:BD715)+1,""))</f>
        <v/>
      </c>
      <c r="BE716" s="2">
        <f>IF($BC716="","",MAX($BE$7:BE715)+1)</f>
        <v/>
      </c>
    </row>
    <row r="717">
      <c r="AR717" s="2">
        <f>IF(OR($A$5="",$B$6="",ROW()&lt;$A$5),"",IF(INDEX($A:$AP,ROW(),$B$6)="","",INDEX($A:$AP,ROW(),$B$6)))</f>
        <v/>
      </c>
      <c r="AS717" s="22">
        <f>IF($AR717="","",IF(ISNUMBER($AR717),IF($AR717&gt;=10000000,IFERROR(DATE(INT($AR717/10000),MOD(INT($AR717/100),100),MOD($AR717,100)),""),INT($AR717)),IFERROR(DATE(--LEFT(LEFT(SUBSTITUTE(SUBSTITUTE(SUBSTITUTE(SUBSTITUTE(TRIM($AR717),"-",""),".",""),"/","")," ",""),8),4),--MID(LEFT(SUBSTITUTE(SUBSTITUTE(SUBSTITUTE(SUBSTITUTE(TRIM($AR717),"-",""),".",""),"/","")," ",""),8),5,2),--MID(LEFT(SUBSTITUTE(SUBSTITUTE(SUBSTITUTE(SUBSTITUTE(TRIM($AR717),"-",""),".",""),"/","")," ",""),8),7,2)),"")))</f>
        <v/>
      </c>
      <c r="AT717" s="23">
        <f>IF($AS717="","",IF($F$6="",0,IF(ISNUMBER(INDEX($A:$AP,ROW(),$F$6)),INDEX($A:$AP,ROW(),$F$6),IFERROR(--SUBSTITUTE(SUBSTITUTE(TRIM(INDEX($A:$AP,ROW(),$F$6)),",",""),"원",""),0))))</f>
        <v/>
      </c>
      <c r="AU717" s="23">
        <f>IF($AS717="","",IF($G$6="",0,IF(ISNUMBER(INDEX($A:$AP,ROW(),$G$6)),INDEX($A:$AP,ROW(),$G$6),IFERROR(--SUBSTITUTE(SUBSTITUTE(TRIM(INDEX($A:$AP,ROW(),$G$6)),",",""),"원",""),0))))</f>
        <v/>
      </c>
      <c r="AV717" s="23">
        <f>IF($AS717="","",IF($H$6="",$AT717+$AU717,IF($H$6="",0,IF(ISNUMBER(INDEX($A:$AP,ROW(),$H$6)),INDEX($A:$AP,ROW(),$H$6),IFERROR(--SUBSTITUTE(SUBSTITUTE(TRIM(INDEX($A:$AP,ROW(),$H$6)),",",""),"원",""),0)))))</f>
        <v/>
      </c>
      <c r="AW717" s="2">
        <f>IF(OR($AS717="",$C$6=""),"",TRIM(INDEX($A:$AP,ROW(),$C$6)&amp;""))</f>
        <v/>
      </c>
      <c r="AX717" s="2">
        <f>IF($AS717="","",IF($AZ717&lt;&gt;"",SUBSTITUTE(SUBSTITUTE($AZ717,"-","")," ",""),$AY717))</f>
        <v/>
      </c>
      <c r="AY717" s="2">
        <f>IF(OR($AS717="",$E$6=""),"",TRIM(INDEX($A:$AP,ROW(),$E$6)&amp;""))</f>
        <v/>
      </c>
      <c r="AZ717" s="2">
        <f>IF(OR($AS717="",$D$6=""),"",TRIM(INDEX($A:$AP,ROW(),$D$6)&amp;""))</f>
        <v/>
      </c>
      <c r="BA717" s="2">
        <f>IF($AS717="","",IF(AND($AS717&gt;=설정!$B$10,$AS717&lt;=설정!$B$11),"포함","기간 밖"))</f>
        <v/>
      </c>
      <c r="BB717" s="2">
        <f>IF($AS717="","",IF(OR($AT717&lt;0,AND($I$6&lt;&gt;"",ISNUMBER(FIND("수정",INDEX($A:$AP,ROW(),IF($I$6="",1,$I$6))&amp;"")))),"수정","일반"))</f>
        <v/>
      </c>
      <c r="BC717" s="2">
        <f>IF($AS717="","",MID(IF($BA717="기간 밖"," / 기간 밖(신고기간 아님)","")&amp;IF(AND($AW717&lt;&gt;"",COUNTIF($AW$8:$AW$1007,$AW717)&gt;1)," / 승인번호 중복(두 번 붙여넣기?)","")&amp;IF(ABS($AU717-ROUND($AT717*0.1,0))&gt;설정!$B$8,IF($AU717=0," / 세액 0원(영세율·면세 여부 확인)"," / 세액이 공급가액 10%와 다름"),"")&amp;IF($BB717="수정"," / 수정세금계산서(합계에서 자동 가감)",""),4,200))</f>
        <v/>
      </c>
      <c r="BD717" s="2">
        <f>IF($BA717&lt;&gt;"포함","",IF(COUNTIFS($AX$8:$AX717,$AX717,$BA$8:$BA717,"포함")=1,MAX($BD$7:BD716)+1,""))</f>
        <v/>
      </c>
      <c r="BE717" s="2">
        <f>IF($BC717="","",MAX($BE$7:BE716)+1)</f>
        <v/>
      </c>
    </row>
    <row r="718">
      <c r="AR718" s="2">
        <f>IF(OR($A$5="",$B$6="",ROW()&lt;$A$5),"",IF(INDEX($A:$AP,ROW(),$B$6)="","",INDEX($A:$AP,ROW(),$B$6)))</f>
        <v/>
      </c>
      <c r="AS718" s="22">
        <f>IF($AR718="","",IF(ISNUMBER($AR718),IF($AR718&gt;=10000000,IFERROR(DATE(INT($AR718/10000),MOD(INT($AR718/100),100),MOD($AR718,100)),""),INT($AR718)),IFERROR(DATE(--LEFT(LEFT(SUBSTITUTE(SUBSTITUTE(SUBSTITUTE(SUBSTITUTE(TRIM($AR718),"-",""),".",""),"/","")," ",""),8),4),--MID(LEFT(SUBSTITUTE(SUBSTITUTE(SUBSTITUTE(SUBSTITUTE(TRIM($AR718),"-",""),".",""),"/","")," ",""),8),5,2),--MID(LEFT(SUBSTITUTE(SUBSTITUTE(SUBSTITUTE(SUBSTITUTE(TRIM($AR718),"-",""),".",""),"/","")," ",""),8),7,2)),"")))</f>
        <v/>
      </c>
      <c r="AT718" s="23">
        <f>IF($AS718="","",IF($F$6="",0,IF(ISNUMBER(INDEX($A:$AP,ROW(),$F$6)),INDEX($A:$AP,ROW(),$F$6),IFERROR(--SUBSTITUTE(SUBSTITUTE(TRIM(INDEX($A:$AP,ROW(),$F$6)),",",""),"원",""),0))))</f>
        <v/>
      </c>
      <c r="AU718" s="23">
        <f>IF($AS718="","",IF($G$6="",0,IF(ISNUMBER(INDEX($A:$AP,ROW(),$G$6)),INDEX($A:$AP,ROW(),$G$6),IFERROR(--SUBSTITUTE(SUBSTITUTE(TRIM(INDEX($A:$AP,ROW(),$G$6)),",",""),"원",""),0))))</f>
        <v/>
      </c>
      <c r="AV718" s="23">
        <f>IF($AS718="","",IF($H$6="",$AT718+$AU718,IF($H$6="",0,IF(ISNUMBER(INDEX($A:$AP,ROW(),$H$6)),INDEX($A:$AP,ROW(),$H$6),IFERROR(--SUBSTITUTE(SUBSTITUTE(TRIM(INDEX($A:$AP,ROW(),$H$6)),",",""),"원",""),0)))))</f>
        <v/>
      </c>
      <c r="AW718" s="2">
        <f>IF(OR($AS718="",$C$6=""),"",TRIM(INDEX($A:$AP,ROW(),$C$6)&amp;""))</f>
        <v/>
      </c>
      <c r="AX718" s="2">
        <f>IF($AS718="","",IF($AZ718&lt;&gt;"",SUBSTITUTE(SUBSTITUTE($AZ718,"-","")," ",""),$AY718))</f>
        <v/>
      </c>
      <c r="AY718" s="2">
        <f>IF(OR($AS718="",$E$6=""),"",TRIM(INDEX($A:$AP,ROW(),$E$6)&amp;""))</f>
        <v/>
      </c>
      <c r="AZ718" s="2">
        <f>IF(OR($AS718="",$D$6=""),"",TRIM(INDEX($A:$AP,ROW(),$D$6)&amp;""))</f>
        <v/>
      </c>
      <c r="BA718" s="2">
        <f>IF($AS718="","",IF(AND($AS718&gt;=설정!$B$10,$AS718&lt;=설정!$B$11),"포함","기간 밖"))</f>
        <v/>
      </c>
      <c r="BB718" s="2">
        <f>IF($AS718="","",IF(OR($AT718&lt;0,AND($I$6&lt;&gt;"",ISNUMBER(FIND("수정",INDEX($A:$AP,ROW(),IF($I$6="",1,$I$6))&amp;"")))),"수정","일반"))</f>
        <v/>
      </c>
      <c r="BC718" s="2">
        <f>IF($AS718="","",MID(IF($BA718="기간 밖"," / 기간 밖(신고기간 아님)","")&amp;IF(AND($AW718&lt;&gt;"",COUNTIF($AW$8:$AW$1007,$AW718)&gt;1)," / 승인번호 중복(두 번 붙여넣기?)","")&amp;IF(ABS($AU718-ROUND($AT718*0.1,0))&gt;설정!$B$8,IF($AU718=0," / 세액 0원(영세율·면세 여부 확인)"," / 세액이 공급가액 10%와 다름"),"")&amp;IF($BB718="수정"," / 수정세금계산서(합계에서 자동 가감)",""),4,200))</f>
        <v/>
      </c>
      <c r="BD718" s="2">
        <f>IF($BA718&lt;&gt;"포함","",IF(COUNTIFS($AX$8:$AX718,$AX718,$BA$8:$BA718,"포함")=1,MAX($BD$7:BD717)+1,""))</f>
        <v/>
      </c>
      <c r="BE718" s="2">
        <f>IF($BC718="","",MAX($BE$7:BE717)+1)</f>
        <v/>
      </c>
    </row>
    <row r="719">
      <c r="AR719" s="2">
        <f>IF(OR($A$5="",$B$6="",ROW()&lt;$A$5),"",IF(INDEX($A:$AP,ROW(),$B$6)="","",INDEX($A:$AP,ROW(),$B$6)))</f>
        <v/>
      </c>
      <c r="AS719" s="22">
        <f>IF($AR719="","",IF(ISNUMBER($AR719),IF($AR719&gt;=10000000,IFERROR(DATE(INT($AR719/10000),MOD(INT($AR719/100),100),MOD($AR719,100)),""),INT($AR719)),IFERROR(DATE(--LEFT(LEFT(SUBSTITUTE(SUBSTITUTE(SUBSTITUTE(SUBSTITUTE(TRIM($AR719),"-",""),".",""),"/","")," ",""),8),4),--MID(LEFT(SUBSTITUTE(SUBSTITUTE(SUBSTITUTE(SUBSTITUTE(TRIM($AR719),"-",""),".",""),"/","")," ",""),8),5,2),--MID(LEFT(SUBSTITUTE(SUBSTITUTE(SUBSTITUTE(SUBSTITUTE(TRIM($AR719),"-",""),".",""),"/","")," ",""),8),7,2)),"")))</f>
        <v/>
      </c>
      <c r="AT719" s="23">
        <f>IF($AS719="","",IF($F$6="",0,IF(ISNUMBER(INDEX($A:$AP,ROW(),$F$6)),INDEX($A:$AP,ROW(),$F$6),IFERROR(--SUBSTITUTE(SUBSTITUTE(TRIM(INDEX($A:$AP,ROW(),$F$6)),",",""),"원",""),0))))</f>
        <v/>
      </c>
      <c r="AU719" s="23">
        <f>IF($AS719="","",IF($G$6="",0,IF(ISNUMBER(INDEX($A:$AP,ROW(),$G$6)),INDEX($A:$AP,ROW(),$G$6),IFERROR(--SUBSTITUTE(SUBSTITUTE(TRIM(INDEX($A:$AP,ROW(),$G$6)),",",""),"원",""),0))))</f>
        <v/>
      </c>
      <c r="AV719" s="23">
        <f>IF($AS719="","",IF($H$6="",$AT719+$AU719,IF($H$6="",0,IF(ISNUMBER(INDEX($A:$AP,ROW(),$H$6)),INDEX($A:$AP,ROW(),$H$6),IFERROR(--SUBSTITUTE(SUBSTITUTE(TRIM(INDEX($A:$AP,ROW(),$H$6)),",",""),"원",""),0)))))</f>
        <v/>
      </c>
      <c r="AW719" s="2">
        <f>IF(OR($AS719="",$C$6=""),"",TRIM(INDEX($A:$AP,ROW(),$C$6)&amp;""))</f>
        <v/>
      </c>
      <c r="AX719" s="2">
        <f>IF($AS719="","",IF($AZ719&lt;&gt;"",SUBSTITUTE(SUBSTITUTE($AZ719,"-","")," ",""),$AY719))</f>
        <v/>
      </c>
      <c r="AY719" s="2">
        <f>IF(OR($AS719="",$E$6=""),"",TRIM(INDEX($A:$AP,ROW(),$E$6)&amp;""))</f>
        <v/>
      </c>
      <c r="AZ719" s="2">
        <f>IF(OR($AS719="",$D$6=""),"",TRIM(INDEX($A:$AP,ROW(),$D$6)&amp;""))</f>
        <v/>
      </c>
      <c r="BA719" s="2">
        <f>IF($AS719="","",IF(AND($AS719&gt;=설정!$B$10,$AS719&lt;=설정!$B$11),"포함","기간 밖"))</f>
        <v/>
      </c>
      <c r="BB719" s="2">
        <f>IF($AS719="","",IF(OR($AT719&lt;0,AND($I$6&lt;&gt;"",ISNUMBER(FIND("수정",INDEX($A:$AP,ROW(),IF($I$6="",1,$I$6))&amp;"")))),"수정","일반"))</f>
        <v/>
      </c>
      <c r="BC719" s="2">
        <f>IF($AS719="","",MID(IF($BA719="기간 밖"," / 기간 밖(신고기간 아님)","")&amp;IF(AND($AW719&lt;&gt;"",COUNTIF($AW$8:$AW$1007,$AW719)&gt;1)," / 승인번호 중복(두 번 붙여넣기?)","")&amp;IF(ABS($AU719-ROUND($AT719*0.1,0))&gt;설정!$B$8,IF($AU719=0," / 세액 0원(영세율·면세 여부 확인)"," / 세액이 공급가액 10%와 다름"),"")&amp;IF($BB719="수정"," / 수정세금계산서(합계에서 자동 가감)",""),4,200))</f>
        <v/>
      </c>
      <c r="BD719" s="2">
        <f>IF($BA719&lt;&gt;"포함","",IF(COUNTIFS($AX$8:$AX719,$AX719,$BA$8:$BA719,"포함")=1,MAX($BD$7:BD718)+1,""))</f>
        <v/>
      </c>
      <c r="BE719" s="2">
        <f>IF($BC719="","",MAX($BE$7:BE718)+1)</f>
        <v/>
      </c>
    </row>
    <row r="720">
      <c r="AR720" s="2">
        <f>IF(OR($A$5="",$B$6="",ROW()&lt;$A$5),"",IF(INDEX($A:$AP,ROW(),$B$6)="","",INDEX($A:$AP,ROW(),$B$6)))</f>
        <v/>
      </c>
      <c r="AS720" s="22">
        <f>IF($AR720="","",IF(ISNUMBER($AR720),IF($AR720&gt;=10000000,IFERROR(DATE(INT($AR720/10000),MOD(INT($AR720/100),100),MOD($AR720,100)),""),INT($AR720)),IFERROR(DATE(--LEFT(LEFT(SUBSTITUTE(SUBSTITUTE(SUBSTITUTE(SUBSTITUTE(TRIM($AR720),"-",""),".",""),"/","")," ",""),8),4),--MID(LEFT(SUBSTITUTE(SUBSTITUTE(SUBSTITUTE(SUBSTITUTE(TRIM($AR720),"-",""),".",""),"/","")," ",""),8),5,2),--MID(LEFT(SUBSTITUTE(SUBSTITUTE(SUBSTITUTE(SUBSTITUTE(TRIM($AR720),"-",""),".",""),"/","")," ",""),8),7,2)),"")))</f>
        <v/>
      </c>
      <c r="AT720" s="23">
        <f>IF($AS720="","",IF($F$6="",0,IF(ISNUMBER(INDEX($A:$AP,ROW(),$F$6)),INDEX($A:$AP,ROW(),$F$6),IFERROR(--SUBSTITUTE(SUBSTITUTE(TRIM(INDEX($A:$AP,ROW(),$F$6)),",",""),"원",""),0))))</f>
        <v/>
      </c>
      <c r="AU720" s="23">
        <f>IF($AS720="","",IF($G$6="",0,IF(ISNUMBER(INDEX($A:$AP,ROW(),$G$6)),INDEX($A:$AP,ROW(),$G$6),IFERROR(--SUBSTITUTE(SUBSTITUTE(TRIM(INDEX($A:$AP,ROW(),$G$6)),",",""),"원",""),0))))</f>
        <v/>
      </c>
      <c r="AV720" s="23">
        <f>IF($AS720="","",IF($H$6="",$AT720+$AU720,IF($H$6="",0,IF(ISNUMBER(INDEX($A:$AP,ROW(),$H$6)),INDEX($A:$AP,ROW(),$H$6),IFERROR(--SUBSTITUTE(SUBSTITUTE(TRIM(INDEX($A:$AP,ROW(),$H$6)),",",""),"원",""),0)))))</f>
        <v/>
      </c>
      <c r="AW720" s="2">
        <f>IF(OR($AS720="",$C$6=""),"",TRIM(INDEX($A:$AP,ROW(),$C$6)&amp;""))</f>
        <v/>
      </c>
      <c r="AX720" s="2">
        <f>IF($AS720="","",IF($AZ720&lt;&gt;"",SUBSTITUTE(SUBSTITUTE($AZ720,"-","")," ",""),$AY720))</f>
        <v/>
      </c>
      <c r="AY720" s="2">
        <f>IF(OR($AS720="",$E$6=""),"",TRIM(INDEX($A:$AP,ROW(),$E$6)&amp;""))</f>
        <v/>
      </c>
      <c r="AZ720" s="2">
        <f>IF(OR($AS720="",$D$6=""),"",TRIM(INDEX($A:$AP,ROW(),$D$6)&amp;""))</f>
        <v/>
      </c>
      <c r="BA720" s="2">
        <f>IF($AS720="","",IF(AND($AS720&gt;=설정!$B$10,$AS720&lt;=설정!$B$11),"포함","기간 밖"))</f>
        <v/>
      </c>
      <c r="BB720" s="2">
        <f>IF($AS720="","",IF(OR($AT720&lt;0,AND($I$6&lt;&gt;"",ISNUMBER(FIND("수정",INDEX($A:$AP,ROW(),IF($I$6="",1,$I$6))&amp;"")))),"수정","일반"))</f>
        <v/>
      </c>
      <c r="BC720" s="2">
        <f>IF($AS720="","",MID(IF($BA720="기간 밖"," / 기간 밖(신고기간 아님)","")&amp;IF(AND($AW720&lt;&gt;"",COUNTIF($AW$8:$AW$1007,$AW720)&gt;1)," / 승인번호 중복(두 번 붙여넣기?)","")&amp;IF(ABS($AU720-ROUND($AT720*0.1,0))&gt;설정!$B$8,IF($AU720=0," / 세액 0원(영세율·면세 여부 확인)"," / 세액이 공급가액 10%와 다름"),"")&amp;IF($BB720="수정"," / 수정세금계산서(합계에서 자동 가감)",""),4,200))</f>
        <v/>
      </c>
      <c r="BD720" s="2">
        <f>IF($BA720&lt;&gt;"포함","",IF(COUNTIFS($AX$8:$AX720,$AX720,$BA$8:$BA720,"포함")=1,MAX($BD$7:BD719)+1,""))</f>
        <v/>
      </c>
      <c r="BE720" s="2">
        <f>IF($BC720="","",MAX($BE$7:BE719)+1)</f>
        <v/>
      </c>
    </row>
    <row r="721">
      <c r="AR721" s="2">
        <f>IF(OR($A$5="",$B$6="",ROW()&lt;$A$5),"",IF(INDEX($A:$AP,ROW(),$B$6)="","",INDEX($A:$AP,ROW(),$B$6)))</f>
        <v/>
      </c>
      <c r="AS721" s="22">
        <f>IF($AR721="","",IF(ISNUMBER($AR721),IF($AR721&gt;=10000000,IFERROR(DATE(INT($AR721/10000),MOD(INT($AR721/100),100),MOD($AR721,100)),""),INT($AR721)),IFERROR(DATE(--LEFT(LEFT(SUBSTITUTE(SUBSTITUTE(SUBSTITUTE(SUBSTITUTE(TRIM($AR721),"-",""),".",""),"/","")," ",""),8),4),--MID(LEFT(SUBSTITUTE(SUBSTITUTE(SUBSTITUTE(SUBSTITUTE(TRIM($AR721),"-",""),".",""),"/","")," ",""),8),5,2),--MID(LEFT(SUBSTITUTE(SUBSTITUTE(SUBSTITUTE(SUBSTITUTE(TRIM($AR721),"-",""),".",""),"/","")," ",""),8),7,2)),"")))</f>
        <v/>
      </c>
      <c r="AT721" s="23">
        <f>IF($AS721="","",IF($F$6="",0,IF(ISNUMBER(INDEX($A:$AP,ROW(),$F$6)),INDEX($A:$AP,ROW(),$F$6),IFERROR(--SUBSTITUTE(SUBSTITUTE(TRIM(INDEX($A:$AP,ROW(),$F$6)),",",""),"원",""),0))))</f>
        <v/>
      </c>
      <c r="AU721" s="23">
        <f>IF($AS721="","",IF($G$6="",0,IF(ISNUMBER(INDEX($A:$AP,ROW(),$G$6)),INDEX($A:$AP,ROW(),$G$6),IFERROR(--SUBSTITUTE(SUBSTITUTE(TRIM(INDEX($A:$AP,ROW(),$G$6)),",",""),"원",""),0))))</f>
        <v/>
      </c>
      <c r="AV721" s="23">
        <f>IF($AS721="","",IF($H$6="",$AT721+$AU721,IF($H$6="",0,IF(ISNUMBER(INDEX($A:$AP,ROW(),$H$6)),INDEX($A:$AP,ROW(),$H$6),IFERROR(--SUBSTITUTE(SUBSTITUTE(TRIM(INDEX($A:$AP,ROW(),$H$6)),",",""),"원",""),0)))))</f>
        <v/>
      </c>
      <c r="AW721" s="2">
        <f>IF(OR($AS721="",$C$6=""),"",TRIM(INDEX($A:$AP,ROW(),$C$6)&amp;""))</f>
        <v/>
      </c>
      <c r="AX721" s="2">
        <f>IF($AS721="","",IF($AZ721&lt;&gt;"",SUBSTITUTE(SUBSTITUTE($AZ721,"-","")," ",""),$AY721))</f>
        <v/>
      </c>
      <c r="AY721" s="2">
        <f>IF(OR($AS721="",$E$6=""),"",TRIM(INDEX($A:$AP,ROW(),$E$6)&amp;""))</f>
        <v/>
      </c>
      <c r="AZ721" s="2">
        <f>IF(OR($AS721="",$D$6=""),"",TRIM(INDEX($A:$AP,ROW(),$D$6)&amp;""))</f>
        <v/>
      </c>
      <c r="BA721" s="2">
        <f>IF($AS721="","",IF(AND($AS721&gt;=설정!$B$10,$AS721&lt;=설정!$B$11),"포함","기간 밖"))</f>
        <v/>
      </c>
      <c r="BB721" s="2">
        <f>IF($AS721="","",IF(OR($AT721&lt;0,AND($I$6&lt;&gt;"",ISNUMBER(FIND("수정",INDEX($A:$AP,ROW(),IF($I$6="",1,$I$6))&amp;"")))),"수정","일반"))</f>
        <v/>
      </c>
      <c r="BC721" s="2">
        <f>IF($AS721="","",MID(IF($BA721="기간 밖"," / 기간 밖(신고기간 아님)","")&amp;IF(AND($AW721&lt;&gt;"",COUNTIF($AW$8:$AW$1007,$AW721)&gt;1)," / 승인번호 중복(두 번 붙여넣기?)","")&amp;IF(ABS($AU721-ROUND($AT721*0.1,0))&gt;설정!$B$8,IF($AU721=0," / 세액 0원(영세율·면세 여부 확인)"," / 세액이 공급가액 10%와 다름"),"")&amp;IF($BB721="수정"," / 수정세금계산서(합계에서 자동 가감)",""),4,200))</f>
        <v/>
      </c>
      <c r="BD721" s="2">
        <f>IF($BA721&lt;&gt;"포함","",IF(COUNTIFS($AX$8:$AX721,$AX721,$BA$8:$BA721,"포함")=1,MAX($BD$7:BD720)+1,""))</f>
        <v/>
      </c>
      <c r="BE721" s="2">
        <f>IF($BC721="","",MAX($BE$7:BE720)+1)</f>
        <v/>
      </c>
    </row>
    <row r="722">
      <c r="AR722" s="2">
        <f>IF(OR($A$5="",$B$6="",ROW()&lt;$A$5),"",IF(INDEX($A:$AP,ROW(),$B$6)="","",INDEX($A:$AP,ROW(),$B$6)))</f>
        <v/>
      </c>
      <c r="AS722" s="22">
        <f>IF($AR722="","",IF(ISNUMBER($AR722),IF($AR722&gt;=10000000,IFERROR(DATE(INT($AR722/10000),MOD(INT($AR722/100),100),MOD($AR722,100)),""),INT($AR722)),IFERROR(DATE(--LEFT(LEFT(SUBSTITUTE(SUBSTITUTE(SUBSTITUTE(SUBSTITUTE(TRIM($AR722),"-",""),".",""),"/","")," ",""),8),4),--MID(LEFT(SUBSTITUTE(SUBSTITUTE(SUBSTITUTE(SUBSTITUTE(TRIM($AR722),"-",""),".",""),"/","")," ",""),8),5,2),--MID(LEFT(SUBSTITUTE(SUBSTITUTE(SUBSTITUTE(SUBSTITUTE(TRIM($AR722),"-",""),".",""),"/","")," ",""),8),7,2)),"")))</f>
        <v/>
      </c>
      <c r="AT722" s="23">
        <f>IF($AS722="","",IF($F$6="",0,IF(ISNUMBER(INDEX($A:$AP,ROW(),$F$6)),INDEX($A:$AP,ROW(),$F$6),IFERROR(--SUBSTITUTE(SUBSTITUTE(TRIM(INDEX($A:$AP,ROW(),$F$6)),",",""),"원",""),0))))</f>
        <v/>
      </c>
      <c r="AU722" s="23">
        <f>IF($AS722="","",IF($G$6="",0,IF(ISNUMBER(INDEX($A:$AP,ROW(),$G$6)),INDEX($A:$AP,ROW(),$G$6),IFERROR(--SUBSTITUTE(SUBSTITUTE(TRIM(INDEX($A:$AP,ROW(),$G$6)),",",""),"원",""),0))))</f>
        <v/>
      </c>
      <c r="AV722" s="23">
        <f>IF($AS722="","",IF($H$6="",$AT722+$AU722,IF($H$6="",0,IF(ISNUMBER(INDEX($A:$AP,ROW(),$H$6)),INDEX($A:$AP,ROW(),$H$6),IFERROR(--SUBSTITUTE(SUBSTITUTE(TRIM(INDEX($A:$AP,ROW(),$H$6)),",",""),"원",""),0)))))</f>
        <v/>
      </c>
      <c r="AW722" s="2">
        <f>IF(OR($AS722="",$C$6=""),"",TRIM(INDEX($A:$AP,ROW(),$C$6)&amp;""))</f>
        <v/>
      </c>
      <c r="AX722" s="2">
        <f>IF($AS722="","",IF($AZ722&lt;&gt;"",SUBSTITUTE(SUBSTITUTE($AZ722,"-","")," ",""),$AY722))</f>
        <v/>
      </c>
      <c r="AY722" s="2">
        <f>IF(OR($AS722="",$E$6=""),"",TRIM(INDEX($A:$AP,ROW(),$E$6)&amp;""))</f>
        <v/>
      </c>
      <c r="AZ722" s="2">
        <f>IF(OR($AS722="",$D$6=""),"",TRIM(INDEX($A:$AP,ROW(),$D$6)&amp;""))</f>
        <v/>
      </c>
      <c r="BA722" s="2">
        <f>IF($AS722="","",IF(AND($AS722&gt;=설정!$B$10,$AS722&lt;=설정!$B$11),"포함","기간 밖"))</f>
        <v/>
      </c>
      <c r="BB722" s="2">
        <f>IF($AS722="","",IF(OR($AT722&lt;0,AND($I$6&lt;&gt;"",ISNUMBER(FIND("수정",INDEX($A:$AP,ROW(),IF($I$6="",1,$I$6))&amp;"")))),"수정","일반"))</f>
        <v/>
      </c>
      <c r="BC722" s="2">
        <f>IF($AS722="","",MID(IF($BA722="기간 밖"," / 기간 밖(신고기간 아님)","")&amp;IF(AND($AW722&lt;&gt;"",COUNTIF($AW$8:$AW$1007,$AW722)&gt;1)," / 승인번호 중복(두 번 붙여넣기?)","")&amp;IF(ABS($AU722-ROUND($AT722*0.1,0))&gt;설정!$B$8,IF($AU722=0," / 세액 0원(영세율·면세 여부 확인)"," / 세액이 공급가액 10%와 다름"),"")&amp;IF($BB722="수정"," / 수정세금계산서(합계에서 자동 가감)",""),4,200))</f>
        <v/>
      </c>
      <c r="BD722" s="2">
        <f>IF($BA722&lt;&gt;"포함","",IF(COUNTIFS($AX$8:$AX722,$AX722,$BA$8:$BA722,"포함")=1,MAX($BD$7:BD721)+1,""))</f>
        <v/>
      </c>
      <c r="BE722" s="2">
        <f>IF($BC722="","",MAX($BE$7:BE721)+1)</f>
        <v/>
      </c>
    </row>
    <row r="723">
      <c r="AR723" s="2">
        <f>IF(OR($A$5="",$B$6="",ROW()&lt;$A$5),"",IF(INDEX($A:$AP,ROW(),$B$6)="","",INDEX($A:$AP,ROW(),$B$6)))</f>
        <v/>
      </c>
      <c r="AS723" s="22">
        <f>IF($AR723="","",IF(ISNUMBER($AR723),IF($AR723&gt;=10000000,IFERROR(DATE(INT($AR723/10000),MOD(INT($AR723/100),100),MOD($AR723,100)),""),INT($AR723)),IFERROR(DATE(--LEFT(LEFT(SUBSTITUTE(SUBSTITUTE(SUBSTITUTE(SUBSTITUTE(TRIM($AR723),"-",""),".",""),"/","")," ",""),8),4),--MID(LEFT(SUBSTITUTE(SUBSTITUTE(SUBSTITUTE(SUBSTITUTE(TRIM($AR723),"-",""),".",""),"/","")," ",""),8),5,2),--MID(LEFT(SUBSTITUTE(SUBSTITUTE(SUBSTITUTE(SUBSTITUTE(TRIM($AR723),"-",""),".",""),"/","")," ",""),8),7,2)),"")))</f>
        <v/>
      </c>
      <c r="AT723" s="23">
        <f>IF($AS723="","",IF($F$6="",0,IF(ISNUMBER(INDEX($A:$AP,ROW(),$F$6)),INDEX($A:$AP,ROW(),$F$6),IFERROR(--SUBSTITUTE(SUBSTITUTE(TRIM(INDEX($A:$AP,ROW(),$F$6)),",",""),"원",""),0))))</f>
        <v/>
      </c>
      <c r="AU723" s="23">
        <f>IF($AS723="","",IF($G$6="",0,IF(ISNUMBER(INDEX($A:$AP,ROW(),$G$6)),INDEX($A:$AP,ROW(),$G$6),IFERROR(--SUBSTITUTE(SUBSTITUTE(TRIM(INDEX($A:$AP,ROW(),$G$6)),",",""),"원",""),0))))</f>
        <v/>
      </c>
      <c r="AV723" s="23">
        <f>IF($AS723="","",IF($H$6="",$AT723+$AU723,IF($H$6="",0,IF(ISNUMBER(INDEX($A:$AP,ROW(),$H$6)),INDEX($A:$AP,ROW(),$H$6),IFERROR(--SUBSTITUTE(SUBSTITUTE(TRIM(INDEX($A:$AP,ROW(),$H$6)),",",""),"원",""),0)))))</f>
        <v/>
      </c>
      <c r="AW723" s="2">
        <f>IF(OR($AS723="",$C$6=""),"",TRIM(INDEX($A:$AP,ROW(),$C$6)&amp;""))</f>
        <v/>
      </c>
      <c r="AX723" s="2">
        <f>IF($AS723="","",IF($AZ723&lt;&gt;"",SUBSTITUTE(SUBSTITUTE($AZ723,"-","")," ",""),$AY723))</f>
        <v/>
      </c>
      <c r="AY723" s="2">
        <f>IF(OR($AS723="",$E$6=""),"",TRIM(INDEX($A:$AP,ROW(),$E$6)&amp;""))</f>
        <v/>
      </c>
      <c r="AZ723" s="2">
        <f>IF(OR($AS723="",$D$6=""),"",TRIM(INDEX($A:$AP,ROW(),$D$6)&amp;""))</f>
        <v/>
      </c>
      <c r="BA723" s="2">
        <f>IF($AS723="","",IF(AND($AS723&gt;=설정!$B$10,$AS723&lt;=설정!$B$11),"포함","기간 밖"))</f>
        <v/>
      </c>
      <c r="BB723" s="2">
        <f>IF($AS723="","",IF(OR($AT723&lt;0,AND($I$6&lt;&gt;"",ISNUMBER(FIND("수정",INDEX($A:$AP,ROW(),IF($I$6="",1,$I$6))&amp;"")))),"수정","일반"))</f>
        <v/>
      </c>
      <c r="BC723" s="2">
        <f>IF($AS723="","",MID(IF($BA723="기간 밖"," / 기간 밖(신고기간 아님)","")&amp;IF(AND($AW723&lt;&gt;"",COUNTIF($AW$8:$AW$1007,$AW723)&gt;1)," / 승인번호 중복(두 번 붙여넣기?)","")&amp;IF(ABS($AU723-ROUND($AT723*0.1,0))&gt;설정!$B$8,IF($AU723=0," / 세액 0원(영세율·면세 여부 확인)"," / 세액이 공급가액 10%와 다름"),"")&amp;IF($BB723="수정"," / 수정세금계산서(합계에서 자동 가감)",""),4,200))</f>
        <v/>
      </c>
      <c r="BD723" s="2">
        <f>IF($BA723&lt;&gt;"포함","",IF(COUNTIFS($AX$8:$AX723,$AX723,$BA$8:$BA723,"포함")=1,MAX($BD$7:BD722)+1,""))</f>
        <v/>
      </c>
      <c r="BE723" s="2">
        <f>IF($BC723="","",MAX($BE$7:BE722)+1)</f>
        <v/>
      </c>
    </row>
    <row r="724">
      <c r="AR724" s="2">
        <f>IF(OR($A$5="",$B$6="",ROW()&lt;$A$5),"",IF(INDEX($A:$AP,ROW(),$B$6)="","",INDEX($A:$AP,ROW(),$B$6)))</f>
        <v/>
      </c>
      <c r="AS724" s="22">
        <f>IF($AR724="","",IF(ISNUMBER($AR724),IF($AR724&gt;=10000000,IFERROR(DATE(INT($AR724/10000),MOD(INT($AR724/100),100),MOD($AR724,100)),""),INT($AR724)),IFERROR(DATE(--LEFT(LEFT(SUBSTITUTE(SUBSTITUTE(SUBSTITUTE(SUBSTITUTE(TRIM($AR724),"-",""),".",""),"/","")," ",""),8),4),--MID(LEFT(SUBSTITUTE(SUBSTITUTE(SUBSTITUTE(SUBSTITUTE(TRIM($AR724),"-",""),".",""),"/","")," ",""),8),5,2),--MID(LEFT(SUBSTITUTE(SUBSTITUTE(SUBSTITUTE(SUBSTITUTE(TRIM($AR724),"-",""),".",""),"/","")," ",""),8),7,2)),"")))</f>
        <v/>
      </c>
      <c r="AT724" s="23">
        <f>IF($AS724="","",IF($F$6="",0,IF(ISNUMBER(INDEX($A:$AP,ROW(),$F$6)),INDEX($A:$AP,ROW(),$F$6),IFERROR(--SUBSTITUTE(SUBSTITUTE(TRIM(INDEX($A:$AP,ROW(),$F$6)),",",""),"원",""),0))))</f>
        <v/>
      </c>
      <c r="AU724" s="23">
        <f>IF($AS724="","",IF($G$6="",0,IF(ISNUMBER(INDEX($A:$AP,ROW(),$G$6)),INDEX($A:$AP,ROW(),$G$6),IFERROR(--SUBSTITUTE(SUBSTITUTE(TRIM(INDEX($A:$AP,ROW(),$G$6)),",",""),"원",""),0))))</f>
        <v/>
      </c>
      <c r="AV724" s="23">
        <f>IF($AS724="","",IF($H$6="",$AT724+$AU724,IF($H$6="",0,IF(ISNUMBER(INDEX($A:$AP,ROW(),$H$6)),INDEX($A:$AP,ROW(),$H$6),IFERROR(--SUBSTITUTE(SUBSTITUTE(TRIM(INDEX($A:$AP,ROW(),$H$6)),",",""),"원",""),0)))))</f>
        <v/>
      </c>
      <c r="AW724" s="2">
        <f>IF(OR($AS724="",$C$6=""),"",TRIM(INDEX($A:$AP,ROW(),$C$6)&amp;""))</f>
        <v/>
      </c>
      <c r="AX724" s="2">
        <f>IF($AS724="","",IF($AZ724&lt;&gt;"",SUBSTITUTE(SUBSTITUTE($AZ724,"-","")," ",""),$AY724))</f>
        <v/>
      </c>
      <c r="AY724" s="2">
        <f>IF(OR($AS724="",$E$6=""),"",TRIM(INDEX($A:$AP,ROW(),$E$6)&amp;""))</f>
        <v/>
      </c>
      <c r="AZ724" s="2">
        <f>IF(OR($AS724="",$D$6=""),"",TRIM(INDEX($A:$AP,ROW(),$D$6)&amp;""))</f>
        <v/>
      </c>
      <c r="BA724" s="2">
        <f>IF($AS724="","",IF(AND($AS724&gt;=설정!$B$10,$AS724&lt;=설정!$B$11),"포함","기간 밖"))</f>
        <v/>
      </c>
      <c r="BB724" s="2">
        <f>IF($AS724="","",IF(OR($AT724&lt;0,AND($I$6&lt;&gt;"",ISNUMBER(FIND("수정",INDEX($A:$AP,ROW(),IF($I$6="",1,$I$6))&amp;"")))),"수정","일반"))</f>
        <v/>
      </c>
      <c r="BC724" s="2">
        <f>IF($AS724="","",MID(IF($BA724="기간 밖"," / 기간 밖(신고기간 아님)","")&amp;IF(AND($AW724&lt;&gt;"",COUNTIF($AW$8:$AW$1007,$AW724)&gt;1)," / 승인번호 중복(두 번 붙여넣기?)","")&amp;IF(ABS($AU724-ROUND($AT724*0.1,0))&gt;설정!$B$8,IF($AU724=0," / 세액 0원(영세율·면세 여부 확인)"," / 세액이 공급가액 10%와 다름"),"")&amp;IF($BB724="수정"," / 수정세금계산서(합계에서 자동 가감)",""),4,200))</f>
        <v/>
      </c>
      <c r="BD724" s="2">
        <f>IF($BA724&lt;&gt;"포함","",IF(COUNTIFS($AX$8:$AX724,$AX724,$BA$8:$BA724,"포함")=1,MAX($BD$7:BD723)+1,""))</f>
        <v/>
      </c>
      <c r="BE724" s="2">
        <f>IF($BC724="","",MAX($BE$7:BE723)+1)</f>
        <v/>
      </c>
    </row>
    <row r="725">
      <c r="AR725" s="2">
        <f>IF(OR($A$5="",$B$6="",ROW()&lt;$A$5),"",IF(INDEX($A:$AP,ROW(),$B$6)="","",INDEX($A:$AP,ROW(),$B$6)))</f>
        <v/>
      </c>
      <c r="AS725" s="22">
        <f>IF($AR725="","",IF(ISNUMBER($AR725),IF($AR725&gt;=10000000,IFERROR(DATE(INT($AR725/10000),MOD(INT($AR725/100),100),MOD($AR725,100)),""),INT($AR725)),IFERROR(DATE(--LEFT(LEFT(SUBSTITUTE(SUBSTITUTE(SUBSTITUTE(SUBSTITUTE(TRIM($AR725),"-",""),".",""),"/","")," ",""),8),4),--MID(LEFT(SUBSTITUTE(SUBSTITUTE(SUBSTITUTE(SUBSTITUTE(TRIM($AR725),"-",""),".",""),"/","")," ",""),8),5,2),--MID(LEFT(SUBSTITUTE(SUBSTITUTE(SUBSTITUTE(SUBSTITUTE(TRIM($AR725),"-",""),".",""),"/","")," ",""),8),7,2)),"")))</f>
        <v/>
      </c>
      <c r="AT725" s="23">
        <f>IF($AS725="","",IF($F$6="",0,IF(ISNUMBER(INDEX($A:$AP,ROW(),$F$6)),INDEX($A:$AP,ROW(),$F$6),IFERROR(--SUBSTITUTE(SUBSTITUTE(TRIM(INDEX($A:$AP,ROW(),$F$6)),",",""),"원",""),0))))</f>
        <v/>
      </c>
      <c r="AU725" s="23">
        <f>IF($AS725="","",IF($G$6="",0,IF(ISNUMBER(INDEX($A:$AP,ROW(),$G$6)),INDEX($A:$AP,ROW(),$G$6),IFERROR(--SUBSTITUTE(SUBSTITUTE(TRIM(INDEX($A:$AP,ROW(),$G$6)),",",""),"원",""),0))))</f>
        <v/>
      </c>
      <c r="AV725" s="23">
        <f>IF($AS725="","",IF($H$6="",$AT725+$AU725,IF($H$6="",0,IF(ISNUMBER(INDEX($A:$AP,ROW(),$H$6)),INDEX($A:$AP,ROW(),$H$6),IFERROR(--SUBSTITUTE(SUBSTITUTE(TRIM(INDEX($A:$AP,ROW(),$H$6)),",",""),"원",""),0)))))</f>
        <v/>
      </c>
      <c r="AW725" s="2">
        <f>IF(OR($AS725="",$C$6=""),"",TRIM(INDEX($A:$AP,ROW(),$C$6)&amp;""))</f>
        <v/>
      </c>
      <c r="AX725" s="2">
        <f>IF($AS725="","",IF($AZ725&lt;&gt;"",SUBSTITUTE(SUBSTITUTE($AZ725,"-","")," ",""),$AY725))</f>
        <v/>
      </c>
      <c r="AY725" s="2">
        <f>IF(OR($AS725="",$E$6=""),"",TRIM(INDEX($A:$AP,ROW(),$E$6)&amp;""))</f>
        <v/>
      </c>
      <c r="AZ725" s="2">
        <f>IF(OR($AS725="",$D$6=""),"",TRIM(INDEX($A:$AP,ROW(),$D$6)&amp;""))</f>
        <v/>
      </c>
      <c r="BA725" s="2">
        <f>IF($AS725="","",IF(AND($AS725&gt;=설정!$B$10,$AS725&lt;=설정!$B$11),"포함","기간 밖"))</f>
        <v/>
      </c>
      <c r="BB725" s="2">
        <f>IF($AS725="","",IF(OR($AT725&lt;0,AND($I$6&lt;&gt;"",ISNUMBER(FIND("수정",INDEX($A:$AP,ROW(),IF($I$6="",1,$I$6))&amp;"")))),"수정","일반"))</f>
        <v/>
      </c>
      <c r="BC725" s="2">
        <f>IF($AS725="","",MID(IF($BA725="기간 밖"," / 기간 밖(신고기간 아님)","")&amp;IF(AND($AW725&lt;&gt;"",COUNTIF($AW$8:$AW$1007,$AW725)&gt;1)," / 승인번호 중복(두 번 붙여넣기?)","")&amp;IF(ABS($AU725-ROUND($AT725*0.1,0))&gt;설정!$B$8,IF($AU725=0," / 세액 0원(영세율·면세 여부 확인)"," / 세액이 공급가액 10%와 다름"),"")&amp;IF($BB725="수정"," / 수정세금계산서(합계에서 자동 가감)",""),4,200))</f>
        <v/>
      </c>
      <c r="BD725" s="2">
        <f>IF($BA725&lt;&gt;"포함","",IF(COUNTIFS($AX$8:$AX725,$AX725,$BA$8:$BA725,"포함")=1,MAX($BD$7:BD724)+1,""))</f>
        <v/>
      </c>
      <c r="BE725" s="2">
        <f>IF($BC725="","",MAX($BE$7:BE724)+1)</f>
        <v/>
      </c>
    </row>
    <row r="726">
      <c r="AR726" s="2">
        <f>IF(OR($A$5="",$B$6="",ROW()&lt;$A$5),"",IF(INDEX($A:$AP,ROW(),$B$6)="","",INDEX($A:$AP,ROW(),$B$6)))</f>
        <v/>
      </c>
      <c r="AS726" s="22">
        <f>IF($AR726="","",IF(ISNUMBER($AR726),IF($AR726&gt;=10000000,IFERROR(DATE(INT($AR726/10000),MOD(INT($AR726/100),100),MOD($AR726,100)),""),INT($AR726)),IFERROR(DATE(--LEFT(LEFT(SUBSTITUTE(SUBSTITUTE(SUBSTITUTE(SUBSTITUTE(TRIM($AR726),"-",""),".",""),"/","")," ",""),8),4),--MID(LEFT(SUBSTITUTE(SUBSTITUTE(SUBSTITUTE(SUBSTITUTE(TRIM($AR726),"-",""),".",""),"/","")," ",""),8),5,2),--MID(LEFT(SUBSTITUTE(SUBSTITUTE(SUBSTITUTE(SUBSTITUTE(TRIM($AR726),"-",""),".",""),"/","")," ",""),8),7,2)),"")))</f>
        <v/>
      </c>
      <c r="AT726" s="23">
        <f>IF($AS726="","",IF($F$6="",0,IF(ISNUMBER(INDEX($A:$AP,ROW(),$F$6)),INDEX($A:$AP,ROW(),$F$6),IFERROR(--SUBSTITUTE(SUBSTITUTE(TRIM(INDEX($A:$AP,ROW(),$F$6)),",",""),"원",""),0))))</f>
        <v/>
      </c>
      <c r="AU726" s="23">
        <f>IF($AS726="","",IF($G$6="",0,IF(ISNUMBER(INDEX($A:$AP,ROW(),$G$6)),INDEX($A:$AP,ROW(),$G$6),IFERROR(--SUBSTITUTE(SUBSTITUTE(TRIM(INDEX($A:$AP,ROW(),$G$6)),",",""),"원",""),0))))</f>
        <v/>
      </c>
      <c r="AV726" s="23">
        <f>IF($AS726="","",IF($H$6="",$AT726+$AU726,IF($H$6="",0,IF(ISNUMBER(INDEX($A:$AP,ROW(),$H$6)),INDEX($A:$AP,ROW(),$H$6),IFERROR(--SUBSTITUTE(SUBSTITUTE(TRIM(INDEX($A:$AP,ROW(),$H$6)),",",""),"원",""),0)))))</f>
        <v/>
      </c>
      <c r="AW726" s="2">
        <f>IF(OR($AS726="",$C$6=""),"",TRIM(INDEX($A:$AP,ROW(),$C$6)&amp;""))</f>
        <v/>
      </c>
      <c r="AX726" s="2">
        <f>IF($AS726="","",IF($AZ726&lt;&gt;"",SUBSTITUTE(SUBSTITUTE($AZ726,"-","")," ",""),$AY726))</f>
        <v/>
      </c>
      <c r="AY726" s="2">
        <f>IF(OR($AS726="",$E$6=""),"",TRIM(INDEX($A:$AP,ROW(),$E$6)&amp;""))</f>
        <v/>
      </c>
      <c r="AZ726" s="2">
        <f>IF(OR($AS726="",$D$6=""),"",TRIM(INDEX($A:$AP,ROW(),$D$6)&amp;""))</f>
        <v/>
      </c>
      <c r="BA726" s="2">
        <f>IF($AS726="","",IF(AND($AS726&gt;=설정!$B$10,$AS726&lt;=설정!$B$11),"포함","기간 밖"))</f>
        <v/>
      </c>
      <c r="BB726" s="2">
        <f>IF($AS726="","",IF(OR($AT726&lt;0,AND($I$6&lt;&gt;"",ISNUMBER(FIND("수정",INDEX($A:$AP,ROW(),IF($I$6="",1,$I$6))&amp;"")))),"수정","일반"))</f>
        <v/>
      </c>
      <c r="BC726" s="2">
        <f>IF($AS726="","",MID(IF($BA726="기간 밖"," / 기간 밖(신고기간 아님)","")&amp;IF(AND($AW726&lt;&gt;"",COUNTIF($AW$8:$AW$1007,$AW726)&gt;1)," / 승인번호 중복(두 번 붙여넣기?)","")&amp;IF(ABS($AU726-ROUND($AT726*0.1,0))&gt;설정!$B$8,IF($AU726=0," / 세액 0원(영세율·면세 여부 확인)"," / 세액이 공급가액 10%와 다름"),"")&amp;IF($BB726="수정"," / 수정세금계산서(합계에서 자동 가감)",""),4,200))</f>
        <v/>
      </c>
      <c r="BD726" s="2">
        <f>IF($BA726&lt;&gt;"포함","",IF(COUNTIFS($AX$8:$AX726,$AX726,$BA$8:$BA726,"포함")=1,MAX($BD$7:BD725)+1,""))</f>
        <v/>
      </c>
      <c r="BE726" s="2">
        <f>IF($BC726="","",MAX($BE$7:BE725)+1)</f>
        <v/>
      </c>
    </row>
    <row r="727">
      <c r="AR727" s="2">
        <f>IF(OR($A$5="",$B$6="",ROW()&lt;$A$5),"",IF(INDEX($A:$AP,ROW(),$B$6)="","",INDEX($A:$AP,ROW(),$B$6)))</f>
        <v/>
      </c>
      <c r="AS727" s="22">
        <f>IF($AR727="","",IF(ISNUMBER($AR727),IF($AR727&gt;=10000000,IFERROR(DATE(INT($AR727/10000),MOD(INT($AR727/100),100),MOD($AR727,100)),""),INT($AR727)),IFERROR(DATE(--LEFT(LEFT(SUBSTITUTE(SUBSTITUTE(SUBSTITUTE(SUBSTITUTE(TRIM($AR727),"-",""),".",""),"/","")," ",""),8),4),--MID(LEFT(SUBSTITUTE(SUBSTITUTE(SUBSTITUTE(SUBSTITUTE(TRIM($AR727),"-",""),".",""),"/","")," ",""),8),5,2),--MID(LEFT(SUBSTITUTE(SUBSTITUTE(SUBSTITUTE(SUBSTITUTE(TRIM($AR727),"-",""),".",""),"/","")," ",""),8),7,2)),"")))</f>
        <v/>
      </c>
      <c r="AT727" s="23">
        <f>IF($AS727="","",IF($F$6="",0,IF(ISNUMBER(INDEX($A:$AP,ROW(),$F$6)),INDEX($A:$AP,ROW(),$F$6),IFERROR(--SUBSTITUTE(SUBSTITUTE(TRIM(INDEX($A:$AP,ROW(),$F$6)),",",""),"원",""),0))))</f>
        <v/>
      </c>
      <c r="AU727" s="23">
        <f>IF($AS727="","",IF($G$6="",0,IF(ISNUMBER(INDEX($A:$AP,ROW(),$G$6)),INDEX($A:$AP,ROW(),$G$6),IFERROR(--SUBSTITUTE(SUBSTITUTE(TRIM(INDEX($A:$AP,ROW(),$G$6)),",",""),"원",""),0))))</f>
        <v/>
      </c>
      <c r="AV727" s="23">
        <f>IF($AS727="","",IF($H$6="",$AT727+$AU727,IF($H$6="",0,IF(ISNUMBER(INDEX($A:$AP,ROW(),$H$6)),INDEX($A:$AP,ROW(),$H$6),IFERROR(--SUBSTITUTE(SUBSTITUTE(TRIM(INDEX($A:$AP,ROW(),$H$6)),",",""),"원",""),0)))))</f>
        <v/>
      </c>
      <c r="AW727" s="2">
        <f>IF(OR($AS727="",$C$6=""),"",TRIM(INDEX($A:$AP,ROW(),$C$6)&amp;""))</f>
        <v/>
      </c>
      <c r="AX727" s="2">
        <f>IF($AS727="","",IF($AZ727&lt;&gt;"",SUBSTITUTE(SUBSTITUTE($AZ727,"-","")," ",""),$AY727))</f>
        <v/>
      </c>
      <c r="AY727" s="2">
        <f>IF(OR($AS727="",$E$6=""),"",TRIM(INDEX($A:$AP,ROW(),$E$6)&amp;""))</f>
        <v/>
      </c>
      <c r="AZ727" s="2">
        <f>IF(OR($AS727="",$D$6=""),"",TRIM(INDEX($A:$AP,ROW(),$D$6)&amp;""))</f>
        <v/>
      </c>
      <c r="BA727" s="2">
        <f>IF($AS727="","",IF(AND($AS727&gt;=설정!$B$10,$AS727&lt;=설정!$B$11),"포함","기간 밖"))</f>
        <v/>
      </c>
      <c r="BB727" s="2">
        <f>IF($AS727="","",IF(OR($AT727&lt;0,AND($I$6&lt;&gt;"",ISNUMBER(FIND("수정",INDEX($A:$AP,ROW(),IF($I$6="",1,$I$6))&amp;"")))),"수정","일반"))</f>
        <v/>
      </c>
      <c r="BC727" s="2">
        <f>IF($AS727="","",MID(IF($BA727="기간 밖"," / 기간 밖(신고기간 아님)","")&amp;IF(AND($AW727&lt;&gt;"",COUNTIF($AW$8:$AW$1007,$AW727)&gt;1)," / 승인번호 중복(두 번 붙여넣기?)","")&amp;IF(ABS($AU727-ROUND($AT727*0.1,0))&gt;설정!$B$8,IF($AU727=0," / 세액 0원(영세율·면세 여부 확인)"," / 세액이 공급가액 10%와 다름"),"")&amp;IF($BB727="수정"," / 수정세금계산서(합계에서 자동 가감)",""),4,200))</f>
        <v/>
      </c>
      <c r="BD727" s="2">
        <f>IF($BA727&lt;&gt;"포함","",IF(COUNTIFS($AX$8:$AX727,$AX727,$BA$8:$BA727,"포함")=1,MAX($BD$7:BD726)+1,""))</f>
        <v/>
      </c>
      <c r="BE727" s="2">
        <f>IF($BC727="","",MAX($BE$7:BE726)+1)</f>
        <v/>
      </c>
    </row>
    <row r="728">
      <c r="AR728" s="2">
        <f>IF(OR($A$5="",$B$6="",ROW()&lt;$A$5),"",IF(INDEX($A:$AP,ROW(),$B$6)="","",INDEX($A:$AP,ROW(),$B$6)))</f>
        <v/>
      </c>
      <c r="AS728" s="22">
        <f>IF($AR728="","",IF(ISNUMBER($AR728),IF($AR728&gt;=10000000,IFERROR(DATE(INT($AR728/10000),MOD(INT($AR728/100),100),MOD($AR728,100)),""),INT($AR728)),IFERROR(DATE(--LEFT(LEFT(SUBSTITUTE(SUBSTITUTE(SUBSTITUTE(SUBSTITUTE(TRIM($AR728),"-",""),".",""),"/","")," ",""),8),4),--MID(LEFT(SUBSTITUTE(SUBSTITUTE(SUBSTITUTE(SUBSTITUTE(TRIM($AR728),"-",""),".",""),"/","")," ",""),8),5,2),--MID(LEFT(SUBSTITUTE(SUBSTITUTE(SUBSTITUTE(SUBSTITUTE(TRIM($AR728),"-",""),".",""),"/","")," ",""),8),7,2)),"")))</f>
        <v/>
      </c>
      <c r="AT728" s="23">
        <f>IF($AS728="","",IF($F$6="",0,IF(ISNUMBER(INDEX($A:$AP,ROW(),$F$6)),INDEX($A:$AP,ROW(),$F$6),IFERROR(--SUBSTITUTE(SUBSTITUTE(TRIM(INDEX($A:$AP,ROW(),$F$6)),",",""),"원",""),0))))</f>
        <v/>
      </c>
      <c r="AU728" s="23">
        <f>IF($AS728="","",IF($G$6="",0,IF(ISNUMBER(INDEX($A:$AP,ROW(),$G$6)),INDEX($A:$AP,ROW(),$G$6),IFERROR(--SUBSTITUTE(SUBSTITUTE(TRIM(INDEX($A:$AP,ROW(),$G$6)),",",""),"원",""),0))))</f>
        <v/>
      </c>
      <c r="AV728" s="23">
        <f>IF($AS728="","",IF($H$6="",$AT728+$AU728,IF($H$6="",0,IF(ISNUMBER(INDEX($A:$AP,ROW(),$H$6)),INDEX($A:$AP,ROW(),$H$6),IFERROR(--SUBSTITUTE(SUBSTITUTE(TRIM(INDEX($A:$AP,ROW(),$H$6)),",",""),"원",""),0)))))</f>
        <v/>
      </c>
      <c r="AW728" s="2">
        <f>IF(OR($AS728="",$C$6=""),"",TRIM(INDEX($A:$AP,ROW(),$C$6)&amp;""))</f>
        <v/>
      </c>
      <c r="AX728" s="2">
        <f>IF($AS728="","",IF($AZ728&lt;&gt;"",SUBSTITUTE(SUBSTITUTE($AZ728,"-","")," ",""),$AY728))</f>
        <v/>
      </c>
      <c r="AY728" s="2">
        <f>IF(OR($AS728="",$E$6=""),"",TRIM(INDEX($A:$AP,ROW(),$E$6)&amp;""))</f>
        <v/>
      </c>
      <c r="AZ728" s="2">
        <f>IF(OR($AS728="",$D$6=""),"",TRIM(INDEX($A:$AP,ROW(),$D$6)&amp;""))</f>
        <v/>
      </c>
      <c r="BA728" s="2">
        <f>IF($AS728="","",IF(AND($AS728&gt;=설정!$B$10,$AS728&lt;=설정!$B$11),"포함","기간 밖"))</f>
        <v/>
      </c>
      <c r="BB728" s="2">
        <f>IF($AS728="","",IF(OR($AT728&lt;0,AND($I$6&lt;&gt;"",ISNUMBER(FIND("수정",INDEX($A:$AP,ROW(),IF($I$6="",1,$I$6))&amp;"")))),"수정","일반"))</f>
        <v/>
      </c>
      <c r="BC728" s="2">
        <f>IF($AS728="","",MID(IF($BA728="기간 밖"," / 기간 밖(신고기간 아님)","")&amp;IF(AND($AW728&lt;&gt;"",COUNTIF($AW$8:$AW$1007,$AW728)&gt;1)," / 승인번호 중복(두 번 붙여넣기?)","")&amp;IF(ABS($AU728-ROUND($AT728*0.1,0))&gt;설정!$B$8,IF($AU728=0," / 세액 0원(영세율·면세 여부 확인)"," / 세액이 공급가액 10%와 다름"),"")&amp;IF($BB728="수정"," / 수정세금계산서(합계에서 자동 가감)",""),4,200))</f>
        <v/>
      </c>
      <c r="BD728" s="2">
        <f>IF($BA728&lt;&gt;"포함","",IF(COUNTIFS($AX$8:$AX728,$AX728,$BA$8:$BA728,"포함")=1,MAX($BD$7:BD727)+1,""))</f>
        <v/>
      </c>
      <c r="BE728" s="2">
        <f>IF($BC728="","",MAX($BE$7:BE727)+1)</f>
        <v/>
      </c>
    </row>
    <row r="729">
      <c r="AR729" s="2">
        <f>IF(OR($A$5="",$B$6="",ROW()&lt;$A$5),"",IF(INDEX($A:$AP,ROW(),$B$6)="","",INDEX($A:$AP,ROW(),$B$6)))</f>
        <v/>
      </c>
      <c r="AS729" s="22">
        <f>IF($AR729="","",IF(ISNUMBER($AR729),IF($AR729&gt;=10000000,IFERROR(DATE(INT($AR729/10000),MOD(INT($AR729/100),100),MOD($AR729,100)),""),INT($AR729)),IFERROR(DATE(--LEFT(LEFT(SUBSTITUTE(SUBSTITUTE(SUBSTITUTE(SUBSTITUTE(TRIM($AR729),"-",""),".",""),"/","")," ",""),8),4),--MID(LEFT(SUBSTITUTE(SUBSTITUTE(SUBSTITUTE(SUBSTITUTE(TRIM($AR729),"-",""),".",""),"/","")," ",""),8),5,2),--MID(LEFT(SUBSTITUTE(SUBSTITUTE(SUBSTITUTE(SUBSTITUTE(TRIM($AR729),"-",""),".",""),"/","")," ",""),8),7,2)),"")))</f>
        <v/>
      </c>
      <c r="AT729" s="23">
        <f>IF($AS729="","",IF($F$6="",0,IF(ISNUMBER(INDEX($A:$AP,ROW(),$F$6)),INDEX($A:$AP,ROW(),$F$6),IFERROR(--SUBSTITUTE(SUBSTITUTE(TRIM(INDEX($A:$AP,ROW(),$F$6)),",",""),"원",""),0))))</f>
        <v/>
      </c>
      <c r="AU729" s="23">
        <f>IF($AS729="","",IF($G$6="",0,IF(ISNUMBER(INDEX($A:$AP,ROW(),$G$6)),INDEX($A:$AP,ROW(),$G$6),IFERROR(--SUBSTITUTE(SUBSTITUTE(TRIM(INDEX($A:$AP,ROW(),$G$6)),",",""),"원",""),0))))</f>
        <v/>
      </c>
      <c r="AV729" s="23">
        <f>IF($AS729="","",IF($H$6="",$AT729+$AU729,IF($H$6="",0,IF(ISNUMBER(INDEX($A:$AP,ROW(),$H$6)),INDEX($A:$AP,ROW(),$H$6),IFERROR(--SUBSTITUTE(SUBSTITUTE(TRIM(INDEX($A:$AP,ROW(),$H$6)),",",""),"원",""),0)))))</f>
        <v/>
      </c>
      <c r="AW729" s="2">
        <f>IF(OR($AS729="",$C$6=""),"",TRIM(INDEX($A:$AP,ROW(),$C$6)&amp;""))</f>
        <v/>
      </c>
      <c r="AX729" s="2">
        <f>IF($AS729="","",IF($AZ729&lt;&gt;"",SUBSTITUTE(SUBSTITUTE($AZ729,"-","")," ",""),$AY729))</f>
        <v/>
      </c>
      <c r="AY729" s="2">
        <f>IF(OR($AS729="",$E$6=""),"",TRIM(INDEX($A:$AP,ROW(),$E$6)&amp;""))</f>
        <v/>
      </c>
      <c r="AZ729" s="2">
        <f>IF(OR($AS729="",$D$6=""),"",TRIM(INDEX($A:$AP,ROW(),$D$6)&amp;""))</f>
        <v/>
      </c>
      <c r="BA729" s="2">
        <f>IF($AS729="","",IF(AND($AS729&gt;=설정!$B$10,$AS729&lt;=설정!$B$11),"포함","기간 밖"))</f>
        <v/>
      </c>
      <c r="BB729" s="2">
        <f>IF($AS729="","",IF(OR($AT729&lt;0,AND($I$6&lt;&gt;"",ISNUMBER(FIND("수정",INDEX($A:$AP,ROW(),IF($I$6="",1,$I$6))&amp;"")))),"수정","일반"))</f>
        <v/>
      </c>
      <c r="BC729" s="2">
        <f>IF($AS729="","",MID(IF($BA729="기간 밖"," / 기간 밖(신고기간 아님)","")&amp;IF(AND($AW729&lt;&gt;"",COUNTIF($AW$8:$AW$1007,$AW729)&gt;1)," / 승인번호 중복(두 번 붙여넣기?)","")&amp;IF(ABS($AU729-ROUND($AT729*0.1,0))&gt;설정!$B$8,IF($AU729=0," / 세액 0원(영세율·면세 여부 확인)"," / 세액이 공급가액 10%와 다름"),"")&amp;IF($BB729="수정"," / 수정세금계산서(합계에서 자동 가감)",""),4,200))</f>
        <v/>
      </c>
      <c r="BD729" s="2">
        <f>IF($BA729&lt;&gt;"포함","",IF(COUNTIFS($AX$8:$AX729,$AX729,$BA$8:$BA729,"포함")=1,MAX($BD$7:BD728)+1,""))</f>
        <v/>
      </c>
      <c r="BE729" s="2">
        <f>IF($BC729="","",MAX($BE$7:BE728)+1)</f>
        <v/>
      </c>
    </row>
    <row r="730">
      <c r="AR730" s="2">
        <f>IF(OR($A$5="",$B$6="",ROW()&lt;$A$5),"",IF(INDEX($A:$AP,ROW(),$B$6)="","",INDEX($A:$AP,ROW(),$B$6)))</f>
        <v/>
      </c>
      <c r="AS730" s="22">
        <f>IF($AR730="","",IF(ISNUMBER($AR730),IF($AR730&gt;=10000000,IFERROR(DATE(INT($AR730/10000),MOD(INT($AR730/100),100),MOD($AR730,100)),""),INT($AR730)),IFERROR(DATE(--LEFT(LEFT(SUBSTITUTE(SUBSTITUTE(SUBSTITUTE(SUBSTITUTE(TRIM($AR730),"-",""),".",""),"/","")," ",""),8),4),--MID(LEFT(SUBSTITUTE(SUBSTITUTE(SUBSTITUTE(SUBSTITUTE(TRIM($AR730),"-",""),".",""),"/","")," ",""),8),5,2),--MID(LEFT(SUBSTITUTE(SUBSTITUTE(SUBSTITUTE(SUBSTITUTE(TRIM($AR730),"-",""),".",""),"/","")," ",""),8),7,2)),"")))</f>
        <v/>
      </c>
      <c r="AT730" s="23">
        <f>IF($AS730="","",IF($F$6="",0,IF(ISNUMBER(INDEX($A:$AP,ROW(),$F$6)),INDEX($A:$AP,ROW(),$F$6),IFERROR(--SUBSTITUTE(SUBSTITUTE(TRIM(INDEX($A:$AP,ROW(),$F$6)),",",""),"원",""),0))))</f>
        <v/>
      </c>
      <c r="AU730" s="23">
        <f>IF($AS730="","",IF($G$6="",0,IF(ISNUMBER(INDEX($A:$AP,ROW(),$G$6)),INDEX($A:$AP,ROW(),$G$6),IFERROR(--SUBSTITUTE(SUBSTITUTE(TRIM(INDEX($A:$AP,ROW(),$G$6)),",",""),"원",""),0))))</f>
        <v/>
      </c>
      <c r="AV730" s="23">
        <f>IF($AS730="","",IF($H$6="",$AT730+$AU730,IF($H$6="",0,IF(ISNUMBER(INDEX($A:$AP,ROW(),$H$6)),INDEX($A:$AP,ROW(),$H$6),IFERROR(--SUBSTITUTE(SUBSTITUTE(TRIM(INDEX($A:$AP,ROW(),$H$6)),",",""),"원",""),0)))))</f>
        <v/>
      </c>
      <c r="AW730" s="2">
        <f>IF(OR($AS730="",$C$6=""),"",TRIM(INDEX($A:$AP,ROW(),$C$6)&amp;""))</f>
        <v/>
      </c>
      <c r="AX730" s="2">
        <f>IF($AS730="","",IF($AZ730&lt;&gt;"",SUBSTITUTE(SUBSTITUTE($AZ730,"-","")," ",""),$AY730))</f>
        <v/>
      </c>
      <c r="AY730" s="2">
        <f>IF(OR($AS730="",$E$6=""),"",TRIM(INDEX($A:$AP,ROW(),$E$6)&amp;""))</f>
        <v/>
      </c>
      <c r="AZ730" s="2">
        <f>IF(OR($AS730="",$D$6=""),"",TRIM(INDEX($A:$AP,ROW(),$D$6)&amp;""))</f>
        <v/>
      </c>
      <c r="BA730" s="2">
        <f>IF($AS730="","",IF(AND($AS730&gt;=설정!$B$10,$AS730&lt;=설정!$B$11),"포함","기간 밖"))</f>
        <v/>
      </c>
      <c r="BB730" s="2">
        <f>IF($AS730="","",IF(OR($AT730&lt;0,AND($I$6&lt;&gt;"",ISNUMBER(FIND("수정",INDEX($A:$AP,ROW(),IF($I$6="",1,$I$6))&amp;"")))),"수정","일반"))</f>
        <v/>
      </c>
      <c r="BC730" s="2">
        <f>IF($AS730="","",MID(IF($BA730="기간 밖"," / 기간 밖(신고기간 아님)","")&amp;IF(AND($AW730&lt;&gt;"",COUNTIF($AW$8:$AW$1007,$AW730)&gt;1)," / 승인번호 중복(두 번 붙여넣기?)","")&amp;IF(ABS($AU730-ROUND($AT730*0.1,0))&gt;설정!$B$8,IF($AU730=0," / 세액 0원(영세율·면세 여부 확인)"," / 세액이 공급가액 10%와 다름"),"")&amp;IF($BB730="수정"," / 수정세금계산서(합계에서 자동 가감)",""),4,200))</f>
        <v/>
      </c>
      <c r="BD730" s="2">
        <f>IF($BA730&lt;&gt;"포함","",IF(COUNTIFS($AX$8:$AX730,$AX730,$BA$8:$BA730,"포함")=1,MAX($BD$7:BD729)+1,""))</f>
        <v/>
      </c>
      <c r="BE730" s="2">
        <f>IF($BC730="","",MAX($BE$7:BE729)+1)</f>
        <v/>
      </c>
    </row>
    <row r="731">
      <c r="AR731" s="2">
        <f>IF(OR($A$5="",$B$6="",ROW()&lt;$A$5),"",IF(INDEX($A:$AP,ROW(),$B$6)="","",INDEX($A:$AP,ROW(),$B$6)))</f>
        <v/>
      </c>
      <c r="AS731" s="22">
        <f>IF($AR731="","",IF(ISNUMBER($AR731),IF($AR731&gt;=10000000,IFERROR(DATE(INT($AR731/10000),MOD(INT($AR731/100),100),MOD($AR731,100)),""),INT($AR731)),IFERROR(DATE(--LEFT(LEFT(SUBSTITUTE(SUBSTITUTE(SUBSTITUTE(SUBSTITUTE(TRIM($AR731),"-",""),".",""),"/","")," ",""),8),4),--MID(LEFT(SUBSTITUTE(SUBSTITUTE(SUBSTITUTE(SUBSTITUTE(TRIM($AR731),"-",""),".",""),"/","")," ",""),8),5,2),--MID(LEFT(SUBSTITUTE(SUBSTITUTE(SUBSTITUTE(SUBSTITUTE(TRIM($AR731),"-",""),".",""),"/","")," ",""),8),7,2)),"")))</f>
        <v/>
      </c>
      <c r="AT731" s="23">
        <f>IF($AS731="","",IF($F$6="",0,IF(ISNUMBER(INDEX($A:$AP,ROW(),$F$6)),INDEX($A:$AP,ROW(),$F$6),IFERROR(--SUBSTITUTE(SUBSTITUTE(TRIM(INDEX($A:$AP,ROW(),$F$6)),",",""),"원",""),0))))</f>
        <v/>
      </c>
      <c r="AU731" s="23">
        <f>IF($AS731="","",IF($G$6="",0,IF(ISNUMBER(INDEX($A:$AP,ROW(),$G$6)),INDEX($A:$AP,ROW(),$G$6),IFERROR(--SUBSTITUTE(SUBSTITUTE(TRIM(INDEX($A:$AP,ROW(),$G$6)),",",""),"원",""),0))))</f>
        <v/>
      </c>
      <c r="AV731" s="23">
        <f>IF($AS731="","",IF($H$6="",$AT731+$AU731,IF($H$6="",0,IF(ISNUMBER(INDEX($A:$AP,ROW(),$H$6)),INDEX($A:$AP,ROW(),$H$6),IFERROR(--SUBSTITUTE(SUBSTITUTE(TRIM(INDEX($A:$AP,ROW(),$H$6)),",",""),"원",""),0)))))</f>
        <v/>
      </c>
      <c r="AW731" s="2">
        <f>IF(OR($AS731="",$C$6=""),"",TRIM(INDEX($A:$AP,ROW(),$C$6)&amp;""))</f>
        <v/>
      </c>
      <c r="AX731" s="2">
        <f>IF($AS731="","",IF($AZ731&lt;&gt;"",SUBSTITUTE(SUBSTITUTE($AZ731,"-","")," ",""),$AY731))</f>
        <v/>
      </c>
      <c r="AY731" s="2">
        <f>IF(OR($AS731="",$E$6=""),"",TRIM(INDEX($A:$AP,ROW(),$E$6)&amp;""))</f>
        <v/>
      </c>
      <c r="AZ731" s="2">
        <f>IF(OR($AS731="",$D$6=""),"",TRIM(INDEX($A:$AP,ROW(),$D$6)&amp;""))</f>
        <v/>
      </c>
      <c r="BA731" s="2">
        <f>IF($AS731="","",IF(AND($AS731&gt;=설정!$B$10,$AS731&lt;=설정!$B$11),"포함","기간 밖"))</f>
        <v/>
      </c>
      <c r="BB731" s="2">
        <f>IF($AS731="","",IF(OR($AT731&lt;0,AND($I$6&lt;&gt;"",ISNUMBER(FIND("수정",INDEX($A:$AP,ROW(),IF($I$6="",1,$I$6))&amp;"")))),"수정","일반"))</f>
        <v/>
      </c>
      <c r="BC731" s="2">
        <f>IF($AS731="","",MID(IF($BA731="기간 밖"," / 기간 밖(신고기간 아님)","")&amp;IF(AND($AW731&lt;&gt;"",COUNTIF($AW$8:$AW$1007,$AW731)&gt;1)," / 승인번호 중복(두 번 붙여넣기?)","")&amp;IF(ABS($AU731-ROUND($AT731*0.1,0))&gt;설정!$B$8,IF($AU731=0," / 세액 0원(영세율·면세 여부 확인)"," / 세액이 공급가액 10%와 다름"),"")&amp;IF($BB731="수정"," / 수정세금계산서(합계에서 자동 가감)",""),4,200))</f>
        <v/>
      </c>
      <c r="BD731" s="2">
        <f>IF($BA731&lt;&gt;"포함","",IF(COUNTIFS($AX$8:$AX731,$AX731,$BA$8:$BA731,"포함")=1,MAX($BD$7:BD730)+1,""))</f>
        <v/>
      </c>
      <c r="BE731" s="2">
        <f>IF($BC731="","",MAX($BE$7:BE730)+1)</f>
        <v/>
      </c>
    </row>
    <row r="732">
      <c r="AR732" s="2">
        <f>IF(OR($A$5="",$B$6="",ROW()&lt;$A$5),"",IF(INDEX($A:$AP,ROW(),$B$6)="","",INDEX($A:$AP,ROW(),$B$6)))</f>
        <v/>
      </c>
      <c r="AS732" s="22">
        <f>IF($AR732="","",IF(ISNUMBER($AR732),IF($AR732&gt;=10000000,IFERROR(DATE(INT($AR732/10000),MOD(INT($AR732/100),100),MOD($AR732,100)),""),INT($AR732)),IFERROR(DATE(--LEFT(LEFT(SUBSTITUTE(SUBSTITUTE(SUBSTITUTE(SUBSTITUTE(TRIM($AR732),"-",""),".",""),"/","")," ",""),8),4),--MID(LEFT(SUBSTITUTE(SUBSTITUTE(SUBSTITUTE(SUBSTITUTE(TRIM($AR732),"-",""),".",""),"/","")," ",""),8),5,2),--MID(LEFT(SUBSTITUTE(SUBSTITUTE(SUBSTITUTE(SUBSTITUTE(TRIM($AR732),"-",""),".",""),"/","")," ",""),8),7,2)),"")))</f>
        <v/>
      </c>
      <c r="AT732" s="23">
        <f>IF($AS732="","",IF($F$6="",0,IF(ISNUMBER(INDEX($A:$AP,ROW(),$F$6)),INDEX($A:$AP,ROW(),$F$6),IFERROR(--SUBSTITUTE(SUBSTITUTE(TRIM(INDEX($A:$AP,ROW(),$F$6)),",",""),"원",""),0))))</f>
        <v/>
      </c>
      <c r="AU732" s="23">
        <f>IF($AS732="","",IF($G$6="",0,IF(ISNUMBER(INDEX($A:$AP,ROW(),$G$6)),INDEX($A:$AP,ROW(),$G$6),IFERROR(--SUBSTITUTE(SUBSTITUTE(TRIM(INDEX($A:$AP,ROW(),$G$6)),",",""),"원",""),0))))</f>
        <v/>
      </c>
      <c r="AV732" s="23">
        <f>IF($AS732="","",IF($H$6="",$AT732+$AU732,IF($H$6="",0,IF(ISNUMBER(INDEX($A:$AP,ROW(),$H$6)),INDEX($A:$AP,ROW(),$H$6),IFERROR(--SUBSTITUTE(SUBSTITUTE(TRIM(INDEX($A:$AP,ROW(),$H$6)),",",""),"원",""),0)))))</f>
        <v/>
      </c>
      <c r="AW732" s="2">
        <f>IF(OR($AS732="",$C$6=""),"",TRIM(INDEX($A:$AP,ROW(),$C$6)&amp;""))</f>
        <v/>
      </c>
      <c r="AX732" s="2">
        <f>IF($AS732="","",IF($AZ732&lt;&gt;"",SUBSTITUTE(SUBSTITUTE($AZ732,"-","")," ",""),$AY732))</f>
        <v/>
      </c>
      <c r="AY732" s="2">
        <f>IF(OR($AS732="",$E$6=""),"",TRIM(INDEX($A:$AP,ROW(),$E$6)&amp;""))</f>
        <v/>
      </c>
      <c r="AZ732" s="2">
        <f>IF(OR($AS732="",$D$6=""),"",TRIM(INDEX($A:$AP,ROW(),$D$6)&amp;""))</f>
        <v/>
      </c>
      <c r="BA732" s="2">
        <f>IF($AS732="","",IF(AND($AS732&gt;=설정!$B$10,$AS732&lt;=설정!$B$11),"포함","기간 밖"))</f>
        <v/>
      </c>
      <c r="BB732" s="2">
        <f>IF($AS732="","",IF(OR($AT732&lt;0,AND($I$6&lt;&gt;"",ISNUMBER(FIND("수정",INDEX($A:$AP,ROW(),IF($I$6="",1,$I$6))&amp;"")))),"수정","일반"))</f>
        <v/>
      </c>
      <c r="BC732" s="2">
        <f>IF($AS732="","",MID(IF($BA732="기간 밖"," / 기간 밖(신고기간 아님)","")&amp;IF(AND($AW732&lt;&gt;"",COUNTIF($AW$8:$AW$1007,$AW732)&gt;1)," / 승인번호 중복(두 번 붙여넣기?)","")&amp;IF(ABS($AU732-ROUND($AT732*0.1,0))&gt;설정!$B$8,IF($AU732=0," / 세액 0원(영세율·면세 여부 확인)"," / 세액이 공급가액 10%와 다름"),"")&amp;IF($BB732="수정"," / 수정세금계산서(합계에서 자동 가감)",""),4,200))</f>
        <v/>
      </c>
      <c r="BD732" s="2">
        <f>IF($BA732&lt;&gt;"포함","",IF(COUNTIFS($AX$8:$AX732,$AX732,$BA$8:$BA732,"포함")=1,MAX($BD$7:BD731)+1,""))</f>
        <v/>
      </c>
      <c r="BE732" s="2">
        <f>IF($BC732="","",MAX($BE$7:BE731)+1)</f>
        <v/>
      </c>
    </row>
    <row r="733">
      <c r="AR733" s="2">
        <f>IF(OR($A$5="",$B$6="",ROW()&lt;$A$5),"",IF(INDEX($A:$AP,ROW(),$B$6)="","",INDEX($A:$AP,ROW(),$B$6)))</f>
        <v/>
      </c>
      <c r="AS733" s="22">
        <f>IF($AR733="","",IF(ISNUMBER($AR733),IF($AR733&gt;=10000000,IFERROR(DATE(INT($AR733/10000),MOD(INT($AR733/100),100),MOD($AR733,100)),""),INT($AR733)),IFERROR(DATE(--LEFT(LEFT(SUBSTITUTE(SUBSTITUTE(SUBSTITUTE(SUBSTITUTE(TRIM($AR733),"-",""),".",""),"/","")," ",""),8),4),--MID(LEFT(SUBSTITUTE(SUBSTITUTE(SUBSTITUTE(SUBSTITUTE(TRIM($AR733),"-",""),".",""),"/","")," ",""),8),5,2),--MID(LEFT(SUBSTITUTE(SUBSTITUTE(SUBSTITUTE(SUBSTITUTE(TRIM($AR733),"-",""),".",""),"/","")," ",""),8),7,2)),"")))</f>
        <v/>
      </c>
      <c r="AT733" s="23">
        <f>IF($AS733="","",IF($F$6="",0,IF(ISNUMBER(INDEX($A:$AP,ROW(),$F$6)),INDEX($A:$AP,ROW(),$F$6),IFERROR(--SUBSTITUTE(SUBSTITUTE(TRIM(INDEX($A:$AP,ROW(),$F$6)),",",""),"원",""),0))))</f>
        <v/>
      </c>
      <c r="AU733" s="23">
        <f>IF($AS733="","",IF($G$6="",0,IF(ISNUMBER(INDEX($A:$AP,ROW(),$G$6)),INDEX($A:$AP,ROW(),$G$6),IFERROR(--SUBSTITUTE(SUBSTITUTE(TRIM(INDEX($A:$AP,ROW(),$G$6)),",",""),"원",""),0))))</f>
        <v/>
      </c>
      <c r="AV733" s="23">
        <f>IF($AS733="","",IF($H$6="",$AT733+$AU733,IF($H$6="",0,IF(ISNUMBER(INDEX($A:$AP,ROW(),$H$6)),INDEX($A:$AP,ROW(),$H$6),IFERROR(--SUBSTITUTE(SUBSTITUTE(TRIM(INDEX($A:$AP,ROW(),$H$6)),",",""),"원",""),0)))))</f>
        <v/>
      </c>
      <c r="AW733" s="2">
        <f>IF(OR($AS733="",$C$6=""),"",TRIM(INDEX($A:$AP,ROW(),$C$6)&amp;""))</f>
        <v/>
      </c>
      <c r="AX733" s="2">
        <f>IF($AS733="","",IF($AZ733&lt;&gt;"",SUBSTITUTE(SUBSTITUTE($AZ733,"-","")," ",""),$AY733))</f>
        <v/>
      </c>
      <c r="AY733" s="2">
        <f>IF(OR($AS733="",$E$6=""),"",TRIM(INDEX($A:$AP,ROW(),$E$6)&amp;""))</f>
        <v/>
      </c>
      <c r="AZ733" s="2">
        <f>IF(OR($AS733="",$D$6=""),"",TRIM(INDEX($A:$AP,ROW(),$D$6)&amp;""))</f>
        <v/>
      </c>
      <c r="BA733" s="2">
        <f>IF($AS733="","",IF(AND($AS733&gt;=설정!$B$10,$AS733&lt;=설정!$B$11),"포함","기간 밖"))</f>
        <v/>
      </c>
      <c r="BB733" s="2">
        <f>IF($AS733="","",IF(OR($AT733&lt;0,AND($I$6&lt;&gt;"",ISNUMBER(FIND("수정",INDEX($A:$AP,ROW(),IF($I$6="",1,$I$6))&amp;"")))),"수정","일반"))</f>
        <v/>
      </c>
      <c r="BC733" s="2">
        <f>IF($AS733="","",MID(IF($BA733="기간 밖"," / 기간 밖(신고기간 아님)","")&amp;IF(AND($AW733&lt;&gt;"",COUNTIF($AW$8:$AW$1007,$AW733)&gt;1)," / 승인번호 중복(두 번 붙여넣기?)","")&amp;IF(ABS($AU733-ROUND($AT733*0.1,0))&gt;설정!$B$8,IF($AU733=0," / 세액 0원(영세율·면세 여부 확인)"," / 세액이 공급가액 10%와 다름"),"")&amp;IF($BB733="수정"," / 수정세금계산서(합계에서 자동 가감)",""),4,200))</f>
        <v/>
      </c>
      <c r="BD733" s="2">
        <f>IF($BA733&lt;&gt;"포함","",IF(COUNTIFS($AX$8:$AX733,$AX733,$BA$8:$BA733,"포함")=1,MAX($BD$7:BD732)+1,""))</f>
        <v/>
      </c>
      <c r="BE733" s="2">
        <f>IF($BC733="","",MAX($BE$7:BE732)+1)</f>
        <v/>
      </c>
    </row>
    <row r="734">
      <c r="AR734" s="2">
        <f>IF(OR($A$5="",$B$6="",ROW()&lt;$A$5),"",IF(INDEX($A:$AP,ROW(),$B$6)="","",INDEX($A:$AP,ROW(),$B$6)))</f>
        <v/>
      </c>
      <c r="AS734" s="22">
        <f>IF($AR734="","",IF(ISNUMBER($AR734),IF($AR734&gt;=10000000,IFERROR(DATE(INT($AR734/10000),MOD(INT($AR734/100),100),MOD($AR734,100)),""),INT($AR734)),IFERROR(DATE(--LEFT(LEFT(SUBSTITUTE(SUBSTITUTE(SUBSTITUTE(SUBSTITUTE(TRIM($AR734),"-",""),".",""),"/","")," ",""),8),4),--MID(LEFT(SUBSTITUTE(SUBSTITUTE(SUBSTITUTE(SUBSTITUTE(TRIM($AR734),"-",""),".",""),"/","")," ",""),8),5,2),--MID(LEFT(SUBSTITUTE(SUBSTITUTE(SUBSTITUTE(SUBSTITUTE(TRIM($AR734),"-",""),".",""),"/","")," ",""),8),7,2)),"")))</f>
        <v/>
      </c>
      <c r="AT734" s="23">
        <f>IF($AS734="","",IF($F$6="",0,IF(ISNUMBER(INDEX($A:$AP,ROW(),$F$6)),INDEX($A:$AP,ROW(),$F$6),IFERROR(--SUBSTITUTE(SUBSTITUTE(TRIM(INDEX($A:$AP,ROW(),$F$6)),",",""),"원",""),0))))</f>
        <v/>
      </c>
      <c r="AU734" s="23">
        <f>IF($AS734="","",IF($G$6="",0,IF(ISNUMBER(INDEX($A:$AP,ROW(),$G$6)),INDEX($A:$AP,ROW(),$G$6),IFERROR(--SUBSTITUTE(SUBSTITUTE(TRIM(INDEX($A:$AP,ROW(),$G$6)),",",""),"원",""),0))))</f>
        <v/>
      </c>
      <c r="AV734" s="23">
        <f>IF($AS734="","",IF($H$6="",$AT734+$AU734,IF($H$6="",0,IF(ISNUMBER(INDEX($A:$AP,ROW(),$H$6)),INDEX($A:$AP,ROW(),$H$6),IFERROR(--SUBSTITUTE(SUBSTITUTE(TRIM(INDEX($A:$AP,ROW(),$H$6)),",",""),"원",""),0)))))</f>
        <v/>
      </c>
      <c r="AW734" s="2">
        <f>IF(OR($AS734="",$C$6=""),"",TRIM(INDEX($A:$AP,ROW(),$C$6)&amp;""))</f>
        <v/>
      </c>
      <c r="AX734" s="2">
        <f>IF($AS734="","",IF($AZ734&lt;&gt;"",SUBSTITUTE(SUBSTITUTE($AZ734,"-","")," ",""),$AY734))</f>
        <v/>
      </c>
      <c r="AY734" s="2">
        <f>IF(OR($AS734="",$E$6=""),"",TRIM(INDEX($A:$AP,ROW(),$E$6)&amp;""))</f>
        <v/>
      </c>
      <c r="AZ734" s="2">
        <f>IF(OR($AS734="",$D$6=""),"",TRIM(INDEX($A:$AP,ROW(),$D$6)&amp;""))</f>
        <v/>
      </c>
      <c r="BA734" s="2">
        <f>IF($AS734="","",IF(AND($AS734&gt;=설정!$B$10,$AS734&lt;=설정!$B$11),"포함","기간 밖"))</f>
        <v/>
      </c>
      <c r="BB734" s="2">
        <f>IF($AS734="","",IF(OR($AT734&lt;0,AND($I$6&lt;&gt;"",ISNUMBER(FIND("수정",INDEX($A:$AP,ROW(),IF($I$6="",1,$I$6))&amp;"")))),"수정","일반"))</f>
        <v/>
      </c>
      <c r="BC734" s="2">
        <f>IF($AS734="","",MID(IF($BA734="기간 밖"," / 기간 밖(신고기간 아님)","")&amp;IF(AND($AW734&lt;&gt;"",COUNTIF($AW$8:$AW$1007,$AW734)&gt;1)," / 승인번호 중복(두 번 붙여넣기?)","")&amp;IF(ABS($AU734-ROUND($AT734*0.1,0))&gt;설정!$B$8,IF($AU734=0," / 세액 0원(영세율·면세 여부 확인)"," / 세액이 공급가액 10%와 다름"),"")&amp;IF($BB734="수정"," / 수정세금계산서(합계에서 자동 가감)",""),4,200))</f>
        <v/>
      </c>
      <c r="BD734" s="2">
        <f>IF($BA734&lt;&gt;"포함","",IF(COUNTIFS($AX$8:$AX734,$AX734,$BA$8:$BA734,"포함")=1,MAX($BD$7:BD733)+1,""))</f>
        <v/>
      </c>
      <c r="BE734" s="2">
        <f>IF($BC734="","",MAX($BE$7:BE733)+1)</f>
        <v/>
      </c>
    </row>
    <row r="735">
      <c r="AR735" s="2">
        <f>IF(OR($A$5="",$B$6="",ROW()&lt;$A$5),"",IF(INDEX($A:$AP,ROW(),$B$6)="","",INDEX($A:$AP,ROW(),$B$6)))</f>
        <v/>
      </c>
      <c r="AS735" s="22">
        <f>IF($AR735="","",IF(ISNUMBER($AR735),IF($AR735&gt;=10000000,IFERROR(DATE(INT($AR735/10000),MOD(INT($AR735/100),100),MOD($AR735,100)),""),INT($AR735)),IFERROR(DATE(--LEFT(LEFT(SUBSTITUTE(SUBSTITUTE(SUBSTITUTE(SUBSTITUTE(TRIM($AR735),"-",""),".",""),"/","")," ",""),8),4),--MID(LEFT(SUBSTITUTE(SUBSTITUTE(SUBSTITUTE(SUBSTITUTE(TRIM($AR735),"-",""),".",""),"/","")," ",""),8),5,2),--MID(LEFT(SUBSTITUTE(SUBSTITUTE(SUBSTITUTE(SUBSTITUTE(TRIM($AR735),"-",""),".",""),"/","")," ",""),8),7,2)),"")))</f>
        <v/>
      </c>
      <c r="AT735" s="23">
        <f>IF($AS735="","",IF($F$6="",0,IF(ISNUMBER(INDEX($A:$AP,ROW(),$F$6)),INDEX($A:$AP,ROW(),$F$6),IFERROR(--SUBSTITUTE(SUBSTITUTE(TRIM(INDEX($A:$AP,ROW(),$F$6)),",",""),"원",""),0))))</f>
        <v/>
      </c>
      <c r="AU735" s="23">
        <f>IF($AS735="","",IF($G$6="",0,IF(ISNUMBER(INDEX($A:$AP,ROW(),$G$6)),INDEX($A:$AP,ROW(),$G$6),IFERROR(--SUBSTITUTE(SUBSTITUTE(TRIM(INDEX($A:$AP,ROW(),$G$6)),",",""),"원",""),0))))</f>
        <v/>
      </c>
      <c r="AV735" s="23">
        <f>IF($AS735="","",IF($H$6="",$AT735+$AU735,IF($H$6="",0,IF(ISNUMBER(INDEX($A:$AP,ROW(),$H$6)),INDEX($A:$AP,ROW(),$H$6),IFERROR(--SUBSTITUTE(SUBSTITUTE(TRIM(INDEX($A:$AP,ROW(),$H$6)),",",""),"원",""),0)))))</f>
        <v/>
      </c>
      <c r="AW735" s="2">
        <f>IF(OR($AS735="",$C$6=""),"",TRIM(INDEX($A:$AP,ROW(),$C$6)&amp;""))</f>
        <v/>
      </c>
      <c r="AX735" s="2">
        <f>IF($AS735="","",IF($AZ735&lt;&gt;"",SUBSTITUTE(SUBSTITUTE($AZ735,"-","")," ",""),$AY735))</f>
        <v/>
      </c>
      <c r="AY735" s="2">
        <f>IF(OR($AS735="",$E$6=""),"",TRIM(INDEX($A:$AP,ROW(),$E$6)&amp;""))</f>
        <v/>
      </c>
      <c r="AZ735" s="2">
        <f>IF(OR($AS735="",$D$6=""),"",TRIM(INDEX($A:$AP,ROW(),$D$6)&amp;""))</f>
        <v/>
      </c>
      <c r="BA735" s="2">
        <f>IF($AS735="","",IF(AND($AS735&gt;=설정!$B$10,$AS735&lt;=설정!$B$11),"포함","기간 밖"))</f>
        <v/>
      </c>
      <c r="BB735" s="2">
        <f>IF($AS735="","",IF(OR($AT735&lt;0,AND($I$6&lt;&gt;"",ISNUMBER(FIND("수정",INDEX($A:$AP,ROW(),IF($I$6="",1,$I$6))&amp;"")))),"수정","일반"))</f>
        <v/>
      </c>
      <c r="BC735" s="2">
        <f>IF($AS735="","",MID(IF($BA735="기간 밖"," / 기간 밖(신고기간 아님)","")&amp;IF(AND($AW735&lt;&gt;"",COUNTIF($AW$8:$AW$1007,$AW735)&gt;1)," / 승인번호 중복(두 번 붙여넣기?)","")&amp;IF(ABS($AU735-ROUND($AT735*0.1,0))&gt;설정!$B$8,IF($AU735=0," / 세액 0원(영세율·면세 여부 확인)"," / 세액이 공급가액 10%와 다름"),"")&amp;IF($BB735="수정"," / 수정세금계산서(합계에서 자동 가감)",""),4,200))</f>
        <v/>
      </c>
      <c r="BD735" s="2">
        <f>IF($BA735&lt;&gt;"포함","",IF(COUNTIFS($AX$8:$AX735,$AX735,$BA$8:$BA735,"포함")=1,MAX($BD$7:BD734)+1,""))</f>
        <v/>
      </c>
      <c r="BE735" s="2">
        <f>IF($BC735="","",MAX($BE$7:BE734)+1)</f>
        <v/>
      </c>
    </row>
    <row r="736">
      <c r="AR736" s="2">
        <f>IF(OR($A$5="",$B$6="",ROW()&lt;$A$5),"",IF(INDEX($A:$AP,ROW(),$B$6)="","",INDEX($A:$AP,ROW(),$B$6)))</f>
        <v/>
      </c>
      <c r="AS736" s="22">
        <f>IF($AR736="","",IF(ISNUMBER($AR736),IF($AR736&gt;=10000000,IFERROR(DATE(INT($AR736/10000),MOD(INT($AR736/100),100),MOD($AR736,100)),""),INT($AR736)),IFERROR(DATE(--LEFT(LEFT(SUBSTITUTE(SUBSTITUTE(SUBSTITUTE(SUBSTITUTE(TRIM($AR736),"-",""),".",""),"/","")," ",""),8),4),--MID(LEFT(SUBSTITUTE(SUBSTITUTE(SUBSTITUTE(SUBSTITUTE(TRIM($AR736),"-",""),".",""),"/","")," ",""),8),5,2),--MID(LEFT(SUBSTITUTE(SUBSTITUTE(SUBSTITUTE(SUBSTITUTE(TRIM($AR736),"-",""),".",""),"/","")," ",""),8),7,2)),"")))</f>
        <v/>
      </c>
      <c r="AT736" s="23">
        <f>IF($AS736="","",IF($F$6="",0,IF(ISNUMBER(INDEX($A:$AP,ROW(),$F$6)),INDEX($A:$AP,ROW(),$F$6),IFERROR(--SUBSTITUTE(SUBSTITUTE(TRIM(INDEX($A:$AP,ROW(),$F$6)),",",""),"원",""),0))))</f>
        <v/>
      </c>
      <c r="AU736" s="23">
        <f>IF($AS736="","",IF($G$6="",0,IF(ISNUMBER(INDEX($A:$AP,ROW(),$G$6)),INDEX($A:$AP,ROW(),$G$6),IFERROR(--SUBSTITUTE(SUBSTITUTE(TRIM(INDEX($A:$AP,ROW(),$G$6)),",",""),"원",""),0))))</f>
        <v/>
      </c>
      <c r="AV736" s="23">
        <f>IF($AS736="","",IF($H$6="",$AT736+$AU736,IF($H$6="",0,IF(ISNUMBER(INDEX($A:$AP,ROW(),$H$6)),INDEX($A:$AP,ROW(),$H$6),IFERROR(--SUBSTITUTE(SUBSTITUTE(TRIM(INDEX($A:$AP,ROW(),$H$6)),",",""),"원",""),0)))))</f>
        <v/>
      </c>
      <c r="AW736" s="2">
        <f>IF(OR($AS736="",$C$6=""),"",TRIM(INDEX($A:$AP,ROW(),$C$6)&amp;""))</f>
        <v/>
      </c>
      <c r="AX736" s="2">
        <f>IF($AS736="","",IF($AZ736&lt;&gt;"",SUBSTITUTE(SUBSTITUTE($AZ736,"-","")," ",""),$AY736))</f>
        <v/>
      </c>
      <c r="AY736" s="2">
        <f>IF(OR($AS736="",$E$6=""),"",TRIM(INDEX($A:$AP,ROW(),$E$6)&amp;""))</f>
        <v/>
      </c>
      <c r="AZ736" s="2">
        <f>IF(OR($AS736="",$D$6=""),"",TRIM(INDEX($A:$AP,ROW(),$D$6)&amp;""))</f>
        <v/>
      </c>
      <c r="BA736" s="2">
        <f>IF($AS736="","",IF(AND($AS736&gt;=설정!$B$10,$AS736&lt;=설정!$B$11),"포함","기간 밖"))</f>
        <v/>
      </c>
      <c r="BB736" s="2">
        <f>IF($AS736="","",IF(OR($AT736&lt;0,AND($I$6&lt;&gt;"",ISNUMBER(FIND("수정",INDEX($A:$AP,ROW(),IF($I$6="",1,$I$6))&amp;"")))),"수정","일반"))</f>
        <v/>
      </c>
      <c r="BC736" s="2">
        <f>IF($AS736="","",MID(IF($BA736="기간 밖"," / 기간 밖(신고기간 아님)","")&amp;IF(AND($AW736&lt;&gt;"",COUNTIF($AW$8:$AW$1007,$AW736)&gt;1)," / 승인번호 중복(두 번 붙여넣기?)","")&amp;IF(ABS($AU736-ROUND($AT736*0.1,0))&gt;설정!$B$8,IF($AU736=0," / 세액 0원(영세율·면세 여부 확인)"," / 세액이 공급가액 10%와 다름"),"")&amp;IF($BB736="수정"," / 수정세금계산서(합계에서 자동 가감)",""),4,200))</f>
        <v/>
      </c>
      <c r="BD736" s="2">
        <f>IF($BA736&lt;&gt;"포함","",IF(COUNTIFS($AX$8:$AX736,$AX736,$BA$8:$BA736,"포함")=1,MAX($BD$7:BD735)+1,""))</f>
        <v/>
      </c>
      <c r="BE736" s="2">
        <f>IF($BC736="","",MAX($BE$7:BE735)+1)</f>
        <v/>
      </c>
    </row>
    <row r="737">
      <c r="AR737" s="2">
        <f>IF(OR($A$5="",$B$6="",ROW()&lt;$A$5),"",IF(INDEX($A:$AP,ROW(),$B$6)="","",INDEX($A:$AP,ROW(),$B$6)))</f>
        <v/>
      </c>
      <c r="AS737" s="22">
        <f>IF($AR737="","",IF(ISNUMBER($AR737),IF($AR737&gt;=10000000,IFERROR(DATE(INT($AR737/10000),MOD(INT($AR737/100),100),MOD($AR737,100)),""),INT($AR737)),IFERROR(DATE(--LEFT(LEFT(SUBSTITUTE(SUBSTITUTE(SUBSTITUTE(SUBSTITUTE(TRIM($AR737),"-",""),".",""),"/","")," ",""),8),4),--MID(LEFT(SUBSTITUTE(SUBSTITUTE(SUBSTITUTE(SUBSTITUTE(TRIM($AR737),"-",""),".",""),"/","")," ",""),8),5,2),--MID(LEFT(SUBSTITUTE(SUBSTITUTE(SUBSTITUTE(SUBSTITUTE(TRIM($AR737),"-",""),".",""),"/","")," ",""),8),7,2)),"")))</f>
        <v/>
      </c>
      <c r="AT737" s="23">
        <f>IF($AS737="","",IF($F$6="",0,IF(ISNUMBER(INDEX($A:$AP,ROW(),$F$6)),INDEX($A:$AP,ROW(),$F$6),IFERROR(--SUBSTITUTE(SUBSTITUTE(TRIM(INDEX($A:$AP,ROW(),$F$6)),",",""),"원",""),0))))</f>
        <v/>
      </c>
      <c r="AU737" s="23">
        <f>IF($AS737="","",IF($G$6="",0,IF(ISNUMBER(INDEX($A:$AP,ROW(),$G$6)),INDEX($A:$AP,ROW(),$G$6),IFERROR(--SUBSTITUTE(SUBSTITUTE(TRIM(INDEX($A:$AP,ROW(),$G$6)),",",""),"원",""),0))))</f>
        <v/>
      </c>
      <c r="AV737" s="23">
        <f>IF($AS737="","",IF($H$6="",$AT737+$AU737,IF($H$6="",0,IF(ISNUMBER(INDEX($A:$AP,ROW(),$H$6)),INDEX($A:$AP,ROW(),$H$6),IFERROR(--SUBSTITUTE(SUBSTITUTE(TRIM(INDEX($A:$AP,ROW(),$H$6)),",",""),"원",""),0)))))</f>
        <v/>
      </c>
      <c r="AW737" s="2">
        <f>IF(OR($AS737="",$C$6=""),"",TRIM(INDEX($A:$AP,ROW(),$C$6)&amp;""))</f>
        <v/>
      </c>
      <c r="AX737" s="2">
        <f>IF($AS737="","",IF($AZ737&lt;&gt;"",SUBSTITUTE(SUBSTITUTE($AZ737,"-","")," ",""),$AY737))</f>
        <v/>
      </c>
      <c r="AY737" s="2">
        <f>IF(OR($AS737="",$E$6=""),"",TRIM(INDEX($A:$AP,ROW(),$E$6)&amp;""))</f>
        <v/>
      </c>
      <c r="AZ737" s="2">
        <f>IF(OR($AS737="",$D$6=""),"",TRIM(INDEX($A:$AP,ROW(),$D$6)&amp;""))</f>
        <v/>
      </c>
      <c r="BA737" s="2">
        <f>IF($AS737="","",IF(AND($AS737&gt;=설정!$B$10,$AS737&lt;=설정!$B$11),"포함","기간 밖"))</f>
        <v/>
      </c>
      <c r="BB737" s="2">
        <f>IF($AS737="","",IF(OR($AT737&lt;0,AND($I$6&lt;&gt;"",ISNUMBER(FIND("수정",INDEX($A:$AP,ROW(),IF($I$6="",1,$I$6))&amp;"")))),"수정","일반"))</f>
        <v/>
      </c>
      <c r="BC737" s="2">
        <f>IF($AS737="","",MID(IF($BA737="기간 밖"," / 기간 밖(신고기간 아님)","")&amp;IF(AND($AW737&lt;&gt;"",COUNTIF($AW$8:$AW$1007,$AW737)&gt;1)," / 승인번호 중복(두 번 붙여넣기?)","")&amp;IF(ABS($AU737-ROUND($AT737*0.1,0))&gt;설정!$B$8,IF($AU737=0," / 세액 0원(영세율·면세 여부 확인)"," / 세액이 공급가액 10%와 다름"),"")&amp;IF($BB737="수정"," / 수정세금계산서(합계에서 자동 가감)",""),4,200))</f>
        <v/>
      </c>
      <c r="BD737" s="2">
        <f>IF($BA737&lt;&gt;"포함","",IF(COUNTIFS($AX$8:$AX737,$AX737,$BA$8:$BA737,"포함")=1,MAX($BD$7:BD736)+1,""))</f>
        <v/>
      </c>
      <c r="BE737" s="2">
        <f>IF($BC737="","",MAX($BE$7:BE736)+1)</f>
        <v/>
      </c>
    </row>
    <row r="738">
      <c r="AR738" s="2">
        <f>IF(OR($A$5="",$B$6="",ROW()&lt;$A$5),"",IF(INDEX($A:$AP,ROW(),$B$6)="","",INDEX($A:$AP,ROW(),$B$6)))</f>
        <v/>
      </c>
      <c r="AS738" s="22">
        <f>IF($AR738="","",IF(ISNUMBER($AR738),IF($AR738&gt;=10000000,IFERROR(DATE(INT($AR738/10000),MOD(INT($AR738/100),100),MOD($AR738,100)),""),INT($AR738)),IFERROR(DATE(--LEFT(LEFT(SUBSTITUTE(SUBSTITUTE(SUBSTITUTE(SUBSTITUTE(TRIM($AR738),"-",""),".",""),"/","")," ",""),8),4),--MID(LEFT(SUBSTITUTE(SUBSTITUTE(SUBSTITUTE(SUBSTITUTE(TRIM($AR738),"-",""),".",""),"/","")," ",""),8),5,2),--MID(LEFT(SUBSTITUTE(SUBSTITUTE(SUBSTITUTE(SUBSTITUTE(TRIM($AR738),"-",""),".",""),"/","")," ",""),8),7,2)),"")))</f>
        <v/>
      </c>
      <c r="AT738" s="23">
        <f>IF($AS738="","",IF($F$6="",0,IF(ISNUMBER(INDEX($A:$AP,ROW(),$F$6)),INDEX($A:$AP,ROW(),$F$6),IFERROR(--SUBSTITUTE(SUBSTITUTE(TRIM(INDEX($A:$AP,ROW(),$F$6)),",",""),"원",""),0))))</f>
        <v/>
      </c>
      <c r="AU738" s="23">
        <f>IF($AS738="","",IF($G$6="",0,IF(ISNUMBER(INDEX($A:$AP,ROW(),$G$6)),INDEX($A:$AP,ROW(),$G$6),IFERROR(--SUBSTITUTE(SUBSTITUTE(TRIM(INDEX($A:$AP,ROW(),$G$6)),",",""),"원",""),0))))</f>
        <v/>
      </c>
      <c r="AV738" s="23">
        <f>IF($AS738="","",IF($H$6="",$AT738+$AU738,IF($H$6="",0,IF(ISNUMBER(INDEX($A:$AP,ROW(),$H$6)),INDEX($A:$AP,ROW(),$H$6),IFERROR(--SUBSTITUTE(SUBSTITUTE(TRIM(INDEX($A:$AP,ROW(),$H$6)),",",""),"원",""),0)))))</f>
        <v/>
      </c>
      <c r="AW738" s="2">
        <f>IF(OR($AS738="",$C$6=""),"",TRIM(INDEX($A:$AP,ROW(),$C$6)&amp;""))</f>
        <v/>
      </c>
      <c r="AX738" s="2">
        <f>IF($AS738="","",IF($AZ738&lt;&gt;"",SUBSTITUTE(SUBSTITUTE($AZ738,"-","")," ",""),$AY738))</f>
        <v/>
      </c>
      <c r="AY738" s="2">
        <f>IF(OR($AS738="",$E$6=""),"",TRIM(INDEX($A:$AP,ROW(),$E$6)&amp;""))</f>
        <v/>
      </c>
      <c r="AZ738" s="2">
        <f>IF(OR($AS738="",$D$6=""),"",TRIM(INDEX($A:$AP,ROW(),$D$6)&amp;""))</f>
        <v/>
      </c>
      <c r="BA738" s="2">
        <f>IF($AS738="","",IF(AND($AS738&gt;=설정!$B$10,$AS738&lt;=설정!$B$11),"포함","기간 밖"))</f>
        <v/>
      </c>
      <c r="BB738" s="2">
        <f>IF($AS738="","",IF(OR($AT738&lt;0,AND($I$6&lt;&gt;"",ISNUMBER(FIND("수정",INDEX($A:$AP,ROW(),IF($I$6="",1,$I$6))&amp;"")))),"수정","일반"))</f>
        <v/>
      </c>
      <c r="BC738" s="2">
        <f>IF($AS738="","",MID(IF($BA738="기간 밖"," / 기간 밖(신고기간 아님)","")&amp;IF(AND($AW738&lt;&gt;"",COUNTIF($AW$8:$AW$1007,$AW738)&gt;1)," / 승인번호 중복(두 번 붙여넣기?)","")&amp;IF(ABS($AU738-ROUND($AT738*0.1,0))&gt;설정!$B$8,IF($AU738=0," / 세액 0원(영세율·면세 여부 확인)"," / 세액이 공급가액 10%와 다름"),"")&amp;IF($BB738="수정"," / 수정세금계산서(합계에서 자동 가감)",""),4,200))</f>
        <v/>
      </c>
      <c r="BD738" s="2">
        <f>IF($BA738&lt;&gt;"포함","",IF(COUNTIFS($AX$8:$AX738,$AX738,$BA$8:$BA738,"포함")=1,MAX($BD$7:BD737)+1,""))</f>
        <v/>
      </c>
      <c r="BE738" s="2">
        <f>IF($BC738="","",MAX($BE$7:BE737)+1)</f>
        <v/>
      </c>
    </row>
    <row r="739">
      <c r="AR739" s="2">
        <f>IF(OR($A$5="",$B$6="",ROW()&lt;$A$5),"",IF(INDEX($A:$AP,ROW(),$B$6)="","",INDEX($A:$AP,ROW(),$B$6)))</f>
        <v/>
      </c>
      <c r="AS739" s="22">
        <f>IF($AR739="","",IF(ISNUMBER($AR739),IF($AR739&gt;=10000000,IFERROR(DATE(INT($AR739/10000),MOD(INT($AR739/100),100),MOD($AR739,100)),""),INT($AR739)),IFERROR(DATE(--LEFT(LEFT(SUBSTITUTE(SUBSTITUTE(SUBSTITUTE(SUBSTITUTE(TRIM($AR739),"-",""),".",""),"/","")," ",""),8),4),--MID(LEFT(SUBSTITUTE(SUBSTITUTE(SUBSTITUTE(SUBSTITUTE(TRIM($AR739),"-",""),".",""),"/","")," ",""),8),5,2),--MID(LEFT(SUBSTITUTE(SUBSTITUTE(SUBSTITUTE(SUBSTITUTE(TRIM($AR739),"-",""),".",""),"/","")," ",""),8),7,2)),"")))</f>
        <v/>
      </c>
      <c r="AT739" s="23">
        <f>IF($AS739="","",IF($F$6="",0,IF(ISNUMBER(INDEX($A:$AP,ROW(),$F$6)),INDEX($A:$AP,ROW(),$F$6),IFERROR(--SUBSTITUTE(SUBSTITUTE(TRIM(INDEX($A:$AP,ROW(),$F$6)),",",""),"원",""),0))))</f>
        <v/>
      </c>
      <c r="AU739" s="23">
        <f>IF($AS739="","",IF($G$6="",0,IF(ISNUMBER(INDEX($A:$AP,ROW(),$G$6)),INDEX($A:$AP,ROW(),$G$6),IFERROR(--SUBSTITUTE(SUBSTITUTE(TRIM(INDEX($A:$AP,ROW(),$G$6)),",",""),"원",""),0))))</f>
        <v/>
      </c>
      <c r="AV739" s="23">
        <f>IF($AS739="","",IF($H$6="",$AT739+$AU739,IF($H$6="",0,IF(ISNUMBER(INDEX($A:$AP,ROW(),$H$6)),INDEX($A:$AP,ROW(),$H$6),IFERROR(--SUBSTITUTE(SUBSTITUTE(TRIM(INDEX($A:$AP,ROW(),$H$6)),",",""),"원",""),0)))))</f>
        <v/>
      </c>
      <c r="AW739" s="2">
        <f>IF(OR($AS739="",$C$6=""),"",TRIM(INDEX($A:$AP,ROW(),$C$6)&amp;""))</f>
        <v/>
      </c>
      <c r="AX739" s="2">
        <f>IF($AS739="","",IF($AZ739&lt;&gt;"",SUBSTITUTE(SUBSTITUTE($AZ739,"-","")," ",""),$AY739))</f>
        <v/>
      </c>
      <c r="AY739" s="2">
        <f>IF(OR($AS739="",$E$6=""),"",TRIM(INDEX($A:$AP,ROW(),$E$6)&amp;""))</f>
        <v/>
      </c>
      <c r="AZ739" s="2">
        <f>IF(OR($AS739="",$D$6=""),"",TRIM(INDEX($A:$AP,ROW(),$D$6)&amp;""))</f>
        <v/>
      </c>
      <c r="BA739" s="2">
        <f>IF($AS739="","",IF(AND($AS739&gt;=설정!$B$10,$AS739&lt;=설정!$B$11),"포함","기간 밖"))</f>
        <v/>
      </c>
      <c r="BB739" s="2">
        <f>IF($AS739="","",IF(OR($AT739&lt;0,AND($I$6&lt;&gt;"",ISNUMBER(FIND("수정",INDEX($A:$AP,ROW(),IF($I$6="",1,$I$6))&amp;"")))),"수정","일반"))</f>
        <v/>
      </c>
      <c r="BC739" s="2">
        <f>IF($AS739="","",MID(IF($BA739="기간 밖"," / 기간 밖(신고기간 아님)","")&amp;IF(AND($AW739&lt;&gt;"",COUNTIF($AW$8:$AW$1007,$AW739)&gt;1)," / 승인번호 중복(두 번 붙여넣기?)","")&amp;IF(ABS($AU739-ROUND($AT739*0.1,0))&gt;설정!$B$8,IF($AU739=0," / 세액 0원(영세율·면세 여부 확인)"," / 세액이 공급가액 10%와 다름"),"")&amp;IF($BB739="수정"," / 수정세금계산서(합계에서 자동 가감)",""),4,200))</f>
        <v/>
      </c>
      <c r="BD739" s="2">
        <f>IF($BA739&lt;&gt;"포함","",IF(COUNTIFS($AX$8:$AX739,$AX739,$BA$8:$BA739,"포함")=1,MAX($BD$7:BD738)+1,""))</f>
        <v/>
      </c>
      <c r="BE739" s="2">
        <f>IF($BC739="","",MAX($BE$7:BE738)+1)</f>
        <v/>
      </c>
    </row>
    <row r="740">
      <c r="AR740" s="2">
        <f>IF(OR($A$5="",$B$6="",ROW()&lt;$A$5),"",IF(INDEX($A:$AP,ROW(),$B$6)="","",INDEX($A:$AP,ROW(),$B$6)))</f>
        <v/>
      </c>
      <c r="AS740" s="22">
        <f>IF($AR740="","",IF(ISNUMBER($AR740),IF($AR740&gt;=10000000,IFERROR(DATE(INT($AR740/10000),MOD(INT($AR740/100),100),MOD($AR740,100)),""),INT($AR740)),IFERROR(DATE(--LEFT(LEFT(SUBSTITUTE(SUBSTITUTE(SUBSTITUTE(SUBSTITUTE(TRIM($AR740),"-",""),".",""),"/","")," ",""),8),4),--MID(LEFT(SUBSTITUTE(SUBSTITUTE(SUBSTITUTE(SUBSTITUTE(TRIM($AR740),"-",""),".",""),"/","")," ",""),8),5,2),--MID(LEFT(SUBSTITUTE(SUBSTITUTE(SUBSTITUTE(SUBSTITUTE(TRIM($AR740),"-",""),".",""),"/","")," ",""),8),7,2)),"")))</f>
        <v/>
      </c>
      <c r="AT740" s="23">
        <f>IF($AS740="","",IF($F$6="",0,IF(ISNUMBER(INDEX($A:$AP,ROW(),$F$6)),INDEX($A:$AP,ROW(),$F$6),IFERROR(--SUBSTITUTE(SUBSTITUTE(TRIM(INDEX($A:$AP,ROW(),$F$6)),",",""),"원",""),0))))</f>
        <v/>
      </c>
      <c r="AU740" s="23">
        <f>IF($AS740="","",IF($G$6="",0,IF(ISNUMBER(INDEX($A:$AP,ROW(),$G$6)),INDEX($A:$AP,ROW(),$G$6),IFERROR(--SUBSTITUTE(SUBSTITUTE(TRIM(INDEX($A:$AP,ROW(),$G$6)),",",""),"원",""),0))))</f>
        <v/>
      </c>
      <c r="AV740" s="23">
        <f>IF($AS740="","",IF($H$6="",$AT740+$AU740,IF($H$6="",0,IF(ISNUMBER(INDEX($A:$AP,ROW(),$H$6)),INDEX($A:$AP,ROW(),$H$6),IFERROR(--SUBSTITUTE(SUBSTITUTE(TRIM(INDEX($A:$AP,ROW(),$H$6)),",",""),"원",""),0)))))</f>
        <v/>
      </c>
      <c r="AW740" s="2">
        <f>IF(OR($AS740="",$C$6=""),"",TRIM(INDEX($A:$AP,ROW(),$C$6)&amp;""))</f>
        <v/>
      </c>
      <c r="AX740" s="2">
        <f>IF($AS740="","",IF($AZ740&lt;&gt;"",SUBSTITUTE(SUBSTITUTE($AZ740,"-","")," ",""),$AY740))</f>
        <v/>
      </c>
      <c r="AY740" s="2">
        <f>IF(OR($AS740="",$E$6=""),"",TRIM(INDEX($A:$AP,ROW(),$E$6)&amp;""))</f>
        <v/>
      </c>
      <c r="AZ740" s="2">
        <f>IF(OR($AS740="",$D$6=""),"",TRIM(INDEX($A:$AP,ROW(),$D$6)&amp;""))</f>
        <v/>
      </c>
      <c r="BA740" s="2">
        <f>IF($AS740="","",IF(AND($AS740&gt;=설정!$B$10,$AS740&lt;=설정!$B$11),"포함","기간 밖"))</f>
        <v/>
      </c>
      <c r="BB740" s="2">
        <f>IF($AS740="","",IF(OR($AT740&lt;0,AND($I$6&lt;&gt;"",ISNUMBER(FIND("수정",INDEX($A:$AP,ROW(),IF($I$6="",1,$I$6))&amp;"")))),"수정","일반"))</f>
        <v/>
      </c>
      <c r="BC740" s="2">
        <f>IF($AS740="","",MID(IF($BA740="기간 밖"," / 기간 밖(신고기간 아님)","")&amp;IF(AND($AW740&lt;&gt;"",COUNTIF($AW$8:$AW$1007,$AW740)&gt;1)," / 승인번호 중복(두 번 붙여넣기?)","")&amp;IF(ABS($AU740-ROUND($AT740*0.1,0))&gt;설정!$B$8,IF($AU740=0," / 세액 0원(영세율·면세 여부 확인)"," / 세액이 공급가액 10%와 다름"),"")&amp;IF($BB740="수정"," / 수정세금계산서(합계에서 자동 가감)",""),4,200))</f>
        <v/>
      </c>
      <c r="BD740" s="2">
        <f>IF($BA740&lt;&gt;"포함","",IF(COUNTIFS($AX$8:$AX740,$AX740,$BA$8:$BA740,"포함")=1,MAX($BD$7:BD739)+1,""))</f>
        <v/>
      </c>
      <c r="BE740" s="2">
        <f>IF($BC740="","",MAX($BE$7:BE739)+1)</f>
        <v/>
      </c>
    </row>
    <row r="741">
      <c r="AR741" s="2">
        <f>IF(OR($A$5="",$B$6="",ROW()&lt;$A$5),"",IF(INDEX($A:$AP,ROW(),$B$6)="","",INDEX($A:$AP,ROW(),$B$6)))</f>
        <v/>
      </c>
      <c r="AS741" s="22">
        <f>IF($AR741="","",IF(ISNUMBER($AR741),IF($AR741&gt;=10000000,IFERROR(DATE(INT($AR741/10000),MOD(INT($AR741/100),100),MOD($AR741,100)),""),INT($AR741)),IFERROR(DATE(--LEFT(LEFT(SUBSTITUTE(SUBSTITUTE(SUBSTITUTE(SUBSTITUTE(TRIM($AR741),"-",""),".",""),"/","")," ",""),8),4),--MID(LEFT(SUBSTITUTE(SUBSTITUTE(SUBSTITUTE(SUBSTITUTE(TRIM($AR741),"-",""),".",""),"/","")," ",""),8),5,2),--MID(LEFT(SUBSTITUTE(SUBSTITUTE(SUBSTITUTE(SUBSTITUTE(TRIM($AR741),"-",""),".",""),"/","")," ",""),8),7,2)),"")))</f>
        <v/>
      </c>
      <c r="AT741" s="23">
        <f>IF($AS741="","",IF($F$6="",0,IF(ISNUMBER(INDEX($A:$AP,ROW(),$F$6)),INDEX($A:$AP,ROW(),$F$6),IFERROR(--SUBSTITUTE(SUBSTITUTE(TRIM(INDEX($A:$AP,ROW(),$F$6)),",",""),"원",""),0))))</f>
        <v/>
      </c>
      <c r="AU741" s="23">
        <f>IF($AS741="","",IF($G$6="",0,IF(ISNUMBER(INDEX($A:$AP,ROW(),$G$6)),INDEX($A:$AP,ROW(),$G$6),IFERROR(--SUBSTITUTE(SUBSTITUTE(TRIM(INDEX($A:$AP,ROW(),$G$6)),",",""),"원",""),0))))</f>
        <v/>
      </c>
      <c r="AV741" s="23">
        <f>IF($AS741="","",IF($H$6="",$AT741+$AU741,IF($H$6="",0,IF(ISNUMBER(INDEX($A:$AP,ROW(),$H$6)),INDEX($A:$AP,ROW(),$H$6),IFERROR(--SUBSTITUTE(SUBSTITUTE(TRIM(INDEX($A:$AP,ROW(),$H$6)),",",""),"원",""),0)))))</f>
        <v/>
      </c>
      <c r="AW741" s="2">
        <f>IF(OR($AS741="",$C$6=""),"",TRIM(INDEX($A:$AP,ROW(),$C$6)&amp;""))</f>
        <v/>
      </c>
      <c r="AX741" s="2">
        <f>IF($AS741="","",IF($AZ741&lt;&gt;"",SUBSTITUTE(SUBSTITUTE($AZ741,"-","")," ",""),$AY741))</f>
        <v/>
      </c>
      <c r="AY741" s="2">
        <f>IF(OR($AS741="",$E$6=""),"",TRIM(INDEX($A:$AP,ROW(),$E$6)&amp;""))</f>
        <v/>
      </c>
      <c r="AZ741" s="2">
        <f>IF(OR($AS741="",$D$6=""),"",TRIM(INDEX($A:$AP,ROW(),$D$6)&amp;""))</f>
        <v/>
      </c>
      <c r="BA741" s="2">
        <f>IF($AS741="","",IF(AND($AS741&gt;=설정!$B$10,$AS741&lt;=설정!$B$11),"포함","기간 밖"))</f>
        <v/>
      </c>
      <c r="BB741" s="2">
        <f>IF($AS741="","",IF(OR($AT741&lt;0,AND($I$6&lt;&gt;"",ISNUMBER(FIND("수정",INDEX($A:$AP,ROW(),IF($I$6="",1,$I$6))&amp;"")))),"수정","일반"))</f>
        <v/>
      </c>
      <c r="BC741" s="2">
        <f>IF($AS741="","",MID(IF($BA741="기간 밖"," / 기간 밖(신고기간 아님)","")&amp;IF(AND($AW741&lt;&gt;"",COUNTIF($AW$8:$AW$1007,$AW741)&gt;1)," / 승인번호 중복(두 번 붙여넣기?)","")&amp;IF(ABS($AU741-ROUND($AT741*0.1,0))&gt;설정!$B$8,IF($AU741=0," / 세액 0원(영세율·면세 여부 확인)"," / 세액이 공급가액 10%와 다름"),"")&amp;IF($BB741="수정"," / 수정세금계산서(합계에서 자동 가감)",""),4,200))</f>
        <v/>
      </c>
      <c r="BD741" s="2">
        <f>IF($BA741&lt;&gt;"포함","",IF(COUNTIFS($AX$8:$AX741,$AX741,$BA$8:$BA741,"포함")=1,MAX($BD$7:BD740)+1,""))</f>
        <v/>
      </c>
      <c r="BE741" s="2">
        <f>IF($BC741="","",MAX($BE$7:BE740)+1)</f>
        <v/>
      </c>
    </row>
    <row r="742">
      <c r="AR742" s="2">
        <f>IF(OR($A$5="",$B$6="",ROW()&lt;$A$5),"",IF(INDEX($A:$AP,ROW(),$B$6)="","",INDEX($A:$AP,ROW(),$B$6)))</f>
        <v/>
      </c>
      <c r="AS742" s="22">
        <f>IF($AR742="","",IF(ISNUMBER($AR742),IF($AR742&gt;=10000000,IFERROR(DATE(INT($AR742/10000),MOD(INT($AR742/100),100),MOD($AR742,100)),""),INT($AR742)),IFERROR(DATE(--LEFT(LEFT(SUBSTITUTE(SUBSTITUTE(SUBSTITUTE(SUBSTITUTE(TRIM($AR742),"-",""),".",""),"/","")," ",""),8),4),--MID(LEFT(SUBSTITUTE(SUBSTITUTE(SUBSTITUTE(SUBSTITUTE(TRIM($AR742),"-",""),".",""),"/","")," ",""),8),5,2),--MID(LEFT(SUBSTITUTE(SUBSTITUTE(SUBSTITUTE(SUBSTITUTE(TRIM($AR742),"-",""),".",""),"/","")," ",""),8),7,2)),"")))</f>
        <v/>
      </c>
      <c r="AT742" s="23">
        <f>IF($AS742="","",IF($F$6="",0,IF(ISNUMBER(INDEX($A:$AP,ROW(),$F$6)),INDEX($A:$AP,ROW(),$F$6),IFERROR(--SUBSTITUTE(SUBSTITUTE(TRIM(INDEX($A:$AP,ROW(),$F$6)),",",""),"원",""),0))))</f>
        <v/>
      </c>
      <c r="AU742" s="23">
        <f>IF($AS742="","",IF($G$6="",0,IF(ISNUMBER(INDEX($A:$AP,ROW(),$G$6)),INDEX($A:$AP,ROW(),$G$6),IFERROR(--SUBSTITUTE(SUBSTITUTE(TRIM(INDEX($A:$AP,ROW(),$G$6)),",",""),"원",""),0))))</f>
        <v/>
      </c>
      <c r="AV742" s="23">
        <f>IF($AS742="","",IF($H$6="",$AT742+$AU742,IF($H$6="",0,IF(ISNUMBER(INDEX($A:$AP,ROW(),$H$6)),INDEX($A:$AP,ROW(),$H$6),IFERROR(--SUBSTITUTE(SUBSTITUTE(TRIM(INDEX($A:$AP,ROW(),$H$6)),",",""),"원",""),0)))))</f>
        <v/>
      </c>
      <c r="AW742" s="2">
        <f>IF(OR($AS742="",$C$6=""),"",TRIM(INDEX($A:$AP,ROW(),$C$6)&amp;""))</f>
        <v/>
      </c>
      <c r="AX742" s="2">
        <f>IF($AS742="","",IF($AZ742&lt;&gt;"",SUBSTITUTE(SUBSTITUTE($AZ742,"-","")," ",""),$AY742))</f>
        <v/>
      </c>
      <c r="AY742" s="2">
        <f>IF(OR($AS742="",$E$6=""),"",TRIM(INDEX($A:$AP,ROW(),$E$6)&amp;""))</f>
        <v/>
      </c>
      <c r="AZ742" s="2">
        <f>IF(OR($AS742="",$D$6=""),"",TRIM(INDEX($A:$AP,ROW(),$D$6)&amp;""))</f>
        <v/>
      </c>
      <c r="BA742" s="2">
        <f>IF($AS742="","",IF(AND($AS742&gt;=설정!$B$10,$AS742&lt;=설정!$B$11),"포함","기간 밖"))</f>
        <v/>
      </c>
      <c r="BB742" s="2">
        <f>IF($AS742="","",IF(OR($AT742&lt;0,AND($I$6&lt;&gt;"",ISNUMBER(FIND("수정",INDEX($A:$AP,ROW(),IF($I$6="",1,$I$6))&amp;"")))),"수정","일반"))</f>
        <v/>
      </c>
      <c r="BC742" s="2">
        <f>IF($AS742="","",MID(IF($BA742="기간 밖"," / 기간 밖(신고기간 아님)","")&amp;IF(AND($AW742&lt;&gt;"",COUNTIF($AW$8:$AW$1007,$AW742)&gt;1)," / 승인번호 중복(두 번 붙여넣기?)","")&amp;IF(ABS($AU742-ROUND($AT742*0.1,0))&gt;설정!$B$8,IF($AU742=0," / 세액 0원(영세율·면세 여부 확인)"," / 세액이 공급가액 10%와 다름"),"")&amp;IF($BB742="수정"," / 수정세금계산서(합계에서 자동 가감)",""),4,200))</f>
        <v/>
      </c>
      <c r="BD742" s="2">
        <f>IF($BA742&lt;&gt;"포함","",IF(COUNTIFS($AX$8:$AX742,$AX742,$BA$8:$BA742,"포함")=1,MAX($BD$7:BD741)+1,""))</f>
        <v/>
      </c>
      <c r="BE742" s="2">
        <f>IF($BC742="","",MAX($BE$7:BE741)+1)</f>
        <v/>
      </c>
    </row>
    <row r="743">
      <c r="AR743" s="2">
        <f>IF(OR($A$5="",$B$6="",ROW()&lt;$A$5),"",IF(INDEX($A:$AP,ROW(),$B$6)="","",INDEX($A:$AP,ROW(),$B$6)))</f>
        <v/>
      </c>
      <c r="AS743" s="22">
        <f>IF($AR743="","",IF(ISNUMBER($AR743),IF($AR743&gt;=10000000,IFERROR(DATE(INT($AR743/10000),MOD(INT($AR743/100),100),MOD($AR743,100)),""),INT($AR743)),IFERROR(DATE(--LEFT(LEFT(SUBSTITUTE(SUBSTITUTE(SUBSTITUTE(SUBSTITUTE(TRIM($AR743),"-",""),".",""),"/","")," ",""),8),4),--MID(LEFT(SUBSTITUTE(SUBSTITUTE(SUBSTITUTE(SUBSTITUTE(TRIM($AR743),"-",""),".",""),"/","")," ",""),8),5,2),--MID(LEFT(SUBSTITUTE(SUBSTITUTE(SUBSTITUTE(SUBSTITUTE(TRIM($AR743),"-",""),".",""),"/","")," ",""),8),7,2)),"")))</f>
        <v/>
      </c>
      <c r="AT743" s="23">
        <f>IF($AS743="","",IF($F$6="",0,IF(ISNUMBER(INDEX($A:$AP,ROW(),$F$6)),INDEX($A:$AP,ROW(),$F$6),IFERROR(--SUBSTITUTE(SUBSTITUTE(TRIM(INDEX($A:$AP,ROW(),$F$6)),",",""),"원",""),0))))</f>
        <v/>
      </c>
      <c r="AU743" s="23">
        <f>IF($AS743="","",IF($G$6="",0,IF(ISNUMBER(INDEX($A:$AP,ROW(),$G$6)),INDEX($A:$AP,ROW(),$G$6),IFERROR(--SUBSTITUTE(SUBSTITUTE(TRIM(INDEX($A:$AP,ROW(),$G$6)),",",""),"원",""),0))))</f>
        <v/>
      </c>
      <c r="AV743" s="23">
        <f>IF($AS743="","",IF($H$6="",$AT743+$AU743,IF($H$6="",0,IF(ISNUMBER(INDEX($A:$AP,ROW(),$H$6)),INDEX($A:$AP,ROW(),$H$6),IFERROR(--SUBSTITUTE(SUBSTITUTE(TRIM(INDEX($A:$AP,ROW(),$H$6)),",",""),"원",""),0)))))</f>
        <v/>
      </c>
      <c r="AW743" s="2">
        <f>IF(OR($AS743="",$C$6=""),"",TRIM(INDEX($A:$AP,ROW(),$C$6)&amp;""))</f>
        <v/>
      </c>
      <c r="AX743" s="2">
        <f>IF($AS743="","",IF($AZ743&lt;&gt;"",SUBSTITUTE(SUBSTITUTE($AZ743,"-","")," ",""),$AY743))</f>
        <v/>
      </c>
      <c r="AY743" s="2">
        <f>IF(OR($AS743="",$E$6=""),"",TRIM(INDEX($A:$AP,ROW(),$E$6)&amp;""))</f>
        <v/>
      </c>
      <c r="AZ743" s="2">
        <f>IF(OR($AS743="",$D$6=""),"",TRIM(INDEX($A:$AP,ROW(),$D$6)&amp;""))</f>
        <v/>
      </c>
      <c r="BA743" s="2">
        <f>IF($AS743="","",IF(AND($AS743&gt;=설정!$B$10,$AS743&lt;=설정!$B$11),"포함","기간 밖"))</f>
        <v/>
      </c>
      <c r="BB743" s="2">
        <f>IF($AS743="","",IF(OR($AT743&lt;0,AND($I$6&lt;&gt;"",ISNUMBER(FIND("수정",INDEX($A:$AP,ROW(),IF($I$6="",1,$I$6))&amp;"")))),"수정","일반"))</f>
        <v/>
      </c>
      <c r="BC743" s="2">
        <f>IF($AS743="","",MID(IF($BA743="기간 밖"," / 기간 밖(신고기간 아님)","")&amp;IF(AND($AW743&lt;&gt;"",COUNTIF($AW$8:$AW$1007,$AW743)&gt;1)," / 승인번호 중복(두 번 붙여넣기?)","")&amp;IF(ABS($AU743-ROUND($AT743*0.1,0))&gt;설정!$B$8,IF($AU743=0," / 세액 0원(영세율·면세 여부 확인)"," / 세액이 공급가액 10%와 다름"),"")&amp;IF($BB743="수정"," / 수정세금계산서(합계에서 자동 가감)",""),4,200))</f>
        <v/>
      </c>
      <c r="BD743" s="2">
        <f>IF($BA743&lt;&gt;"포함","",IF(COUNTIFS($AX$8:$AX743,$AX743,$BA$8:$BA743,"포함")=1,MAX($BD$7:BD742)+1,""))</f>
        <v/>
      </c>
      <c r="BE743" s="2">
        <f>IF($BC743="","",MAX($BE$7:BE742)+1)</f>
        <v/>
      </c>
    </row>
    <row r="744">
      <c r="AR744" s="2">
        <f>IF(OR($A$5="",$B$6="",ROW()&lt;$A$5),"",IF(INDEX($A:$AP,ROW(),$B$6)="","",INDEX($A:$AP,ROW(),$B$6)))</f>
        <v/>
      </c>
      <c r="AS744" s="22">
        <f>IF($AR744="","",IF(ISNUMBER($AR744),IF($AR744&gt;=10000000,IFERROR(DATE(INT($AR744/10000),MOD(INT($AR744/100),100),MOD($AR744,100)),""),INT($AR744)),IFERROR(DATE(--LEFT(LEFT(SUBSTITUTE(SUBSTITUTE(SUBSTITUTE(SUBSTITUTE(TRIM($AR744),"-",""),".",""),"/","")," ",""),8),4),--MID(LEFT(SUBSTITUTE(SUBSTITUTE(SUBSTITUTE(SUBSTITUTE(TRIM($AR744),"-",""),".",""),"/","")," ",""),8),5,2),--MID(LEFT(SUBSTITUTE(SUBSTITUTE(SUBSTITUTE(SUBSTITUTE(TRIM($AR744),"-",""),".",""),"/","")," ",""),8),7,2)),"")))</f>
        <v/>
      </c>
      <c r="AT744" s="23">
        <f>IF($AS744="","",IF($F$6="",0,IF(ISNUMBER(INDEX($A:$AP,ROW(),$F$6)),INDEX($A:$AP,ROW(),$F$6),IFERROR(--SUBSTITUTE(SUBSTITUTE(TRIM(INDEX($A:$AP,ROW(),$F$6)),",",""),"원",""),0))))</f>
        <v/>
      </c>
      <c r="AU744" s="23">
        <f>IF($AS744="","",IF($G$6="",0,IF(ISNUMBER(INDEX($A:$AP,ROW(),$G$6)),INDEX($A:$AP,ROW(),$G$6),IFERROR(--SUBSTITUTE(SUBSTITUTE(TRIM(INDEX($A:$AP,ROW(),$G$6)),",",""),"원",""),0))))</f>
        <v/>
      </c>
      <c r="AV744" s="23">
        <f>IF($AS744="","",IF($H$6="",$AT744+$AU744,IF($H$6="",0,IF(ISNUMBER(INDEX($A:$AP,ROW(),$H$6)),INDEX($A:$AP,ROW(),$H$6),IFERROR(--SUBSTITUTE(SUBSTITUTE(TRIM(INDEX($A:$AP,ROW(),$H$6)),",",""),"원",""),0)))))</f>
        <v/>
      </c>
      <c r="AW744" s="2">
        <f>IF(OR($AS744="",$C$6=""),"",TRIM(INDEX($A:$AP,ROW(),$C$6)&amp;""))</f>
        <v/>
      </c>
      <c r="AX744" s="2">
        <f>IF($AS744="","",IF($AZ744&lt;&gt;"",SUBSTITUTE(SUBSTITUTE($AZ744,"-","")," ",""),$AY744))</f>
        <v/>
      </c>
      <c r="AY744" s="2">
        <f>IF(OR($AS744="",$E$6=""),"",TRIM(INDEX($A:$AP,ROW(),$E$6)&amp;""))</f>
        <v/>
      </c>
      <c r="AZ744" s="2">
        <f>IF(OR($AS744="",$D$6=""),"",TRIM(INDEX($A:$AP,ROW(),$D$6)&amp;""))</f>
        <v/>
      </c>
      <c r="BA744" s="2">
        <f>IF($AS744="","",IF(AND($AS744&gt;=설정!$B$10,$AS744&lt;=설정!$B$11),"포함","기간 밖"))</f>
        <v/>
      </c>
      <c r="BB744" s="2">
        <f>IF($AS744="","",IF(OR($AT744&lt;0,AND($I$6&lt;&gt;"",ISNUMBER(FIND("수정",INDEX($A:$AP,ROW(),IF($I$6="",1,$I$6))&amp;"")))),"수정","일반"))</f>
        <v/>
      </c>
      <c r="BC744" s="2">
        <f>IF($AS744="","",MID(IF($BA744="기간 밖"," / 기간 밖(신고기간 아님)","")&amp;IF(AND($AW744&lt;&gt;"",COUNTIF($AW$8:$AW$1007,$AW744)&gt;1)," / 승인번호 중복(두 번 붙여넣기?)","")&amp;IF(ABS($AU744-ROUND($AT744*0.1,0))&gt;설정!$B$8,IF($AU744=0," / 세액 0원(영세율·면세 여부 확인)"," / 세액이 공급가액 10%와 다름"),"")&amp;IF($BB744="수정"," / 수정세금계산서(합계에서 자동 가감)",""),4,200))</f>
        <v/>
      </c>
      <c r="BD744" s="2">
        <f>IF($BA744&lt;&gt;"포함","",IF(COUNTIFS($AX$8:$AX744,$AX744,$BA$8:$BA744,"포함")=1,MAX($BD$7:BD743)+1,""))</f>
        <v/>
      </c>
      <c r="BE744" s="2">
        <f>IF($BC744="","",MAX($BE$7:BE743)+1)</f>
        <v/>
      </c>
    </row>
    <row r="745">
      <c r="AR745" s="2">
        <f>IF(OR($A$5="",$B$6="",ROW()&lt;$A$5),"",IF(INDEX($A:$AP,ROW(),$B$6)="","",INDEX($A:$AP,ROW(),$B$6)))</f>
        <v/>
      </c>
      <c r="AS745" s="22">
        <f>IF($AR745="","",IF(ISNUMBER($AR745),IF($AR745&gt;=10000000,IFERROR(DATE(INT($AR745/10000),MOD(INT($AR745/100),100),MOD($AR745,100)),""),INT($AR745)),IFERROR(DATE(--LEFT(LEFT(SUBSTITUTE(SUBSTITUTE(SUBSTITUTE(SUBSTITUTE(TRIM($AR745),"-",""),".",""),"/","")," ",""),8),4),--MID(LEFT(SUBSTITUTE(SUBSTITUTE(SUBSTITUTE(SUBSTITUTE(TRIM($AR745),"-",""),".",""),"/","")," ",""),8),5,2),--MID(LEFT(SUBSTITUTE(SUBSTITUTE(SUBSTITUTE(SUBSTITUTE(TRIM($AR745),"-",""),".",""),"/","")," ",""),8),7,2)),"")))</f>
        <v/>
      </c>
      <c r="AT745" s="23">
        <f>IF($AS745="","",IF($F$6="",0,IF(ISNUMBER(INDEX($A:$AP,ROW(),$F$6)),INDEX($A:$AP,ROW(),$F$6),IFERROR(--SUBSTITUTE(SUBSTITUTE(TRIM(INDEX($A:$AP,ROW(),$F$6)),",",""),"원",""),0))))</f>
        <v/>
      </c>
      <c r="AU745" s="23">
        <f>IF($AS745="","",IF($G$6="",0,IF(ISNUMBER(INDEX($A:$AP,ROW(),$G$6)),INDEX($A:$AP,ROW(),$G$6),IFERROR(--SUBSTITUTE(SUBSTITUTE(TRIM(INDEX($A:$AP,ROW(),$G$6)),",",""),"원",""),0))))</f>
        <v/>
      </c>
      <c r="AV745" s="23">
        <f>IF($AS745="","",IF($H$6="",$AT745+$AU745,IF($H$6="",0,IF(ISNUMBER(INDEX($A:$AP,ROW(),$H$6)),INDEX($A:$AP,ROW(),$H$6),IFERROR(--SUBSTITUTE(SUBSTITUTE(TRIM(INDEX($A:$AP,ROW(),$H$6)),",",""),"원",""),0)))))</f>
        <v/>
      </c>
      <c r="AW745" s="2">
        <f>IF(OR($AS745="",$C$6=""),"",TRIM(INDEX($A:$AP,ROW(),$C$6)&amp;""))</f>
        <v/>
      </c>
      <c r="AX745" s="2">
        <f>IF($AS745="","",IF($AZ745&lt;&gt;"",SUBSTITUTE(SUBSTITUTE($AZ745,"-","")," ",""),$AY745))</f>
        <v/>
      </c>
      <c r="AY745" s="2">
        <f>IF(OR($AS745="",$E$6=""),"",TRIM(INDEX($A:$AP,ROW(),$E$6)&amp;""))</f>
        <v/>
      </c>
      <c r="AZ745" s="2">
        <f>IF(OR($AS745="",$D$6=""),"",TRIM(INDEX($A:$AP,ROW(),$D$6)&amp;""))</f>
        <v/>
      </c>
      <c r="BA745" s="2">
        <f>IF($AS745="","",IF(AND($AS745&gt;=설정!$B$10,$AS745&lt;=설정!$B$11),"포함","기간 밖"))</f>
        <v/>
      </c>
      <c r="BB745" s="2">
        <f>IF($AS745="","",IF(OR($AT745&lt;0,AND($I$6&lt;&gt;"",ISNUMBER(FIND("수정",INDEX($A:$AP,ROW(),IF($I$6="",1,$I$6))&amp;"")))),"수정","일반"))</f>
        <v/>
      </c>
      <c r="BC745" s="2">
        <f>IF($AS745="","",MID(IF($BA745="기간 밖"," / 기간 밖(신고기간 아님)","")&amp;IF(AND($AW745&lt;&gt;"",COUNTIF($AW$8:$AW$1007,$AW745)&gt;1)," / 승인번호 중복(두 번 붙여넣기?)","")&amp;IF(ABS($AU745-ROUND($AT745*0.1,0))&gt;설정!$B$8,IF($AU745=0," / 세액 0원(영세율·면세 여부 확인)"," / 세액이 공급가액 10%와 다름"),"")&amp;IF($BB745="수정"," / 수정세금계산서(합계에서 자동 가감)",""),4,200))</f>
        <v/>
      </c>
      <c r="BD745" s="2">
        <f>IF($BA745&lt;&gt;"포함","",IF(COUNTIFS($AX$8:$AX745,$AX745,$BA$8:$BA745,"포함")=1,MAX($BD$7:BD744)+1,""))</f>
        <v/>
      </c>
      <c r="BE745" s="2">
        <f>IF($BC745="","",MAX($BE$7:BE744)+1)</f>
        <v/>
      </c>
    </row>
    <row r="746">
      <c r="AR746" s="2">
        <f>IF(OR($A$5="",$B$6="",ROW()&lt;$A$5),"",IF(INDEX($A:$AP,ROW(),$B$6)="","",INDEX($A:$AP,ROW(),$B$6)))</f>
        <v/>
      </c>
      <c r="AS746" s="22">
        <f>IF($AR746="","",IF(ISNUMBER($AR746),IF($AR746&gt;=10000000,IFERROR(DATE(INT($AR746/10000),MOD(INT($AR746/100),100),MOD($AR746,100)),""),INT($AR746)),IFERROR(DATE(--LEFT(LEFT(SUBSTITUTE(SUBSTITUTE(SUBSTITUTE(SUBSTITUTE(TRIM($AR746),"-",""),".",""),"/","")," ",""),8),4),--MID(LEFT(SUBSTITUTE(SUBSTITUTE(SUBSTITUTE(SUBSTITUTE(TRIM($AR746),"-",""),".",""),"/","")," ",""),8),5,2),--MID(LEFT(SUBSTITUTE(SUBSTITUTE(SUBSTITUTE(SUBSTITUTE(TRIM($AR746),"-",""),".",""),"/","")," ",""),8),7,2)),"")))</f>
        <v/>
      </c>
      <c r="AT746" s="23">
        <f>IF($AS746="","",IF($F$6="",0,IF(ISNUMBER(INDEX($A:$AP,ROW(),$F$6)),INDEX($A:$AP,ROW(),$F$6),IFERROR(--SUBSTITUTE(SUBSTITUTE(TRIM(INDEX($A:$AP,ROW(),$F$6)),",",""),"원",""),0))))</f>
        <v/>
      </c>
      <c r="AU746" s="23">
        <f>IF($AS746="","",IF($G$6="",0,IF(ISNUMBER(INDEX($A:$AP,ROW(),$G$6)),INDEX($A:$AP,ROW(),$G$6),IFERROR(--SUBSTITUTE(SUBSTITUTE(TRIM(INDEX($A:$AP,ROW(),$G$6)),",",""),"원",""),0))))</f>
        <v/>
      </c>
      <c r="AV746" s="23">
        <f>IF($AS746="","",IF($H$6="",$AT746+$AU746,IF($H$6="",0,IF(ISNUMBER(INDEX($A:$AP,ROW(),$H$6)),INDEX($A:$AP,ROW(),$H$6),IFERROR(--SUBSTITUTE(SUBSTITUTE(TRIM(INDEX($A:$AP,ROW(),$H$6)),",",""),"원",""),0)))))</f>
        <v/>
      </c>
      <c r="AW746" s="2">
        <f>IF(OR($AS746="",$C$6=""),"",TRIM(INDEX($A:$AP,ROW(),$C$6)&amp;""))</f>
        <v/>
      </c>
      <c r="AX746" s="2">
        <f>IF($AS746="","",IF($AZ746&lt;&gt;"",SUBSTITUTE(SUBSTITUTE($AZ746,"-","")," ",""),$AY746))</f>
        <v/>
      </c>
      <c r="AY746" s="2">
        <f>IF(OR($AS746="",$E$6=""),"",TRIM(INDEX($A:$AP,ROW(),$E$6)&amp;""))</f>
        <v/>
      </c>
      <c r="AZ746" s="2">
        <f>IF(OR($AS746="",$D$6=""),"",TRIM(INDEX($A:$AP,ROW(),$D$6)&amp;""))</f>
        <v/>
      </c>
      <c r="BA746" s="2">
        <f>IF($AS746="","",IF(AND($AS746&gt;=설정!$B$10,$AS746&lt;=설정!$B$11),"포함","기간 밖"))</f>
        <v/>
      </c>
      <c r="BB746" s="2">
        <f>IF($AS746="","",IF(OR($AT746&lt;0,AND($I$6&lt;&gt;"",ISNUMBER(FIND("수정",INDEX($A:$AP,ROW(),IF($I$6="",1,$I$6))&amp;"")))),"수정","일반"))</f>
        <v/>
      </c>
      <c r="BC746" s="2">
        <f>IF($AS746="","",MID(IF($BA746="기간 밖"," / 기간 밖(신고기간 아님)","")&amp;IF(AND($AW746&lt;&gt;"",COUNTIF($AW$8:$AW$1007,$AW746)&gt;1)," / 승인번호 중복(두 번 붙여넣기?)","")&amp;IF(ABS($AU746-ROUND($AT746*0.1,0))&gt;설정!$B$8,IF($AU746=0," / 세액 0원(영세율·면세 여부 확인)"," / 세액이 공급가액 10%와 다름"),"")&amp;IF($BB746="수정"," / 수정세금계산서(합계에서 자동 가감)",""),4,200))</f>
        <v/>
      </c>
      <c r="BD746" s="2">
        <f>IF($BA746&lt;&gt;"포함","",IF(COUNTIFS($AX$8:$AX746,$AX746,$BA$8:$BA746,"포함")=1,MAX($BD$7:BD745)+1,""))</f>
        <v/>
      </c>
      <c r="BE746" s="2">
        <f>IF($BC746="","",MAX($BE$7:BE745)+1)</f>
        <v/>
      </c>
    </row>
    <row r="747">
      <c r="AR747" s="2">
        <f>IF(OR($A$5="",$B$6="",ROW()&lt;$A$5),"",IF(INDEX($A:$AP,ROW(),$B$6)="","",INDEX($A:$AP,ROW(),$B$6)))</f>
        <v/>
      </c>
      <c r="AS747" s="22">
        <f>IF($AR747="","",IF(ISNUMBER($AR747),IF($AR747&gt;=10000000,IFERROR(DATE(INT($AR747/10000),MOD(INT($AR747/100),100),MOD($AR747,100)),""),INT($AR747)),IFERROR(DATE(--LEFT(LEFT(SUBSTITUTE(SUBSTITUTE(SUBSTITUTE(SUBSTITUTE(TRIM($AR747),"-",""),".",""),"/","")," ",""),8),4),--MID(LEFT(SUBSTITUTE(SUBSTITUTE(SUBSTITUTE(SUBSTITUTE(TRIM($AR747),"-",""),".",""),"/","")," ",""),8),5,2),--MID(LEFT(SUBSTITUTE(SUBSTITUTE(SUBSTITUTE(SUBSTITUTE(TRIM($AR747),"-",""),".",""),"/","")," ",""),8),7,2)),"")))</f>
        <v/>
      </c>
      <c r="AT747" s="23">
        <f>IF($AS747="","",IF($F$6="",0,IF(ISNUMBER(INDEX($A:$AP,ROW(),$F$6)),INDEX($A:$AP,ROW(),$F$6),IFERROR(--SUBSTITUTE(SUBSTITUTE(TRIM(INDEX($A:$AP,ROW(),$F$6)),",",""),"원",""),0))))</f>
        <v/>
      </c>
      <c r="AU747" s="23">
        <f>IF($AS747="","",IF($G$6="",0,IF(ISNUMBER(INDEX($A:$AP,ROW(),$G$6)),INDEX($A:$AP,ROW(),$G$6),IFERROR(--SUBSTITUTE(SUBSTITUTE(TRIM(INDEX($A:$AP,ROW(),$G$6)),",",""),"원",""),0))))</f>
        <v/>
      </c>
      <c r="AV747" s="23">
        <f>IF($AS747="","",IF($H$6="",$AT747+$AU747,IF($H$6="",0,IF(ISNUMBER(INDEX($A:$AP,ROW(),$H$6)),INDEX($A:$AP,ROW(),$H$6),IFERROR(--SUBSTITUTE(SUBSTITUTE(TRIM(INDEX($A:$AP,ROW(),$H$6)),",",""),"원",""),0)))))</f>
        <v/>
      </c>
      <c r="AW747" s="2">
        <f>IF(OR($AS747="",$C$6=""),"",TRIM(INDEX($A:$AP,ROW(),$C$6)&amp;""))</f>
        <v/>
      </c>
      <c r="AX747" s="2">
        <f>IF($AS747="","",IF($AZ747&lt;&gt;"",SUBSTITUTE(SUBSTITUTE($AZ747,"-","")," ",""),$AY747))</f>
        <v/>
      </c>
      <c r="AY747" s="2">
        <f>IF(OR($AS747="",$E$6=""),"",TRIM(INDEX($A:$AP,ROW(),$E$6)&amp;""))</f>
        <v/>
      </c>
      <c r="AZ747" s="2">
        <f>IF(OR($AS747="",$D$6=""),"",TRIM(INDEX($A:$AP,ROW(),$D$6)&amp;""))</f>
        <v/>
      </c>
      <c r="BA747" s="2">
        <f>IF($AS747="","",IF(AND($AS747&gt;=설정!$B$10,$AS747&lt;=설정!$B$11),"포함","기간 밖"))</f>
        <v/>
      </c>
      <c r="BB747" s="2">
        <f>IF($AS747="","",IF(OR($AT747&lt;0,AND($I$6&lt;&gt;"",ISNUMBER(FIND("수정",INDEX($A:$AP,ROW(),IF($I$6="",1,$I$6))&amp;"")))),"수정","일반"))</f>
        <v/>
      </c>
      <c r="BC747" s="2">
        <f>IF($AS747="","",MID(IF($BA747="기간 밖"," / 기간 밖(신고기간 아님)","")&amp;IF(AND($AW747&lt;&gt;"",COUNTIF($AW$8:$AW$1007,$AW747)&gt;1)," / 승인번호 중복(두 번 붙여넣기?)","")&amp;IF(ABS($AU747-ROUND($AT747*0.1,0))&gt;설정!$B$8,IF($AU747=0," / 세액 0원(영세율·면세 여부 확인)"," / 세액이 공급가액 10%와 다름"),"")&amp;IF($BB747="수정"," / 수정세금계산서(합계에서 자동 가감)",""),4,200))</f>
        <v/>
      </c>
      <c r="BD747" s="2">
        <f>IF($BA747&lt;&gt;"포함","",IF(COUNTIFS($AX$8:$AX747,$AX747,$BA$8:$BA747,"포함")=1,MAX($BD$7:BD746)+1,""))</f>
        <v/>
      </c>
      <c r="BE747" s="2">
        <f>IF($BC747="","",MAX($BE$7:BE746)+1)</f>
        <v/>
      </c>
    </row>
    <row r="748">
      <c r="AR748" s="2">
        <f>IF(OR($A$5="",$B$6="",ROW()&lt;$A$5),"",IF(INDEX($A:$AP,ROW(),$B$6)="","",INDEX($A:$AP,ROW(),$B$6)))</f>
        <v/>
      </c>
      <c r="AS748" s="22">
        <f>IF($AR748="","",IF(ISNUMBER($AR748),IF($AR748&gt;=10000000,IFERROR(DATE(INT($AR748/10000),MOD(INT($AR748/100),100),MOD($AR748,100)),""),INT($AR748)),IFERROR(DATE(--LEFT(LEFT(SUBSTITUTE(SUBSTITUTE(SUBSTITUTE(SUBSTITUTE(TRIM($AR748),"-",""),".",""),"/","")," ",""),8),4),--MID(LEFT(SUBSTITUTE(SUBSTITUTE(SUBSTITUTE(SUBSTITUTE(TRIM($AR748),"-",""),".",""),"/","")," ",""),8),5,2),--MID(LEFT(SUBSTITUTE(SUBSTITUTE(SUBSTITUTE(SUBSTITUTE(TRIM($AR748),"-",""),".",""),"/","")," ",""),8),7,2)),"")))</f>
        <v/>
      </c>
      <c r="AT748" s="23">
        <f>IF($AS748="","",IF($F$6="",0,IF(ISNUMBER(INDEX($A:$AP,ROW(),$F$6)),INDEX($A:$AP,ROW(),$F$6),IFERROR(--SUBSTITUTE(SUBSTITUTE(TRIM(INDEX($A:$AP,ROW(),$F$6)),",",""),"원",""),0))))</f>
        <v/>
      </c>
      <c r="AU748" s="23">
        <f>IF($AS748="","",IF($G$6="",0,IF(ISNUMBER(INDEX($A:$AP,ROW(),$G$6)),INDEX($A:$AP,ROW(),$G$6),IFERROR(--SUBSTITUTE(SUBSTITUTE(TRIM(INDEX($A:$AP,ROW(),$G$6)),",",""),"원",""),0))))</f>
        <v/>
      </c>
      <c r="AV748" s="23">
        <f>IF($AS748="","",IF($H$6="",$AT748+$AU748,IF($H$6="",0,IF(ISNUMBER(INDEX($A:$AP,ROW(),$H$6)),INDEX($A:$AP,ROW(),$H$6),IFERROR(--SUBSTITUTE(SUBSTITUTE(TRIM(INDEX($A:$AP,ROW(),$H$6)),",",""),"원",""),0)))))</f>
        <v/>
      </c>
      <c r="AW748" s="2">
        <f>IF(OR($AS748="",$C$6=""),"",TRIM(INDEX($A:$AP,ROW(),$C$6)&amp;""))</f>
        <v/>
      </c>
      <c r="AX748" s="2">
        <f>IF($AS748="","",IF($AZ748&lt;&gt;"",SUBSTITUTE(SUBSTITUTE($AZ748,"-","")," ",""),$AY748))</f>
        <v/>
      </c>
      <c r="AY748" s="2">
        <f>IF(OR($AS748="",$E$6=""),"",TRIM(INDEX($A:$AP,ROW(),$E$6)&amp;""))</f>
        <v/>
      </c>
      <c r="AZ748" s="2">
        <f>IF(OR($AS748="",$D$6=""),"",TRIM(INDEX($A:$AP,ROW(),$D$6)&amp;""))</f>
        <v/>
      </c>
      <c r="BA748" s="2">
        <f>IF($AS748="","",IF(AND($AS748&gt;=설정!$B$10,$AS748&lt;=설정!$B$11),"포함","기간 밖"))</f>
        <v/>
      </c>
      <c r="BB748" s="2">
        <f>IF($AS748="","",IF(OR($AT748&lt;0,AND($I$6&lt;&gt;"",ISNUMBER(FIND("수정",INDEX($A:$AP,ROW(),IF($I$6="",1,$I$6))&amp;"")))),"수정","일반"))</f>
        <v/>
      </c>
      <c r="BC748" s="2">
        <f>IF($AS748="","",MID(IF($BA748="기간 밖"," / 기간 밖(신고기간 아님)","")&amp;IF(AND($AW748&lt;&gt;"",COUNTIF($AW$8:$AW$1007,$AW748)&gt;1)," / 승인번호 중복(두 번 붙여넣기?)","")&amp;IF(ABS($AU748-ROUND($AT748*0.1,0))&gt;설정!$B$8,IF($AU748=0," / 세액 0원(영세율·면세 여부 확인)"," / 세액이 공급가액 10%와 다름"),"")&amp;IF($BB748="수정"," / 수정세금계산서(합계에서 자동 가감)",""),4,200))</f>
        <v/>
      </c>
      <c r="BD748" s="2">
        <f>IF($BA748&lt;&gt;"포함","",IF(COUNTIFS($AX$8:$AX748,$AX748,$BA$8:$BA748,"포함")=1,MAX($BD$7:BD747)+1,""))</f>
        <v/>
      </c>
      <c r="BE748" s="2">
        <f>IF($BC748="","",MAX($BE$7:BE747)+1)</f>
        <v/>
      </c>
    </row>
    <row r="749">
      <c r="AR749" s="2">
        <f>IF(OR($A$5="",$B$6="",ROW()&lt;$A$5),"",IF(INDEX($A:$AP,ROW(),$B$6)="","",INDEX($A:$AP,ROW(),$B$6)))</f>
        <v/>
      </c>
      <c r="AS749" s="22">
        <f>IF($AR749="","",IF(ISNUMBER($AR749),IF($AR749&gt;=10000000,IFERROR(DATE(INT($AR749/10000),MOD(INT($AR749/100),100),MOD($AR749,100)),""),INT($AR749)),IFERROR(DATE(--LEFT(LEFT(SUBSTITUTE(SUBSTITUTE(SUBSTITUTE(SUBSTITUTE(TRIM($AR749),"-",""),".",""),"/","")," ",""),8),4),--MID(LEFT(SUBSTITUTE(SUBSTITUTE(SUBSTITUTE(SUBSTITUTE(TRIM($AR749),"-",""),".",""),"/","")," ",""),8),5,2),--MID(LEFT(SUBSTITUTE(SUBSTITUTE(SUBSTITUTE(SUBSTITUTE(TRIM($AR749),"-",""),".",""),"/","")," ",""),8),7,2)),"")))</f>
        <v/>
      </c>
      <c r="AT749" s="23">
        <f>IF($AS749="","",IF($F$6="",0,IF(ISNUMBER(INDEX($A:$AP,ROW(),$F$6)),INDEX($A:$AP,ROW(),$F$6),IFERROR(--SUBSTITUTE(SUBSTITUTE(TRIM(INDEX($A:$AP,ROW(),$F$6)),",",""),"원",""),0))))</f>
        <v/>
      </c>
      <c r="AU749" s="23">
        <f>IF($AS749="","",IF($G$6="",0,IF(ISNUMBER(INDEX($A:$AP,ROW(),$G$6)),INDEX($A:$AP,ROW(),$G$6),IFERROR(--SUBSTITUTE(SUBSTITUTE(TRIM(INDEX($A:$AP,ROW(),$G$6)),",",""),"원",""),0))))</f>
        <v/>
      </c>
      <c r="AV749" s="23">
        <f>IF($AS749="","",IF($H$6="",$AT749+$AU749,IF($H$6="",0,IF(ISNUMBER(INDEX($A:$AP,ROW(),$H$6)),INDEX($A:$AP,ROW(),$H$6),IFERROR(--SUBSTITUTE(SUBSTITUTE(TRIM(INDEX($A:$AP,ROW(),$H$6)),",",""),"원",""),0)))))</f>
        <v/>
      </c>
      <c r="AW749" s="2">
        <f>IF(OR($AS749="",$C$6=""),"",TRIM(INDEX($A:$AP,ROW(),$C$6)&amp;""))</f>
        <v/>
      </c>
      <c r="AX749" s="2">
        <f>IF($AS749="","",IF($AZ749&lt;&gt;"",SUBSTITUTE(SUBSTITUTE($AZ749,"-","")," ",""),$AY749))</f>
        <v/>
      </c>
      <c r="AY749" s="2">
        <f>IF(OR($AS749="",$E$6=""),"",TRIM(INDEX($A:$AP,ROW(),$E$6)&amp;""))</f>
        <v/>
      </c>
      <c r="AZ749" s="2">
        <f>IF(OR($AS749="",$D$6=""),"",TRIM(INDEX($A:$AP,ROW(),$D$6)&amp;""))</f>
        <v/>
      </c>
      <c r="BA749" s="2">
        <f>IF($AS749="","",IF(AND($AS749&gt;=설정!$B$10,$AS749&lt;=설정!$B$11),"포함","기간 밖"))</f>
        <v/>
      </c>
      <c r="BB749" s="2">
        <f>IF($AS749="","",IF(OR($AT749&lt;0,AND($I$6&lt;&gt;"",ISNUMBER(FIND("수정",INDEX($A:$AP,ROW(),IF($I$6="",1,$I$6))&amp;"")))),"수정","일반"))</f>
        <v/>
      </c>
      <c r="BC749" s="2">
        <f>IF($AS749="","",MID(IF($BA749="기간 밖"," / 기간 밖(신고기간 아님)","")&amp;IF(AND($AW749&lt;&gt;"",COUNTIF($AW$8:$AW$1007,$AW749)&gt;1)," / 승인번호 중복(두 번 붙여넣기?)","")&amp;IF(ABS($AU749-ROUND($AT749*0.1,0))&gt;설정!$B$8,IF($AU749=0," / 세액 0원(영세율·면세 여부 확인)"," / 세액이 공급가액 10%와 다름"),"")&amp;IF($BB749="수정"," / 수정세금계산서(합계에서 자동 가감)",""),4,200))</f>
        <v/>
      </c>
      <c r="BD749" s="2">
        <f>IF($BA749&lt;&gt;"포함","",IF(COUNTIFS($AX$8:$AX749,$AX749,$BA$8:$BA749,"포함")=1,MAX($BD$7:BD748)+1,""))</f>
        <v/>
      </c>
      <c r="BE749" s="2">
        <f>IF($BC749="","",MAX($BE$7:BE748)+1)</f>
        <v/>
      </c>
    </row>
    <row r="750">
      <c r="AR750" s="2">
        <f>IF(OR($A$5="",$B$6="",ROW()&lt;$A$5),"",IF(INDEX($A:$AP,ROW(),$B$6)="","",INDEX($A:$AP,ROW(),$B$6)))</f>
        <v/>
      </c>
      <c r="AS750" s="22">
        <f>IF($AR750="","",IF(ISNUMBER($AR750),IF($AR750&gt;=10000000,IFERROR(DATE(INT($AR750/10000),MOD(INT($AR750/100),100),MOD($AR750,100)),""),INT($AR750)),IFERROR(DATE(--LEFT(LEFT(SUBSTITUTE(SUBSTITUTE(SUBSTITUTE(SUBSTITUTE(TRIM($AR750),"-",""),".",""),"/","")," ",""),8),4),--MID(LEFT(SUBSTITUTE(SUBSTITUTE(SUBSTITUTE(SUBSTITUTE(TRIM($AR750),"-",""),".",""),"/","")," ",""),8),5,2),--MID(LEFT(SUBSTITUTE(SUBSTITUTE(SUBSTITUTE(SUBSTITUTE(TRIM($AR750),"-",""),".",""),"/","")," ",""),8),7,2)),"")))</f>
        <v/>
      </c>
      <c r="AT750" s="23">
        <f>IF($AS750="","",IF($F$6="",0,IF(ISNUMBER(INDEX($A:$AP,ROW(),$F$6)),INDEX($A:$AP,ROW(),$F$6),IFERROR(--SUBSTITUTE(SUBSTITUTE(TRIM(INDEX($A:$AP,ROW(),$F$6)),",",""),"원",""),0))))</f>
        <v/>
      </c>
      <c r="AU750" s="23">
        <f>IF($AS750="","",IF($G$6="",0,IF(ISNUMBER(INDEX($A:$AP,ROW(),$G$6)),INDEX($A:$AP,ROW(),$G$6),IFERROR(--SUBSTITUTE(SUBSTITUTE(TRIM(INDEX($A:$AP,ROW(),$G$6)),",",""),"원",""),0))))</f>
        <v/>
      </c>
      <c r="AV750" s="23">
        <f>IF($AS750="","",IF($H$6="",$AT750+$AU750,IF($H$6="",0,IF(ISNUMBER(INDEX($A:$AP,ROW(),$H$6)),INDEX($A:$AP,ROW(),$H$6),IFERROR(--SUBSTITUTE(SUBSTITUTE(TRIM(INDEX($A:$AP,ROW(),$H$6)),",",""),"원",""),0)))))</f>
        <v/>
      </c>
      <c r="AW750" s="2">
        <f>IF(OR($AS750="",$C$6=""),"",TRIM(INDEX($A:$AP,ROW(),$C$6)&amp;""))</f>
        <v/>
      </c>
      <c r="AX750" s="2">
        <f>IF($AS750="","",IF($AZ750&lt;&gt;"",SUBSTITUTE(SUBSTITUTE($AZ750,"-","")," ",""),$AY750))</f>
        <v/>
      </c>
      <c r="AY750" s="2">
        <f>IF(OR($AS750="",$E$6=""),"",TRIM(INDEX($A:$AP,ROW(),$E$6)&amp;""))</f>
        <v/>
      </c>
      <c r="AZ750" s="2">
        <f>IF(OR($AS750="",$D$6=""),"",TRIM(INDEX($A:$AP,ROW(),$D$6)&amp;""))</f>
        <v/>
      </c>
      <c r="BA750" s="2">
        <f>IF($AS750="","",IF(AND($AS750&gt;=설정!$B$10,$AS750&lt;=설정!$B$11),"포함","기간 밖"))</f>
        <v/>
      </c>
      <c r="BB750" s="2">
        <f>IF($AS750="","",IF(OR($AT750&lt;0,AND($I$6&lt;&gt;"",ISNUMBER(FIND("수정",INDEX($A:$AP,ROW(),IF($I$6="",1,$I$6))&amp;"")))),"수정","일반"))</f>
        <v/>
      </c>
      <c r="BC750" s="2">
        <f>IF($AS750="","",MID(IF($BA750="기간 밖"," / 기간 밖(신고기간 아님)","")&amp;IF(AND($AW750&lt;&gt;"",COUNTIF($AW$8:$AW$1007,$AW750)&gt;1)," / 승인번호 중복(두 번 붙여넣기?)","")&amp;IF(ABS($AU750-ROUND($AT750*0.1,0))&gt;설정!$B$8,IF($AU750=0," / 세액 0원(영세율·면세 여부 확인)"," / 세액이 공급가액 10%와 다름"),"")&amp;IF($BB750="수정"," / 수정세금계산서(합계에서 자동 가감)",""),4,200))</f>
        <v/>
      </c>
      <c r="BD750" s="2">
        <f>IF($BA750&lt;&gt;"포함","",IF(COUNTIFS($AX$8:$AX750,$AX750,$BA$8:$BA750,"포함")=1,MAX($BD$7:BD749)+1,""))</f>
        <v/>
      </c>
      <c r="BE750" s="2">
        <f>IF($BC750="","",MAX($BE$7:BE749)+1)</f>
        <v/>
      </c>
    </row>
    <row r="751">
      <c r="AR751" s="2">
        <f>IF(OR($A$5="",$B$6="",ROW()&lt;$A$5),"",IF(INDEX($A:$AP,ROW(),$B$6)="","",INDEX($A:$AP,ROW(),$B$6)))</f>
        <v/>
      </c>
      <c r="AS751" s="22">
        <f>IF($AR751="","",IF(ISNUMBER($AR751),IF($AR751&gt;=10000000,IFERROR(DATE(INT($AR751/10000),MOD(INT($AR751/100),100),MOD($AR751,100)),""),INT($AR751)),IFERROR(DATE(--LEFT(LEFT(SUBSTITUTE(SUBSTITUTE(SUBSTITUTE(SUBSTITUTE(TRIM($AR751),"-",""),".",""),"/","")," ",""),8),4),--MID(LEFT(SUBSTITUTE(SUBSTITUTE(SUBSTITUTE(SUBSTITUTE(TRIM($AR751),"-",""),".",""),"/","")," ",""),8),5,2),--MID(LEFT(SUBSTITUTE(SUBSTITUTE(SUBSTITUTE(SUBSTITUTE(TRIM($AR751),"-",""),".",""),"/","")," ",""),8),7,2)),"")))</f>
        <v/>
      </c>
      <c r="AT751" s="23">
        <f>IF($AS751="","",IF($F$6="",0,IF(ISNUMBER(INDEX($A:$AP,ROW(),$F$6)),INDEX($A:$AP,ROW(),$F$6),IFERROR(--SUBSTITUTE(SUBSTITUTE(TRIM(INDEX($A:$AP,ROW(),$F$6)),",",""),"원",""),0))))</f>
        <v/>
      </c>
      <c r="AU751" s="23">
        <f>IF($AS751="","",IF($G$6="",0,IF(ISNUMBER(INDEX($A:$AP,ROW(),$G$6)),INDEX($A:$AP,ROW(),$G$6),IFERROR(--SUBSTITUTE(SUBSTITUTE(TRIM(INDEX($A:$AP,ROW(),$G$6)),",",""),"원",""),0))))</f>
        <v/>
      </c>
      <c r="AV751" s="23">
        <f>IF($AS751="","",IF($H$6="",$AT751+$AU751,IF($H$6="",0,IF(ISNUMBER(INDEX($A:$AP,ROW(),$H$6)),INDEX($A:$AP,ROW(),$H$6),IFERROR(--SUBSTITUTE(SUBSTITUTE(TRIM(INDEX($A:$AP,ROW(),$H$6)),",",""),"원",""),0)))))</f>
        <v/>
      </c>
      <c r="AW751" s="2">
        <f>IF(OR($AS751="",$C$6=""),"",TRIM(INDEX($A:$AP,ROW(),$C$6)&amp;""))</f>
        <v/>
      </c>
      <c r="AX751" s="2">
        <f>IF($AS751="","",IF($AZ751&lt;&gt;"",SUBSTITUTE(SUBSTITUTE($AZ751,"-","")," ",""),$AY751))</f>
        <v/>
      </c>
      <c r="AY751" s="2">
        <f>IF(OR($AS751="",$E$6=""),"",TRIM(INDEX($A:$AP,ROW(),$E$6)&amp;""))</f>
        <v/>
      </c>
      <c r="AZ751" s="2">
        <f>IF(OR($AS751="",$D$6=""),"",TRIM(INDEX($A:$AP,ROW(),$D$6)&amp;""))</f>
        <v/>
      </c>
      <c r="BA751" s="2">
        <f>IF($AS751="","",IF(AND($AS751&gt;=설정!$B$10,$AS751&lt;=설정!$B$11),"포함","기간 밖"))</f>
        <v/>
      </c>
      <c r="BB751" s="2">
        <f>IF($AS751="","",IF(OR($AT751&lt;0,AND($I$6&lt;&gt;"",ISNUMBER(FIND("수정",INDEX($A:$AP,ROW(),IF($I$6="",1,$I$6))&amp;"")))),"수정","일반"))</f>
        <v/>
      </c>
      <c r="BC751" s="2">
        <f>IF($AS751="","",MID(IF($BA751="기간 밖"," / 기간 밖(신고기간 아님)","")&amp;IF(AND($AW751&lt;&gt;"",COUNTIF($AW$8:$AW$1007,$AW751)&gt;1)," / 승인번호 중복(두 번 붙여넣기?)","")&amp;IF(ABS($AU751-ROUND($AT751*0.1,0))&gt;설정!$B$8,IF($AU751=0," / 세액 0원(영세율·면세 여부 확인)"," / 세액이 공급가액 10%와 다름"),"")&amp;IF($BB751="수정"," / 수정세금계산서(합계에서 자동 가감)",""),4,200))</f>
        <v/>
      </c>
      <c r="BD751" s="2">
        <f>IF($BA751&lt;&gt;"포함","",IF(COUNTIFS($AX$8:$AX751,$AX751,$BA$8:$BA751,"포함")=1,MAX($BD$7:BD750)+1,""))</f>
        <v/>
      </c>
      <c r="BE751" s="2">
        <f>IF($BC751="","",MAX($BE$7:BE750)+1)</f>
        <v/>
      </c>
    </row>
    <row r="752">
      <c r="AR752" s="2">
        <f>IF(OR($A$5="",$B$6="",ROW()&lt;$A$5),"",IF(INDEX($A:$AP,ROW(),$B$6)="","",INDEX($A:$AP,ROW(),$B$6)))</f>
        <v/>
      </c>
      <c r="AS752" s="22">
        <f>IF($AR752="","",IF(ISNUMBER($AR752),IF($AR752&gt;=10000000,IFERROR(DATE(INT($AR752/10000),MOD(INT($AR752/100),100),MOD($AR752,100)),""),INT($AR752)),IFERROR(DATE(--LEFT(LEFT(SUBSTITUTE(SUBSTITUTE(SUBSTITUTE(SUBSTITUTE(TRIM($AR752),"-",""),".",""),"/","")," ",""),8),4),--MID(LEFT(SUBSTITUTE(SUBSTITUTE(SUBSTITUTE(SUBSTITUTE(TRIM($AR752),"-",""),".",""),"/","")," ",""),8),5,2),--MID(LEFT(SUBSTITUTE(SUBSTITUTE(SUBSTITUTE(SUBSTITUTE(TRIM($AR752),"-",""),".",""),"/","")," ",""),8),7,2)),"")))</f>
        <v/>
      </c>
      <c r="AT752" s="23">
        <f>IF($AS752="","",IF($F$6="",0,IF(ISNUMBER(INDEX($A:$AP,ROW(),$F$6)),INDEX($A:$AP,ROW(),$F$6),IFERROR(--SUBSTITUTE(SUBSTITUTE(TRIM(INDEX($A:$AP,ROW(),$F$6)),",",""),"원",""),0))))</f>
        <v/>
      </c>
      <c r="AU752" s="23">
        <f>IF($AS752="","",IF($G$6="",0,IF(ISNUMBER(INDEX($A:$AP,ROW(),$G$6)),INDEX($A:$AP,ROW(),$G$6),IFERROR(--SUBSTITUTE(SUBSTITUTE(TRIM(INDEX($A:$AP,ROW(),$G$6)),",",""),"원",""),0))))</f>
        <v/>
      </c>
      <c r="AV752" s="23">
        <f>IF($AS752="","",IF($H$6="",$AT752+$AU752,IF($H$6="",0,IF(ISNUMBER(INDEX($A:$AP,ROW(),$H$6)),INDEX($A:$AP,ROW(),$H$6),IFERROR(--SUBSTITUTE(SUBSTITUTE(TRIM(INDEX($A:$AP,ROW(),$H$6)),",",""),"원",""),0)))))</f>
        <v/>
      </c>
      <c r="AW752" s="2">
        <f>IF(OR($AS752="",$C$6=""),"",TRIM(INDEX($A:$AP,ROW(),$C$6)&amp;""))</f>
        <v/>
      </c>
      <c r="AX752" s="2">
        <f>IF($AS752="","",IF($AZ752&lt;&gt;"",SUBSTITUTE(SUBSTITUTE($AZ752,"-","")," ",""),$AY752))</f>
        <v/>
      </c>
      <c r="AY752" s="2">
        <f>IF(OR($AS752="",$E$6=""),"",TRIM(INDEX($A:$AP,ROW(),$E$6)&amp;""))</f>
        <v/>
      </c>
      <c r="AZ752" s="2">
        <f>IF(OR($AS752="",$D$6=""),"",TRIM(INDEX($A:$AP,ROW(),$D$6)&amp;""))</f>
        <v/>
      </c>
      <c r="BA752" s="2">
        <f>IF($AS752="","",IF(AND($AS752&gt;=설정!$B$10,$AS752&lt;=설정!$B$11),"포함","기간 밖"))</f>
        <v/>
      </c>
      <c r="BB752" s="2">
        <f>IF($AS752="","",IF(OR($AT752&lt;0,AND($I$6&lt;&gt;"",ISNUMBER(FIND("수정",INDEX($A:$AP,ROW(),IF($I$6="",1,$I$6))&amp;"")))),"수정","일반"))</f>
        <v/>
      </c>
      <c r="BC752" s="2">
        <f>IF($AS752="","",MID(IF($BA752="기간 밖"," / 기간 밖(신고기간 아님)","")&amp;IF(AND($AW752&lt;&gt;"",COUNTIF($AW$8:$AW$1007,$AW752)&gt;1)," / 승인번호 중복(두 번 붙여넣기?)","")&amp;IF(ABS($AU752-ROUND($AT752*0.1,0))&gt;설정!$B$8,IF($AU752=0," / 세액 0원(영세율·면세 여부 확인)"," / 세액이 공급가액 10%와 다름"),"")&amp;IF($BB752="수정"," / 수정세금계산서(합계에서 자동 가감)",""),4,200))</f>
        <v/>
      </c>
      <c r="BD752" s="2">
        <f>IF($BA752&lt;&gt;"포함","",IF(COUNTIFS($AX$8:$AX752,$AX752,$BA$8:$BA752,"포함")=1,MAX($BD$7:BD751)+1,""))</f>
        <v/>
      </c>
      <c r="BE752" s="2">
        <f>IF($BC752="","",MAX($BE$7:BE751)+1)</f>
        <v/>
      </c>
    </row>
    <row r="753">
      <c r="AR753" s="2">
        <f>IF(OR($A$5="",$B$6="",ROW()&lt;$A$5),"",IF(INDEX($A:$AP,ROW(),$B$6)="","",INDEX($A:$AP,ROW(),$B$6)))</f>
        <v/>
      </c>
      <c r="AS753" s="22">
        <f>IF($AR753="","",IF(ISNUMBER($AR753),IF($AR753&gt;=10000000,IFERROR(DATE(INT($AR753/10000),MOD(INT($AR753/100),100),MOD($AR753,100)),""),INT($AR753)),IFERROR(DATE(--LEFT(LEFT(SUBSTITUTE(SUBSTITUTE(SUBSTITUTE(SUBSTITUTE(TRIM($AR753),"-",""),".",""),"/","")," ",""),8),4),--MID(LEFT(SUBSTITUTE(SUBSTITUTE(SUBSTITUTE(SUBSTITUTE(TRIM($AR753),"-",""),".",""),"/","")," ",""),8),5,2),--MID(LEFT(SUBSTITUTE(SUBSTITUTE(SUBSTITUTE(SUBSTITUTE(TRIM($AR753),"-",""),".",""),"/","")," ",""),8),7,2)),"")))</f>
        <v/>
      </c>
      <c r="AT753" s="23">
        <f>IF($AS753="","",IF($F$6="",0,IF(ISNUMBER(INDEX($A:$AP,ROW(),$F$6)),INDEX($A:$AP,ROW(),$F$6),IFERROR(--SUBSTITUTE(SUBSTITUTE(TRIM(INDEX($A:$AP,ROW(),$F$6)),",",""),"원",""),0))))</f>
        <v/>
      </c>
      <c r="AU753" s="23">
        <f>IF($AS753="","",IF($G$6="",0,IF(ISNUMBER(INDEX($A:$AP,ROW(),$G$6)),INDEX($A:$AP,ROW(),$G$6),IFERROR(--SUBSTITUTE(SUBSTITUTE(TRIM(INDEX($A:$AP,ROW(),$G$6)),",",""),"원",""),0))))</f>
        <v/>
      </c>
      <c r="AV753" s="23">
        <f>IF($AS753="","",IF($H$6="",$AT753+$AU753,IF($H$6="",0,IF(ISNUMBER(INDEX($A:$AP,ROW(),$H$6)),INDEX($A:$AP,ROW(),$H$6),IFERROR(--SUBSTITUTE(SUBSTITUTE(TRIM(INDEX($A:$AP,ROW(),$H$6)),",",""),"원",""),0)))))</f>
        <v/>
      </c>
      <c r="AW753" s="2">
        <f>IF(OR($AS753="",$C$6=""),"",TRIM(INDEX($A:$AP,ROW(),$C$6)&amp;""))</f>
        <v/>
      </c>
      <c r="AX753" s="2">
        <f>IF($AS753="","",IF($AZ753&lt;&gt;"",SUBSTITUTE(SUBSTITUTE($AZ753,"-","")," ",""),$AY753))</f>
        <v/>
      </c>
      <c r="AY753" s="2">
        <f>IF(OR($AS753="",$E$6=""),"",TRIM(INDEX($A:$AP,ROW(),$E$6)&amp;""))</f>
        <v/>
      </c>
      <c r="AZ753" s="2">
        <f>IF(OR($AS753="",$D$6=""),"",TRIM(INDEX($A:$AP,ROW(),$D$6)&amp;""))</f>
        <v/>
      </c>
      <c r="BA753" s="2">
        <f>IF($AS753="","",IF(AND($AS753&gt;=설정!$B$10,$AS753&lt;=설정!$B$11),"포함","기간 밖"))</f>
        <v/>
      </c>
      <c r="BB753" s="2">
        <f>IF($AS753="","",IF(OR($AT753&lt;0,AND($I$6&lt;&gt;"",ISNUMBER(FIND("수정",INDEX($A:$AP,ROW(),IF($I$6="",1,$I$6))&amp;"")))),"수정","일반"))</f>
        <v/>
      </c>
      <c r="BC753" s="2">
        <f>IF($AS753="","",MID(IF($BA753="기간 밖"," / 기간 밖(신고기간 아님)","")&amp;IF(AND($AW753&lt;&gt;"",COUNTIF($AW$8:$AW$1007,$AW753)&gt;1)," / 승인번호 중복(두 번 붙여넣기?)","")&amp;IF(ABS($AU753-ROUND($AT753*0.1,0))&gt;설정!$B$8,IF($AU753=0," / 세액 0원(영세율·면세 여부 확인)"," / 세액이 공급가액 10%와 다름"),"")&amp;IF($BB753="수정"," / 수정세금계산서(합계에서 자동 가감)",""),4,200))</f>
        <v/>
      </c>
      <c r="BD753" s="2">
        <f>IF($BA753&lt;&gt;"포함","",IF(COUNTIFS($AX$8:$AX753,$AX753,$BA$8:$BA753,"포함")=1,MAX($BD$7:BD752)+1,""))</f>
        <v/>
      </c>
      <c r="BE753" s="2">
        <f>IF($BC753="","",MAX($BE$7:BE752)+1)</f>
        <v/>
      </c>
    </row>
    <row r="754">
      <c r="AR754" s="2">
        <f>IF(OR($A$5="",$B$6="",ROW()&lt;$A$5),"",IF(INDEX($A:$AP,ROW(),$B$6)="","",INDEX($A:$AP,ROW(),$B$6)))</f>
        <v/>
      </c>
      <c r="AS754" s="22">
        <f>IF($AR754="","",IF(ISNUMBER($AR754),IF($AR754&gt;=10000000,IFERROR(DATE(INT($AR754/10000),MOD(INT($AR754/100),100),MOD($AR754,100)),""),INT($AR754)),IFERROR(DATE(--LEFT(LEFT(SUBSTITUTE(SUBSTITUTE(SUBSTITUTE(SUBSTITUTE(TRIM($AR754),"-",""),".",""),"/","")," ",""),8),4),--MID(LEFT(SUBSTITUTE(SUBSTITUTE(SUBSTITUTE(SUBSTITUTE(TRIM($AR754),"-",""),".",""),"/","")," ",""),8),5,2),--MID(LEFT(SUBSTITUTE(SUBSTITUTE(SUBSTITUTE(SUBSTITUTE(TRIM($AR754),"-",""),".",""),"/","")," ",""),8),7,2)),"")))</f>
        <v/>
      </c>
      <c r="AT754" s="23">
        <f>IF($AS754="","",IF($F$6="",0,IF(ISNUMBER(INDEX($A:$AP,ROW(),$F$6)),INDEX($A:$AP,ROW(),$F$6),IFERROR(--SUBSTITUTE(SUBSTITUTE(TRIM(INDEX($A:$AP,ROW(),$F$6)),",",""),"원",""),0))))</f>
        <v/>
      </c>
      <c r="AU754" s="23">
        <f>IF($AS754="","",IF($G$6="",0,IF(ISNUMBER(INDEX($A:$AP,ROW(),$G$6)),INDEX($A:$AP,ROW(),$G$6),IFERROR(--SUBSTITUTE(SUBSTITUTE(TRIM(INDEX($A:$AP,ROW(),$G$6)),",",""),"원",""),0))))</f>
        <v/>
      </c>
      <c r="AV754" s="23">
        <f>IF($AS754="","",IF($H$6="",$AT754+$AU754,IF($H$6="",0,IF(ISNUMBER(INDEX($A:$AP,ROW(),$H$6)),INDEX($A:$AP,ROW(),$H$6),IFERROR(--SUBSTITUTE(SUBSTITUTE(TRIM(INDEX($A:$AP,ROW(),$H$6)),",",""),"원",""),0)))))</f>
        <v/>
      </c>
      <c r="AW754" s="2">
        <f>IF(OR($AS754="",$C$6=""),"",TRIM(INDEX($A:$AP,ROW(),$C$6)&amp;""))</f>
        <v/>
      </c>
      <c r="AX754" s="2">
        <f>IF($AS754="","",IF($AZ754&lt;&gt;"",SUBSTITUTE(SUBSTITUTE($AZ754,"-","")," ",""),$AY754))</f>
        <v/>
      </c>
      <c r="AY754" s="2">
        <f>IF(OR($AS754="",$E$6=""),"",TRIM(INDEX($A:$AP,ROW(),$E$6)&amp;""))</f>
        <v/>
      </c>
      <c r="AZ754" s="2">
        <f>IF(OR($AS754="",$D$6=""),"",TRIM(INDEX($A:$AP,ROW(),$D$6)&amp;""))</f>
        <v/>
      </c>
      <c r="BA754" s="2">
        <f>IF($AS754="","",IF(AND($AS754&gt;=설정!$B$10,$AS754&lt;=설정!$B$11),"포함","기간 밖"))</f>
        <v/>
      </c>
      <c r="BB754" s="2">
        <f>IF($AS754="","",IF(OR($AT754&lt;0,AND($I$6&lt;&gt;"",ISNUMBER(FIND("수정",INDEX($A:$AP,ROW(),IF($I$6="",1,$I$6))&amp;"")))),"수정","일반"))</f>
        <v/>
      </c>
      <c r="BC754" s="2">
        <f>IF($AS754="","",MID(IF($BA754="기간 밖"," / 기간 밖(신고기간 아님)","")&amp;IF(AND($AW754&lt;&gt;"",COUNTIF($AW$8:$AW$1007,$AW754)&gt;1)," / 승인번호 중복(두 번 붙여넣기?)","")&amp;IF(ABS($AU754-ROUND($AT754*0.1,0))&gt;설정!$B$8,IF($AU754=0," / 세액 0원(영세율·면세 여부 확인)"," / 세액이 공급가액 10%와 다름"),"")&amp;IF($BB754="수정"," / 수정세금계산서(합계에서 자동 가감)",""),4,200))</f>
        <v/>
      </c>
      <c r="BD754" s="2">
        <f>IF($BA754&lt;&gt;"포함","",IF(COUNTIFS($AX$8:$AX754,$AX754,$BA$8:$BA754,"포함")=1,MAX($BD$7:BD753)+1,""))</f>
        <v/>
      </c>
      <c r="BE754" s="2">
        <f>IF($BC754="","",MAX($BE$7:BE753)+1)</f>
        <v/>
      </c>
    </row>
    <row r="755">
      <c r="AR755" s="2">
        <f>IF(OR($A$5="",$B$6="",ROW()&lt;$A$5),"",IF(INDEX($A:$AP,ROW(),$B$6)="","",INDEX($A:$AP,ROW(),$B$6)))</f>
        <v/>
      </c>
      <c r="AS755" s="22">
        <f>IF($AR755="","",IF(ISNUMBER($AR755),IF($AR755&gt;=10000000,IFERROR(DATE(INT($AR755/10000),MOD(INT($AR755/100),100),MOD($AR755,100)),""),INT($AR755)),IFERROR(DATE(--LEFT(LEFT(SUBSTITUTE(SUBSTITUTE(SUBSTITUTE(SUBSTITUTE(TRIM($AR755),"-",""),".",""),"/","")," ",""),8),4),--MID(LEFT(SUBSTITUTE(SUBSTITUTE(SUBSTITUTE(SUBSTITUTE(TRIM($AR755),"-",""),".",""),"/","")," ",""),8),5,2),--MID(LEFT(SUBSTITUTE(SUBSTITUTE(SUBSTITUTE(SUBSTITUTE(TRIM($AR755),"-",""),".",""),"/","")," ",""),8),7,2)),"")))</f>
        <v/>
      </c>
      <c r="AT755" s="23">
        <f>IF($AS755="","",IF($F$6="",0,IF(ISNUMBER(INDEX($A:$AP,ROW(),$F$6)),INDEX($A:$AP,ROW(),$F$6),IFERROR(--SUBSTITUTE(SUBSTITUTE(TRIM(INDEX($A:$AP,ROW(),$F$6)),",",""),"원",""),0))))</f>
        <v/>
      </c>
      <c r="AU755" s="23">
        <f>IF($AS755="","",IF($G$6="",0,IF(ISNUMBER(INDEX($A:$AP,ROW(),$G$6)),INDEX($A:$AP,ROW(),$G$6),IFERROR(--SUBSTITUTE(SUBSTITUTE(TRIM(INDEX($A:$AP,ROW(),$G$6)),",",""),"원",""),0))))</f>
        <v/>
      </c>
      <c r="AV755" s="23">
        <f>IF($AS755="","",IF($H$6="",$AT755+$AU755,IF($H$6="",0,IF(ISNUMBER(INDEX($A:$AP,ROW(),$H$6)),INDEX($A:$AP,ROW(),$H$6),IFERROR(--SUBSTITUTE(SUBSTITUTE(TRIM(INDEX($A:$AP,ROW(),$H$6)),",",""),"원",""),0)))))</f>
        <v/>
      </c>
      <c r="AW755" s="2">
        <f>IF(OR($AS755="",$C$6=""),"",TRIM(INDEX($A:$AP,ROW(),$C$6)&amp;""))</f>
        <v/>
      </c>
      <c r="AX755" s="2">
        <f>IF($AS755="","",IF($AZ755&lt;&gt;"",SUBSTITUTE(SUBSTITUTE($AZ755,"-","")," ",""),$AY755))</f>
        <v/>
      </c>
      <c r="AY755" s="2">
        <f>IF(OR($AS755="",$E$6=""),"",TRIM(INDEX($A:$AP,ROW(),$E$6)&amp;""))</f>
        <v/>
      </c>
      <c r="AZ755" s="2">
        <f>IF(OR($AS755="",$D$6=""),"",TRIM(INDEX($A:$AP,ROW(),$D$6)&amp;""))</f>
        <v/>
      </c>
      <c r="BA755" s="2">
        <f>IF($AS755="","",IF(AND($AS755&gt;=설정!$B$10,$AS755&lt;=설정!$B$11),"포함","기간 밖"))</f>
        <v/>
      </c>
      <c r="BB755" s="2">
        <f>IF($AS755="","",IF(OR($AT755&lt;0,AND($I$6&lt;&gt;"",ISNUMBER(FIND("수정",INDEX($A:$AP,ROW(),IF($I$6="",1,$I$6))&amp;"")))),"수정","일반"))</f>
        <v/>
      </c>
      <c r="BC755" s="2">
        <f>IF($AS755="","",MID(IF($BA755="기간 밖"," / 기간 밖(신고기간 아님)","")&amp;IF(AND($AW755&lt;&gt;"",COUNTIF($AW$8:$AW$1007,$AW755)&gt;1)," / 승인번호 중복(두 번 붙여넣기?)","")&amp;IF(ABS($AU755-ROUND($AT755*0.1,0))&gt;설정!$B$8,IF($AU755=0," / 세액 0원(영세율·면세 여부 확인)"," / 세액이 공급가액 10%와 다름"),"")&amp;IF($BB755="수정"," / 수정세금계산서(합계에서 자동 가감)",""),4,200))</f>
        <v/>
      </c>
      <c r="BD755" s="2">
        <f>IF($BA755&lt;&gt;"포함","",IF(COUNTIFS($AX$8:$AX755,$AX755,$BA$8:$BA755,"포함")=1,MAX($BD$7:BD754)+1,""))</f>
        <v/>
      </c>
      <c r="BE755" s="2">
        <f>IF($BC755="","",MAX($BE$7:BE754)+1)</f>
        <v/>
      </c>
    </row>
    <row r="756">
      <c r="AR756" s="2">
        <f>IF(OR($A$5="",$B$6="",ROW()&lt;$A$5),"",IF(INDEX($A:$AP,ROW(),$B$6)="","",INDEX($A:$AP,ROW(),$B$6)))</f>
        <v/>
      </c>
      <c r="AS756" s="22">
        <f>IF($AR756="","",IF(ISNUMBER($AR756),IF($AR756&gt;=10000000,IFERROR(DATE(INT($AR756/10000),MOD(INT($AR756/100),100),MOD($AR756,100)),""),INT($AR756)),IFERROR(DATE(--LEFT(LEFT(SUBSTITUTE(SUBSTITUTE(SUBSTITUTE(SUBSTITUTE(TRIM($AR756),"-",""),".",""),"/","")," ",""),8),4),--MID(LEFT(SUBSTITUTE(SUBSTITUTE(SUBSTITUTE(SUBSTITUTE(TRIM($AR756),"-",""),".",""),"/","")," ",""),8),5,2),--MID(LEFT(SUBSTITUTE(SUBSTITUTE(SUBSTITUTE(SUBSTITUTE(TRIM($AR756),"-",""),".",""),"/","")," ",""),8),7,2)),"")))</f>
        <v/>
      </c>
      <c r="AT756" s="23">
        <f>IF($AS756="","",IF($F$6="",0,IF(ISNUMBER(INDEX($A:$AP,ROW(),$F$6)),INDEX($A:$AP,ROW(),$F$6),IFERROR(--SUBSTITUTE(SUBSTITUTE(TRIM(INDEX($A:$AP,ROW(),$F$6)),",",""),"원",""),0))))</f>
        <v/>
      </c>
      <c r="AU756" s="23">
        <f>IF($AS756="","",IF($G$6="",0,IF(ISNUMBER(INDEX($A:$AP,ROW(),$G$6)),INDEX($A:$AP,ROW(),$G$6),IFERROR(--SUBSTITUTE(SUBSTITUTE(TRIM(INDEX($A:$AP,ROW(),$G$6)),",",""),"원",""),0))))</f>
        <v/>
      </c>
      <c r="AV756" s="23">
        <f>IF($AS756="","",IF($H$6="",$AT756+$AU756,IF($H$6="",0,IF(ISNUMBER(INDEX($A:$AP,ROW(),$H$6)),INDEX($A:$AP,ROW(),$H$6),IFERROR(--SUBSTITUTE(SUBSTITUTE(TRIM(INDEX($A:$AP,ROW(),$H$6)),",",""),"원",""),0)))))</f>
        <v/>
      </c>
      <c r="AW756" s="2">
        <f>IF(OR($AS756="",$C$6=""),"",TRIM(INDEX($A:$AP,ROW(),$C$6)&amp;""))</f>
        <v/>
      </c>
      <c r="AX756" s="2">
        <f>IF($AS756="","",IF($AZ756&lt;&gt;"",SUBSTITUTE(SUBSTITUTE($AZ756,"-","")," ",""),$AY756))</f>
        <v/>
      </c>
      <c r="AY756" s="2">
        <f>IF(OR($AS756="",$E$6=""),"",TRIM(INDEX($A:$AP,ROW(),$E$6)&amp;""))</f>
        <v/>
      </c>
      <c r="AZ756" s="2">
        <f>IF(OR($AS756="",$D$6=""),"",TRIM(INDEX($A:$AP,ROW(),$D$6)&amp;""))</f>
        <v/>
      </c>
      <c r="BA756" s="2">
        <f>IF($AS756="","",IF(AND($AS756&gt;=설정!$B$10,$AS756&lt;=설정!$B$11),"포함","기간 밖"))</f>
        <v/>
      </c>
      <c r="BB756" s="2">
        <f>IF($AS756="","",IF(OR($AT756&lt;0,AND($I$6&lt;&gt;"",ISNUMBER(FIND("수정",INDEX($A:$AP,ROW(),IF($I$6="",1,$I$6))&amp;"")))),"수정","일반"))</f>
        <v/>
      </c>
      <c r="BC756" s="2">
        <f>IF($AS756="","",MID(IF($BA756="기간 밖"," / 기간 밖(신고기간 아님)","")&amp;IF(AND($AW756&lt;&gt;"",COUNTIF($AW$8:$AW$1007,$AW756)&gt;1)," / 승인번호 중복(두 번 붙여넣기?)","")&amp;IF(ABS($AU756-ROUND($AT756*0.1,0))&gt;설정!$B$8,IF($AU756=0," / 세액 0원(영세율·면세 여부 확인)"," / 세액이 공급가액 10%와 다름"),"")&amp;IF($BB756="수정"," / 수정세금계산서(합계에서 자동 가감)",""),4,200))</f>
        <v/>
      </c>
      <c r="BD756" s="2">
        <f>IF($BA756&lt;&gt;"포함","",IF(COUNTIFS($AX$8:$AX756,$AX756,$BA$8:$BA756,"포함")=1,MAX($BD$7:BD755)+1,""))</f>
        <v/>
      </c>
      <c r="BE756" s="2">
        <f>IF($BC756="","",MAX($BE$7:BE755)+1)</f>
        <v/>
      </c>
    </row>
    <row r="757">
      <c r="AR757" s="2">
        <f>IF(OR($A$5="",$B$6="",ROW()&lt;$A$5),"",IF(INDEX($A:$AP,ROW(),$B$6)="","",INDEX($A:$AP,ROW(),$B$6)))</f>
        <v/>
      </c>
      <c r="AS757" s="22">
        <f>IF($AR757="","",IF(ISNUMBER($AR757),IF($AR757&gt;=10000000,IFERROR(DATE(INT($AR757/10000),MOD(INT($AR757/100),100),MOD($AR757,100)),""),INT($AR757)),IFERROR(DATE(--LEFT(LEFT(SUBSTITUTE(SUBSTITUTE(SUBSTITUTE(SUBSTITUTE(TRIM($AR757),"-",""),".",""),"/","")," ",""),8),4),--MID(LEFT(SUBSTITUTE(SUBSTITUTE(SUBSTITUTE(SUBSTITUTE(TRIM($AR757),"-",""),".",""),"/","")," ",""),8),5,2),--MID(LEFT(SUBSTITUTE(SUBSTITUTE(SUBSTITUTE(SUBSTITUTE(TRIM($AR757),"-",""),".",""),"/","")," ",""),8),7,2)),"")))</f>
        <v/>
      </c>
      <c r="AT757" s="23">
        <f>IF($AS757="","",IF($F$6="",0,IF(ISNUMBER(INDEX($A:$AP,ROW(),$F$6)),INDEX($A:$AP,ROW(),$F$6),IFERROR(--SUBSTITUTE(SUBSTITUTE(TRIM(INDEX($A:$AP,ROW(),$F$6)),",",""),"원",""),0))))</f>
        <v/>
      </c>
      <c r="AU757" s="23">
        <f>IF($AS757="","",IF($G$6="",0,IF(ISNUMBER(INDEX($A:$AP,ROW(),$G$6)),INDEX($A:$AP,ROW(),$G$6),IFERROR(--SUBSTITUTE(SUBSTITUTE(TRIM(INDEX($A:$AP,ROW(),$G$6)),",",""),"원",""),0))))</f>
        <v/>
      </c>
      <c r="AV757" s="23">
        <f>IF($AS757="","",IF($H$6="",$AT757+$AU757,IF($H$6="",0,IF(ISNUMBER(INDEX($A:$AP,ROW(),$H$6)),INDEX($A:$AP,ROW(),$H$6),IFERROR(--SUBSTITUTE(SUBSTITUTE(TRIM(INDEX($A:$AP,ROW(),$H$6)),",",""),"원",""),0)))))</f>
        <v/>
      </c>
      <c r="AW757" s="2">
        <f>IF(OR($AS757="",$C$6=""),"",TRIM(INDEX($A:$AP,ROW(),$C$6)&amp;""))</f>
        <v/>
      </c>
      <c r="AX757" s="2">
        <f>IF($AS757="","",IF($AZ757&lt;&gt;"",SUBSTITUTE(SUBSTITUTE($AZ757,"-","")," ",""),$AY757))</f>
        <v/>
      </c>
      <c r="AY757" s="2">
        <f>IF(OR($AS757="",$E$6=""),"",TRIM(INDEX($A:$AP,ROW(),$E$6)&amp;""))</f>
        <v/>
      </c>
      <c r="AZ757" s="2">
        <f>IF(OR($AS757="",$D$6=""),"",TRIM(INDEX($A:$AP,ROW(),$D$6)&amp;""))</f>
        <v/>
      </c>
      <c r="BA757" s="2">
        <f>IF($AS757="","",IF(AND($AS757&gt;=설정!$B$10,$AS757&lt;=설정!$B$11),"포함","기간 밖"))</f>
        <v/>
      </c>
      <c r="BB757" s="2">
        <f>IF($AS757="","",IF(OR($AT757&lt;0,AND($I$6&lt;&gt;"",ISNUMBER(FIND("수정",INDEX($A:$AP,ROW(),IF($I$6="",1,$I$6))&amp;"")))),"수정","일반"))</f>
        <v/>
      </c>
      <c r="BC757" s="2">
        <f>IF($AS757="","",MID(IF($BA757="기간 밖"," / 기간 밖(신고기간 아님)","")&amp;IF(AND($AW757&lt;&gt;"",COUNTIF($AW$8:$AW$1007,$AW757)&gt;1)," / 승인번호 중복(두 번 붙여넣기?)","")&amp;IF(ABS($AU757-ROUND($AT757*0.1,0))&gt;설정!$B$8,IF($AU757=0," / 세액 0원(영세율·면세 여부 확인)"," / 세액이 공급가액 10%와 다름"),"")&amp;IF($BB757="수정"," / 수정세금계산서(합계에서 자동 가감)",""),4,200))</f>
        <v/>
      </c>
      <c r="BD757" s="2">
        <f>IF($BA757&lt;&gt;"포함","",IF(COUNTIFS($AX$8:$AX757,$AX757,$BA$8:$BA757,"포함")=1,MAX($BD$7:BD756)+1,""))</f>
        <v/>
      </c>
      <c r="BE757" s="2">
        <f>IF($BC757="","",MAX($BE$7:BE756)+1)</f>
        <v/>
      </c>
    </row>
    <row r="758">
      <c r="AR758" s="2">
        <f>IF(OR($A$5="",$B$6="",ROW()&lt;$A$5),"",IF(INDEX($A:$AP,ROW(),$B$6)="","",INDEX($A:$AP,ROW(),$B$6)))</f>
        <v/>
      </c>
      <c r="AS758" s="22">
        <f>IF($AR758="","",IF(ISNUMBER($AR758),IF($AR758&gt;=10000000,IFERROR(DATE(INT($AR758/10000),MOD(INT($AR758/100),100),MOD($AR758,100)),""),INT($AR758)),IFERROR(DATE(--LEFT(LEFT(SUBSTITUTE(SUBSTITUTE(SUBSTITUTE(SUBSTITUTE(TRIM($AR758),"-",""),".",""),"/","")," ",""),8),4),--MID(LEFT(SUBSTITUTE(SUBSTITUTE(SUBSTITUTE(SUBSTITUTE(TRIM($AR758),"-",""),".",""),"/","")," ",""),8),5,2),--MID(LEFT(SUBSTITUTE(SUBSTITUTE(SUBSTITUTE(SUBSTITUTE(TRIM($AR758),"-",""),".",""),"/","")," ",""),8),7,2)),"")))</f>
        <v/>
      </c>
      <c r="AT758" s="23">
        <f>IF($AS758="","",IF($F$6="",0,IF(ISNUMBER(INDEX($A:$AP,ROW(),$F$6)),INDEX($A:$AP,ROW(),$F$6),IFERROR(--SUBSTITUTE(SUBSTITUTE(TRIM(INDEX($A:$AP,ROW(),$F$6)),",",""),"원",""),0))))</f>
        <v/>
      </c>
      <c r="AU758" s="23">
        <f>IF($AS758="","",IF($G$6="",0,IF(ISNUMBER(INDEX($A:$AP,ROW(),$G$6)),INDEX($A:$AP,ROW(),$G$6),IFERROR(--SUBSTITUTE(SUBSTITUTE(TRIM(INDEX($A:$AP,ROW(),$G$6)),",",""),"원",""),0))))</f>
        <v/>
      </c>
      <c r="AV758" s="23">
        <f>IF($AS758="","",IF($H$6="",$AT758+$AU758,IF($H$6="",0,IF(ISNUMBER(INDEX($A:$AP,ROW(),$H$6)),INDEX($A:$AP,ROW(),$H$6),IFERROR(--SUBSTITUTE(SUBSTITUTE(TRIM(INDEX($A:$AP,ROW(),$H$6)),",",""),"원",""),0)))))</f>
        <v/>
      </c>
      <c r="AW758" s="2">
        <f>IF(OR($AS758="",$C$6=""),"",TRIM(INDEX($A:$AP,ROW(),$C$6)&amp;""))</f>
        <v/>
      </c>
      <c r="AX758" s="2">
        <f>IF($AS758="","",IF($AZ758&lt;&gt;"",SUBSTITUTE(SUBSTITUTE($AZ758,"-","")," ",""),$AY758))</f>
        <v/>
      </c>
      <c r="AY758" s="2">
        <f>IF(OR($AS758="",$E$6=""),"",TRIM(INDEX($A:$AP,ROW(),$E$6)&amp;""))</f>
        <v/>
      </c>
      <c r="AZ758" s="2">
        <f>IF(OR($AS758="",$D$6=""),"",TRIM(INDEX($A:$AP,ROW(),$D$6)&amp;""))</f>
        <v/>
      </c>
      <c r="BA758" s="2">
        <f>IF($AS758="","",IF(AND($AS758&gt;=설정!$B$10,$AS758&lt;=설정!$B$11),"포함","기간 밖"))</f>
        <v/>
      </c>
      <c r="BB758" s="2">
        <f>IF($AS758="","",IF(OR($AT758&lt;0,AND($I$6&lt;&gt;"",ISNUMBER(FIND("수정",INDEX($A:$AP,ROW(),IF($I$6="",1,$I$6))&amp;"")))),"수정","일반"))</f>
        <v/>
      </c>
      <c r="BC758" s="2">
        <f>IF($AS758="","",MID(IF($BA758="기간 밖"," / 기간 밖(신고기간 아님)","")&amp;IF(AND($AW758&lt;&gt;"",COUNTIF($AW$8:$AW$1007,$AW758)&gt;1)," / 승인번호 중복(두 번 붙여넣기?)","")&amp;IF(ABS($AU758-ROUND($AT758*0.1,0))&gt;설정!$B$8,IF($AU758=0," / 세액 0원(영세율·면세 여부 확인)"," / 세액이 공급가액 10%와 다름"),"")&amp;IF($BB758="수정"," / 수정세금계산서(합계에서 자동 가감)",""),4,200))</f>
        <v/>
      </c>
      <c r="BD758" s="2">
        <f>IF($BA758&lt;&gt;"포함","",IF(COUNTIFS($AX$8:$AX758,$AX758,$BA$8:$BA758,"포함")=1,MAX($BD$7:BD757)+1,""))</f>
        <v/>
      </c>
      <c r="BE758" s="2">
        <f>IF($BC758="","",MAX($BE$7:BE757)+1)</f>
        <v/>
      </c>
    </row>
    <row r="759">
      <c r="AR759" s="2">
        <f>IF(OR($A$5="",$B$6="",ROW()&lt;$A$5),"",IF(INDEX($A:$AP,ROW(),$B$6)="","",INDEX($A:$AP,ROW(),$B$6)))</f>
        <v/>
      </c>
      <c r="AS759" s="22">
        <f>IF($AR759="","",IF(ISNUMBER($AR759),IF($AR759&gt;=10000000,IFERROR(DATE(INT($AR759/10000),MOD(INT($AR759/100),100),MOD($AR759,100)),""),INT($AR759)),IFERROR(DATE(--LEFT(LEFT(SUBSTITUTE(SUBSTITUTE(SUBSTITUTE(SUBSTITUTE(TRIM($AR759),"-",""),".",""),"/","")," ",""),8),4),--MID(LEFT(SUBSTITUTE(SUBSTITUTE(SUBSTITUTE(SUBSTITUTE(TRIM($AR759),"-",""),".",""),"/","")," ",""),8),5,2),--MID(LEFT(SUBSTITUTE(SUBSTITUTE(SUBSTITUTE(SUBSTITUTE(TRIM($AR759),"-",""),".",""),"/","")," ",""),8),7,2)),"")))</f>
        <v/>
      </c>
      <c r="AT759" s="23">
        <f>IF($AS759="","",IF($F$6="",0,IF(ISNUMBER(INDEX($A:$AP,ROW(),$F$6)),INDEX($A:$AP,ROW(),$F$6),IFERROR(--SUBSTITUTE(SUBSTITUTE(TRIM(INDEX($A:$AP,ROW(),$F$6)),",",""),"원",""),0))))</f>
        <v/>
      </c>
      <c r="AU759" s="23">
        <f>IF($AS759="","",IF($G$6="",0,IF(ISNUMBER(INDEX($A:$AP,ROW(),$G$6)),INDEX($A:$AP,ROW(),$G$6),IFERROR(--SUBSTITUTE(SUBSTITUTE(TRIM(INDEX($A:$AP,ROW(),$G$6)),",",""),"원",""),0))))</f>
        <v/>
      </c>
      <c r="AV759" s="23">
        <f>IF($AS759="","",IF($H$6="",$AT759+$AU759,IF($H$6="",0,IF(ISNUMBER(INDEX($A:$AP,ROW(),$H$6)),INDEX($A:$AP,ROW(),$H$6),IFERROR(--SUBSTITUTE(SUBSTITUTE(TRIM(INDEX($A:$AP,ROW(),$H$6)),",",""),"원",""),0)))))</f>
        <v/>
      </c>
      <c r="AW759" s="2">
        <f>IF(OR($AS759="",$C$6=""),"",TRIM(INDEX($A:$AP,ROW(),$C$6)&amp;""))</f>
        <v/>
      </c>
      <c r="AX759" s="2">
        <f>IF($AS759="","",IF($AZ759&lt;&gt;"",SUBSTITUTE(SUBSTITUTE($AZ759,"-","")," ",""),$AY759))</f>
        <v/>
      </c>
      <c r="AY759" s="2">
        <f>IF(OR($AS759="",$E$6=""),"",TRIM(INDEX($A:$AP,ROW(),$E$6)&amp;""))</f>
        <v/>
      </c>
      <c r="AZ759" s="2">
        <f>IF(OR($AS759="",$D$6=""),"",TRIM(INDEX($A:$AP,ROW(),$D$6)&amp;""))</f>
        <v/>
      </c>
      <c r="BA759" s="2">
        <f>IF($AS759="","",IF(AND($AS759&gt;=설정!$B$10,$AS759&lt;=설정!$B$11),"포함","기간 밖"))</f>
        <v/>
      </c>
      <c r="BB759" s="2">
        <f>IF($AS759="","",IF(OR($AT759&lt;0,AND($I$6&lt;&gt;"",ISNUMBER(FIND("수정",INDEX($A:$AP,ROW(),IF($I$6="",1,$I$6))&amp;"")))),"수정","일반"))</f>
        <v/>
      </c>
      <c r="BC759" s="2">
        <f>IF($AS759="","",MID(IF($BA759="기간 밖"," / 기간 밖(신고기간 아님)","")&amp;IF(AND($AW759&lt;&gt;"",COUNTIF($AW$8:$AW$1007,$AW759)&gt;1)," / 승인번호 중복(두 번 붙여넣기?)","")&amp;IF(ABS($AU759-ROUND($AT759*0.1,0))&gt;설정!$B$8,IF($AU759=0," / 세액 0원(영세율·면세 여부 확인)"," / 세액이 공급가액 10%와 다름"),"")&amp;IF($BB759="수정"," / 수정세금계산서(합계에서 자동 가감)",""),4,200))</f>
        <v/>
      </c>
      <c r="BD759" s="2">
        <f>IF($BA759&lt;&gt;"포함","",IF(COUNTIFS($AX$8:$AX759,$AX759,$BA$8:$BA759,"포함")=1,MAX($BD$7:BD758)+1,""))</f>
        <v/>
      </c>
      <c r="BE759" s="2">
        <f>IF($BC759="","",MAX($BE$7:BE758)+1)</f>
        <v/>
      </c>
    </row>
    <row r="760">
      <c r="AR760" s="2">
        <f>IF(OR($A$5="",$B$6="",ROW()&lt;$A$5),"",IF(INDEX($A:$AP,ROW(),$B$6)="","",INDEX($A:$AP,ROW(),$B$6)))</f>
        <v/>
      </c>
      <c r="AS760" s="22">
        <f>IF($AR760="","",IF(ISNUMBER($AR760),IF($AR760&gt;=10000000,IFERROR(DATE(INT($AR760/10000),MOD(INT($AR760/100),100),MOD($AR760,100)),""),INT($AR760)),IFERROR(DATE(--LEFT(LEFT(SUBSTITUTE(SUBSTITUTE(SUBSTITUTE(SUBSTITUTE(TRIM($AR760),"-",""),".",""),"/","")," ",""),8),4),--MID(LEFT(SUBSTITUTE(SUBSTITUTE(SUBSTITUTE(SUBSTITUTE(TRIM($AR760),"-",""),".",""),"/","")," ",""),8),5,2),--MID(LEFT(SUBSTITUTE(SUBSTITUTE(SUBSTITUTE(SUBSTITUTE(TRIM($AR760),"-",""),".",""),"/","")," ",""),8),7,2)),"")))</f>
        <v/>
      </c>
      <c r="AT760" s="23">
        <f>IF($AS760="","",IF($F$6="",0,IF(ISNUMBER(INDEX($A:$AP,ROW(),$F$6)),INDEX($A:$AP,ROW(),$F$6),IFERROR(--SUBSTITUTE(SUBSTITUTE(TRIM(INDEX($A:$AP,ROW(),$F$6)),",",""),"원",""),0))))</f>
        <v/>
      </c>
      <c r="AU760" s="23">
        <f>IF($AS760="","",IF($G$6="",0,IF(ISNUMBER(INDEX($A:$AP,ROW(),$G$6)),INDEX($A:$AP,ROW(),$G$6),IFERROR(--SUBSTITUTE(SUBSTITUTE(TRIM(INDEX($A:$AP,ROW(),$G$6)),",",""),"원",""),0))))</f>
        <v/>
      </c>
      <c r="AV760" s="23">
        <f>IF($AS760="","",IF($H$6="",$AT760+$AU760,IF($H$6="",0,IF(ISNUMBER(INDEX($A:$AP,ROW(),$H$6)),INDEX($A:$AP,ROW(),$H$6),IFERROR(--SUBSTITUTE(SUBSTITUTE(TRIM(INDEX($A:$AP,ROW(),$H$6)),",",""),"원",""),0)))))</f>
        <v/>
      </c>
      <c r="AW760" s="2">
        <f>IF(OR($AS760="",$C$6=""),"",TRIM(INDEX($A:$AP,ROW(),$C$6)&amp;""))</f>
        <v/>
      </c>
      <c r="AX760" s="2">
        <f>IF($AS760="","",IF($AZ760&lt;&gt;"",SUBSTITUTE(SUBSTITUTE($AZ760,"-","")," ",""),$AY760))</f>
        <v/>
      </c>
      <c r="AY760" s="2">
        <f>IF(OR($AS760="",$E$6=""),"",TRIM(INDEX($A:$AP,ROW(),$E$6)&amp;""))</f>
        <v/>
      </c>
      <c r="AZ760" s="2">
        <f>IF(OR($AS760="",$D$6=""),"",TRIM(INDEX($A:$AP,ROW(),$D$6)&amp;""))</f>
        <v/>
      </c>
      <c r="BA760" s="2">
        <f>IF($AS760="","",IF(AND($AS760&gt;=설정!$B$10,$AS760&lt;=설정!$B$11),"포함","기간 밖"))</f>
        <v/>
      </c>
      <c r="BB760" s="2">
        <f>IF($AS760="","",IF(OR($AT760&lt;0,AND($I$6&lt;&gt;"",ISNUMBER(FIND("수정",INDEX($A:$AP,ROW(),IF($I$6="",1,$I$6))&amp;"")))),"수정","일반"))</f>
        <v/>
      </c>
      <c r="BC760" s="2">
        <f>IF($AS760="","",MID(IF($BA760="기간 밖"," / 기간 밖(신고기간 아님)","")&amp;IF(AND($AW760&lt;&gt;"",COUNTIF($AW$8:$AW$1007,$AW760)&gt;1)," / 승인번호 중복(두 번 붙여넣기?)","")&amp;IF(ABS($AU760-ROUND($AT760*0.1,0))&gt;설정!$B$8,IF($AU760=0," / 세액 0원(영세율·면세 여부 확인)"," / 세액이 공급가액 10%와 다름"),"")&amp;IF($BB760="수정"," / 수정세금계산서(합계에서 자동 가감)",""),4,200))</f>
        <v/>
      </c>
      <c r="BD760" s="2">
        <f>IF($BA760&lt;&gt;"포함","",IF(COUNTIFS($AX$8:$AX760,$AX760,$BA$8:$BA760,"포함")=1,MAX($BD$7:BD759)+1,""))</f>
        <v/>
      </c>
      <c r="BE760" s="2">
        <f>IF($BC760="","",MAX($BE$7:BE759)+1)</f>
        <v/>
      </c>
    </row>
    <row r="761">
      <c r="AR761" s="2">
        <f>IF(OR($A$5="",$B$6="",ROW()&lt;$A$5),"",IF(INDEX($A:$AP,ROW(),$B$6)="","",INDEX($A:$AP,ROW(),$B$6)))</f>
        <v/>
      </c>
      <c r="AS761" s="22">
        <f>IF($AR761="","",IF(ISNUMBER($AR761),IF($AR761&gt;=10000000,IFERROR(DATE(INT($AR761/10000),MOD(INT($AR761/100),100),MOD($AR761,100)),""),INT($AR761)),IFERROR(DATE(--LEFT(LEFT(SUBSTITUTE(SUBSTITUTE(SUBSTITUTE(SUBSTITUTE(TRIM($AR761),"-",""),".",""),"/","")," ",""),8),4),--MID(LEFT(SUBSTITUTE(SUBSTITUTE(SUBSTITUTE(SUBSTITUTE(TRIM($AR761),"-",""),".",""),"/","")," ",""),8),5,2),--MID(LEFT(SUBSTITUTE(SUBSTITUTE(SUBSTITUTE(SUBSTITUTE(TRIM($AR761),"-",""),".",""),"/","")," ",""),8),7,2)),"")))</f>
        <v/>
      </c>
      <c r="AT761" s="23">
        <f>IF($AS761="","",IF($F$6="",0,IF(ISNUMBER(INDEX($A:$AP,ROW(),$F$6)),INDEX($A:$AP,ROW(),$F$6),IFERROR(--SUBSTITUTE(SUBSTITUTE(TRIM(INDEX($A:$AP,ROW(),$F$6)),",",""),"원",""),0))))</f>
        <v/>
      </c>
      <c r="AU761" s="23">
        <f>IF($AS761="","",IF($G$6="",0,IF(ISNUMBER(INDEX($A:$AP,ROW(),$G$6)),INDEX($A:$AP,ROW(),$G$6),IFERROR(--SUBSTITUTE(SUBSTITUTE(TRIM(INDEX($A:$AP,ROW(),$G$6)),",",""),"원",""),0))))</f>
        <v/>
      </c>
      <c r="AV761" s="23">
        <f>IF($AS761="","",IF($H$6="",$AT761+$AU761,IF($H$6="",0,IF(ISNUMBER(INDEX($A:$AP,ROW(),$H$6)),INDEX($A:$AP,ROW(),$H$6),IFERROR(--SUBSTITUTE(SUBSTITUTE(TRIM(INDEX($A:$AP,ROW(),$H$6)),",",""),"원",""),0)))))</f>
        <v/>
      </c>
      <c r="AW761" s="2">
        <f>IF(OR($AS761="",$C$6=""),"",TRIM(INDEX($A:$AP,ROW(),$C$6)&amp;""))</f>
        <v/>
      </c>
      <c r="AX761" s="2">
        <f>IF($AS761="","",IF($AZ761&lt;&gt;"",SUBSTITUTE(SUBSTITUTE($AZ761,"-","")," ",""),$AY761))</f>
        <v/>
      </c>
      <c r="AY761" s="2">
        <f>IF(OR($AS761="",$E$6=""),"",TRIM(INDEX($A:$AP,ROW(),$E$6)&amp;""))</f>
        <v/>
      </c>
      <c r="AZ761" s="2">
        <f>IF(OR($AS761="",$D$6=""),"",TRIM(INDEX($A:$AP,ROW(),$D$6)&amp;""))</f>
        <v/>
      </c>
      <c r="BA761" s="2">
        <f>IF($AS761="","",IF(AND($AS761&gt;=설정!$B$10,$AS761&lt;=설정!$B$11),"포함","기간 밖"))</f>
        <v/>
      </c>
      <c r="BB761" s="2">
        <f>IF($AS761="","",IF(OR($AT761&lt;0,AND($I$6&lt;&gt;"",ISNUMBER(FIND("수정",INDEX($A:$AP,ROW(),IF($I$6="",1,$I$6))&amp;"")))),"수정","일반"))</f>
        <v/>
      </c>
      <c r="BC761" s="2">
        <f>IF($AS761="","",MID(IF($BA761="기간 밖"," / 기간 밖(신고기간 아님)","")&amp;IF(AND($AW761&lt;&gt;"",COUNTIF($AW$8:$AW$1007,$AW761)&gt;1)," / 승인번호 중복(두 번 붙여넣기?)","")&amp;IF(ABS($AU761-ROUND($AT761*0.1,0))&gt;설정!$B$8,IF($AU761=0," / 세액 0원(영세율·면세 여부 확인)"," / 세액이 공급가액 10%와 다름"),"")&amp;IF($BB761="수정"," / 수정세금계산서(합계에서 자동 가감)",""),4,200))</f>
        <v/>
      </c>
      <c r="BD761" s="2">
        <f>IF($BA761&lt;&gt;"포함","",IF(COUNTIFS($AX$8:$AX761,$AX761,$BA$8:$BA761,"포함")=1,MAX($BD$7:BD760)+1,""))</f>
        <v/>
      </c>
      <c r="BE761" s="2">
        <f>IF($BC761="","",MAX($BE$7:BE760)+1)</f>
        <v/>
      </c>
    </row>
    <row r="762">
      <c r="AR762" s="2">
        <f>IF(OR($A$5="",$B$6="",ROW()&lt;$A$5),"",IF(INDEX($A:$AP,ROW(),$B$6)="","",INDEX($A:$AP,ROW(),$B$6)))</f>
        <v/>
      </c>
      <c r="AS762" s="22">
        <f>IF($AR762="","",IF(ISNUMBER($AR762),IF($AR762&gt;=10000000,IFERROR(DATE(INT($AR762/10000),MOD(INT($AR762/100),100),MOD($AR762,100)),""),INT($AR762)),IFERROR(DATE(--LEFT(LEFT(SUBSTITUTE(SUBSTITUTE(SUBSTITUTE(SUBSTITUTE(TRIM($AR762),"-",""),".",""),"/","")," ",""),8),4),--MID(LEFT(SUBSTITUTE(SUBSTITUTE(SUBSTITUTE(SUBSTITUTE(TRIM($AR762),"-",""),".",""),"/","")," ",""),8),5,2),--MID(LEFT(SUBSTITUTE(SUBSTITUTE(SUBSTITUTE(SUBSTITUTE(TRIM($AR762),"-",""),".",""),"/","")," ",""),8),7,2)),"")))</f>
        <v/>
      </c>
      <c r="AT762" s="23">
        <f>IF($AS762="","",IF($F$6="",0,IF(ISNUMBER(INDEX($A:$AP,ROW(),$F$6)),INDEX($A:$AP,ROW(),$F$6),IFERROR(--SUBSTITUTE(SUBSTITUTE(TRIM(INDEX($A:$AP,ROW(),$F$6)),",",""),"원",""),0))))</f>
        <v/>
      </c>
      <c r="AU762" s="23">
        <f>IF($AS762="","",IF($G$6="",0,IF(ISNUMBER(INDEX($A:$AP,ROW(),$G$6)),INDEX($A:$AP,ROW(),$G$6),IFERROR(--SUBSTITUTE(SUBSTITUTE(TRIM(INDEX($A:$AP,ROW(),$G$6)),",",""),"원",""),0))))</f>
        <v/>
      </c>
      <c r="AV762" s="23">
        <f>IF($AS762="","",IF($H$6="",$AT762+$AU762,IF($H$6="",0,IF(ISNUMBER(INDEX($A:$AP,ROW(),$H$6)),INDEX($A:$AP,ROW(),$H$6),IFERROR(--SUBSTITUTE(SUBSTITUTE(TRIM(INDEX($A:$AP,ROW(),$H$6)),",",""),"원",""),0)))))</f>
        <v/>
      </c>
      <c r="AW762" s="2">
        <f>IF(OR($AS762="",$C$6=""),"",TRIM(INDEX($A:$AP,ROW(),$C$6)&amp;""))</f>
        <v/>
      </c>
      <c r="AX762" s="2">
        <f>IF($AS762="","",IF($AZ762&lt;&gt;"",SUBSTITUTE(SUBSTITUTE($AZ762,"-","")," ",""),$AY762))</f>
        <v/>
      </c>
      <c r="AY762" s="2">
        <f>IF(OR($AS762="",$E$6=""),"",TRIM(INDEX($A:$AP,ROW(),$E$6)&amp;""))</f>
        <v/>
      </c>
      <c r="AZ762" s="2">
        <f>IF(OR($AS762="",$D$6=""),"",TRIM(INDEX($A:$AP,ROW(),$D$6)&amp;""))</f>
        <v/>
      </c>
      <c r="BA762" s="2">
        <f>IF($AS762="","",IF(AND($AS762&gt;=설정!$B$10,$AS762&lt;=설정!$B$11),"포함","기간 밖"))</f>
        <v/>
      </c>
      <c r="BB762" s="2">
        <f>IF($AS762="","",IF(OR($AT762&lt;0,AND($I$6&lt;&gt;"",ISNUMBER(FIND("수정",INDEX($A:$AP,ROW(),IF($I$6="",1,$I$6))&amp;"")))),"수정","일반"))</f>
        <v/>
      </c>
      <c r="BC762" s="2">
        <f>IF($AS762="","",MID(IF($BA762="기간 밖"," / 기간 밖(신고기간 아님)","")&amp;IF(AND($AW762&lt;&gt;"",COUNTIF($AW$8:$AW$1007,$AW762)&gt;1)," / 승인번호 중복(두 번 붙여넣기?)","")&amp;IF(ABS($AU762-ROUND($AT762*0.1,0))&gt;설정!$B$8,IF($AU762=0," / 세액 0원(영세율·면세 여부 확인)"," / 세액이 공급가액 10%와 다름"),"")&amp;IF($BB762="수정"," / 수정세금계산서(합계에서 자동 가감)",""),4,200))</f>
        <v/>
      </c>
      <c r="BD762" s="2">
        <f>IF($BA762&lt;&gt;"포함","",IF(COUNTIFS($AX$8:$AX762,$AX762,$BA$8:$BA762,"포함")=1,MAX($BD$7:BD761)+1,""))</f>
        <v/>
      </c>
      <c r="BE762" s="2">
        <f>IF($BC762="","",MAX($BE$7:BE761)+1)</f>
        <v/>
      </c>
    </row>
    <row r="763">
      <c r="AR763" s="2">
        <f>IF(OR($A$5="",$B$6="",ROW()&lt;$A$5),"",IF(INDEX($A:$AP,ROW(),$B$6)="","",INDEX($A:$AP,ROW(),$B$6)))</f>
        <v/>
      </c>
      <c r="AS763" s="22">
        <f>IF($AR763="","",IF(ISNUMBER($AR763),IF($AR763&gt;=10000000,IFERROR(DATE(INT($AR763/10000),MOD(INT($AR763/100),100),MOD($AR763,100)),""),INT($AR763)),IFERROR(DATE(--LEFT(LEFT(SUBSTITUTE(SUBSTITUTE(SUBSTITUTE(SUBSTITUTE(TRIM($AR763),"-",""),".",""),"/","")," ",""),8),4),--MID(LEFT(SUBSTITUTE(SUBSTITUTE(SUBSTITUTE(SUBSTITUTE(TRIM($AR763),"-",""),".",""),"/","")," ",""),8),5,2),--MID(LEFT(SUBSTITUTE(SUBSTITUTE(SUBSTITUTE(SUBSTITUTE(TRIM($AR763),"-",""),".",""),"/","")," ",""),8),7,2)),"")))</f>
        <v/>
      </c>
      <c r="AT763" s="23">
        <f>IF($AS763="","",IF($F$6="",0,IF(ISNUMBER(INDEX($A:$AP,ROW(),$F$6)),INDEX($A:$AP,ROW(),$F$6),IFERROR(--SUBSTITUTE(SUBSTITUTE(TRIM(INDEX($A:$AP,ROW(),$F$6)),",",""),"원",""),0))))</f>
        <v/>
      </c>
      <c r="AU763" s="23">
        <f>IF($AS763="","",IF($G$6="",0,IF(ISNUMBER(INDEX($A:$AP,ROW(),$G$6)),INDEX($A:$AP,ROW(),$G$6),IFERROR(--SUBSTITUTE(SUBSTITUTE(TRIM(INDEX($A:$AP,ROW(),$G$6)),",",""),"원",""),0))))</f>
        <v/>
      </c>
      <c r="AV763" s="23">
        <f>IF($AS763="","",IF($H$6="",$AT763+$AU763,IF($H$6="",0,IF(ISNUMBER(INDEX($A:$AP,ROW(),$H$6)),INDEX($A:$AP,ROW(),$H$6),IFERROR(--SUBSTITUTE(SUBSTITUTE(TRIM(INDEX($A:$AP,ROW(),$H$6)),",",""),"원",""),0)))))</f>
        <v/>
      </c>
      <c r="AW763" s="2">
        <f>IF(OR($AS763="",$C$6=""),"",TRIM(INDEX($A:$AP,ROW(),$C$6)&amp;""))</f>
        <v/>
      </c>
      <c r="AX763" s="2">
        <f>IF($AS763="","",IF($AZ763&lt;&gt;"",SUBSTITUTE(SUBSTITUTE($AZ763,"-","")," ",""),$AY763))</f>
        <v/>
      </c>
      <c r="AY763" s="2">
        <f>IF(OR($AS763="",$E$6=""),"",TRIM(INDEX($A:$AP,ROW(),$E$6)&amp;""))</f>
        <v/>
      </c>
      <c r="AZ763" s="2">
        <f>IF(OR($AS763="",$D$6=""),"",TRIM(INDEX($A:$AP,ROW(),$D$6)&amp;""))</f>
        <v/>
      </c>
      <c r="BA763" s="2">
        <f>IF($AS763="","",IF(AND($AS763&gt;=설정!$B$10,$AS763&lt;=설정!$B$11),"포함","기간 밖"))</f>
        <v/>
      </c>
      <c r="BB763" s="2">
        <f>IF($AS763="","",IF(OR($AT763&lt;0,AND($I$6&lt;&gt;"",ISNUMBER(FIND("수정",INDEX($A:$AP,ROW(),IF($I$6="",1,$I$6))&amp;"")))),"수정","일반"))</f>
        <v/>
      </c>
      <c r="BC763" s="2">
        <f>IF($AS763="","",MID(IF($BA763="기간 밖"," / 기간 밖(신고기간 아님)","")&amp;IF(AND($AW763&lt;&gt;"",COUNTIF($AW$8:$AW$1007,$AW763)&gt;1)," / 승인번호 중복(두 번 붙여넣기?)","")&amp;IF(ABS($AU763-ROUND($AT763*0.1,0))&gt;설정!$B$8,IF($AU763=0," / 세액 0원(영세율·면세 여부 확인)"," / 세액이 공급가액 10%와 다름"),"")&amp;IF($BB763="수정"," / 수정세금계산서(합계에서 자동 가감)",""),4,200))</f>
        <v/>
      </c>
      <c r="BD763" s="2">
        <f>IF($BA763&lt;&gt;"포함","",IF(COUNTIFS($AX$8:$AX763,$AX763,$BA$8:$BA763,"포함")=1,MAX($BD$7:BD762)+1,""))</f>
        <v/>
      </c>
      <c r="BE763" s="2">
        <f>IF($BC763="","",MAX($BE$7:BE762)+1)</f>
        <v/>
      </c>
    </row>
    <row r="764">
      <c r="AR764" s="2">
        <f>IF(OR($A$5="",$B$6="",ROW()&lt;$A$5),"",IF(INDEX($A:$AP,ROW(),$B$6)="","",INDEX($A:$AP,ROW(),$B$6)))</f>
        <v/>
      </c>
      <c r="AS764" s="22">
        <f>IF($AR764="","",IF(ISNUMBER($AR764),IF($AR764&gt;=10000000,IFERROR(DATE(INT($AR764/10000),MOD(INT($AR764/100),100),MOD($AR764,100)),""),INT($AR764)),IFERROR(DATE(--LEFT(LEFT(SUBSTITUTE(SUBSTITUTE(SUBSTITUTE(SUBSTITUTE(TRIM($AR764),"-",""),".",""),"/","")," ",""),8),4),--MID(LEFT(SUBSTITUTE(SUBSTITUTE(SUBSTITUTE(SUBSTITUTE(TRIM($AR764),"-",""),".",""),"/","")," ",""),8),5,2),--MID(LEFT(SUBSTITUTE(SUBSTITUTE(SUBSTITUTE(SUBSTITUTE(TRIM($AR764),"-",""),".",""),"/","")," ",""),8),7,2)),"")))</f>
        <v/>
      </c>
      <c r="AT764" s="23">
        <f>IF($AS764="","",IF($F$6="",0,IF(ISNUMBER(INDEX($A:$AP,ROW(),$F$6)),INDEX($A:$AP,ROW(),$F$6),IFERROR(--SUBSTITUTE(SUBSTITUTE(TRIM(INDEX($A:$AP,ROW(),$F$6)),",",""),"원",""),0))))</f>
        <v/>
      </c>
      <c r="AU764" s="23">
        <f>IF($AS764="","",IF($G$6="",0,IF(ISNUMBER(INDEX($A:$AP,ROW(),$G$6)),INDEX($A:$AP,ROW(),$G$6),IFERROR(--SUBSTITUTE(SUBSTITUTE(TRIM(INDEX($A:$AP,ROW(),$G$6)),",",""),"원",""),0))))</f>
        <v/>
      </c>
      <c r="AV764" s="23">
        <f>IF($AS764="","",IF($H$6="",$AT764+$AU764,IF($H$6="",0,IF(ISNUMBER(INDEX($A:$AP,ROW(),$H$6)),INDEX($A:$AP,ROW(),$H$6),IFERROR(--SUBSTITUTE(SUBSTITUTE(TRIM(INDEX($A:$AP,ROW(),$H$6)),",",""),"원",""),0)))))</f>
        <v/>
      </c>
      <c r="AW764" s="2">
        <f>IF(OR($AS764="",$C$6=""),"",TRIM(INDEX($A:$AP,ROW(),$C$6)&amp;""))</f>
        <v/>
      </c>
      <c r="AX764" s="2">
        <f>IF($AS764="","",IF($AZ764&lt;&gt;"",SUBSTITUTE(SUBSTITUTE($AZ764,"-","")," ",""),$AY764))</f>
        <v/>
      </c>
      <c r="AY764" s="2">
        <f>IF(OR($AS764="",$E$6=""),"",TRIM(INDEX($A:$AP,ROW(),$E$6)&amp;""))</f>
        <v/>
      </c>
      <c r="AZ764" s="2">
        <f>IF(OR($AS764="",$D$6=""),"",TRIM(INDEX($A:$AP,ROW(),$D$6)&amp;""))</f>
        <v/>
      </c>
      <c r="BA764" s="2">
        <f>IF($AS764="","",IF(AND($AS764&gt;=설정!$B$10,$AS764&lt;=설정!$B$11),"포함","기간 밖"))</f>
        <v/>
      </c>
      <c r="BB764" s="2">
        <f>IF($AS764="","",IF(OR($AT764&lt;0,AND($I$6&lt;&gt;"",ISNUMBER(FIND("수정",INDEX($A:$AP,ROW(),IF($I$6="",1,$I$6))&amp;"")))),"수정","일반"))</f>
        <v/>
      </c>
      <c r="BC764" s="2">
        <f>IF($AS764="","",MID(IF($BA764="기간 밖"," / 기간 밖(신고기간 아님)","")&amp;IF(AND($AW764&lt;&gt;"",COUNTIF($AW$8:$AW$1007,$AW764)&gt;1)," / 승인번호 중복(두 번 붙여넣기?)","")&amp;IF(ABS($AU764-ROUND($AT764*0.1,0))&gt;설정!$B$8,IF($AU764=0," / 세액 0원(영세율·면세 여부 확인)"," / 세액이 공급가액 10%와 다름"),"")&amp;IF($BB764="수정"," / 수정세금계산서(합계에서 자동 가감)",""),4,200))</f>
        <v/>
      </c>
      <c r="BD764" s="2">
        <f>IF($BA764&lt;&gt;"포함","",IF(COUNTIFS($AX$8:$AX764,$AX764,$BA$8:$BA764,"포함")=1,MAX($BD$7:BD763)+1,""))</f>
        <v/>
      </c>
      <c r="BE764" s="2">
        <f>IF($BC764="","",MAX($BE$7:BE763)+1)</f>
        <v/>
      </c>
    </row>
    <row r="765">
      <c r="AR765" s="2">
        <f>IF(OR($A$5="",$B$6="",ROW()&lt;$A$5),"",IF(INDEX($A:$AP,ROW(),$B$6)="","",INDEX($A:$AP,ROW(),$B$6)))</f>
        <v/>
      </c>
      <c r="AS765" s="22">
        <f>IF($AR765="","",IF(ISNUMBER($AR765),IF($AR765&gt;=10000000,IFERROR(DATE(INT($AR765/10000),MOD(INT($AR765/100),100),MOD($AR765,100)),""),INT($AR765)),IFERROR(DATE(--LEFT(LEFT(SUBSTITUTE(SUBSTITUTE(SUBSTITUTE(SUBSTITUTE(TRIM($AR765),"-",""),".",""),"/","")," ",""),8),4),--MID(LEFT(SUBSTITUTE(SUBSTITUTE(SUBSTITUTE(SUBSTITUTE(TRIM($AR765),"-",""),".",""),"/","")," ",""),8),5,2),--MID(LEFT(SUBSTITUTE(SUBSTITUTE(SUBSTITUTE(SUBSTITUTE(TRIM($AR765),"-",""),".",""),"/","")," ",""),8),7,2)),"")))</f>
        <v/>
      </c>
      <c r="AT765" s="23">
        <f>IF($AS765="","",IF($F$6="",0,IF(ISNUMBER(INDEX($A:$AP,ROW(),$F$6)),INDEX($A:$AP,ROW(),$F$6),IFERROR(--SUBSTITUTE(SUBSTITUTE(TRIM(INDEX($A:$AP,ROW(),$F$6)),",",""),"원",""),0))))</f>
        <v/>
      </c>
      <c r="AU765" s="23">
        <f>IF($AS765="","",IF($G$6="",0,IF(ISNUMBER(INDEX($A:$AP,ROW(),$G$6)),INDEX($A:$AP,ROW(),$G$6),IFERROR(--SUBSTITUTE(SUBSTITUTE(TRIM(INDEX($A:$AP,ROW(),$G$6)),",",""),"원",""),0))))</f>
        <v/>
      </c>
      <c r="AV765" s="23">
        <f>IF($AS765="","",IF($H$6="",$AT765+$AU765,IF($H$6="",0,IF(ISNUMBER(INDEX($A:$AP,ROW(),$H$6)),INDEX($A:$AP,ROW(),$H$6),IFERROR(--SUBSTITUTE(SUBSTITUTE(TRIM(INDEX($A:$AP,ROW(),$H$6)),",",""),"원",""),0)))))</f>
        <v/>
      </c>
      <c r="AW765" s="2">
        <f>IF(OR($AS765="",$C$6=""),"",TRIM(INDEX($A:$AP,ROW(),$C$6)&amp;""))</f>
        <v/>
      </c>
      <c r="AX765" s="2">
        <f>IF($AS765="","",IF($AZ765&lt;&gt;"",SUBSTITUTE(SUBSTITUTE($AZ765,"-","")," ",""),$AY765))</f>
        <v/>
      </c>
      <c r="AY765" s="2">
        <f>IF(OR($AS765="",$E$6=""),"",TRIM(INDEX($A:$AP,ROW(),$E$6)&amp;""))</f>
        <v/>
      </c>
      <c r="AZ765" s="2">
        <f>IF(OR($AS765="",$D$6=""),"",TRIM(INDEX($A:$AP,ROW(),$D$6)&amp;""))</f>
        <v/>
      </c>
      <c r="BA765" s="2">
        <f>IF($AS765="","",IF(AND($AS765&gt;=설정!$B$10,$AS765&lt;=설정!$B$11),"포함","기간 밖"))</f>
        <v/>
      </c>
      <c r="BB765" s="2">
        <f>IF($AS765="","",IF(OR($AT765&lt;0,AND($I$6&lt;&gt;"",ISNUMBER(FIND("수정",INDEX($A:$AP,ROW(),IF($I$6="",1,$I$6))&amp;"")))),"수정","일반"))</f>
        <v/>
      </c>
      <c r="BC765" s="2">
        <f>IF($AS765="","",MID(IF($BA765="기간 밖"," / 기간 밖(신고기간 아님)","")&amp;IF(AND($AW765&lt;&gt;"",COUNTIF($AW$8:$AW$1007,$AW765)&gt;1)," / 승인번호 중복(두 번 붙여넣기?)","")&amp;IF(ABS($AU765-ROUND($AT765*0.1,0))&gt;설정!$B$8,IF($AU765=0," / 세액 0원(영세율·면세 여부 확인)"," / 세액이 공급가액 10%와 다름"),"")&amp;IF($BB765="수정"," / 수정세금계산서(합계에서 자동 가감)",""),4,200))</f>
        <v/>
      </c>
      <c r="BD765" s="2">
        <f>IF($BA765&lt;&gt;"포함","",IF(COUNTIFS($AX$8:$AX765,$AX765,$BA$8:$BA765,"포함")=1,MAX($BD$7:BD764)+1,""))</f>
        <v/>
      </c>
      <c r="BE765" s="2">
        <f>IF($BC765="","",MAX($BE$7:BE764)+1)</f>
        <v/>
      </c>
    </row>
    <row r="766">
      <c r="AR766" s="2">
        <f>IF(OR($A$5="",$B$6="",ROW()&lt;$A$5),"",IF(INDEX($A:$AP,ROW(),$B$6)="","",INDEX($A:$AP,ROW(),$B$6)))</f>
        <v/>
      </c>
      <c r="AS766" s="22">
        <f>IF($AR766="","",IF(ISNUMBER($AR766),IF($AR766&gt;=10000000,IFERROR(DATE(INT($AR766/10000),MOD(INT($AR766/100),100),MOD($AR766,100)),""),INT($AR766)),IFERROR(DATE(--LEFT(LEFT(SUBSTITUTE(SUBSTITUTE(SUBSTITUTE(SUBSTITUTE(TRIM($AR766),"-",""),".",""),"/","")," ",""),8),4),--MID(LEFT(SUBSTITUTE(SUBSTITUTE(SUBSTITUTE(SUBSTITUTE(TRIM($AR766),"-",""),".",""),"/","")," ",""),8),5,2),--MID(LEFT(SUBSTITUTE(SUBSTITUTE(SUBSTITUTE(SUBSTITUTE(TRIM($AR766),"-",""),".",""),"/","")," ",""),8),7,2)),"")))</f>
        <v/>
      </c>
      <c r="AT766" s="23">
        <f>IF($AS766="","",IF($F$6="",0,IF(ISNUMBER(INDEX($A:$AP,ROW(),$F$6)),INDEX($A:$AP,ROW(),$F$6),IFERROR(--SUBSTITUTE(SUBSTITUTE(TRIM(INDEX($A:$AP,ROW(),$F$6)),",",""),"원",""),0))))</f>
        <v/>
      </c>
      <c r="AU766" s="23">
        <f>IF($AS766="","",IF($G$6="",0,IF(ISNUMBER(INDEX($A:$AP,ROW(),$G$6)),INDEX($A:$AP,ROW(),$G$6),IFERROR(--SUBSTITUTE(SUBSTITUTE(TRIM(INDEX($A:$AP,ROW(),$G$6)),",",""),"원",""),0))))</f>
        <v/>
      </c>
      <c r="AV766" s="23">
        <f>IF($AS766="","",IF($H$6="",$AT766+$AU766,IF($H$6="",0,IF(ISNUMBER(INDEX($A:$AP,ROW(),$H$6)),INDEX($A:$AP,ROW(),$H$6),IFERROR(--SUBSTITUTE(SUBSTITUTE(TRIM(INDEX($A:$AP,ROW(),$H$6)),",",""),"원",""),0)))))</f>
        <v/>
      </c>
      <c r="AW766" s="2">
        <f>IF(OR($AS766="",$C$6=""),"",TRIM(INDEX($A:$AP,ROW(),$C$6)&amp;""))</f>
        <v/>
      </c>
      <c r="AX766" s="2">
        <f>IF($AS766="","",IF($AZ766&lt;&gt;"",SUBSTITUTE(SUBSTITUTE($AZ766,"-","")," ",""),$AY766))</f>
        <v/>
      </c>
      <c r="AY766" s="2">
        <f>IF(OR($AS766="",$E$6=""),"",TRIM(INDEX($A:$AP,ROW(),$E$6)&amp;""))</f>
        <v/>
      </c>
      <c r="AZ766" s="2">
        <f>IF(OR($AS766="",$D$6=""),"",TRIM(INDEX($A:$AP,ROW(),$D$6)&amp;""))</f>
        <v/>
      </c>
      <c r="BA766" s="2">
        <f>IF($AS766="","",IF(AND($AS766&gt;=설정!$B$10,$AS766&lt;=설정!$B$11),"포함","기간 밖"))</f>
        <v/>
      </c>
      <c r="BB766" s="2">
        <f>IF($AS766="","",IF(OR($AT766&lt;0,AND($I$6&lt;&gt;"",ISNUMBER(FIND("수정",INDEX($A:$AP,ROW(),IF($I$6="",1,$I$6))&amp;"")))),"수정","일반"))</f>
        <v/>
      </c>
      <c r="BC766" s="2">
        <f>IF($AS766="","",MID(IF($BA766="기간 밖"," / 기간 밖(신고기간 아님)","")&amp;IF(AND($AW766&lt;&gt;"",COUNTIF($AW$8:$AW$1007,$AW766)&gt;1)," / 승인번호 중복(두 번 붙여넣기?)","")&amp;IF(ABS($AU766-ROUND($AT766*0.1,0))&gt;설정!$B$8,IF($AU766=0," / 세액 0원(영세율·면세 여부 확인)"," / 세액이 공급가액 10%와 다름"),"")&amp;IF($BB766="수정"," / 수정세금계산서(합계에서 자동 가감)",""),4,200))</f>
        <v/>
      </c>
      <c r="BD766" s="2">
        <f>IF($BA766&lt;&gt;"포함","",IF(COUNTIFS($AX$8:$AX766,$AX766,$BA$8:$BA766,"포함")=1,MAX($BD$7:BD765)+1,""))</f>
        <v/>
      </c>
      <c r="BE766" s="2">
        <f>IF($BC766="","",MAX($BE$7:BE765)+1)</f>
        <v/>
      </c>
    </row>
    <row r="767">
      <c r="AR767" s="2">
        <f>IF(OR($A$5="",$B$6="",ROW()&lt;$A$5),"",IF(INDEX($A:$AP,ROW(),$B$6)="","",INDEX($A:$AP,ROW(),$B$6)))</f>
        <v/>
      </c>
      <c r="AS767" s="22">
        <f>IF($AR767="","",IF(ISNUMBER($AR767),IF($AR767&gt;=10000000,IFERROR(DATE(INT($AR767/10000),MOD(INT($AR767/100),100),MOD($AR767,100)),""),INT($AR767)),IFERROR(DATE(--LEFT(LEFT(SUBSTITUTE(SUBSTITUTE(SUBSTITUTE(SUBSTITUTE(TRIM($AR767),"-",""),".",""),"/","")," ",""),8),4),--MID(LEFT(SUBSTITUTE(SUBSTITUTE(SUBSTITUTE(SUBSTITUTE(TRIM($AR767),"-",""),".",""),"/","")," ",""),8),5,2),--MID(LEFT(SUBSTITUTE(SUBSTITUTE(SUBSTITUTE(SUBSTITUTE(TRIM($AR767),"-",""),".",""),"/","")," ",""),8),7,2)),"")))</f>
        <v/>
      </c>
      <c r="AT767" s="23">
        <f>IF($AS767="","",IF($F$6="",0,IF(ISNUMBER(INDEX($A:$AP,ROW(),$F$6)),INDEX($A:$AP,ROW(),$F$6),IFERROR(--SUBSTITUTE(SUBSTITUTE(TRIM(INDEX($A:$AP,ROW(),$F$6)),",",""),"원",""),0))))</f>
        <v/>
      </c>
      <c r="AU767" s="23">
        <f>IF($AS767="","",IF($G$6="",0,IF(ISNUMBER(INDEX($A:$AP,ROW(),$G$6)),INDEX($A:$AP,ROW(),$G$6),IFERROR(--SUBSTITUTE(SUBSTITUTE(TRIM(INDEX($A:$AP,ROW(),$G$6)),",",""),"원",""),0))))</f>
        <v/>
      </c>
      <c r="AV767" s="23">
        <f>IF($AS767="","",IF($H$6="",$AT767+$AU767,IF($H$6="",0,IF(ISNUMBER(INDEX($A:$AP,ROW(),$H$6)),INDEX($A:$AP,ROW(),$H$6),IFERROR(--SUBSTITUTE(SUBSTITUTE(TRIM(INDEX($A:$AP,ROW(),$H$6)),",",""),"원",""),0)))))</f>
        <v/>
      </c>
      <c r="AW767" s="2">
        <f>IF(OR($AS767="",$C$6=""),"",TRIM(INDEX($A:$AP,ROW(),$C$6)&amp;""))</f>
        <v/>
      </c>
      <c r="AX767" s="2">
        <f>IF($AS767="","",IF($AZ767&lt;&gt;"",SUBSTITUTE(SUBSTITUTE($AZ767,"-","")," ",""),$AY767))</f>
        <v/>
      </c>
      <c r="AY767" s="2">
        <f>IF(OR($AS767="",$E$6=""),"",TRIM(INDEX($A:$AP,ROW(),$E$6)&amp;""))</f>
        <v/>
      </c>
      <c r="AZ767" s="2">
        <f>IF(OR($AS767="",$D$6=""),"",TRIM(INDEX($A:$AP,ROW(),$D$6)&amp;""))</f>
        <v/>
      </c>
      <c r="BA767" s="2">
        <f>IF($AS767="","",IF(AND($AS767&gt;=설정!$B$10,$AS767&lt;=설정!$B$11),"포함","기간 밖"))</f>
        <v/>
      </c>
      <c r="BB767" s="2">
        <f>IF($AS767="","",IF(OR($AT767&lt;0,AND($I$6&lt;&gt;"",ISNUMBER(FIND("수정",INDEX($A:$AP,ROW(),IF($I$6="",1,$I$6))&amp;"")))),"수정","일반"))</f>
        <v/>
      </c>
      <c r="BC767" s="2">
        <f>IF($AS767="","",MID(IF($BA767="기간 밖"," / 기간 밖(신고기간 아님)","")&amp;IF(AND($AW767&lt;&gt;"",COUNTIF($AW$8:$AW$1007,$AW767)&gt;1)," / 승인번호 중복(두 번 붙여넣기?)","")&amp;IF(ABS($AU767-ROUND($AT767*0.1,0))&gt;설정!$B$8,IF($AU767=0," / 세액 0원(영세율·면세 여부 확인)"," / 세액이 공급가액 10%와 다름"),"")&amp;IF($BB767="수정"," / 수정세금계산서(합계에서 자동 가감)",""),4,200))</f>
        <v/>
      </c>
      <c r="BD767" s="2">
        <f>IF($BA767&lt;&gt;"포함","",IF(COUNTIFS($AX$8:$AX767,$AX767,$BA$8:$BA767,"포함")=1,MAX($BD$7:BD766)+1,""))</f>
        <v/>
      </c>
      <c r="BE767" s="2">
        <f>IF($BC767="","",MAX($BE$7:BE766)+1)</f>
        <v/>
      </c>
    </row>
    <row r="768">
      <c r="AR768" s="2">
        <f>IF(OR($A$5="",$B$6="",ROW()&lt;$A$5),"",IF(INDEX($A:$AP,ROW(),$B$6)="","",INDEX($A:$AP,ROW(),$B$6)))</f>
        <v/>
      </c>
      <c r="AS768" s="22">
        <f>IF($AR768="","",IF(ISNUMBER($AR768),IF($AR768&gt;=10000000,IFERROR(DATE(INT($AR768/10000),MOD(INT($AR768/100),100),MOD($AR768,100)),""),INT($AR768)),IFERROR(DATE(--LEFT(LEFT(SUBSTITUTE(SUBSTITUTE(SUBSTITUTE(SUBSTITUTE(TRIM($AR768),"-",""),".",""),"/","")," ",""),8),4),--MID(LEFT(SUBSTITUTE(SUBSTITUTE(SUBSTITUTE(SUBSTITUTE(TRIM($AR768),"-",""),".",""),"/","")," ",""),8),5,2),--MID(LEFT(SUBSTITUTE(SUBSTITUTE(SUBSTITUTE(SUBSTITUTE(TRIM($AR768),"-",""),".",""),"/","")," ",""),8),7,2)),"")))</f>
        <v/>
      </c>
      <c r="AT768" s="23">
        <f>IF($AS768="","",IF($F$6="",0,IF(ISNUMBER(INDEX($A:$AP,ROW(),$F$6)),INDEX($A:$AP,ROW(),$F$6),IFERROR(--SUBSTITUTE(SUBSTITUTE(TRIM(INDEX($A:$AP,ROW(),$F$6)),",",""),"원",""),0))))</f>
        <v/>
      </c>
      <c r="AU768" s="23">
        <f>IF($AS768="","",IF($G$6="",0,IF(ISNUMBER(INDEX($A:$AP,ROW(),$G$6)),INDEX($A:$AP,ROW(),$G$6),IFERROR(--SUBSTITUTE(SUBSTITUTE(TRIM(INDEX($A:$AP,ROW(),$G$6)),",",""),"원",""),0))))</f>
        <v/>
      </c>
      <c r="AV768" s="23">
        <f>IF($AS768="","",IF($H$6="",$AT768+$AU768,IF($H$6="",0,IF(ISNUMBER(INDEX($A:$AP,ROW(),$H$6)),INDEX($A:$AP,ROW(),$H$6),IFERROR(--SUBSTITUTE(SUBSTITUTE(TRIM(INDEX($A:$AP,ROW(),$H$6)),",",""),"원",""),0)))))</f>
        <v/>
      </c>
      <c r="AW768" s="2">
        <f>IF(OR($AS768="",$C$6=""),"",TRIM(INDEX($A:$AP,ROW(),$C$6)&amp;""))</f>
        <v/>
      </c>
      <c r="AX768" s="2">
        <f>IF($AS768="","",IF($AZ768&lt;&gt;"",SUBSTITUTE(SUBSTITUTE($AZ768,"-","")," ",""),$AY768))</f>
        <v/>
      </c>
      <c r="AY768" s="2">
        <f>IF(OR($AS768="",$E$6=""),"",TRIM(INDEX($A:$AP,ROW(),$E$6)&amp;""))</f>
        <v/>
      </c>
      <c r="AZ768" s="2">
        <f>IF(OR($AS768="",$D$6=""),"",TRIM(INDEX($A:$AP,ROW(),$D$6)&amp;""))</f>
        <v/>
      </c>
      <c r="BA768" s="2">
        <f>IF($AS768="","",IF(AND($AS768&gt;=설정!$B$10,$AS768&lt;=설정!$B$11),"포함","기간 밖"))</f>
        <v/>
      </c>
      <c r="BB768" s="2">
        <f>IF($AS768="","",IF(OR($AT768&lt;0,AND($I$6&lt;&gt;"",ISNUMBER(FIND("수정",INDEX($A:$AP,ROW(),IF($I$6="",1,$I$6))&amp;"")))),"수정","일반"))</f>
        <v/>
      </c>
      <c r="BC768" s="2">
        <f>IF($AS768="","",MID(IF($BA768="기간 밖"," / 기간 밖(신고기간 아님)","")&amp;IF(AND($AW768&lt;&gt;"",COUNTIF($AW$8:$AW$1007,$AW768)&gt;1)," / 승인번호 중복(두 번 붙여넣기?)","")&amp;IF(ABS($AU768-ROUND($AT768*0.1,0))&gt;설정!$B$8,IF($AU768=0," / 세액 0원(영세율·면세 여부 확인)"," / 세액이 공급가액 10%와 다름"),"")&amp;IF($BB768="수정"," / 수정세금계산서(합계에서 자동 가감)",""),4,200))</f>
        <v/>
      </c>
      <c r="BD768" s="2">
        <f>IF($BA768&lt;&gt;"포함","",IF(COUNTIFS($AX$8:$AX768,$AX768,$BA$8:$BA768,"포함")=1,MAX($BD$7:BD767)+1,""))</f>
        <v/>
      </c>
      <c r="BE768" s="2">
        <f>IF($BC768="","",MAX($BE$7:BE767)+1)</f>
        <v/>
      </c>
    </row>
    <row r="769">
      <c r="AR769" s="2">
        <f>IF(OR($A$5="",$B$6="",ROW()&lt;$A$5),"",IF(INDEX($A:$AP,ROW(),$B$6)="","",INDEX($A:$AP,ROW(),$B$6)))</f>
        <v/>
      </c>
      <c r="AS769" s="22">
        <f>IF($AR769="","",IF(ISNUMBER($AR769),IF($AR769&gt;=10000000,IFERROR(DATE(INT($AR769/10000),MOD(INT($AR769/100),100),MOD($AR769,100)),""),INT($AR769)),IFERROR(DATE(--LEFT(LEFT(SUBSTITUTE(SUBSTITUTE(SUBSTITUTE(SUBSTITUTE(TRIM($AR769),"-",""),".",""),"/","")," ",""),8),4),--MID(LEFT(SUBSTITUTE(SUBSTITUTE(SUBSTITUTE(SUBSTITUTE(TRIM($AR769),"-",""),".",""),"/","")," ",""),8),5,2),--MID(LEFT(SUBSTITUTE(SUBSTITUTE(SUBSTITUTE(SUBSTITUTE(TRIM($AR769),"-",""),".",""),"/","")," ",""),8),7,2)),"")))</f>
        <v/>
      </c>
      <c r="AT769" s="23">
        <f>IF($AS769="","",IF($F$6="",0,IF(ISNUMBER(INDEX($A:$AP,ROW(),$F$6)),INDEX($A:$AP,ROW(),$F$6),IFERROR(--SUBSTITUTE(SUBSTITUTE(TRIM(INDEX($A:$AP,ROW(),$F$6)),",",""),"원",""),0))))</f>
        <v/>
      </c>
      <c r="AU769" s="23">
        <f>IF($AS769="","",IF($G$6="",0,IF(ISNUMBER(INDEX($A:$AP,ROW(),$G$6)),INDEX($A:$AP,ROW(),$G$6),IFERROR(--SUBSTITUTE(SUBSTITUTE(TRIM(INDEX($A:$AP,ROW(),$G$6)),",",""),"원",""),0))))</f>
        <v/>
      </c>
      <c r="AV769" s="23">
        <f>IF($AS769="","",IF($H$6="",$AT769+$AU769,IF($H$6="",0,IF(ISNUMBER(INDEX($A:$AP,ROW(),$H$6)),INDEX($A:$AP,ROW(),$H$6),IFERROR(--SUBSTITUTE(SUBSTITUTE(TRIM(INDEX($A:$AP,ROW(),$H$6)),",",""),"원",""),0)))))</f>
        <v/>
      </c>
      <c r="AW769" s="2">
        <f>IF(OR($AS769="",$C$6=""),"",TRIM(INDEX($A:$AP,ROW(),$C$6)&amp;""))</f>
        <v/>
      </c>
      <c r="AX769" s="2">
        <f>IF($AS769="","",IF($AZ769&lt;&gt;"",SUBSTITUTE(SUBSTITUTE($AZ769,"-","")," ",""),$AY769))</f>
        <v/>
      </c>
      <c r="AY769" s="2">
        <f>IF(OR($AS769="",$E$6=""),"",TRIM(INDEX($A:$AP,ROW(),$E$6)&amp;""))</f>
        <v/>
      </c>
      <c r="AZ769" s="2">
        <f>IF(OR($AS769="",$D$6=""),"",TRIM(INDEX($A:$AP,ROW(),$D$6)&amp;""))</f>
        <v/>
      </c>
      <c r="BA769" s="2">
        <f>IF($AS769="","",IF(AND($AS769&gt;=설정!$B$10,$AS769&lt;=설정!$B$11),"포함","기간 밖"))</f>
        <v/>
      </c>
      <c r="BB769" s="2">
        <f>IF($AS769="","",IF(OR($AT769&lt;0,AND($I$6&lt;&gt;"",ISNUMBER(FIND("수정",INDEX($A:$AP,ROW(),IF($I$6="",1,$I$6))&amp;"")))),"수정","일반"))</f>
        <v/>
      </c>
      <c r="BC769" s="2">
        <f>IF($AS769="","",MID(IF($BA769="기간 밖"," / 기간 밖(신고기간 아님)","")&amp;IF(AND($AW769&lt;&gt;"",COUNTIF($AW$8:$AW$1007,$AW769)&gt;1)," / 승인번호 중복(두 번 붙여넣기?)","")&amp;IF(ABS($AU769-ROUND($AT769*0.1,0))&gt;설정!$B$8,IF($AU769=0," / 세액 0원(영세율·면세 여부 확인)"," / 세액이 공급가액 10%와 다름"),"")&amp;IF($BB769="수정"," / 수정세금계산서(합계에서 자동 가감)",""),4,200))</f>
        <v/>
      </c>
      <c r="BD769" s="2">
        <f>IF($BA769&lt;&gt;"포함","",IF(COUNTIFS($AX$8:$AX769,$AX769,$BA$8:$BA769,"포함")=1,MAX($BD$7:BD768)+1,""))</f>
        <v/>
      </c>
      <c r="BE769" s="2">
        <f>IF($BC769="","",MAX($BE$7:BE768)+1)</f>
        <v/>
      </c>
    </row>
    <row r="770">
      <c r="AR770" s="2">
        <f>IF(OR($A$5="",$B$6="",ROW()&lt;$A$5),"",IF(INDEX($A:$AP,ROW(),$B$6)="","",INDEX($A:$AP,ROW(),$B$6)))</f>
        <v/>
      </c>
      <c r="AS770" s="22">
        <f>IF($AR770="","",IF(ISNUMBER($AR770),IF($AR770&gt;=10000000,IFERROR(DATE(INT($AR770/10000),MOD(INT($AR770/100),100),MOD($AR770,100)),""),INT($AR770)),IFERROR(DATE(--LEFT(LEFT(SUBSTITUTE(SUBSTITUTE(SUBSTITUTE(SUBSTITUTE(TRIM($AR770),"-",""),".",""),"/","")," ",""),8),4),--MID(LEFT(SUBSTITUTE(SUBSTITUTE(SUBSTITUTE(SUBSTITUTE(TRIM($AR770),"-",""),".",""),"/","")," ",""),8),5,2),--MID(LEFT(SUBSTITUTE(SUBSTITUTE(SUBSTITUTE(SUBSTITUTE(TRIM($AR770),"-",""),".",""),"/","")," ",""),8),7,2)),"")))</f>
        <v/>
      </c>
      <c r="AT770" s="23">
        <f>IF($AS770="","",IF($F$6="",0,IF(ISNUMBER(INDEX($A:$AP,ROW(),$F$6)),INDEX($A:$AP,ROW(),$F$6),IFERROR(--SUBSTITUTE(SUBSTITUTE(TRIM(INDEX($A:$AP,ROW(),$F$6)),",",""),"원",""),0))))</f>
        <v/>
      </c>
      <c r="AU770" s="23">
        <f>IF($AS770="","",IF($G$6="",0,IF(ISNUMBER(INDEX($A:$AP,ROW(),$G$6)),INDEX($A:$AP,ROW(),$G$6),IFERROR(--SUBSTITUTE(SUBSTITUTE(TRIM(INDEX($A:$AP,ROW(),$G$6)),",",""),"원",""),0))))</f>
        <v/>
      </c>
      <c r="AV770" s="23">
        <f>IF($AS770="","",IF($H$6="",$AT770+$AU770,IF($H$6="",0,IF(ISNUMBER(INDEX($A:$AP,ROW(),$H$6)),INDEX($A:$AP,ROW(),$H$6),IFERROR(--SUBSTITUTE(SUBSTITUTE(TRIM(INDEX($A:$AP,ROW(),$H$6)),",",""),"원",""),0)))))</f>
        <v/>
      </c>
      <c r="AW770" s="2">
        <f>IF(OR($AS770="",$C$6=""),"",TRIM(INDEX($A:$AP,ROW(),$C$6)&amp;""))</f>
        <v/>
      </c>
      <c r="AX770" s="2">
        <f>IF($AS770="","",IF($AZ770&lt;&gt;"",SUBSTITUTE(SUBSTITUTE($AZ770,"-","")," ",""),$AY770))</f>
        <v/>
      </c>
      <c r="AY770" s="2">
        <f>IF(OR($AS770="",$E$6=""),"",TRIM(INDEX($A:$AP,ROW(),$E$6)&amp;""))</f>
        <v/>
      </c>
      <c r="AZ770" s="2">
        <f>IF(OR($AS770="",$D$6=""),"",TRIM(INDEX($A:$AP,ROW(),$D$6)&amp;""))</f>
        <v/>
      </c>
      <c r="BA770" s="2">
        <f>IF($AS770="","",IF(AND($AS770&gt;=설정!$B$10,$AS770&lt;=설정!$B$11),"포함","기간 밖"))</f>
        <v/>
      </c>
      <c r="BB770" s="2">
        <f>IF($AS770="","",IF(OR($AT770&lt;0,AND($I$6&lt;&gt;"",ISNUMBER(FIND("수정",INDEX($A:$AP,ROW(),IF($I$6="",1,$I$6))&amp;"")))),"수정","일반"))</f>
        <v/>
      </c>
      <c r="BC770" s="2">
        <f>IF($AS770="","",MID(IF($BA770="기간 밖"," / 기간 밖(신고기간 아님)","")&amp;IF(AND($AW770&lt;&gt;"",COUNTIF($AW$8:$AW$1007,$AW770)&gt;1)," / 승인번호 중복(두 번 붙여넣기?)","")&amp;IF(ABS($AU770-ROUND($AT770*0.1,0))&gt;설정!$B$8,IF($AU770=0," / 세액 0원(영세율·면세 여부 확인)"," / 세액이 공급가액 10%와 다름"),"")&amp;IF($BB770="수정"," / 수정세금계산서(합계에서 자동 가감)",""),4,200))</f>
        <v/>
      </c>
      <c r="BD770" s="2">
        <f>IF($BA770&lt;&gt;"포함","",IF(COUNTIFS($AX$8:$AX770,$AX770,$BA$8:$BA770,"포함")=1,MAX($BD$7:BD769)+1,""))</f>
        <v/>
      </c>
      <c r="BE770" s="2">
        <f>IF($BC770="","",MAX($BE$7:BE769)+1)</f>
        <v/>
      </c>
    </row>
    <row r="771">
      <c r="AR771" s="2">
        <f>IF(OR($A$5="",$B$6="",ROW()&lt;$A$5),"",IF(INDEX($A:$AP,ROW(),$B$6)="","",INDEX($A:$AP,ROW(),$B$6)))</f>
        <v/>
      </c>
      <c r="AS771" s="22">
        <f>IF($AR771="","",IF(ISNUMBER($AR771),IF($AR771&gt;=10000000,IFERROR(DATE(INT($AR771/10000),MOD(INT($AR771/100),100),MOD($AR771,100)),""),INT($AR771)),IFERROR(DATE(--LEFT(LEFT(SUBSTITUTE(SUBSTITUTE(SUBSTITUTE(SUBSTITUTE(TRIM($AR771),"-",""),".",""),"/","")," ",""),8),4),--MID(LEFT(SUBSTITUTE(SUBSTITUTE(SUBSTITUTE(SUBSTITUTE(TRIM($AR771),"-",""),".",""),"/","")," ",""),8),5,2),--MID(LEFT(SUBSTITUTE(SUBSTITUTE(SUBSTITUTE(SUBSTITUTE(TRIM($AR771),"-",""),".",""),"/","")," ",""),8),7,2)),"")))</f>
        <v/>
      </c>
      <c r="AT771" s="23">
        <f>IF($AS771="","",IF($F$6="",0,IF(ISNUMBER(INDEX($A:$AP,ROW(),$F$6)),INDEX($A:$AP,ROW(),$F$6),IFERROR(--SUBSTITUTE(SUBSTITUTE(TRIM(INDEX($A:$AP,ROW(),$F$6)),",",""),"원",""),0))))</f>
        <v/>
      </c>
      <c r="AU771" s="23">
        <f>IF($AS771="","",IF($G$6="",0,IF(ISNUMBER(INDEX($A:$AP,ROW(),$G$6)),INDEX($A:$AP,ROW(),$G$6),IFERROR(--SUBSTITUTE(SUBSTITUTE(TRIM(INDEX($A:$AP,ROW(),$G$6)),",",""),"원",""),0))))</f>
        <v/>
      </c>
      <c r="AV771" s="23">
        <f>IF($AS771="","",IF($H$6="",$AT771+$AU771,IF($H$6="",0,IF(ISNUMBER(INDEX($A:$AP,ROW(),$H$6)),INDEX($A:$AP,ROW(),$H$6),IFERROR(--SUBSTITUTE(SUBSTITUTE(TRIM(INDEX($A:$AP,ROW(),$H$6)),",",""),"원",""),0)))))</f>
        <v/>
      </c>
      <c r="AW771" s="2">
        <f>IF(OR($AS771="",$C$6=""),"",TRIM(INDEX($A:$AP,ROW(),$C$6)&amp;""))</f>
        <v/>
      </c>
      <c r="AX771" s="2">
        <f>IF($AS771="","",IF($AZ771&lt;&gt;"",SUBSTITUTE(SUBSTITUTE($AZ771,"-","")," ",""),$AY771))</f>
        <v/>
      </c>
      <c r="AY771" s="2">
        <f>IF(OR($AS771="",$E$6=""),"",TRIM(INDEX($A:$AP,ROW(),$E$6)&amp;""))</f>
        <v/>
      </c>
      <c r="AZ771" s="2">
        <f>IF(OR($AS771="",$D$6=""),"",TRIM(INDEX($A:$AP,ROW(),$D$6)&amp;""))</f>
        <v/>
      </c>
      <c r="BA771" s="2">
        <f>IF($AS771="","",IF(AND($AS771&gt;=설정!$B$10,$AS771&lt;=설정!$B$11),"포함","기간 밖"))</f>
        <v/>
      </c>
      <c r="BB771" s="2">
        <f>IF($AS771="","",IF(OR($AT771&lt;0,AND($I$6&lt;&gt;"",ISNUMBER(FIND("수정",INDEX($A:$AP,ROW(),IF($I$6="",1,$I$6))&amp;"")))),"수정","일반"))</f>
        <v/>
      </c>
      <c r="BC771" s="2">
        <f>IF($AS771="","",MID(IF($BA771="기간 밖"," / 기간 밖(신고기간 아님)","")&amp;IF(AND($AW771&lt;&gt;"",COUNTIF($AW$8:$AW$1007,$AW771)&gt;1)," / 승인번호 중복(두 번 붙여넣기?)","")&amp;IF(ABS($AU771-ROUND($AT771*0.1,0))&gt;설정!$B$8,IF($AU771=0," / 세액 0원(영세율·면세 여부 확인)"," / 세액이 공급가액 10%와 다름"),"")&amp;IF($BB771="수정"," / 수정세금계산서(합계에서 자동 가감)",""),4,200))</f>
        <v/>
      </c>
      <c r="BD771" s="2">
        <f>IF($BA771&lt;&gt;"포함","",IF(COUNTIFS($AX$8:$AX771,$AX771,$BA$8:$BA771,"포함")=1,MAX($BD$7:BD770)+1,""))</f>
        <v/>
      </c>
      <c r="BE771" s="2">
        <f>IF($BC771="","",MAX($BE$7:BE770)+1)</f>
        <v/>
      </c>
    </row>
    <row r="772">
      <c r="AR772" s="2">
        <f>IF(OR($A$5="",$B$6="",ROW()&lt;$A$5),"",IF(INDEX($A:$AP,ROW(),$B$6)="","",INDEX($A:$AP,ROW(),$B$6)))</f>
        <v/>
      </c>
      <c r="AS772" s="22">
        <f>IF($AR772="","",IF(ISNUMBER($AR772),IF($AR772&gt;=10000000,IFERROR(DATE(INT($AR772/10000),MOD(INT($AR772/100),100),MOD($AR772,100)),""),INT($AR772)),IFERROR(DATE(--LEFT(LEFT(SUBSTITUTE(SUBSTITUTE(SUBSTITUTE(SUBSTITUTE(TRIM($AR772),"-",""),".",""),"/","")," ",""),8),4),--MID(LEFT(SUBSTITUTE(SUBSTITUTE(SUBSTITUTE(SUBSTITUTE(TRIM($AR772),"-",""),".",""),"/","")," ",""),8),5,2),--MID(LEFT(SUBSTITUTE(SUBSTITUTE(SUBSTITUTE(SUBSTITUTE(TRIM($AR772),"-",""),".",""),"/","")," ",""),8),7,2)),"")))</f>
        <v/>
      </c>
      <c r="AT772" s="23">
        <f>IF($AS772="","",IF($F$6="",0,IF(ISNUMBER(INDEX($A:$AP,ROW(),$F$6)),INDEX($A:$AP,ROW(),$F$6),IFERROR(--SUBSTITUTE(SUBSTITUTE(TRIM(INDEX($A:$AP,ROW(),$F$6)),",",""),"원",""),0))))</f>
        <v/>
      </c>
      <c r="AU772" s="23">
        <f>IF($AS772="","",IF($G$6="",0,IF(ISNUMBER(INDEX($A:$AP,ROW(),$G$6)),INDEX($A:$AP,ROW(),$G$6),IFERROR(--SUBSTITUTE(SUBSTITUTE(TRIM(INDEX($A:$AP,ROW(),$G$6)),",",""),"원",""),0))))</f>
        <v/>
      </c>
      <c r="AV772" s="23">
        <f>IF($AS772="","",IF($H$6="",$AT772+$AU772,IF($H$6="",0,IF(ISNUMBER(INDEX($A:$AP,ROW(),$H$6)),INDEX($A:$AP,ROW(),$H$6),IFERROR(--SUBSTITUTE(SUBSTITUTE(TRIM(INDEX($A:$AP,ROW(),$H$6)),",",""),"원",""),0)))))</f>
        <v/>
      </c>
      <c r="AW772" s="2">
        <f>IF(OR($AS772="",$C$6=""),"",TRIM(INDEX($A:$AP,ROW(),$C$6)&amp;""))</f>
        <v/>
      </c>
      <c r="AX772" s="2">
        <f>IF($AS772="","",IF($AZ772&lt;&gt;"",SUBSTITUTE(SUBSTITUTE($AZ772,"-","")," ",""),$AY772))</f>
        <v/>
      </c>
      <c r="AY772" s="2">
        <f>IF(OR($AS772="",$E$6=""),"",TRIM(INDEX($A:$AP,ROW(),$E$6)&amp;""))</f>
        <v/>
      </c>
      <c r="AZ772" s="2">
        <f>IF(OR($AS772="",$D$6=""),"",TRIM(INDEX($A:$AP,ROW(),$D$6)&amp;""))</f>
        <v/>
      </c>
      <c r="BA772" s="2">
        <f>IF($AS772="","",IF(AND($AS772&gt;=설정!$B$10,$AS772&lt;=설정!$B$11),"포함","기간 밖"))</f>
        <v/>
      </c>
      <c r="BB772" s="2">
        <f>IF($AS772="","",IF(OR($AT772&lt;0,AND($I$6&lt;&gt;"",ISNUMBER(FIND("수정",INDEX($A:$AP,ROW(),IF($I$6="",1,$I$6))&amp;"")))),"수정","일반"))</f>
        <v/>
      </c>
      <c r="BC772" s="2">
        <f>IF($AS772="","",MID(IF($BA772="기간 밖"," / 기간 밖(신고기간 아님)","")&amp;IF(AND($AW772&lt;&gt;"",COUNTIF($AW$8:$AW$1007,$AW772)&gt;1)," / 승인번호 중복(두 번 붙여넣기?)","")&amp;IF(ABS($AU772-ROUND($AT772*0.1,0))&gt;설정!$B$8,IF($AU772=0," / 세액 0원(영세율·면세 여부 확인)"," / 세액이 공급가액 10%와 다름"),"")&amp;IF($BB772="수정"," / 수정세금계산서(합계에서 자동 가감)",""),4,200))</f>
        <v/>
      </c>
      <c r="BD772" s="2">
        <f>IF($BA772&lt;&gt;"포함","",IF(COUNTIFS($AX$8:$AX772,$AX772,$BA$8:$BA772,"포함")=1,MAX($BD$7:BD771)+1,""))</f>
        <v/>
      </c>
      <c r="BE772" s="2">
        <f>IF($BC772="","",MAX($BE$7:BE771)+1)</f>
        <v/>
      </c>
    </row>
    <row r="773">
      <c r="AR773" s="2">
        <f>IF(OR($A$5="",$B$6="",ROW()&lt;$A$5),"",IF(INDEX($A:$AP,ROW(),$B$6)="","",INDEX($A:$AP,ROW(),$B$6)))</f>
        <v/>
      </c>
      <c r="AS773" s="22">
        <f>IF($AR773="","",IF(ISNUMBER($AR773),IF($AR773&gt;=10000000,IFERROR(DATE(INT($AR773/10000),MOD(INT($AR773/100),100),MOD($AR773,100)),""),INT($AR773)),IFERROR(DATE(--LEFT(LEFT(SUBSTITUTE(SUBSTITUTE(SUBSTITUTE(SUBSTITUTE(TRIM($AR773),"-",""),".",""),"/","")," ",""),8),4),--MID(LEFT(SUBSTITUTE(SUBSTITUTE(SUBSTITUTE(SUBSTITUTE(TRIM($AR773),"-",""),".",""),"/","")," ",""),8),5,2),--MID(LEFT(SUBSTITUTE(SUBSTITUTE(SUBSTITUTE(SUBSTITUTE(TRIM($AR773),"-",""),".",""),"/","")," ",""),8),7,2)),"")))</f>
        <v/>
      </c>
      <c r="AT773" s="23">
        <f>IF($AS773="","",IF($F$6="",0,IF(ISNUMBER(INDEX($A:$AP,ROW(),$F$6)),INDEX($A:$AP,ROW(),$F$6),IFERROR(--SUBSTITUTE(SUBSTITUTE(TRIM(INDEX($A:$AP,ROW(),$F$6)),",",""),"원",""),0))))</f>
        <v/>
      </c>
      <c r="AU773" s="23">
        <f>IF($AS773="","",IF($G$6="",0,IF(ISNUMBER(INDEX($A:$AP,ROW(),$G$6)),INDEX($A:$AP,ROW(),$G$6),IFERROR(--SUBSTITUTE(SUBSTITUTE(TRIM(INDEX($A:$AP,ROW(),$G$6)),",",""),"원",""),0))))</f>
        <v/>
      </c>
      <c r="AV773" s="23">
        <f>IF($AS773="","",IF($H$6="",$AT773+$AU773,IF($H$6="",0,IF(ISNUMBER(INDEX($A:$AP,ROW(),$H$6)),INDEX($A:$AP,ROW(),$H$6),IFERROR(--SUBSTITUTE(SUBSTITUTE(TRIM(INDEX($A:$AP,ROW(),$H$6)),",",""),"원",""),0)))))</f>
        <v/>
      </c>
      <c r="AW773" s="2">
        <f>IF(OR($AS773="",$C$6=""),"",TRIM(INDEX($A:$AP,ROW(),$C$6)&amp;""))</f>
        <v/>
      </c>
      <c r="AX773" s="2">
        <f>IF($AS773="","",IF($AZ773&lt;&gt;"",SUBSTITUTE(SUBSTITUTE($AZ773,"-","")," ",""),$AY773))</f>
        <v/>
      </c>
      <c r="AY773" s="2">
        <f>IF(OR($AS773="",$E$6=""),"",TRIM(INDEX($A:$AP,ROW(),$E$6)&amp;""))</f>
        <v/>
      </c>
      <c r="AZ773" s="2">
        <f>IF(OR($AS773="",$D$6=""),"",TRIM(INDEX($A:$AP,ROW(),$D$6)&amp;""))</f>
        <v/>
      </c>
      <c r="BA773" s="2">
        <f>IF($AS773="","",IF(AND($AS773&gt;=설정!$B$10,$AS773&lt;=설정!$B$11),"포함","기간 밖"))</f>
        <v/>
      </c>
      <c r="BB773" s="2">
        <f>IF($AS773="","",IF(OR($AT773&lt;0,AND($I$6&lt;&gt;"",ISNUMBER(FIND("수정",INDEX($A:$AP,ROW(),IF($I$6="",1,$I$6))&amp;"")))),"수정","일반"))</f>
        <v/>
      </c>
      <c r="BC773" s="2">
        <f>IF($AS773="","",MID(IF($BA773="기간 밖"," / 기간 밖(신고기간 아님)","")&amp;IF(AND($AW773&lt;&gt;"",COUNTIF($AW$8:$AW$1007,$AW773)&gt;1)," / 승인번호 중복(두 번 붙여넣기?)","")&amp;IF(ABS($AU773-ROUND($AT773*0.1,0))&gt;설정!$B$8,IF($AU773=0," / 세액 0원(영세율·면세 여부 확인)"," / 세액이 공급가액 10%와 다름"),"")&amp;IF($BB773="수정"," / 수정세금계산서(합계에서 자동 가감)",""),4,200))</f>
        <v/>
      </c>
      <c r="BD773" s="2">
        <f>IF($BA773&lt;&gt;"포함","",IF(COUNTIFS($AX$8:$AX773,$AX773,$BA$8:$BA773,"포함")=1,MAX($BD$7:BD772)+1,""))</f>
        <v/>
      </c>
      <c r="BE773" s="2">
        <f>IF($BC773="","",MAX($BE$7:BE772)+1)</f>
        <v/>
      </c>
    </row>
    <row r="774">
      <c r="AR774" s="2">
        <f>IF(OR($A$5="",$B$6="",ROW()&lt;$A$5),"",IF(INDEX($A:$AP,ROW(),$B$6)="","",INDEX($A:$AP,ROW(),$B$6)))</f>
        <v/>
      </c>
      <c r="AS774" s="22">
        <f>IF($AR774="","",IF(ISNUMBER($AR774),IF($AR774&gt;=10000000,IFERROR(DATE(INT($AR774/10000),MOD(INT($AR774/100),100),MOD($AR774,100)),""),INT($AR774)),IFERROR(DATE(--LEFT(LEFT(SUBSTITUTE(SUBSTITUTE(SUBSTITUTE(SUBSTITUTE(TRIM($AR774),"-",""),".",""),"/","")," ",""),8),4),--MID(LEFT(SUBSTITUTE(SUBSTITUTE(SUBSTITUTE(SUBSTITUTE(TRIM($AR774),"-",""),".",""),"/","")," ",""),8),5,2),--MID(LEFT(SUBSTITUTE(SUBSTITUTE(SUBSTITUTE(SUBSTITUTE(TRIM($AR774),"-",""),".",""),"/","")," ",""),8),7,2)),"")))</f>
        <v/>
      </c>
      <c r="AT774" s="23">
        <f>IF($AS774="","",IF($F$6="",0,IF(ISNUMBER(INDEX($A:$AP,ROW(),$F$6)),INDEX($A:$AP,ROW(),$F$6),IFERROR(--SUBSTITUTE(SUBSTITUTE(TRIM(INDEX($A:$AP,ROW(),$F$6)),",",""),"원",""),0))))</f>
        <v/>
      </c>
      <c r="AU774" s="23">
        <f>IF($AS774="","",IF($G$6="",0,IF(ISNUMBER(INDEX($A:$AP,ROW(),$G$6)),INDEX($A:$AP,ROW(),$G$6),IFERROR(--SUBSTITUTE(SUBSTITUTE(TRIM(INDEX($A:$AP,ROW(),$G$6)),",",""),"원",""),0))))</f>
        <v/>
      </c>
      <c r="AV774" s="23">
        <f>IF($AS774="","",IF($H$6="",$AT774+$AU774,IF($H$6="",0,IF(ISNUMBER(INDEX($A:$AP,ROW(),$H$6)),INDEX($A:$AP,ROW(),$H$6),IFERROR(--SUBSTITUTE(SUBSTITUTE(TRIM(INDEX($A:$AP,ROW(),$H$6)),",",""),"원",""),0)))))</f>
        <v/>
      </c>
      <c r="AW774" s="2">
        <f>IF(OR($AS774="",$C$6=""),"",TRIM(INDEX($A:$AP,ROW(),$C$6)&amp;""))</f>
        <v/>
      </c>
      <c r="AX774" s="2">
        <f>IF($AS774="","",IF($AZ774&lt;&gt;"",SUBSTITUTE(SUBSTITUTE($AZ774,"-","")," ",""),$AY774))</f>
        <v/>
      </c>
      <c r="AY774" s="2">
        <f>IF(OR($AS774="",$E$6=""),"",TRIM(INDEX($A:$AP,ROW(),$E$6)&amp;""))</f>
        <v/>
      </c>
      <c r="AZ774" s="2">
        <f>IF(OR($AS774="",$D$6=""),"",TRIM(INDEX($A:$AP,ROW(),$D$6)&amp;""))</f>
        <v/>
      </c>
      <c r="BA774" s="2">
        <f>IF($AS774="","",IF(AND($AS774&gt;=설정!$B$10,$AS774&lt;=설정!$B$11),"포함","기간 밖"))</f>
        <v/>
      </c>
      <c r="BB774" s="2">
        <f>IF($AS774="","",IF(OR($AT774&lt;0,AND($I$6&lt;&gt;"",ISNUMBER(FIND("수정",INDEX($A:$AP,ROW(),IF($I$6="",1,$I$6))&amp;"")))),"수정","일반"))</f>
        <v/>
      </c>
      <c r="BC774" s="2">
        <f>IF($AS774="","",MID(IF($BA774="기간 밖"," / 기간 밖(신고기간 아님)","")&amp;IF(AND($AW774&lt;&gt;"",COUNTIF($AW$8:$AW$1007,$AW774)&gt;1)," / 승인번호 중복(두 번 붙여넣기?)","")&amp;IF(ABS($AU774-ROUND($AT774*0.1,0))&gt;설정!$B$8,IF($AU774=0," / 세액 0원(영세율·면세 여부 확인)"," / 세액이 공급가액 10%와 다름"),"")&amp;IF($BB774="수정"," / 수정세금계산서(합계에서 자동 가감)",""),4,200))</f>
        <v/>
      </c>
      <c r="BD774" s="2">
        <f>IF($BA774&lt;&gt;"포함","",IF(COUNTIFS($AX$8:$AX774,$AX774,$BA$8:$BA774,"포함")=1,MAX($BD$7:BD773)+1,""))</f>
        <v/>
      </c>
      <c r="BE774" s="2">
        <f>IF($BC774="","",MAX($BE$7:BE773)+1)</f>
        <v/>
      </c>
    </row>
    <row r="775">
      <c r="AR775" s="2">
        <f>IF(OR($A$5="",$B$6="",ROW()&lt;$A$5),"",IF(INDEX($A:$AP,ROW(),$B$6)="","",INDEX($A:$AP,ROW(),$B$6)))</f>
        <v/>
      </c>
      <c r="AS775" s="22">
        <f>IF($AR775="","",IF(ISNUMBER($AR775),IF($AR775&gt;=10000000,IFERROR(DATE(INT($AR775/10000),MOD(INT($AR775/100),100),MOD($AR775,100)),""),INT($AR775)),IFERROR(DATE(--LEFT(LEFT(SUBSTITUTE(SUBSTITUTE(SUBSTITUTE(SUBSTITUTE(TRIM($AR775),"-",""),".",""),"/","")," ",""),8),4),--MID(LEFT(SUBSTITUTE(SUBSTITUTE(SUBSTITUTE(SUBSTITUTE(TRIM($AR775),"-",""),".",""),"/","")," ",""),8),5,2),--MID(LEFT(SUBSTITUTE(SUBSTITUTE(SUBSTITUTE(SUBSTITUTE(TRIM($AR775),"-",""),".",""),"/","")," ",""),8),7,2)),"")))</f>
        <v/>
      </c>
      <c r="AT775" s="23">
        <f>IF($AS775="","",IF($F$6="",0,IF(ISNUMBER(INDEX($A:$AP,ROW(),$F$6)),INDEX($A:$AP,ROW(),$F$6),IFERROR(--SUBSTITUTE(SUBSTITUTE(TRIM(INDEX($A:$AP,ROW(),$F$6)),",",""),"원",""),0))))</f>
        <v/>
      </c>
      <c r="AU775" s="23">
        <f>IF($AS775="","",IF($G$6="",0,IF(ISNUMBER(INDEX($A:$AP,ROW(),$G$6)),INDEX($A:$AP,ROW(),$G$6),IFERROR(--SUBSTITUTE(SUBSTITUTE(TRIM(INDEX($A:$AP,ROW(),$G$6)),",",""),"원",""),0))))</f>
        <v/>
      </c>
      <c r="AV775" s="23">
        <f>IF($AS775="","",IF($H$6="",$AT775+$AU775,IF($H$6="",0,IF(ISNUMBER(INDEX($A:$AP,ROW(),$H$6)),INDEX($A:$AP,ROW(),$H$6),IFERROR(--SUBSTITUTE(SUBSTITUTE(TRIM(INDEX($A:$AP,ROW(),$H$6)),",",""),"원",""),0)))))</f>
        <v/>
      </c>
      <c r="AW775" s="2">
        <f>IF(OR($AS775="",$C$6=""),"",TRIM(INDEX($A:$AP,ROW(),$C$6)&amp;""))</f>
        <v/>
      </c>
      <c r="AX775" s="2">
        <f>IF($AS775="","",IF($AZ775&lt;&gt;"",SUBSTITUTE(SUBSTITUTE($AZ775,"-","")," ",""),$AY775))</f>
        <v/>
      </c>
      <c r="AY775" s="2">
        <f>IF(OR($AS775="",$E$6=""),"",TRIM(INDEX($A:$AP,ROW(),$E$6)&amp;""))</f>
        <v/>
      </c>
      <c r="AZ775" s="2">
        <f>IF(OR($AS775="",$D$6=""),"",TRIM(INDEX($A:$AP,ROW(),$D$6)&amp;""))</f>
        <v/>
      </c>
      <c r="BA775" s="2">
        <f>IF($AS775="","",IF(AND($AS775&gt;=설정!$B$10,$AS775&lt;=설정!$B$11),"포함","기간 밖"))</f>
        <v/>
      </c>
      <c r="BB775" s="2">
        <f>IF($AS775="","",IF(OR($AT775&lt;0,AND($I$6&lt;&gt;"",ISNUMBER(FIND("수정",INDEX($A:$AP,ROW(),IF($I$6="",1,$I$6))&amp;"")))),"수정","일반"))</f>
        <v/>
      </c>
      <c r="BC775" s="2">
        <f>IF($AS775="","",MID(IF($BA775="기간 밖"," / 기간 밖(신고기간 아님)","")&amp;IF(AND($AW775&lt;&gt;"",COUNTIF($AW$8:$AW$1007,$AW775)&gt;1)," / 승인번호 중복(두 번 붙여넣기?)","")&amp;IF(ABS($AU775-ROUND($AT775*0.1,0))&gt;설정!$B$8,IF($AU775=0," / 세액 0원(영세율·면세 여부 확인)"," / 세액이 공급가액 10%와 다름"),"")&amp;IF($BB775="수정"," / 수정세금계산서(합계에서 자동 가감)",""),4,200))</f>
        <v/>
      </c>
      <c r="BD775" s="2">
        <f>IF($BA775&lt;&gt;"포함","",IF(COUNTIFS($AX$8:$AX775,$AX775,$BA$8:$BA775,"포함")=1,MAX($BD$7:BD774)+1,""))</f>
        <v/>
      </c>
      <c r="BE775" s="2">
        <f>IF($BC775="","",MAX($BE$7:BE774)+1)</f>
        <v/>
      </c>
    </row>
    <row r="776">
      <c r="AR776" s="2">
        <f>IF(OR($A$5="",$B$6="",ROW()&lt;$A$5),"",IF(INDEX($A:$AP,ROW(),$B$6)="","",INDEX($A:$AP,ROW(),$B$6)))</f>
        <v/>
      </c>
      <c r="AS776" s="22">
        <f>IF($AR776="","",IF(ISNUMBER($AR776),IF($AR776&gt;=10000000,IFERROR(DATE(INT($AR776/10000),MOD(INT($AR776/100),100),MOD($AR776,100)),""),INT($AR776)),IFERROR(DATE(--LEFT(LEFT(SUBSTITUTE(SUBSTITUTE(SUBSTITUTE(SUBSTITUTE(TRIM($AR776),"-",""),".",""),"/","")," ",""),8),4),--MID(LEFT(SUBSTITUTE(SUBSTITUTE(SUBSTITUTE(SUBSTITUTE(TRIM($AR776),"-",""),".",""),"/","")," ",""),8),5,2),--MID(LEFT(SUBSTITUTE(SUBSTITUTE(SUBSTITUTE(SUBSTITUTE(TRIM($AR776),"-",""),".",""),"/","")," ",""),8),7,2)),"")))</f>
        <v/>
      </c>
      <c r="AT776" s="23">
        <f>IF($AS776="","",IF($F$6="",0,IF(ISNUMBER(INDEX($A:$AP,ROW(),$F$6)),INDEX($A:$AP,ROW(),$F$6),IFERROR(--SUBSTITUTE(SUBSTITUTE(TRIM(INDEX($A:$AP,ROW(),$F$6)),",",""),"원",""),0))))</f>
        <v/>
      </c>
      <c r="AU776" s="23">
        <f>IF($AS776="","",IF($G$6="",0,IF(ISNUMBER(INDEX($A:$AP,ROW(),$G$6)),INDEX($A:$AP,ROW(),$G$6),IFERROR(--SUBSTITUTE(SUBSTITUTE(TRIM(INDEX($A:$AP,ROW(),$G$6)),",",""),"원",""),0))))</f>
        <v/>
      </c>
      <c r="AV776" s="23">
        <f>IF($AS776="","",IF($H$6="",$AT776+$AU776,IF($H$6="",0,IF(ISNUMBER(INDEX($A:$AP,ROW(),$H$6)),INDEX($A:$AP,ROW(),$H$6),IFERROR(--SUBSTITUTE(SUBSTITUTE(TRIM(INDEX($A:$AP,ROW(),$H$6)),",",""),"원",""),0)))))</f>
        <v/>
      </c>
      <c r="AW776" s="2">
        <f>IF(OR($AS776="",$C$6=""),"",TRIM(INDEX($A:$AP,ROW(),$C$6)&amp;""))</f>
        <v/>
      </c>
      <c r="AX776" s="2">
        <f>IF($AS776="","",IF($AZ776&lt;&gt;"",SUBSTITUTE(SUBSTITUTE($AZ776,"-","")," ",""),$AY776))</f>
        <v/>
      </c>
      <c r="AY776" s="2">
        <f>IF(OR($AS776="",$E$6=""),"",TRIM(INDEX($A:$AP,ROW(),$E$6)&amp;""))</f>
        <v/>
      </c>
      <c r="AZ776" s="2">
        <f>IF(OR($AS776="",$D$6=""),"",TRIM(INDEX($A:$AP,ROW(),$D$6)&amp;""))</f>
        <v/>
      </c>
      <c r="BA776" s="2">
        <f>IF($AS776="","",IF(AND($AS776&gt;=설정!$B$10,$AS776&lt;=설정!$B$11),"포함","기간 밖"))</f>
        <v/>
      </c>
      <c r="BB776" s="2">
        <f>IF($AS776="","",IF(OR($AT776&lt;0,AND($I$6&lt;&gt;"",ISNUMBER(FIND("수정",INDEX($A:$AP,ROW(),IF($I$6="",1,$I$6))&amp;"")))),"수정","일반"))</f>
        <v/>
      </c>
      <c r="BC776" s="2">
        <f>IF($AS776="","",MID(IF($BA776="기간 밖"," / 기간 밖(신고기간 아님)","")&amp;IF(AND($AW776&lt;&gt;"",COUNTIF($AW$8:$AW$1007,$AW776)&gt;1)," / 승인번호 중복(두 번 붙여넣기?)","")&amp;IF(ABS($AU776-ROUND($AT776*0.1,0))&gt;설정!$B$8,IF($AU776=0," / 세액 0원(영세율·면세 여부 확인)"," / 세액이 공급가액 10%와 다름"),"")&amp;IF($BB776="수정"," / 수정세금계산서(합계에서 자동 가감)",""),4,200))</f>
        <v/>
      </c>
      <c r="BD776" s="2">
        <f>IF($BA776&lt;&gt;"포함","",IF(COUNTIFS($AX$8:$AX776,$AX776,$BA$8:$BA776,"포함")=1,MAX($BD$7:BD775)+1,""))</f>
        <v/>
      </c>
      <c r="BE776" s="2">
        <f>IF($BC776="","",MAX($BE$7:BE775)+1)</f>
        <v/>
      </c>
    </row>
    <row r="777">
      <c r="AR777" s="2">
        <f>IF(OR($A$5="",$B$6="",ROW()&lt;$A$5),"",IF(INDEX($A:$AP,ROW(),$B$6)="","",INDEX($A:$AP,ROW(),$B$6)))</f>
        <v/>
      </c>
      <c r="AS777" s="22">
        <f>IF($AR777="","",IF(ISNUMBER($AR777),IF($AR777&gt;=10000000,IFERROR(DATE(INT($AR777/10000),MOD(INT($AR777/100),100),MOD($AR777,100)),""),INT($AR777)),IFERROR(DATE(--LEFT(LEFT(SUBSTITUTE(SUBSTITUTE(SUBSTITUTE(SUBSTITUTE(TRIM($AR777),"-",""),".",""),"/","")," ",""),8),4),--MID(LEFT(SUBSTITUTE(SUBSTITUTE(SUBSTITUTE(SUBSTITUTE(TRIM($AR777),"-",""),".",""),"/","")," ",""),8),5,2),--MID(LEFT(SUBSTITUTE(SUBSTITUTE(SUBSTITUTE(SUBSTITUTE(TRIM($AR777),"-",""),".",""),"/","")," ",""),8),7,2)),"")))</f>
        <v/>
      </c>
      <c r="AT777" s="23">
        <f>IF($AS777="","",IF($F$6="",0,IF(ISNUMBER(INDEX($A:$AP,ROW(),$F$6)),INDEX($A:$AP,ROW(),$F$6),IFERROR(--SUBSTITUTE(SUBSTITUTE(TRIM(INDEX($A:$AP,ROW(),$F$6)),",",""),"원",""),0))))</f>
        <v/>
      </c>
      <c r="AU777" s="23">
        <f>IF($AS777="","",IF($G$6="",0,IF(ISNUMBER(INDEX($A:$AP,ROW(),$G$6)),INDEX($A:$AP,ROW(),$G$6),IFERROR(--SUBSTITUTE(SUBSTITUTE(TRIM(INDEX($A:$AP,ROW(),$G$6)),",",""),"원",""),0))))</f>
        <v/>
      </c>
      <c r="AV777" s="23">
        <f>IF($AS777="","",IF($H$6="",$AT777+$AU777,IF($H$6="",0,IF(ISNUMBER(INDEX($A:$AP,ROW(),$H$6)),INDEX($A:$AP,ROW(),$H$6),IFERROR(--SUBSTITUTE(SUBSTITUTE(TRIM(INDEX($A:$AP,ROW(),$H$6)),",",""),"원",""),0)))))</f>
        <v/>
      </c>
      <c r="AW777" s="2">
        <f>IF(OR($AS777="",$C$6=""),"",TRIM(INDEX($A:$AP,ROW(),$C$6)&amp;""))</f>
        <v/>
      </c>
      <c r="AX777" s="2">
        <f>IF($AS777="","",IF($AZ777&lt;&gt;"",SUBSTITUTE(SUBSTITUTE($AZ777,"-","")," ",""),$AY777))</f>
        <v/>
      </c>
      <c r="AY777" s="2">
        <f>IF(OR($AS777="",$E$6=""),"",TRIM(INDEX($A:$AP,ROW(),$E$6)&amp;""))</f>
        <v/>
      </c>
      <c r="AZ777" s="2">
        <f>IF(OR($AS777="",$D$6=""),"",TRIM(INDEX($A:$AP,ROW(),$D$6)&amp;""))</f>
        <v/>
      </c>
      <c r="BA777" s="2">
        <f>IF($AS777="","",IF(AND($AS777&gt;=설정!$B$10,$AS777&lt;=설정!$B$11),"포함","기간 밖"))</f>
        <v/>
      </c>
      <c r="BB777" s="2">
        <f>IF($AS777="","",IF(OR($AT777&lt;0,AND($I$6&lt;&gt;"",ISNUMBER(FIND("수정",INDEX($A:$AP,ROW(),IF($I$6="",1,$I$6))&amp;"")))),"수정","일반"))</f>
        <v/>
      </c>
      <c r="BC777" s="2">
        <f>IF($AS777="","",MID(IF($BA777="기간 밖"," / 기간 밖(신고기간 아님)","")&amp;IF(AND($AW777&lt;&gt;"",COUNTIF($AW$8:$AW$1007,$AW777)&gt;1)," / 승인번호 중복(두 번 붙여넣기?)","")&amp;IF(ABS($AU777-ROUND($AT777*0.1,0))&gt;설정!$B$8,IF($AU777=0," / 세액 0원(영세율·면세 여부 확인)"," / 세액이 공급가액 10%와 다름"),"")&amp;IF($BB777="수정"," / 수정세금계산서(합계에서 자동 가감)",""),4,200))</f>
        <v/>
      </c>
      <c r="BD777" s="2">
        <f>IF($BA777&lt;&gt;"포함","",IF(COUNTIFS($AX$8:$AX777,$AX777,$BA$8:$BA777,"포함")=1,MAX($BD$7:BD776)+1,""))</f>
        <v/>
      </c>
      <c r="BE777" s="2">
        <f>IF($BC777="","",MAX($BE$7:BE776)+1)</f>
        <v/>
      </c>
    </row>
    <row r="778">
      <c r="AR778" s="2">
        <f>IF(OR($A$5="",$B$6="",ROW()&lt;$A$5),"",IF(INDEX($A:$AP,ROW(),$B$6)="","",INDEX($A:$AP,ROW(),$B$6)))</f>
        <v/>
      </c>
      <c r="AS778" s="22">
        <f>IF($AR778="","",IF(ISNUMBER($AR778),IF($AR778&gt;=10000000,IFERROR(DATE(INT($AR778/10000),MOD(INT($AR778/100),100),MOD($AR778,100)),""),INT($AR778)),IFERROR(DATE(--LEFT(LEFT(SUBSTITUTE(SUBSTITUTE(SUBSTITUTE(SUBSTITUTE(TRIM($AR778),"-",""),".",""),"/","")," ",""),8),4),--MID(LEFT(SUBSTITUTE(SUBSTITUTE(SUBSTITUTE(SUBSTITUTE(TRIM($AR778),"-",""),".",""),"/","")," ",""),8),5,2),--MID(LEFT(SUBSTITUTE(SUBSTITUTE(SUBSTITUTE(SUBSTITUTE(TRIM($AR778),"-",""),".",""),"/","")," ",""),8),7,2)),"")))</f>
        <v/>
      </c>
      <c r="AT778" s="23">
        <f>IF($AS778="","",IF($F$6="",0,IF(ISNUMBER(INDEX($A:$AP,ROW(),$F$6)),INDEX($A:$AP,ROW(),$F$6),IFERROR(--SUBSTITUTE(SUBSTITUTE(TRIM(INDEX($A:$AP,ROW(),$F$6)),",",""),"원",""),0))))</f>
        <v/>
      </c>
      <c r="AU778" s="23">
        <f>IF($AS778="","",IF($G$6="",0,IF(ISNUMBER(INDEX($A:$AP,ROW(),$G$6)),INDEX($A:$AP,ROW(),$G$6),IFERROR(--SUBSTITUTE(SUBSTITUTE(TRIM(INDEX($A:$AP,ROW(),$G$6)),",",""),"원",""),0))))</f>
        <v/>
      </c>
      <c r="AV778" s="23">
        <f>IF($AS778="","",IF($H$6="",$AT778+$AU778,IF($H$6="",0,IF(ISNUMBER(INDEX($A:$AP,ROW(),$H$6)),INDEX($A:$AP,ROW(),$H$6),IFERROR(--SUBSTITUTE(SUBSTITUTE(TRIM(INDEX($A:$AP,ROW(),$H$6)),",",""),"원",""),0)))))</f>
        <v/>
      </c>
      <c r="AW778" s="2">
        <f>IF(OR($AS778="",$C$6=""),"",TRIM(INDEX($A:$AP,ROW(),$C$6)&amp;""))</f>
        <v/>
      </c>
      <c r="AX778" s="2">
        <f>IF($AS778="","",IF($AZ778&lt;&gt;"",SUBSTITUTE(SUBSTITUTE($AZ778,"-","")," ",""),$AY778))</f>
        <v/>
      </c>
      <c r="AY778" s="2">
        <f>IF(OR($AS778="",$E$6=""),"",TRIM(INDEX($A:$AP,ROW(),$E$6)&amp;""))</f>
        <v/>
      </c>
      <c r="AZ778" s="2">
        <f>IF(OR($AS778="",$D$6=""),"",TRIM(INDEX($A:$AP,ROW(),$D$6)&amp;""))</f>
        <v/>
      </c>
      <c r="BA778" s="2">
        <f>IF($AS778="","",IF(AND($AS778&gt;=설정!$B$10,$AS778&lt;=설정!$B$11),"포함","기간 밖"))</f>
        <v/>
      </c>
      <c r="BB778" s="2">
        <f>IF($AS778="","",IF(OR($AT778&lt;0,AND($I$6&lt;&gt;"",ISNUMBER(FIND("수정",INDEX($A:$AP,ROW(),IF($I$6="",1,$I$6))&amp;"")))),"수정","일반"))</f>
        <v/>
      </c>
      <c r="BC778" s="2">
        <f>IF($AS778="","",MID(IF($BA778="기간 밖"," / 기간 밖(신고기간 아님)","")&amp;IF(AND($AW778&lt;&gt;"",COUNTIF($AW$8:$AW$1007,$AW778)&gt;1)," / 승인번호 중복(두 번 붙여넣기?)","")&amp;IF(ABS($AU778-ROUND($AT778*0.1,0))&gt;설정!$B$8,IF($AU778=0," / 세액 0원(영세율·면세 여부 확인)"," / 세액이 공급가액 10%와 다름"),"")&amp;IF($BB778="수정"," / 수정세금계산서(합계에서 자동 가감)",""),4,200))</f>
        <v/>
      </c>
      <c r="BD778" s="2">
        <f>IF($BA778&lt;&gt;"포함","",IF(COUNTIFS($AX$8:$AX778,$AX778,$BA$8:$BA778,"포함")=1,MAX($BD$7:BD777)+1,""))</f>
        <v/>
      </c>
      <c r="BE778" s="2">
        <f>IF($BC778="","",MAX($BE$7:BE777)+1)</f>
        <v/>
      </c>
    </row>
    <row r="779">
      <c r="AR779" s="2">
        <f>IF(OR($A$5="",$B$6="",ROW()&lt;$A$5),"",IF(INDEX($A:$AP,ROW(),$B$6)="","",INDEX($A:$AP,ROW(),$B$6)))</f>
        <v/>
      </c>
      <c r="AS779" s="22">
        <f>IF($AR779="","",IF(ISNUMBER($AR779),IF($AR779&gt;=10000000,IFERROR(DATE(INT($AR779/10000),MOD(INT($AR779/100),100),MOD($AR779,100)),""),INT($AR779)),IFERROR(DATE(--LEFT(LEFT(SUBSTITUTE(SUBSTITUTE(SUBSTITUTE(SUBSTITUTE(TRIM($AR779),"-",""),".",""),"/","")," ",""),8),4),--MID(LEFT(SUBSTITUTE(SUBSTITUTE(SUBSTITUTE(SUBSTITUTE(TRIM($AR779),"-",""),".",""),"/","")," ",""),8),5,2),--MID(LEFT(SUBSTITUTE(SUBSTITUTE(SUBSTITUTE(SUBSTITUTE(TRIM($AR779),"-",""),".",""),"/","")," ",""),8),7,2)),"")))</f>
        <v/>
      </c>
      <c r="AT779" s="23">
        <f>IF($AS779="","",IF($F$6="",0,IF(ISNUMBER(INDEX($A:$AP,ROW(),$F$6)),INDEX($A:$AP,ROW(),$F$6),IFERROR(--SUBSTITUTE(SUBSTITUTE(TRIM(INDEX($A:$AP,ROW(),$F$6)),",",""),"원",""),0))))</f>
        <v/>
      </c>
      <c r="AU779" s="23">
        <f>IF($AS779="","",IF($G$6="",0,IF(ISNUMBER(INDEX($A:$AP,ROW(),$G$6)),INDEX($A:$AP,ROW(),$G$6),IFERROR(--SUBSTITUTE(SUBSTITUTE(TRIM(INDEX($A:$AP,ROW(),$G$6)),",",""),"원",""),0))))</f>
        <v/>
      </c>
      <c r="AV779" s="23">
        <f>IF($AS779="","",IF($H$6="",$AT779+$AU779,IF($H$6="",0,IF(ISNUMBER(INDEX($A:$AP,ROW(),$H$6)),INDEX($A:$AP,ROW(),$H$6),IFERROR(--SUBSTITUTE(SUBSTITUTE(TRIM(INDEX($A:$AP,ROW(),$H$6)),",",""),"원",""),0)))))</f>
        <v/>
      </c>
      <c r="AW779" s="2">
        <f>IF(OR($AS779="",$C$6=""),"",TRIM(INDEX($A:$AP,ROW(),$C$6)&amp;""))</f>
        <v/>
      </c>
      <c r="AX779" s="2">
        <f>IF($AS779="","",IF($AZ779&lt;&gt;"",SUBSTITUTE(SUBSTITUTE($AZ779,"-","")," ",""),$AY779))</f>
        <v/>
      </c>
      <c r="AY779" s="2">
        <f>IF(OR($AS779="",$E$6=""),"",TRIM(INDEX($A:$AP,ROW(),$E$6)&amp;""))</f>
        <v/>
      </c>
      <c r="AZ779" s="2">
        <f>IF(OR($AS779="",$D$6=""),"",TRIM(INDEX($A:$AP,ROW(),$D$6)&amp;""))</f>
        <v/>
      </c>
      <c r="BA779" s="2">
        <f>IF($AS779="","",IF(AND($AS779&gt;=설정!$B$10,$AS779&lt;=설정!$B$11),"포함","기간 밖"))</f>
        <v/>
      </c>
      <c r="BB779" s="2">
        <f>IF($AS779="","",IF(OR($AT779&lt;0,AND($I$6&lt;&gt;"",ISNUMBER(FIND("수정",INDEX($A:$AP,ROW(),IF($I$6="",1,$I$6))&amp;"")))),"수정","일반"))</f>
        <v/>
      </c>
      <c r="BC779" s="2">
        <f>IF($AS779="","",MID(IF($BA779="기간 밖"," / 기간 밖(신고기간 아님)","")&amp;IF(AND($AW779&lt;&gt;"",COUNTIF($AW$8:$AW$1007,$AW779)&gt;1)," / 승인번호 중복(두 번 붙여넣기?)","")&amp;IF(ABS($AU779-ROUND($AT779*0.1,0))&gt;설정!$B$8,IF($AU779=0," / 세액 0원(영세율·면세 여부 확인)"," / 세액이 공급가액 10%와 다름"),"")&amp;IF($BB779="수정"," / 수정세금계산서(합계에서 자동 가감)",""),4,200))</f>
        <v/>
      </c>
      <c r="BD779" s="2">
        <f>IF($BA779&lt;&gt;"포함","",IF(COUNTIFS($AX$8:$AX779,$AX779,$BA$8:$BA779,"포함")=1,MAX($BD$7:BD778)+1,""))</f>
        <v/>
      </c>
      <c r="BE779" s="2">
        <f>IF($BC779="","",MAX($BE$7:BE778)+1)</f>
        <v/>
      </c>
    </row>
    <row r="780">
      <c r="AR780" s="2">
        <f>IF(OR($A$5="",$B$6="",ROW()&lt;$A$5),"",IF(INDEX($A:$AP,ROW(),$B$6)="","",INDEX($A:$AP,ROW(),$B$6)))</f>
        <v/>
      </c>
      <c r="AS780" s="22">
        <f>IF($AR780="","",IF(ISNUMBER($AR780),IF($AR780&gt;=10000000,IFERROR(DATE(INT($AR780/10000),MOD(INT($AR780/100),100),MOD($AR780,100)),""),INT($AR780)),IFERROR(DATE(--LEFT(LEFT(SUBSTITUTE(SUBSTITUTE(SUBSTITUTE(SUBSTITUTE(TRIM($AR780),"-",""),".",""),"/","")," ",""),8),4),--MID(LEFT(SUBSTITUTE(SUBSTITUTE(SUBSTITUTE(SUBSTITUTE(TRIM($AR780),"-",""),".",""),"/","")," ",""),8),5,2),--MID(LEFT(SUBSTITUTE(SUBSTITUTE(SUBSTITUTE(SUBSTITUTE(TRIM($AR780),"-",""),".",""),"/","")," ",""),8),7,2)),"")))</f>
        <v/>
      </c>
      <c r="AT780" s="23">
        <f>IF($AS780="","",IF($F$6="",0,IF(ISNUMBER(INDEX($A:$AP,ROW(),$F$6)),INDEX($A:$AP,ROW(),$F$6),IFERROR(--SUBSTITUTE(SUBSTITUTE(TRIM(INDEX($A:$AP,ROW(),$F$6)),",",""),"원",""),0))))</f>
        <v/>
      </c>
      <c r="AU780" s="23">
        <f>IF($AS780="","",IF($G$6="",0,IF(ISNUMBER(INDEX($A:$AP,ROW(),$G$6)),INDEX($A:$AP,ROW(),$G$6),IFERROR(--SUBSTITUTE(SUBSTITUTE(TRIM(INDEX($A:$AP,ROW(),$G$6)),",",""),"원",""),0))))</f>
        <v/>
      </c>
      <c r="AV780" s="23">
        <f>IF($AS780="","",IF($H$6="",$AT780+$AU780,IF($H$6="",0,IF(ISNUMBER(INDEX($A:$AP,ROW(),$H$6)),INDEX($A:$AP,ROW(),$H$6),IFERROR(--SUBSTITUTE(SUBSTITUTE(TRIM(INDEX($A:$AP,ROW(),$H$6)),",",""),"원",""),0)))))</f>
        <v/>
      </c>
      <c r="AW780" s="2">
        <f>IF(OR($AS780="",$C$6=""),"",TRIM(INDEX($A:$AP,ROW(),$C$6)&amp;""))</f>
        <v/>
      </c>
      <c r="AX780" s="2">
        <f>IF($AS780="","",IF($AZ780&lt;&gt;"",SUBSTITUTE(SUBSTITUTE($AZ780,"-","")," ",""),$AY780))</f>
        <v/>
      </c>
      <c r="AY780" s="2">
        <f>IF(OR($AS780="",$E$6=""),"",TRIM(INDEX($A:$AP,ROW(),$E$6)&amp;""))</f>
        <v/>
      </c>
      <c r="AZ780" s="2">
        <f>IF(OR($AS780="",$D$6=""),"",TRIM(INDEX($A:$AP,ROW(),$D$6)&amp;""))</f>
        <v/>
      </c>
      <c r="BA780" s="2">
        <f>IF($AS780="","",IF(AND($AS780&gt;=설정!$B$10,$AS780&lt;=설정!$B$11),"포함","기간 밖"))</f>
        <v/>
      </c>
      <c r="BB780" s="2">
        <f>IF($AS780="","",IF(OR($AT780&lt;0,AND($I$6&lt;&gt;"",ISNUMBER(FIND("수정",INDEX($A:$AP,ROW(),IF($I$6="",1,$I$6))&amp;"")))),"수정","일반"))</f>
        <v/>
      </c>
      <c r="BC780" s="2">
        <f>IF($AS780="","",MID(IF($BA780="기간 밖"," / 기간 밖(신고기간 아님)","")&amp;IF(AND($AW780&lt;&gt;"",COUNTIF($AW$8:$AW$1007,$AW780)&gt;1)," / 승인번호 중복(두 번 붙여넣기?)","")&amp;IF(ABS($AU780-ROUND($AT780*0.1,0))&gt;설정!$B$8,IF($AU780=0," / 세액 0원(영세율·면세 여부 확인)"," / 세액이 공급가액 10%와 다름"),"")&amp;IF($BB780="수정"," / 수정세금계산서(합계에서 자동 가감)",""),4,200))</f>
        <v/>
      </c>
      <c r="BD780" s="2">
        <f>IF($BA780&lt;&gt;"포함","",IF(COUNTIFS($AX$8:$AX780,$AX780,$BA$8:$BA780,"포함")=1,MAX($BD$7:BD779)+1,""))</f>
        <v/>
      </c>
      <c r="BE780" s="2">
        <f>IF($BC780="","",MAX($BE$7:BE779)+1)</f>
        <v/>
      </c>
    </row>
    <row r="781">
      <c r="AR781" s="2">
        <f>IF(OR($A$5="",$B$6="",ROW()&lt;$A$5),"",IF(INDEX($A:$AP,ROW(),$B$6)="","",INDEX($A:$AP,ROW(),$B$6)))</f>
        <v/>
      </c>
      <c r="AS781" s="22">
        <f>IF($AR781="","",IF(ISNUMBER($AR781),IF($AR781&gt;=10000000,IFERROR(DATE(INT($AR781/10000),MOD(INT($AR781/100),100),MOD($AR781,100)),""),INT($AR781)),IFERROR(DATE(--LEFT(LEFT(SUBSTITUTE(SUBSTITUTE(SUBSTITUTE(SUBSTITUTE(TRIM($AR781),"-",""),".",""),"/","")," ",""),8),4),--MID(LEFT(SUBSTITUTE(SUBSTITUTE(SUBSTITUTE(SUBSTITUTE(TRIM($AR781),"-",""),".",""),"/","")," ",""),8),5,2),--MID(LEFT(SUBSTITUTE(SUBSTITUTE(SUBSTITUTE(SUBSTITUTE(TRIM($AR781),"-",""),".",""),"/","")," ",""),8),7,2)),"")))</f>
        <v/>
      </c>
      <c r="AT781" s="23">
        <f>IF($AS781="","",IF($F$6="",0,IF(ISNUMBER(INDEX($A:$AP,ROW(),$F$6)),INDEX($A:$AP,ROW(),$F$6),IFERROR(--SUBSTITUTE(SUBSTITUTE(TRIM(INDEX($A:$AP,ROW(),$F$6)),",",""),"원",""),0))))</f>
        <v/>
      </c>
      <c r="AU781" s="23">
        <f>IF($AS781="","",IF($G$6="",0,IF(ISNUMBER(INDEX($A:$AP,ROW(),$G$6)),INDEX($A:$AP,ROW(),$G$6),IFERROR(--SUBSTITUTE(SUBSTITUTE(TRIM(INDEX($A:$AP,ROW(),$G$6)),",",""),"원",""),0))))</f>
        <v/>
      </c>
      <c r="AV781" s="23">
        <f>IF($AS781="","",IF($H$6="",$AT781+$AU781,IF($H$6="",0,IF(ISNUMBER(INDEX($A:$AP,ROW(),$H$6)),INDEX($A:$AP,ROW(),$H$6),IFERROR(--SUBSTITUTE(SUBSTITUTE(TRIM(INDEX($A:$AP,ROW(),$H$6)),",",""),"원",""),0)))))</f>
        <v/>
      </c>
      <c r="AW781" s="2">
        <f>IF(OR($AS781="",$C$6=""),"",TRIM(INDEX($A:$AP,ROW(),$C$6)&amp;""))</f>
        <v/>
      </c>
      <c r="AX781" s="2">
        <f>IF($AS781="","",IF($AZ781&lt;&gt;"",SUBSTITUTE(SUBSTITUTE($AZ781,"-","")," ",""),$AY781))</f>
        <v/>
      </c>
      <c r="AY781" s="2">
        <f>IF(OR($AS781="",$E$6=""),"",TRIM(INDEX($A:$AP,ROW(),$E$6)&amp;""))</f>
        <v/>
      </c>
      <c r="AZ781" s="2">
        <f>IF(OR($AS781="",$D$6=""),"",TRIM(INDEX($A:$AP,ROW(),$D$6)&amp;""))</f>
        <v/>
      </c>
      <c r="BA781" s="2">
        <f>IF($AS781="","",IF(AND($AS781&gt;=설정!$B$10,$AS781&lt;=설정!$B$11),"포함","기간 밖"))</f>
        <v/>
      </c>
      <c r="BB781" s="2">
        <f>IF($AS781="","",IF(OR($AT781&lt;0,AND($I$6&lt;&gt;"",ISNUMBER(FIND("수정",INDEX($A:$AP,ROW(),IF($I$6="",1,$I$6))&amp;"")))),"수정","일반"))</f>
        <v/>
      </c>
      <c r="BC781" s="2">
        <f>IF($AS781="","",MID(IF($BA781="기간 밖"," / 기간 밖(신고기간 아님)","")&amp;IF(AND($AW781&lt;&gt;"",COUNTIF($AW$8:$AW$1007,$AW781)&gt;1)," / 승인번호 중복(두 번 붙여넣기?)","")&amp;IF(ABS($AU781-ROUND($AT781*0.1,0))&gt;설정!$B$8,IF($AU781=0," / 세액 0원(영세율·면세 여부 확인)"," / 세액이 공급가액 10%와 다름"),"")&amp;IF($BB781="수정"," / 수정세금계산서(합계에서 자동 가감)",""),4,200))</f>
        <v/>
      </c>
      <c r="BD781" s="2">
        <f>IF($BA781&lt;&gt;"포함","",IF(COUNTIFS($AX$8:$AX781,$AX781,$BA$8:$BA781,"포함")=1,MAX($BD$7:BD780)+1,""))</f>
        <v/>
      </c>
      <c r="BE781" s="2">
        <f>IF($BC781="","",MAX($BE$7:BE780)+1)</f>
        <v/>
      </c>
    </row>
    <row r="782">
      <c r="AR782" s="2">
        <f>IF(OR($A$5="",$B$6="",ROW()&lt;$A$5),"",IF(INDEX($A:$AP,ROW(),$B$6)="","",INDEX($A:$AP,ROW(),$B$6)))</f>
        <v/>
      </c>
      <c r="AS782" s="22">
        <f>IF($AR782="","",IF(ISNUMBER($AR782),IF($AR782&gt;=10000000,IFERROR(DATE(INT($AR782/10000),MOD(INT($AR782/100),100),MOD($AR782,100)),""),INT($AR782)),IFERROR(DATE(--LEFT(LEFT(SUBSTITUTE(SUBSTITUTE(SUBSTITUTE(SUBSTITUTE(TRIM($AR782),"-",""),".",""),"/","")," ",""),8),4),--MID(LEFT(SUBSTITUTE(SUBSTITUTE(SUBSTITUTE(SUBSTITUTE(TRIM($AR782),"-",""),".",""),"/","")," ",""),8),5,2),--MID(LEFT(SUBSTITUTE(SUBSTITUTE(SUBSTITUTE(SUBSTITUTE(TRIM($AR782),"-",""),".",""),"/","")," ",""),8),7,2)),"")))</f>
        <v/>
      </c>
      <c r="AT782" s="23">
        <f>IF($AS782="","",IF($F$6="",0,IF(ISNUMBER(INDEX($A:$AP,ROW(),$F$6)),INDEX($A:$AP,ROW(),$F$6),IFERROR(--SUBSTITUTE(SUBSTITUTE(TRIM(INDEX($A:$AP,ROW(),$F$6)),",",""),"원",""),0))))</f>
        <v/>
      </c>
      <c r="AU782" s="23">
        <f>IF($AS782="","",IF($G$6="",0,IF(ISNUMBER(INDEX($A:$AP,ROW(),$G$6)),INDEX($A:$AP,ROW(),$G$6),IFERROR(--SUBSTITUTE(SUBSTITUTE(TRIM(INDEX($A:$AP,ROW(),$G$6)),",",""),"원",""),0))))</f>
        <v/>
      </c>
      <c r="AV782" s="23">
        <f>IF($AS782="","",IF($H$6="",$AT782+$AU782,IF($H$6="",0,IF(ISNUMBER(INDEX($A:$AP,ROW(),$H$6)),INDEX($A:$AP,ROW(),$H$6),IFERROR(--SUBSTITUTE(SUBSTITUTE(TRIM(INDEX($A:$AP,ROW(),$H$6)),",",""),"원",""),0)))))</f>
        <v/>
      </c>
      <c r="AW782" s="2">
        <f>IF(OR($AS782="",$C$6=""),"",TRIM(INDEX($A:$AP,ROW(),$C$6)&amp;""))</f>
        <v/>
      </c>
      <c r="AX782" s="2">
        <f>IF($AS782="","",IF($AZ782&lt;&gt;"",SUBSTITUTE(SUBSTITUTE($AZ782,"-","")," ",""),$AY782))</f>
        <v/>
      </c>
      <c r="AY782" s="2">
        <f>IF(OR($AS782="",$E$6=""),"",TRIM(INDEX($A:$AP,ROW(),$E$6)&amp;""))</f>
        <v/>
      </c>
      <c r="AZ782" s="2">
        <f>IF(OR($AS782="",$D$6=""),"",TRIM(INDEX($A:$AP,ROW(),$D$6)&amp;""))</f>
        <v/>
      </c>
      <c r="BA782" s="2">
        <f>IF($AS782="","",IF(AND($AS782&gt;=설정!$B$10,$AS782&lt;=설정!$B$11),"포함","기간 밖"))</f>
        <v/>
      </c>
      <c r="BB782" s="2">
        <f>IF($AS782="","",IF(OR($AT782&lt;0,AND($I$6&lt;&gt;"",ISNUMBER(FIND("수정",INDEX($A:$AP,ROW(),IF($I$6="",1,$I$6))&amp;"")))),"수정","일반"))</f>
        <v/>
      </c>
      <c r="BC782" s="2">
        <f>IF($AS782="","",MID(IF($BA782="기간 밖"," / 기간 밖(신고기간 아님)","")&amp;IF(AND($AW782&lt;&gt;"",COUNTIF($AW$8:$AW$1007,$AW782)&gt;1)," / 승인번호 중복(두 번 붙여넣기?)","")&amp;IF(ABS($AU782-ROUND($AT782*0.1,0))&gt;설정!$B$8,IF($AU782=0," / 세액 0원(영세율·면세 여부 확인)"," / 세액이 공급가액 10%와 다름"),"")&amp;IF($BB782="수정"," / 수정세금계산서(합계에서 자동 가감)",""),4,200))</f>
        <v/>
      </c>
      <c r="BD782" s="2">
        <f>IF($BA782&lt;&gt;"포함","",IF(COUNTIFS($AX$8:$AX782,$AX782,$BA$8:$BA782,"포함")=1,MAX($BD$7:BD781)+1,""))</f>
        <v/>
      </c>
      <c r="BE782" s="2">
        <f>IF($BC782="","",MAX($BE$7:BE781)+1)</f>
        <v/>
      </c>
    </row>
    <row r="783">
      <c r="AR783" s="2">
        <f>IF(OR($A$5="",$B$6="",ROW()&lt;$A$5),"",IF(INDEX($A:$AP,ROW(),$B$6)="","",INDEX($A:$AP,ROW(),$B$6)))</f>
        <v/>
      </c>
      <c r="AS783" s="22">
        <f>IF($AR783="","",IF(ISNUMBER($AR783),IF($AR783&gt;=10000000,IFERROR(DATE(INT($AR783/10000),MOD(INT($AR783/100),100),MOD($AR783,100)),""),INT($AR783)),IFERROR(DATE(--LEFT(LEFT(SUBSTITUTE(SUBSTITUTE(SUBSTITUTE(SUBSTITUTE(TRIM($AR783),"-",""),".",""),"/","")," ",""),8),4),--MID(LEFT(SUBSTITUTE(SUBSTITUTE(SUBSTITUTE(SUBSTITUTE(TRIM($AR783),"-",""),".",""),"/","")," ",""),8),5,2),--MID(LEFT(SUBSTITUTE(SUBSTITUTE(SUBSTITUTE(SUBSTITUTE(TRIM($AR783),"-",""),".",""),"/","")," ",""),8),7,2)),"")))</f>
        <v/>
      </c>
      <c r="AT783" s="23">
        <f>IF($AS783="","",IF($F$6="",0,IF(ISNUMBER(INDEX($A:$AP,ROW(),$F$6)),INDEX($A:$AP,ROW(),$F$6),IFERROR(--SUBSTITUTE(SUBSTITUTE(TRIM(INDEX($A:$AP,ROW(),$F$6)),",",""),"원",""),0))))</f>
        <v/>
      </c>
      <c r="AU783" s="23">
        <f>IF($AS783="","",IF($G$6="",0,IF(ISNUMBER(INDEX($A:$AP,ROW(),$G$6)),INDEX($A:$AP,ROW(),$G$6),IFERROR(--SUBSTITUTE(SUBSTITUTE(TRIM(INDEX($A:$AP,ROW(),$G$6)),",",""),"원",""),0))))</f>
        <v/>
      </c>
      <c r="AV783" s="23">
        <f>IF($AS783="","",IF($H$6="",$AT783+$AU783,IF($H$6="",0,IF(ISNUMBER(INDEX($A:$AP,ROW(),$H$6)),INDEX($A:$AP,ROW(),$H$6),IFERROR(--SUBSTITUTE(SUBSTITUTE(TRIM(INDEX($A:$AP,ROW(),$H$6)),",",""),"원",""),0)))))</f>
        <v/>
      </c>
      <c r="AW783" s="2">
        <f>IF(OR($AS783="",$C$6=""),"",TRIM(INDEX($A:$AP,ROW(),$C$6)&amp;""))</f>
        <v/>
      </c>
      <c r="AX783" s="2">
        <f>IF($AS783="","",IF($AZ783&lt;&gt;"",SUBSTITUTE(SUBSTITUTE($AZ783,"-","")," ",""),$AY783))</f>
        <v/>
      </c>
      <c r="AY783" s="2">
        <f>IF(OR($AS783="",$E$6=""),"",TRIM(INDEX($A:$AP,ROW(),$E$6)&amp;""))</f>
        <v/>
      </c>
      <c r="AZ783" s="2">
        <f>IF(OR($AS783="",$D$6=""),"",TRIM(INDEX($A:$AP,ROW(),$D$6)&amp;""))</f>
        <v/>
      </c>
      <c r="BA783" s="2">
        <f>IF($AS783="","",IF(AND($AS783&gt;=설정!$B$10,$AS783&lt;=설정!$B$11),"포함","기간 밖"))</f>
        <v/>
      </c>
      <c r="BB783" s="2">
        <f>IF($AS783="","",IF(OR($AT783&lt;0,AND($I$6&lt;&gt;"",ISNUMBER(FIND("수정",INDEX($A:$AP,ROW(),IF($I$6="",1,$I$6))&amp;"")))),"수정","일반"))</f>
        <v/>
      </c>
      <c r="BC783" s="2">
        <f>IF($AS783="","",MID(IF($BA783="기간 밖"," / 기간 밖(신고기간 아님)","")&amp;IF(AND($AW783&lt;&gt;"",COUNTIF($AW$8:$AW$1007,$AW783)&gt;1)," / 승인번호 중복(두 번 붙여넣기?)","")&amp;IF(ABS($AU783-ROUND($AT783*0.1,0))&gt;설정!$B$8,IF($AU783=0," / 세액 0원(영세율·면세 여부 확인)"," / 세액이 공급가액 10%와 다름"),"")&amp;IF($BB783="수정"," / 수정세금계산서(합계에서 자동 가감)",""),4,200))</f>
        <v/>
      </c>
      <c r="BD783" s="2">
        <f>IF($BA783&lt;&gt;"포함","",IF(COUNTIFS($AX$8:$AX783,$AX783,$BA$8:$BA783,"포함")=1,MAX($BD$7:BD782)+1,""))</f>
        <v/>
      </c>
      <c r="BE783" s="2">
        <f>IF($BC783="","",MAX($BE$7:BE782)+1)</f>
        <v/>
      </c>
    </row>
    <row r="784">
      <c r="AR784" s="2">
        <f>IF(OR($A$5="",$B$6="",ROW()&lt;$A$5),"",IF(INDEX($A:$AP,ROW(),$B$6)="","",INDEX($A:$AP,ROW(),$B$6)))</f>
        <v/>
      </c>
      <c r="AS784" s="22">
        <f>IF($AR784="","",IF(ISNUMBER($AR784),IF($AR784&gt;=10000000,IFERROR(DATE(INT($AR784/10000),MOD(INT($AR784/100),100),MOD($AR784,100)),""),INT($AR784)),IFERROR(DATE(--LEFT(LEFT(SUBSTITUTE(SUBSTITUTE(SUBSTITUTE(SUBSTITUTE(TRIM($AR784),"-",""),".",""),"/","")," ",""),8),4),--MID(LEFT(SUBSTITUTE(SUBSTITUTE(SUBSTITUTE(SUBSTITUTE(TRIM($AR784),"-",""),".",""),"/","")," ",""),8),5,2),--MID(LEFT(SUBSTITUTE(SUBSTITUTE(SUBSTITUTE(SUBSTITUTE(TRIM($AR784),"-",""),".",""),"/","")," ",""),8),7,2)),"")))</f>
        <v/>
      </c>
      <c r="AT784" s="23">
        <f>IF($AS784="","",IF($F$6="",0,IF(ISNUMBER(INDEX($A:$AP,ROW(),$F$6)),INDEX($A:$AP,ROW(),$F$6),IFERROR(--SUBSTITUTE(SUBSTITUTE(TRIM(INDEX($A:$AP,ROW(),$F$6)),",",""),"원",""),0))))</f>
        <v/>
      </c>
      <c r="AU784" s="23">
        <f>IF($AS784="","",IF($G$6="",0,IF(ISNUMBER(INDEX($A:$AP,ROW(),$G$6)),INDEX($A:$AP,ROW(),$G$6),IFERROR(--SUBSTITUTE(SUBSTITUTE(TRIM(INDEX($A:$AP,ROW(),$G$6)),",",""),"원",""),0))))</f>
        <v/>
      </c>
      <c r="AV784" s="23">
        <f>IF($AS784="","",IF($H$6="",$AT784+$AU784,IF($H$6="",0,IF(ISNUMBER(INDEX($A:$AP,ROW(),$H$6)),INDEX($A:$AP,ROW(),$H$6),IFERROR(--SUBSTITUTE(SUBSTITUTE(TRIM(INDEX($A:$AP,ROW(),$H$6)),",",""),"원",""),0)))))</f>
        <v/>
      </c>
      <c r="AW784" s="2">
        <f>IF(OR($AS784="",$C$6=""),"",TRIM(INDEX($A:$AP,ROW(),$C$6)&amp;""))</f>
        <v/>
      </c>
      <c r="AX784" s="2">
        <f>IF($AS784="","",IF($AZ784&lt;&gt;"",SUBSTITUTE(SUBSTITUTE($AZ784,"-","")," ",""),$AY784))</f>
        <v/>
      </c>
      <c r="AY784" s="2">
        <f>IF(OR($AS784="",$E$6=""),"",TRIM(INDEX($A:$AP,ROW(),$E$6)&amp;""))</f>
        <v/>
      </c>
      <c r="AZ784" s="2">
        <f>IF(OR($AS784="",$D$6=""),"",TRIM(INDEX($A:$AP,ROW(),$D$6)&amp;""))</f>
        <v/>
      </c>
      <c r="BA784" s="2">
        <f>IF($AS784="","",IF(AND($AS784&gt;=설정!$B$10,$AS784&lt;=설정!$B$11),"포함","기간 밖"))</f>
        <v/>
      </c>
      <c r="BB784" s="2">
        <f>IF($AS784="","",IF(OR($AT784&lt;0,AND($I$6&lt;&gt;"",ISNUMBER(FIND("수정",INDEX($A:$AP,ROW(),IF($I$6="",1,$I$6))&amp;"")))),"수정","일반"))</f>
        <v/>
      </c>
      <c r="BC784" s="2">
        <f>IF($AS784="","",MID(IF($BA784="기간 밖"," / 기간 밖(신고기간 아님)","")&amp;IF(AND($AW784&lt;&gt;"",COUNTIF($AW$8:$AW$1007,$AW784)&gt;1)," / 승인번호 중복(두 번 붙여넣기?)","")&amp;IF(ABS($AU784-ROUND($AT784*0.1,0))&gt;설정!$B$8,IF($AU784=0," / 세액 0원(영세율·면세 여부 확인)"," / 세액이 공급가액 10%와 다름"),"")&amp;IF($BB784="수정"," / 수정세금계산서(합계에서 자동 가감)",""),4,200))</f>
        <v/>
      </c>
      <c r="BD784" s="2">
        <f>IF($BA784&lt;&gt;"포함","",IF(COUNTIFS($AX$8:$AX784,$AX784,$BA$8:$BA784,"포함")=1,MAX($BD$7:BD783)+1,""))</f>
        <v/>
      </c>
      <c r="BE784" s="2">
        <f>IF($BC784="","",MAX($BE$7:BE783)+1)</f>
        <v/>
      </c>
    </row>
    <row r="785">
      <c r="AR785" s="2">
        <f>IF(OR($A$5="",$B$6="",ROW()&lt;$A$5),"",IF(INDEX($A:$AP,ROW(),$B$6)="","",INDEX($A:$AP,ROW(),$B$6)))</f>
        <v/>
      </c>
      <c r="AS785" s="22">
        <f>IF($AR785="","",IF(ISNUMBER($AR785),IF($AR785&gt;=10000000,IFERROR(DATE(INT($AR785/10000),MOD(INT($AR785/100),100),MOD($AR785,100)),""),INT($AR785)),IFERROR(DATE(--LEFT(LEFT(SUBSTITUTE(SUBSTITUTE(SUBSTITUTE(SUBSTITUTE(TRIM($AR785),"-",""),".",""),"/","")," ",""),8),4),--MID(LEFT(SUBSTITUTE(SUBSTITUTE(SUBSTITUTE(SUBSTITUTE(TRIM($AR785),"-",""),".",""),"/","")," ",""),8),5,2),--MID(LEFT(SUBSTITUTE(SUBSTITUTE(SUBSTITUTE(SUBSTITUTE(TRIM($AR785),"-",""),".",""),"/","")," ",""),8),7,2)),"")))</f>
        <v/>
      </c>
      <c r="AT785" s="23">
        <f>IF($AS785="","",IF($F$6="",0,IF(ISNUMBER(INDEX($A:$AP,ROW(),$F$6)),INDEX($A:$AP,ROW(),$F$6),IFERROR(--SUBSTITUTE(SUBSTITUTE(TRIM(INDEX($A:$AP,ROW(),$F$6)),",",""),"원",""),0))))</f>
        <v/>
      </c>
      <c r="AU785" s="23">
        <f>IF($AS785="","",IF($G$6="",0,IF(ISNUMBER(INDEX($A:$AP,ROW(),$G$6)),INDEX($A:$AP,ROW(),$G$6),IFERROR(--SUBSTITUTE(SUBSTITUTE(TRIM(INDEX($A:$AP,ROW(),$G$6)),",",""),"원",""),0))))</f>
        <v/>
      </c>
      <c r="AV785" s="23">
        <f>IF($AS785="","",IF($H$6="",$AT785+$AU785,IF($H$6="",0,IF(ISNUMBER(INDEX($A:$AP,ROW(),$H$6)),INDEX($A:$AP,ROW(),$H$6),IFERROR(--SUBSTITUTE(SUBSTITUTE(TRIM(INDEX($A:$AP,ROW(),$H$6)),",",""),"원",""),0)))))</f>
        <v/>
      </c>
      <c r="AW785" s="2">
        <f>IF(OR($AS785="",$C$6=""),"",TRIM(INDEX($A:$AP,ROW(),$C$6)&amp;""))</f>
        <v/>
      </c>
      <c r="AX785" s="2">
        <f>IF($AS785="","",IF($AZ785&lt;&gt;"",SUBSTITUTE(SUBSTITUTE($AZ785,"-","")," ",""),$AY785))</f>
        <v/>
      </c>
      <c r="AY785" s="2">
        <f>IF(OR($AS785="",$E$6=""),"",TRIM(INDEX($A:$AP,ROW(),$E$6)&amp;""))</f>
        <v/>
      </c>
      <c r="AZ785" s="2">
        <f>IF(OR($AS785="",$D$6=""),"",TRIM(INDEX($A:$AP,ROW(),$D$6)&amp;""))</f>
        <v/>
      </c>
      <c r="BA785" s="2">
        <f>IF($AS785="","",IF(AND($AS785&gt;=설정!$B$10,$AS785&lt;=설정!$B$11),"포함","기간 밖"))</f>
        <v/>
      </c>
      <c r="BB785" s="2">
        <f>IF($AS785="","",IF(OR($AT785&lt;0,AND($I$6&lt;&gt;"",ISNUMBER(FIND("수정",INDEX($A:$AP,ROW(),IF($I$6="",1,$I$6))&amp;"")))),"수정","일반"))</f>
        <v/>
      </c>
      <c r="BC785" s="2">
        <f>IF($AS785="","",MID(IF($BA785="기간 밖"," / 기간 밖(신고기간 아님)","")&amp;IF(AND($AW785&lt;&gt;"",COUNTIF($AW$8:$AW$1007,$AW785)&gt;1)," / 승인번호 중복(두 번 붙여넣기?)","")&amp;IF(ABS($AU785-ROUND($AT785*0.1,0))&gt;설정!$B$8,IF($AU785=0," / 세액 0원(영세율·면세 여부 확인)"," / 세액이 공급가액 10%와 다름"),"")&amp;IF($BB785="수정"," / 수정세금계산서(합계에서 자동 가감)",""),4,200))</f>
        <v/>
      </c>
      <c r="BD785" s="2">
        <f>IF($BA785&lt;&gt;"포함","",IF(COUNTIFS($AX$8:$AX785,$AX785,$BA$8:$BA785,"포함")=1,MAX($BD$7:BD784)+1,""))</f>
        <v/>
      </c>
      <c r="BE785" s="2">
        <f>IF($BC785="","",MAX($BE$7:BE784)+1)</f>
        <v/>
      </c>
    </row>
    <row r="786">
      <c r="AR786" s="2">
        <f>IF(OR($A$5="",$B$6="",ROW()&lt;$A$5),"",IF(INDEX($A:$AP,ROW(),$B$6)="","",INDEX($A:$AP,ROW(),$B$6)))</f>
        <v/>
      </c>
      <c r="AS786" s="22">
        <f>IF($AR786="","",IF(ISNUMBER($AR786),IF($AR786&gt;=10000000,IFERROR(DATE(INT($AR786/10000),MOD(INT($AR786/100),100),MOD($AR786,100)),""),INT($AR786)),IFERROR(DATE(--LEFT(LEFT(SUBSTITUTE(SUBSTITUTE(SUBSTITUTE(SUBSTITUTE(TRIM($AR786),"-",""),".",""),"/","")," ",""),8),4),--MID(LEFT(SUBSTITUTE(SUBSTITUTE(SUBSTITUTE(SUBSTITUTE(TRIM($AR786),"-",""),".",""),"/","")," ",""),8),5,2),--MID(LEFT(SUBSTITUTE(SUBSTITUTE(SUBSTITUTE(SUBSTITUTE(TRIM($AR786),"-",""),".",""),"/","")," ",""),8),7,2)),"")))</f>
        <v/>
      </c>
      <c r="AT786" s="23">
        <f>IF($AS786="","",IF($F$6="",0,IF(ISNUMBER(INDEX($A:$AP,ROW(),$F$6)),INDEX($A:$AP,ROW(),$F$6),IFERROR(--SUBSTITUTE(SUBSTITUTE(TRIM(INDEX($A:$AP,ROW(),$F$6)),",",""),"원",""),0))))</f>
        <v/>
      </c>
      <c r="AU786" s="23">
        <f>IF($AS786="","",IF($G$6="",0,IF(ISNUMBER(INDEX($A:$AP,ROW(),$G$6)),INDEX($A:$AP,ROW(),$G$6),IFERROR(--SUBSTITUTE(SUBSTITUTE(TRIM(INDEX($A:$AP,ROW(),$G$6)),",",""),"원",""),0))))</f>
        <v/>
      </c>
      <c r="AV786" s="23">
        <f>IF($AS786="","",IF($H$6="",$AT786+$AU786,IF($H$6="",0,IF(ISNUMBER(INDEX($A:$AP,ROW(),$H$6)),INDEX($A:$AP,ROW(),$H$6),IFERROR(--SUBSTITUTE(SUBSTITUTE(TRIM(INDEX($A:$AP,ROW(),$H$6)),",",""),"원",""),0)))))</f>
        <v/>
      </c>
      <c r="AW786" s="2">
        <f>IF(OR($AS786="",$C$6=""),"",TRIM(INDEX($A:$AP,ROW(),$C$6)&amp;""))</f>
        <v/>
      </c>
      <c r="AX786" s="2">
        <f>IF($AS786="","",IF($AZ786&lt;&gt;"",SUBSTITUTE(SUBSTITUTE($AZ786,"-","")," ",""),$AY786))</f>
        <v/>
      </c>
      <c r="AY786" s="2">
        <f>IF(OR($AS786="",$E$6=""),"",TRIM(INDEX($A:$AP,ROW(),$E$6)&amp;""))</f>
        <v/>
      </c>
      <c r="AZ786" s="2">
        <f>IF(OR($AS786="",$D$6=""),"",TRIM(INDEX($A:$AP,ROW(),$D$6)&amp;""))</f>
        <v/>
      </c>
      <c r="BA786" s="2">
        <f>IF($AS786="","",IF(AND($AS786&gt;=설정!$B$10,$AS786&lt;=설정!$B$11),"포함","기간 밖"))</f>
        <v/>
      </c>
      <c r="BB786" s="2">
        <f>IF($AS786="","",IF(OR($AT786&lt;0,AND($I$6&lt;&gt;"",ISNUMBER(FIND("수정",INDEX($A:$AP,ROW(),IF($I$6="",1,$I$6))&amp;"")))),"수정","일반"))</f>
        <v/>
      </c>
      <c r="BC786" s="2">
        <f>IF($AS786="","",MID(IF($BA786="기간 밖"," / 기간 밖(신고기간 아님)","")&amp;IF(AND($AW786&lt;&gt;"",COUNTIF($AW$8:$AW$1007,$AW786)&gt;1)," / 승인번호 중복(두 번 붙여넣기?)","")&amp;IF(ABS($AU786-ROUND($AT786*0.1,0))&gt;설정!$B$8,IF($AU786=0," / 세액 0원(영세율·면세 여부 확인)"," / 세액이 공급가액 10%와 다름"),"")&amp;IF($BB786="수정"," / 수정세금계산서(합계에서 자동 가감)",""),4,200))</f>
        <v/>
      </c>
      <c r="BD786" s="2">
        <f>IF($BA786&lt;&gt;"포함","",IF(COUNTIFS($AX$8:$AX786,$AX786,$BA$8:$BA786,"포함")=1,MAX($BD$7:BD785)+1,""))</f>
        <v/>
      </c>
      <c r="BE786" s="2">
        <f>IF($BC786="","",MAX($BE$7:BE785)+1)</f>
        <v/>
      </c>
    </row>
    <row r="787">
      <c r="AR787" s="2">
        <f>IF(OR($A$5="",$B$6="",ROW()&lt;$A$5),"",IF(INDEX($A:$AP,ROW(),$B$6)="","",INDEX($A:$AP,ROW(),$B$6)))</f>
        <v/>
      </c>
      <c r="AS787" s="22">
        <f>IF($AR787="","",IF(ISNUMBER($AR787),IF($AR787&gt;=10000000,IFERROR(DATE(INT($AR787/10000),MOD(INT($AR787/100),100),MOD($AR787,100)),""),INT($AR787)),IFERROR(DATE(--LEFT(LEFT(SUBSTITUTE(SUBSTITUTE(SUBSTITUTE(SUBSTITUTE(TRIM($AR787),"-",""),".",""),"/","")," ",""),8),4),--MID(LEFT(SUBSTITUTE(SUBSTITUTE(SUBSTITUTE(SUBSTITUTE(TRIM($AR787),"-",""),".",""),"/","")," ",""),8),5,2),--MID(LEFT(SUBSTITUTE(SUBSTITUTE(SUBSTITUTE(SUBSTITUTE(TRIM($AR787),"-",""),".",""),"/","")," ",""),8),7,2)),"")))</f>
        <v/>
      </c>
      <c r="AT787" s="23">
        <f>IF($AS787="","",IF($F$6="",0,IF(ISNUMBER(INDEX($A:$AP,ROW(),$F$6)),INDEX($A:$AP,ROW(),$F$6),IFERROR(--SUBSTITUTE(SUBSTITUTE(TRIM(INDEX($A:$AP,ROW(),$F$6)),",",""),"원",""),0))))</f>
        <v/>
      </c>
      <c r="AU787" s="23">
        <f>IF($AS787="","",IF($G$6="",0,IF(ISNUMBER(INDEX($A:$AP,ROW(),$G$6)),INDEX($A:$AP,ROW(),$G$6),IFERROR(--SUBSTITUTE(SUBSTITUTE(TRIM(INDEX($A:$AP,ROW(),$G$6)),",",""),"원",""),0))))</f>
        <v/>
      </c>
      <c r="AV787" s="23">
        <f>IF($AS787="","",IF($H$6="",$AT787+$AU787,IF($H$6="",0,IF(ISNUMBER(INDEX($A:$AP,ROW(),$H$6)),INDEX($A:$AP,ROW(),$H$6),IFERROR(--SUBSTITUTE(SUBSTITUTE(TRIM(INDEX($A:$AP,ROW(),$H$6)),",",""),"원",""),0)))))</f>
        <v/>
      </c>
      <c r="AW787" s="2">
        <f>IF(OR($AS787="",$C$6=""),"",TRIM(INDEX($A:$AP,ROW(),$C$6)&amp;""))</f>
        <v/>
      </c>
      <c r="AX787" s="2">
        <f>IF($AS787="","",IF($AZ787&lt;&gt;"",SUBSTITUTE(SUBSTITUTE($AZ787,"-","")," ",""),$AY787))</f>
        <v/>
      </c>
      <c r="AY787" s="2">
        <f>IF(OR($AS787="",$E$6=""),"",TRIM(INDEX($A:$AP,ROW(),$E$6)&amp;""))</f>
        <v/>
      </c>
      <c r="AZ787" s="2">
        <f>IF(OR($AS787="",$D$6=""),"",TRIM(INDEX($A:$AP,ROW(),$D$6)&amp;""))</f>
        <v/>
      </c>
      <c r="BA787" s="2">
        <f>IF($AS787="","",IF(AND($AS787&gt;=설정!$B$10,$AS787&lt;=설정!$B$11),"포함","기간 밖"))</f>
        <v/>
      </c>
      <c r="BB787" s="2">
        <f>IF($AS787="","",IF(OR($AT787&lt;0,AND($I$6&lt;&gt;"",ISNUMBER(FIND("수정",INDEX($A:$AP,ROW(),IF($I$6="",1,$I$6))&amp;"")))),"수정","일반"))</f>
        <v/>
      </c>
      <c r="BC787" s="2">
        <f>IF($AS787="","",MID(IF($BA787="기간 밖"," / 기간 밖(신고기간 아님)","")&amp;IF(AND($AW787&lt;&gt;"",COUNTIF($AW$8:$AW$1007,$AW787)&gt;1)," / 승인번호 중복(두 번 붙여넣기?)","")&amp;IF(ABS($AU787-ROUND($AT787*0.1,0))&gt;설정!$B$8,IF($AU787=0," / 세액 0원(영세율·면세 여부 확인)"," / 세액이 공급가액 10%와 다름"),"")&amp;IF($BB787="수정"," / 수정세금계산서(합계에서 자동 가감)",""),4,200))</f>
        <v/>
      </c>
      <c r="BD787" s="2">
        <f>IF($BA787&lt;&gt;"포함","",IF(COUNTIFS($AX$8:$AX787,$AX787,$BA$8:$BA787,"포함")=1,MAX($BD$7:BD786)+1,""))</f>
        <v/>
      </c>
      <c r="BE787" s="2">
        <f>IF($BC787="","",MAX($BE$7:BE786)+1)</f>
        <v/>
      </c>
    </row>
    <row r="788">
      <c r="AR788" s="2">
        <f>IF(OR($A$5="",$B$6="",ROW()&lt;$A$5),"",IF(INDEX($A:$AP,ROW(),$B$6)="","",INDEX($A:$AP,ROW(),$B$6)))</f>
        <v/>
      </c>
      <c r="AS788" s="22">
        <f>IF($AR788="","",IF(ISNUMBER($AR788),IF($AR788&gt;=10000000,IFERROR(DATE(INT($AR788/10000),MOD(INT($AR788/100),100),MOD($AR788,100)),""),INT($AR788)),IFERROR(DATE(--LEFT(LEFT(SUBSTITUTE(SUBSTITUTE(SUBSTITUTE(SUBSTITUTE(TRIM($AR788),"-",""),".",""),"/","")," ",""),8),4),--MID(LEFT(SUBSTITUTE(SUBSTITUTE(SUBSTITUTE(SUBSTITUTE(TRIM($AR788),"-",""),".",""),"/","")," ",""),8),5,2),--MID(LEFT(SUBSTITUTE(SUBSTITUTE(SUBSTITUTE(SUBSTITUTE(TRIM($AR788),"-",""),".",""),"/","")," ",""),8),7,2)),"")))</f>
        <v/>
      </c>
      <c r="AT788" s="23">
        <f>IF($AS788="","",IF($F$6="",0,IF(ISNUMBER(INDEX($A:$AP,ROW(),$F$6)),INDEX($A:$AP,ROW(),$F$6),IFERROR(--SUBSTITUTE(SUBSTITUTE(TRIM(INDEX($A:$AP,ROW(),$F$6)),",",""),"원",""),0))))</f>
        <v/>
      </c>
      <c r="AU788" s="23">
        <f>IF($AS788="","",IF($G$6="",0,IF(ISNUMBER(INDEX($A:$AP,ROW(),$G$6)),INDEX($A:$AP,ROW(),$G$6),IFERROR(--SUBSTITUTE(SUBSTITUTE(TRIM(INDEX($A:$AP,ROW(),$G$6)),",",""),"원",""),0))))</f>
        <v/>
      </c>
      <c r="AV788" s="23">
        <f>IF($AS788="","",IF($H$6="",$AT788+$AU788,IF($H$6="",0,IF(ISNUMBER(INDEX($A:$AP,ROW(),$H$6)),INDEX($A:$AP,ROW(),$H$6),IFERROR(--SUBSTITUTE(SUBSTITUTE(TRIM(INDEX($A:$AP,ROW(),$H$6)),",",""),"원",""),0)))))</f>
        <v/>
      </c>
      <c r="AW788" s="2">
        <f>IF(OR($AS788="",$C$6=""),"",TRIM(INDEX($A:$AP,ROW(),$C$6)&amp;""))</f>
        <v/>
      </c>
      <c r="AX788" s="2">
        <f>IF($AS788="","",IF($AZ788&lt;&gt;"",SUBSTITUTE(SUBSTITUTE($AZ788,"-","")," ",""),$AY788))</f>
        <v/>
      </c>
      <c r="AY788" s="2">
        <f>IF(OR($AS788="",$E$6=""),"",TRIM(INDEX($A:$AP,ROW(),$E$6)&amp;""))</f>
        <v/>
      </c>
      <c r="AZ788" s="2">
        <f>IF(OR($AS788="",$D$6=""),"",TRIM(INDEX($A:$AP,ROW(),$D$6)&amp;""))</f>
        <v/>
      </c>
      <c r="BA788" s="2">
        <f>IF($AS788="","",IF(AND($AS788&gt;=설정!$B$10,$AS788&lt;=설정!$B$11),"포함","기간 밖"))</f>
        <v/>
      </c>
      <c r="BB788" s="2">
        <f>IF($AS788="","",IF(OR($AT788&lt;0,AND($I$6&lt;&gt;"",ISNUMBER(FIND("수정",INDEX($A:$AP,ROW(),IF($I$6="",1,$I$6))&amp;"")))),"수정","일반"))</f>
        <v/>
      </c>
      <c r="BC788" s="2">
        <f>IF($AS788="","",MID(IF($BA788="기간 밖"," / 기간 밖(신고기간 아님)","")&amp;IF(AND($AW788&lt;&gt;"",COUNTIF($AW$8:$AW$1007,$AW788)&gt;1)," / 승인번호 중복(두 번 붙여넣기?)","")&amp;IF(ABS($AU788-ROUND($AT788*0.1,0))&gt;설정!$B$8,IF($AU788=0," / 세액 0원(영세율·면세 여부 확인)"," / 세액이 공급가액 10%와 다름"),"")&amp;IF($BB788="수정"," / 수정세금계산서(합계에서 자동 가감)",""),4,200))</f>
        <v/>
      </c>
      <c r="BD788" s="2">
        <f>IF($BA788&lt;&gt;"포함","",IF(COUNTIFS($AX$8:$AX788,$AX788,$BA$8:$BA788,"포함")=1,MAX($BD$7:BD787)+1,""))</f>
        <v/>
      </c>
      <c r="BE788" s="2">
        <f>IF($BC788="","",MAX($BE$7:BE787)+1)</f>
        <v/>
      </c>
    </row>
    <row r="789">
      <c r="AR789" s="2">
        <f>IF(OR($A$5="",$B$6="",ROW()&lt;$A$5),"",IF(INDEX($A:$AP,ROW(),$B$6)="","",INDEX($A:$AP,ROW(),$B$6)))</f>
        <v/>
      </c>
      <c r="AS789" s="22">
        <f>IF($AR789="","",IF(ISNUMBER($AR789),IF($AR789&gt;=10000000,IFERROR(DATE(INT($AR789/10000),MOD(INT($AR789/100),100),MOD($AR789,100)),""),INT($AR789)),IFERROR(DATE(--LEFT(LEFT(SUBSTITUTE(SUBSTITUTE(SUBSTITUTE(SUBSTITUTE(TRIM($AR789),"-",""),".",""),"/","")," ",""),8),4),--MID(LEFT(SUBSTITUTE(SUBSTITUTE(SUBSTITUTE(SUBSTITUTE(TRIM($AR789),"-",""),".",""),"/","")," ",""),8),5,2),--MID(LEFT(SUBSTITUTE(SUBSTITUTE(SUBSTITUTE(SUBSTITUTE(TRIM($AR789),"-",""),".",""),"/","")," ",""),8),7,2)),"")))</f>
        <v/>
      </c>
      <c r="AT789" s="23">
        <f>IF($AS789="","",IF($F$6="",0,IF(ISNUMBER(INDEX($A:$AP,ROW(),$F$6)),INDEX($A:$AP,ROW(),$F$6),IFERROR(--SUBSTITUTE(SUBSTITUTE(TRIM(INDEX($A:$AP,ROW(),$F$6)),",",""),"원",""),0))))</f>
        <v/>
      </c>
      <c r="AU789" s="23">
        <f>IF($AS789="","",IF($G$6="",0,IF(ISNUMBER(INDEX($A:$AP,ROW(),$G$6)),INDEX($A:$AP,ROW(),$G$6),IFERROR(--SUBSTITUTE(SUBSTITUTE(TRIM(INDEX($A:$AP,ROW(),$G$6)),",",""),"원",""),0))))</f>
        <v/>
      </c>
      <c r="AV789" s="23">
        <f>IF($AS789="","",IF($H$6="",$AT789+$AU789,IF($H$6="",0,IF(ISNUMBER(INDEX($A:$AP,ROW(),$H$6)),INDEX($A:$AP,ROW(),$H$6),IFERROR(--SUBSTITUTE(SUBSTITUTE(TRIM(INDEX($A:$AP,ROW(),$H$6)),",",""),"원",""),0)))))</f>
        <v/>
      </c>
      <c r="AW789" s="2">
        <f>IF(OR($AS789="",$C$6=""),"",TRIM(INDEX($A:$AP,ROW(),$C$6)&amp;""))</f>
        <v/>
      </c>
      <c r="AX789" s="2">
        <f>IF($AS789="","",IF($AZ789&lt;&gt;"",SUBSTITUTE(SUBSTITUTE($AZ789,"-","")," ",""),$AY789))</f>
        <v/>
      </c>
      <c r="AY789" s="2">
        <f>IF(OR($AS789="",$E$6=""),"",TRIM(INDEX($A:$AP,ROW(),$E$6)&amp;""))</f>
        <v/>
      </c>
      <c r="AZ789" s="2">
        <f>IF(OR($AS789="",$D$6=""),"",TRIM(INDEX($A:$AP,ROW(),$D$6)&amp;""))</f>
        <v/>
      </c>
      <c r="BA789" s="2">
        <f>IF($AS789="","",IF(AND($AS789&gt;=설정!$B$10,$AS789&lt;=설정!$B$11),"포함","기간 밖"))</f>
        <v/>
      </c>
      <c r="BB789" s="2">
        <f>IF($AS789="","",IF(OR($AT789&lt;0,AND($I$6&lt;&gt;"",ISNUMBER(FIND("수정",INDEX($A:$AP,ROW(),IF($I$6="",1,$I$6))&amp;"")))),"수정","일반"))</f>
        <v/>
      </c>
      <c r="BC789" s="2">
        <f>IF($AS789="","",MID(IF($BA789="기간 밖"," / 기간 밖(신고기간 아님)","")&amp;IF(AND($AW789&lt;&gt;"",COUNTIF($AW$8:$AW$1007,$AW789)&gt;1)," / 승인번호 중복(두 번 붙여넣기?)","")&amp;IF(ABS($AU789-ROUND($AT789*0.1,0))&gt;설정!$B$8,IF($AU789=0," / 세액 0원(영세율·면세 여부 확인)"," / 세액이 공급가액 10%와 다름"),"")&amp;IF($BB789="수정"," / 수정세금계산서(합계에서 자동 가감)",""),4,200))</f>
        <v/>
      </c>
      <c r="BD789" s="2">
        <f>IF($BA789&lt;&gt;"포함","",IF(COUNTIFS($AX$8:$AX789,$AX789,$BA$8:$BA789,"포함")=1,MAX($BD$7:BD788)+1,""))</f>
        <v/>
      </c>
      <c r="BE789" s="2">
        <f>IF($BC789="","",MAX($BE$7:BE788)+1)</f>
        <v/>
      </c>
    </row>
    <row r="790">
      <c r="AR790" s="2">
        <f>IF(OR($A$5="",$B$6="",ROW()&lt;$A$5),"",IF(INDEX($A:$AP,ROW(),$B$6)="","",INDEX($A:$AP,ROW(),$B$6)))</f>
        <v/>
      </c>
      <c r="AS790" s="22">
        <f>IF($AR790="","",IF(ISNUMBER($AR790),IF($AR790&gt;=10000000,IFERROR(DATE(INT($AR790/10000),MOD(INT($AR790/100),100),MOD($AR790,100)),""),INT($AR790)),IFERROR(DATE(--LEFT(LEFT(SUBSTITUTE(SUBSTITUTE(SUBSTITUTE(SUBSTITUTE(TRIM($AR790),"-",""),".",""),"/","")," ",""),8),4),--MID(LEFT(SUBSTITUTE(SUBSTITUTE(SUBSTITUTE(SUBSTITUTE(TRIM($AR790),"-",""),".",""),"/","")," ",""),8),5,2),--MID(LEFT(SUBSTITUTE(SUBSTITUTE(SUBSTITUTE(SUBSTITUTE(TRIM($AR790),"-",""),".",""),"/","")," ",""),8),7,2)),"")))</f>
        <v/>
      </c>
      <c r="AT790" s="23">
        <f>IF($AS790="","",IF($F$6="",0,IF(ISNUMBER(INDEX($A:$AP,ROW(),$F$6)),INDEX($A:$AP,ROW(),$F$6),IFERROR(--SUBSTITUTE(SUBSTITUTE(TRIM(INDEX($A:$AP,ROW(),$F$6)),",",""),"원",""),0))))</f>
        <v/>
      </c>
      <c r="AU790" s="23">
        <f>IF($AS790="","",IF($G$6="",0,IF(ISNUMBER(INDEX($A:$AP,ROW(),$G$6)),INDEX($A:$AP,ROW(),$G$6),IFERROR(--SUBSTITUTE(SUBSTITUTE(TRIM(INDEX($A:$AP,ROW(),$G$6)),",",""),"원",""),0))))</f>
        <v/>
      </c>
      <c r="AV790" s="23">
        <f>IF($AS790="","",IF($H$6="",$AT790+$AU790,IF($H$6="",0,IF(ISNUMBER(INDEX($A:$AP,ROW(),$H$6)),INDEX($A:$AP,ROW(),$H$6),IFERROR(--SUBSTITUTE(SUBSTITUTE(TRIM(INDEX($A:$AP,ROW(),$H$6)),",",""),"원",""),0)))))</f>
        <v/>
      </c>
      <c r="AW790" s="2">
        <f>IF(OR($AS790="",$C$6=""),"",TRIM(INDEX($A:$AP,ROW(),$C$6)&amp;""))</f>
        <v/>
      </c>
      <c r="AX790" s="2">
        <f>IF($AS790="","",IF($AZ790&lt;&gt;"",SUBSTITUTE(SUBSTITUTE($AZ790,"-","")," ",""),$AY790))</f>
        <v/>
      </c>
      <c r="AY790" s="2">
        <f>IF(OR($AS790="",$E$6=""),"",TRIM(INDEX($A:$AP,ROW(),$E$6)&amp;""))</f>
        <v/>
      </c>
      <c r="AZ790" s="2">
        <f>IF(OR($AS790="",$D$6=""),"",TRIM(INDEX($A:$AP,ROW(),$D$6)&amp;""))</f>
        <v/>
      </c>
      <c r="BA790" s="2">
        <f>IF($AS790="","",IF(AND($AS790&gt;=설정!$B$10,$AS790&lt;=설정!$B$11),"포함","기간 밖"))</f>
        <v/>
      </c>
      <c r="BB790" s="2">
        <f>IF($AS790="","",IF(OR($AT790&lt;0,AND($I$6&lt;&gt;"",ISNUMBER(FIND("수정",INDEX($A:$AP,ROW(),IF($I$6="",1,$I$6))&amp;"")))),"수정","일반"))</f>
        <v/>
      </c>
      <c r="BC790" s="2">
        <f>IF($AS790="","",MID(IF($BA790="기간 밖"," / 기간 밖(신고기간 아님)","")&amp;IF(AND($AW790&lt;&gt;"",COUNTIF($AW$8:$AW$1007,$AW790)&gt;1)," / 승인번호 중복(두 번 붙여넣기?)","")&amp;IF(ABS($AU790-ROUND($AT790*0.1,0))&gt;설정!$B$8,IF($AU790=0," / 세액 0원(영세율·면세 여부 확인)"," / 세액이 공급가액 10%와 다름"),"")&amp;IF($BB790="수정"," / 수정세금계산서(합계에서 자동 가감)",""),4,200))</f>
        <v/>
      </c>
      <c r="BD790" s="2">
        <f>IF($BA790&lt;&gt;"포함","",IF(COUNTIFS($AX$8:$AX790,$AX790,$BA$8:$BA790,"포함")=1,MAX($BD$7:BD789)+1,""))</f>
        <v/>
      </c>
      <c r="BE790" s="2">
        <f>IF($BC790="","",MAX($BE$7:BE789)+1)</f>
        <v/>
      </c>
    </row>
    <row r="791">
      <c r="AR791" s="2">
        <f>IF(OR($A$5="",$B$6="",ROW()&lt;$A$5),"",IF(INDEX($A:$AP,ROW(),$B$6)="","",INDEX($A:$AP,ROW(),$B$6)))</f>
        <v/>
      </c>
      <c r="AS791" s="22">
        <f>IF($AR791="","",IF(ISNUMBER($AR791),IF($AR791&gt;=10000000,IFERROR(DATE(INT($AR791/10000),MOD(INT($AR791/100),100),MOD($AR791,100)),""),INT($AR791)),IFERROR(DATE(--LEFT(LEFT(SUBSTITUTE(SUBSTITUTE(SUBSTITUTE(SUBSTITUTE(TRIM($AR791),"-",""),".",""),"/","")," ",""),8),4),--MID(LEFT(SUBSTITUTE(SUBSTITUTE(SUBSTITUTE(SUBSTITUTE(TRIM($AR791),"-",""),".",""),"/","")," ",""),8),5,2),--MID(LEFT(SUBSTITUTE(SUBSTITUTE(SUBSTITUTE(SUBSTITUTE(TRIM($AR791),"-",""),".",""),"/","")," ",""),8),7,2)),"")))</f>
        <v/>
      </c>
      <c r="AT791" s="23">
        <f>IF($AS791="","",IF($F$6="",0,IF(ISNUMBER(INDEX($A:$AP,ROW(),$F$6)),INDEX($A:$AP,ROW(),$F$6),IFERROR(--SUBSTITUTE(SUBSTITUTE(TRIM(INDEX($A:$AP,ROW(),$F$6)),",",""),"원",""),0))))</f>
        <v/>
      </c>
      <c r="AU791" s="23">
        <f>IF($AS791="","",IF($G$6="",0,IF(ISNUMBER(INDEX($A:$AP,ROW(),$G$6)),INDEX($A:$AP,ROW(),$G$6),IFERROR(--SUBSTITUTE(SUBSTITUTE(TRIM(INDEX($A:$AP,ROW(),$G$6)),",",""),"원",""),0))))</f>
        <v/>
      </c>
      <c r="AV791" s="23">
        <f>IF($AS791="","",IF($H$6="",$AT791+$AU791,IF($H$6="",0,IF(ISNUMBER(INDEX($A:$AP,ROW(),$H$6)),INDEX($A:$AP,ROW(),$H$6),IFERROR(--SUBSTITUTE(SUBSTITUTE(TRIM(INDEX($A:$AP,ROW(),$H$6)),",",""),"원",""),0)))))</f>
        <v/>
      </c>
      <c r="AW791" s="2">
        <f>IF(OR($AS791="",$C$6=""),"",TRIM(INDEX($A:$AP,ROW(),$C$6)&amp;""))</f>
        <v/>
      </c>
      <c r="AX791" s="2">
        <f>IF($AS791="","",IF($AZ791&lt;&gt;"",SUBSTITUTE(SUBSTITUTE($AZ791,"-","")," ",""),$AY791))</f>
        <v/>
      </c>
      <c r="AY791" s="2">
        <f>IF(OR($AS791="",$E$6=""),"",TRIM(INDEX($A:$AP,ROW(),$E$6)&amp;""))</f>
        <v/>
      </c>
      <c r="AZ791" s="2">
        <f>IF(OR($AS791="",$D$6=""),"",TRIM(INDEX($A:$AP,ROW(),$D$6)&amp;""))</f>
        <v/>
      </c>
      <c r="BA791" s="2">
        <f>IF($AS791="","",IF(AND($AS791&gt;=설정!$B$10,$AS791&lt;=설정!$B$11),"포함","기간 밖"))</f>
        <v/>
      </c>
      <c r="BB791" s="2">
        <f>IF($AS791="","",IF(OR($AT791&lt;0,AND($I$6&lt;&gt;"",ISNUMBER(FIND("수정",INDEX($A:$AP,ROW(),IF($I$6="",1,$I$6))&amp;"")))),"수정","일반"))</f>
        <v/>
      </c>
      <c r="BC791" s="2">
        <f>IF($AS791="","",MID(IF($BA791="기간 밖"," / 기간 밖(신고기간 아님)","")&amp;IF(AND($AW791&lt;&gt;"",COUNTIF($AW$8:$AW$1007,$AW791)&gt;1)," / 승인번호 중복(두 번 붙여넣기?)","")&amp;IF(ABS($AU791-ROUND($AT791*0.1,0))&gt;설정!$B$8,IF($AU791=0," / 세액 0원(영세율·면세 여부 확인)"," / 세액이 공급가액 10%와 다름"),"")&amp;IF($BB791="수정"," / 수정세금계산서(합계에서 자동 가감)",""),4,200))</f>
        <v/>
      </c>
      <c r="BD791" s="2">
        <f>IF($BA791&lt;&gt;"포함","",IF(COUNTIFS($AX$8:$AX791,$AX791,$BA$8:$BA791,"포함")=1,MAX($BD$7:BD790)+1,""))</f>
        <v/>
      </c>
      <c r="BE791" s="2">
        <f>IF($BC791="","",MAX($BE$7:BE790)+1)</f>
        <v/>
      </c>
    </row>
    <row r="792">
      <c r="AR792" s="2">
        <f>IF(OR($A$5="",$B$6="",ROW()&lt;$A$5),"",IF(INDEX($A:$AP,ROW(),$B$6)="","",INDEX($A:$AP,ROW(),$B$6)))</f>
        <v/>
      </c>
      <c r="AS792" s="22">
        <f>IF($AR792="","",IF(ISNUMBER($AR792),IF($AR792&gt;=10000000,IFERROR(DATE(INT($AR792/10000),MOD(INT($AR792/100),100),MOD($AR792,100)),""),INT($AR792)),IFERROR(DATE(--LEFT(LEFT(SUBSTITUTE(SUBSTITUTE(SUBSTITUTE(SUBSTITUTE(TRIM($AR792),"-",""),".",""),"/","")," ",""),8),4),--MID(LEFT(SUBSTITUTE(SUBSTITUTE(SUBSTITUTE(SUBSTITUTE(TRIM($AR792),"-",""),".",""),"/","")," ",""),8),5,2),--MID(LEFT(SUBSTITUTE(SUBSTITUTE(SUBSTITUTE(SUBSTITUTE(TRIM($AR792),"-",""),".",""),"/","")," ",""),8),7,2)),"")))</f>
        <v/>
      </c>
      <c r="AT792" s="23">
        <f>IF($AS792="","",IF($F$6="",0,IF(ISNUMBER(INDEX($A:$AP,ROW(),$F$6)),INDEX($A:$AP,ROW(),$F$6),IFERROR(--SUBSTITUTE(SUBSTITUTE(TRIM(INDEX($A:$AP,ROW(),$F$6)),",",""),"원",""),0))))</f>
        <v/>
      </c>
      <c r="AU792" s="23">
        <f>IF($AS792="","",IF($G$6="",0,IF(ISNUMBER(INDEX($A:$AP,ROW(),$G$6)),INDEX($A:$AP,ROW(),$G$6),IFERROR(--SUBSTITUTE(SUBSTITUTE(TRIM(INDEX($A:$AP,ROW(),$G$6)),",",""),"원",""),0))))</f>
        <v/>
      </c>
      <c r="AV792" s="23">
        <f>IF($AS792="","",IF($H$6="",$AT792+$AU792,IF($H$6="",0,IF(ISNUMBER(INDEX($A:$AP,ROW(),$H$6)),INDEX($A:$AP,ROW(),$H$6),IFERROR(--SUBSTITUTE(SUBSTITUTE(TRIM(INDEX($A:$AP,ROW(),$H$6)),",",""),"원",""),0)))))</f>
        <v/>
      </c>
      <c r="AW792" s="2">
        <f>IF(OR($AS792="",$C$6=""),"",TRIM(INDEX($A:$AP,ROW(),$C$6)&amp;""))</f>
        <v/>
      </c>
      <c r="AX792" s="2">
        <f>IF($AS792="","",IF($AZ792&lt;&gt;"",SUBSTITUTE(SUBSTITUTE($AZ792,"-","")," ",""),$AY792))</f>
        <v/>
      </c>
      <c r="AY792" s="2">
        <f>IF(OR($AS792="",$E$6=""),"",TRIM(INDEX($A:$AP,ROW(),$E$6)&amp;""))</f>
        <v/>
      </c>
      <c r="AZ792" s="2">
        <f>IF(OR($AS792="",$D$6=""),"",TRIM(INDEX($A:$AP,ROW(),$D$6)&amp;""))</f>
        <v/>
      </c>
      <c r="BA792" s="2">
        <f>IF($AS792="","",IF(AND($AS792&gt;=설정!$B$10,$AS792&lt;=설정!$B$11),"포함","기간 밖"))</f>
        <v/>
      </c>
      <c r="BB792" s="2">
        <f>IF($AS792="","",IF(OR($AT792&lt;0,AND($I$6&lt;&gt;"",ISNUMBER(FIND("수정",INDEX($A:$AP,ROW(),IF($I$6="",1,$I$6))&amp;"")))),"수정","일반"))</f>
        <v/>
      </c>
      <c r="BC792" s="2">
        <f>IF($AS792="","",MID(IF($BA792="기간 밖"," / 기간 밖(신고기간 아님)","")&amp;IF(AND($AW792&lt;&gt;"",COUNTIF($AW$8:$AW$1007,$AW792)&gt;1)," / 승인번호 중복(두 번 붙여넣기?)","")&amp;IF(ABS($AU792-ROUND($AT792*0.1,0))&gt;설정!$B$8,IF($AU792=0," / 세액 0원(영세율·면세 여부 확인)"," / 세액이 공급가액 10%와 다름"),"")&amp;IF($BB792="수정"," / 수정세금계산서(합계에서 자동 가감)",""),4,200))</f>
        <v/>
      </c>
      <c r="BD792" s="2">
        <f>IF($BA792&lt;&gt;"포함","",IF(COUNTIFS($AX$8:$AX792,$AX792,$BA$8:$BA792,"포함")=1,MAX($BD$7:BD791)+1,""))</f>
        <v/>
      </c>
      <c r="BE792" s="2">
        <f>IF($BC792="","",MAX($BE$7:BE791)+1)</f>
        <v/>
      </c>
    </row>
    <row r="793">
      <c r="AR793" s="2">
        <f>IF(OR($A$5="",$B$6="",ROW()&lt;$A$5),"",IF(INDEX($A:$AP,ROW(),$B$6)="","",INDEX($A:$AP,ROW(),$B$6)))</f>
        <v/>
      </c>
      <c r="AS793" s="22">
        <f>IF($AR793="","",IF(ISNUMBER($AR793),IF($AR793&gt;=10000000,IFERROR(DATE(INT($AR793/10000),MOD(INT($AR793/100),100),MOD($AR793,100)),""),INT($AR793)),IFERROR(DATE(--LEFT(LEFT(SUBSTITUTE(SUBSTITUTE(SUBSTITUTE(SUBSTITUTE(TRIM($AR793),"-",""),".",""),"/","")," ",""),8),4),--MID(LEFT(SUBSTITUTE(SUBSTITUTE(SUBSTITUTE(SUBSTITUTE(TRIM($AR793),"-",""),".",""),"/","")," ",""),8),5,2),--MID(LEFT(SUBSTITUTE(SUBSTITUTE(SUBSTITUTE(SUBSTITUTE(TRIM($AR793),"-",""),".",""),"/","")," ",""),8),7,2)),"")))</f>
        <v/>
      </c>
      <c r="AT793" s="23">
        <f>IF($AS793="","",IF($F$6="",0,IF(ISNUMBER(INDEX($A:$AP,ROW(),$F$6)),INDEX($A:$AP,ROW(),$F$6),IFERROR(--SUBSTITUTE(SUBSTITUTE(TRIM(INDEX($A:$AP,ROW(),$F$6)),",",""),"원",""),0))))</f>
        <v/>
      </c>
      <c r="AU793" s="23">
        <f>IF($AS793="","",IF($G$6="",0,IF(ISNUMBER(INDEX($A:$AP,ROW(),$G$6)),INDEX($A:$AP,ROW(),$G$6),IFERROR(--SUBSTITUTE(SUBSTITUTE(TRIM(INDEX($A:$AP,ROW(),$G$6)),",",""),"원",""),0))))</f>
        <v/>
      </c>
      <c r="AV793" s="23">
        <f>IF($AS793="","",IF($H$6="",$AT793+$AU793,IF($H$6="",0,IF(ISNUMBER(INDEX($A:$AP,ROW(),$H$6)),INDEX($A:$AP,ROW(),$H$6),IFERROR(--SUBSTITUTE(SUBSTITUTE(TRIM(INDEX($A:$AP,ROW(),$H$6)),",",""),"원",""),0)))))</f>
        <v/>
      </c>
      <c r="AW793" s="2">
        <f>IF(OR($AS793="",$C$6=""),"",TRIM(INDEX($A:$AP,ROW(),$C$6)&amp;""))</f>
        <v/>
      </c>
      <c r="AX793" s="2">
        <f>IF($AS793="","",IF($AZ793&lt;&gt;"",SUBSTITUTE(SUBSTITUTE($AZ793,"-","")," ",""),$AY793))</f>
        <v/>
      </c>
      <c r="AY793" s="2">
        <f>IF(OR($AS793="",$E$6=""),"",TRIM(INDEX($A:$AP,ROW(),$E$6)&amp;""))</f>
        <v/>
      </c>
      <c r="AZ793" s="2">
        <f>IF(OR($AS793="",$D$6=""),"",TRIM(INDEX($A:$AP,ROW(),$D$6)&amp;""))</f>
        <v/>
      </c>
      <c r="BA793" s="2">
        <f>IF($AS793="","",IF(AND($AS793&gt;=설정!$B$10,$AS793&lt;=설정!$B$11),"포함","기간 밖"))</f>
        <v/>
      </c>
      <c r="BB793" s="2">
        <f>IF($AS793="","",IF(OR($AT793&lt;0,AND($I$6&lt;&gt;"",ISNUMBER(FIND("수정",INDEX($A:$AP,ROW(),IF($I$6="",1,$I$6))&amp;"")))),"수정","일반"))</f>
        <v/>
      </c>
      <c r="BC793" s="2">
        <f>IF($AS793="","",MID(IF($BA793="기간 밖"," / 기간 밖(신고기간 아님)","")&amp;IF(AND($AW793&lt;&gt;"",COUNTIF($AW$8:$AW$1007,$AW793)&gt;1)," / 승인번호 중복(두 번 붙여넣기?)","")&amp;IF(ABS($AU793-ROUND($AT793*0.1,0))&gt;설정!$B$8,IF($AU793=0," / 세액 0원(영세율·면세 여부 확인)"," / 세액이 공급가액 10%와 다름"),"")&amp;IF($BB793="수정"," / 수정세금계산서(합계에서 자동 가감)",""),4,200))</f>
        <v/>
      </c>
      <c r="BD793" s="2">
        <f>IF($BA793&lt;&gt;"포함","",IF(COUNTIFS($AX$8:$AX793,$AX793,$BA$8:$BA793,"포함")=1,MAX($BD$7:BD792)+1,""))</f>
        <v/>
      </c>
      <c r="BE793" s="2">
        <f>IF($BC793="","",MAX($BE$7:BE792)+1)</f>
        <v/>
      </c>
    </row>
    <row r="794">
      <c r="AR794" s="2">
        <f>IF(OR($A$5="",$B$6="",ROW()&lt;$A$5),"",IF(INDEX($A:$AP,ROW(),$B$6)="","",INDEX($A:$AP,ROW(),$B$6)))</f>
        <v/>
      </c>
      <c r="AS794" s="22">
        <f>IF($AR794="","",IF(ISNUMBER($AR794),IF($AR794&gt;=10000000,IFERROR(DATE(INT($AR794/10000),MOD(INT($AR794/100),100),MOD($AR794,100)),""),INT($AR794)),IFERROR(DATE(--LEFT(LEFT(SUBSTITUTE(SUBSTITUTE(SUBSTITUTE(SUBSTITUTE(TRIM($AR794),"-",""),".",""),"/","")," ",""),8),4),--MID(LEFT(SUBSTITUTE(SUBSTITUTE(SUBSTITUTE(SUBSTITUTE(TRIM($AR794),"-",""),".",""),"/","")," ",""),8),5,2),--MID(LEFT(SUBSTITUTE(SUBSTITUTE(SUBSTITUTE(SUBSTITUTE(TRIM($AR794),"-",""),".",""),"/","")," ",""),8),7,2)),"")))</f>
        <v/>
      </c>
      <c r="AT794" s="23">
        <f>IF($AS794="","",IF($F$6="",0,IF(ISNUMBER(INDEX($A:$AP,ROW(),$F$6)),INDEX($A:$AP,ROW(),$F$6),IFERROR(--SUBSTITUTE(SUBSTITUTE(TRIM(INDEX($A:$AP,ROW(),$F$6)),",",""),"원",""),0))))</f>
        <v/>
      </c>
      <c r="AU794" s="23">
        <f>IF($AS794="","",IF($G$6="",0,IF(ISNUMBER(INDEX($A:$AP,ROW(),$G$6)),INDEX($A:$AP,ROW(),$G$6),IFERROR(--SUBSTITUTE(SUBSTITUTE(TRIM(INDEX($A:$AP,ROW(),$G$6)),",",""),"원",""),0))))</f>
        <v/>
      </c>
      <c r="AV794" s="23">
        <f>IF($AS794="","",IF($H$6="",$AT794+$AU794,IF($H$6="",0,IF(ISNUMBER(INDEX($A:$AP,ROW(),$H$6)),INDEX($A:$AP,ROW(),$H$6),IFERROR(--SUBSTITUTE(SUBSTITUTE(TRIM(INDEX($A:$AP,ROW(),$H$6)),",",""),"원",""),0)))))</f>
        <v/>
      </c>
      <c r="AW794" s="2">
        <f>IF(OR($AS794="",$C$6=""),"",TRIM(INDEX($A:$AP,ROW(),$C$6)&amp;""))</f>
        <v/>
      </c>
      <c r="AX794" s="2">
        <f>IF($AS794="","",IF($AZ794&lt;&gt;"",SUBSTITUTE(SUBSTITUTE($AZ794,"-","")," ",""),$AY794))</f>
        <v/>
      </c>
      <c r="AY794" s="2">
        <f>IF(OR($AS794="",$E$6=""),"",TRIM(INDEX($A:$AP,ROW(),$E$6)&amp;""))</f>
        <v/>
      </c>
      <c r="AZ794" s="2">
        <f>IF(OR($AS794="",$D$6=""),"",TRIM(INDEX($A:$AP,ROW(),$D$6)&amp;""))</f>
        <v/>
      </c>
      <c r="BA794" s="2">
        <f>IF($AS794="","",IF(AND($AS794&gt;=설정!$B$10,$AS794&lt;=설정!$B$11),"포함","기간 밖"))</f>
        <v/>
      </c>
      <c r="BB794" s="2">
        <f>IF($AS794="","",IF(OR($AT794&lt;0,AND($I$6&lt;&gt;"",ISNUMBER(FIND("수정",INDEX($A:$AP,ROW(),IF($I$6="",1,$I$6))&amp;"")))),"수정","일반"))</f>
        <v/>
      </c>
      <c r="BC794" s="2">
        <f>IF($AS794="","",MID(IF($BA794="기간 밖"," / 기간 밖(신고기간 아님)","")&amp;IF(AND($AW794&lt;&gt;"",COUNTIF($AW$8:$AW$1007,$AW794)&gt;1)," / 승인번호 중복(두 번 붙여넣기?)","")&amp;IF(ABS($AU794-ROUND($AT794*0.1,0))&gt;설정!$B$8,IF($AU794=0," / 세액 0원(영세율·면세 여부 확인)"," / 세액이 공급가액 10%와 다름"),"")&amp;IF($BB794="수정"," / 수정세금계산서(합계에서 자동 가감)",""),4,200))</f>
        <v/>
      </c>
      <c r="BD794" s="2">
        <f>IF($BA794&lt;&gt;"포함","",IF(COUNTIFS($AX$8:$AX794,$AX794,$BA$8:$BA794,"포함")=1,MAX($BD$7:BD793)+1,""))</f>
        <v/>
      </c>
      <c r="BE794" s="2">
        <f>IF($BC794="","",MAX($BE$7:BE793)+1)</f>
        <v/>
      </c>
    </row>
    <row r="795">
      <c r="AR795" s="2">
        <f>IF(OR($A$5="",$B$6="",ROW()&lt;$A$5),"",IF(INDEX($A:$AP,ROW(),$B$6)="","",INDEX($A:$AP,ROW(),$B$6)))</f>
        <v/>
      </c>
      <c r="AS795" s="22">
        <f>IF($AR795="","",IF(ISNUMBER($AR795),IF($AR795&gt;=10000000,IFERROR(DATE(INT($AR795/10000),MOD(INT($AR795/100),100),MOD($AR795,100)),""),INT($AR795)),IFERROR(DATE(--LEFT(LEFT(SUBSTITUTE(SUBSTITUTE(SUBSTITUTE(SUBSTITUTE(TRIM($AR795),"-",""),".",""),"/","")," ",""),8),4),--MID(LEFT(SUBSTITUTE(SUBSTITUTE(SUBSTITUTE(SUBSTITUTE(TRIM($AR795),"-",""),".",""),"/","")," ",""),8),5,2),--MID(LEFT(SUBSTITUTE(SUBSTITUTE(SUBSTITUTE(SUBSTITUTE(TRIM($AR795),"-",""),".",""),"/","")," ",""),8),7,2)),"")))</f>
        <v/>
      </c>
      <c r="AT795" s="23">
        <f>IF($AS795="","",IF($F$6="",0,IF(ISNUMBER(INDEX($A:$AP,ROW(),$F$6)),INDEX($A:$AP,ROW(),$F$6),IFERROR(--SUBSTITUTE(SUBSTITUTE(TRIM(INDEX($A:$AP,ROW(),$F$6)),",",""),"원",""),0))))</f>
        <v/>
      </c>
      <c r="AU795" s="23">
        <f>IF($AS795="","",IF($G$6="",0,IF(ISNUMBER(INDEX($A:$AP,ROW(),$G$6)),INDEX($A:$AP,ROW(),$G$6),IFERROR(--SUBSTITUTE(SUBSTITUTE(TRIM(INDEX($A:$AP,ROW(),$G$6)),",",""),"원",""),0))))</f>
        <v/>
      </c>
      <c r="AV795" s="23">
        <f>IF($AS795="","",IF($H$6="",$AT795+$AU795,IF($H$6="",0,IF(ISNUMBER(INDEX($A:$AP,ROW(),$H$6)),INDEX($A:$AP,ROW(),$H$6),IFERROR(--SUBSTITUTE(SUBSTITUTE(TRIM(INDEX($A:$AP,ROW(),$H$6)),",",""),"원",""),0)))))</f>
        <v/>
      </c>
      <c r="AW795" s="2">
        <f>IF(OR($AS795="",$C$6=""),"",TRIM(INDEX($A:$AP,ROW(),$C$6)&amp;""))</f>
        <v/>
      </c>
      <c r="AX795" s="2">
        <f>IF($AS795="","",IF($AZ795&lt;&gt;"",SUBSTITUTE(SUBSTITUTE($AZ795,"-","")," ",""),$AY795))</f>
        <v/>
      </c>
      <c r="AY795" s="2">
        <f>IF(OR($AS795="",$E$6=""),"",TRIM(INDEX($A:$AP,ROW(),$E$6)&amp;""))</f>
        <v/>
      </c>
      <c r="AZ795" s="2">
        <f>IF(OR($AS795="",$D$6=""),"",TRIM(INDEX($A:$AP,ROW(),$D$6)&amp;""))</f>
        <v/>
      </c>
      <c r="BA795" s="2">
        <f>IF($AS795="","",IF(AND($AS795&gt;=설정!$B$10,$AS795&lt;=설정!$B$11),"포함","기간 밖"))</f>
        <v/>
      </c>
      <c r="BB795" s="2">
        <f>IF($AS795="","",IF(OR($AT795&lt;0,AND($I$6&lt;&gt;"",ISNUMBER(FIND("수정",INDEX($A:$AP,ROW(),IF($I$6="",1,$I$6))&amp;"")))),"수정","일반"))</f>
        <v/>
      </c>
      <c r="BC795" s="2">
        <f>IF($AS795="","",MID(IF($BA795="기간 밖"," / 기간 밖(신고기간 아님)","")&amp;IF(AND($AW795&lt;&gt;"",COUNTIF($AW$8:$AW$1007,$AW795)&gt;1)," / 승인번호 중복(두 번 붙여넣기?)","")&amp;IF(ABS($AU795-ROUND($AT795*0.1,0))&gt;설정!$B$8,IF($AU795=0," / 세액 0원(영세율·면세 여부 확인)"," / 세액이 공급가액 10%와 다름"),"")&amp;IF($BB795="수정"," / 수정세금계산서(합계에서 자동 가감)",""),4,200))</f>
        <v/>
      </c>
      <c r="BD795" s="2">
        <f>IF($BA795&lt;&gt;"포함","",IF(COUNTIFS($AX$8:$AX795,$AX795,$BA$8:$BA795,"포함")=1,MAX($BD$7:BD794)+1,""))</f>
        <v/>
      </c>
      <c r="BE795" s="2">
        <f>IF($BC795="","",MAX($BE$7:BE794)+1)</f>
        <v/>
      </c>
    </row>
    <row r="796">
      <c r="AR796" s="2">
        <f>IF(OR($A$5="",$B$6="",ROW()&lt;$A$5),"",IF(INDEX($A:$AP,ROW(),$B$6)="","",INDEX($A:$AP,ROW(),$B$6)))</f>
        <v/>
      </c>
      <c r="AS796" s="22">
        <f>IF($AR796="","",IF(ISNUMBER($AR796),IF($AR796&gt;=10000000,IFERROR(DATE(INT($AR796/10000),MOD(INT($AR796/100),100),MOD($AR796,100)),""),INT($AR796)),IFERROR(DATE(--LEFT(LEFT(SUBSTITUTE(SUBSTITUTE(SUBSTITUTE(SUBSTITUTE(TRIM($AR796),"-",""),".",""),"/","")," ",""),8),4),--MID(LEFT(SUBSTITUTE(SUBSTITUTE(SUBSTITUTE(SUBSTITUTE(TRIM($AR796),"-",""),".",""),"/","")," ",""),8),5,2),--MID(LEFT(SUBSTITUTE(SUBSTITUTE(SUBSTITUTE(SUBSTITUTE(TRIM($AR796),"-",""),".",""),"/","")," ",""),8),7,2)),"")))</f>
        <v/>
      </c>
      <c r="AT796" s="23">
        <f>IF($AS796="","",IF($F$6="",0,IF(ISNUMBER(INDEX($A:$AP,ROW(),$F$6)),INDEX($A:$AP,ROW(),$F$6),IFERROR(--SUBSTITUTE(SUBSTITUTE(TRIM(INDEX($A:$AP,ROW(),$F$6)),",",""),"원",""),0))))</f>
        <v/>
      </c>
      <c r="AU796" s="23">
        <f>IF($AS796="","",IF($G$6="",0,IF(ISNUMBER(INDEX($A:$AP,ROW(),$G$6)),INDEX($A:$AP,ROW(),$G$6),IFERROR(--SUBSTITUTE(SUBSTITUTE(TRIM(INDEX($A:$AP,ROW(),$G$6)),",",""),"원",""),0))))</f>
        <v/>
      </c>
      <c r="AV796" s="23">
        <f>IF($AS796="","",IF($H$6="",$AT796+$AU796,IF($H$6="",0,IF(ISNUMBER(INDEX($A:$AP,ROW(),$H$6)),INDEX($A:$AP,ROW(),$H$6),IFERROR(--SUBSTITUTE(SUBSTITUTE(TRIM(INDEX($A:$AP,ROW(),$H$6)),",",""),"원",""),0)))))</f>
        <v/>
      </c>
      <c r="AW796" s="2">
        <f>IF(OR($AS796="",$C$6=""),"",TRIM(INDEX($A:$AP,ROW(),$C$6)&amp;""))</f>
        <v/>
      </c>
      <c r="AX796" s="2">
        <f>IF($AS796="","",IF($AZ796&lt;&gt;"",SUBSTITUTE(SUBSTITUTE($AZ796,"-","")," ",""),$AY796))</f>
        <v/>
      </c>
      <c r="AY796" s="2">
        <f>IF(OR($AS796="",$E$6=""),"",TRIM(INDEX($A:$AP,ROW(),$E$6)&amp;""))</f>
        <v/>
      </c>
      <c r="AZ796" s="2">
        <f>IF(OR($AS796="",$D$6=""),"",TRIM(INDEX($A:$AP,ROW(),$D$6)&amp;""))</f>
        <v/>
      </c>
      <c r="BA796" s="2">
        <f>IF($AS796="","",IF(AND($AS796&gt;=설정!$B$10,$AS796&lt;=설정!$B$11),"포함","기간 밖"))</f>
        <v/>
      </c>
      <c r="BB796" s="2">
        <f>IF($AS796="","",IF(OR($AT796&lt;0,AND($I$6&lt;&gt;"",ISNUMBER(FIND("수정",INDEX($A:$AP,ROW(),IF($I$6="",1,$I$6))&amp;"")))),"수정","일반"))</f>
        <v/>
      </c>
      <c r="BC796" s="2">
        <f>IF($AS796="","",MID(IF($BA796="기간 밖"," / 기간 밖(신고기간 아님)","")&amp;IF(AND($AW796&lt;&gt;"",COUNTIF($AW$8:$AW$1007,$AW796)&gt;1)," / 승인번호 중복(두 번 붙여넣기?)","")&amp;IF(ABS($AU796-ROUND($AT796*0.1,0))&gt;설정!$B$8,IF($AU796=0," / 세액 0원(영세율·면세 여부 확인)"," / 세액이 공급가액 10%와 다름"),"")&amp;IF($BB796="수정"," / 수정세금계산서(합계에서 자동 가감)",""),4,200))</f>
        <v/>
      </c>
      <c r="BD796" s="2">
        <f>IF($BA796&lt;&gt;"포함","",IF(COUNTIFS($AX$8:$AX796,$AX796,$BA$8:$BA796,"포함")=1,MAX($BD$7:BD795)+1,""))</f>
        <v/>
      </c>
      <c r="BE796" s="2">
        <f>IF($BC796="","",MAX($BE$7:BE795)+1)</f>
        <v/>
      </c>
    </row>
    <row r="797">
      <c r="AR797" s="2">
        <f>IF(OR($A$5="",$B$6="",ROW()&lt;$A$5),"",IF(INDEX($A:$AP,ROW(),$B$6)="","",INDEX($A:$AP,ROW(),$B$6)))</f>
        <v/>
      </c>
      <c r="AS797" s="22">
        <f>IF($AR797="","",IF(ISNUMBER($AR797),IF($AR797&gt;=10000000,IFERROR(DATE(INT($AR797/10000),MOD(INT($AR797/100),100),MOD($AR797,100)),""),INT($AR797)),IFERROR(DATE(--LEFT(LEFT(SUBSTITUTE(SUBSTITUTE(SUBSTITUTE(SUBSTITUTE(TRIM($AR797),"-",""),".",""),"/","")," ",""),8),4),--MID(LEFT(SUBSTITUTE(SUBSTITUTE(SUBSTITUTE(SUBSTITUTE(TRIM($AR797),"-",""),".",""),"/","")," ",""),8),5,2),--MID(LEFT(SUBSTITUTE(SUBSTITUTE(SUBSTITUTE(SUBSTITUTE(TRIM($AR797),"-",""),".",""),"/","")," ",""),8),7,2)),"")))</f>
        <v/>
      </c>
      <c r="AT797" s="23">
        <f>IF($AS797="","",IF($F$6="",0,IF(ISNUMBER(INDEX($A:$AP,ROW(),$F$6)),INDEX($A:$AP,ROW(),$F$6),IFERROR(--SUBSTITUTE(SUBSTITUTE(TRIM(INDEX($A:$AP,ROW(),$F$6)),",",""),"원",""),0))))</f>
        <v/>
      </c>
      <c r="AU797" s="23">
        <f>IF($AS797="","",IF($G$6="",0,IF(ISNUMBER(INDEX($A:$AP,ROW(),$G$6)),INDEX($A:$AP,ROW(),$G$6),IFERROR(--SUBSTITUTE(SUBSTITUTE(TRIM(INDEX($A:$AP,ROW(),$G$6)),",",""),"원",""),0))))</f>
        <v/>
      </c>
      <c r="AV797" s="23">
        <f>IF($AS797="","",IF($H$6="",$AT797+$AU797,IF($H$6="",0,IF(ISNUMBER(INDEX($A:$AP,ROW(),$H$6)),INDEX($A:$AP,ROW(),$H$6),IFERROR(--SUBSTITUTE(SUBSTITUTE(TRIM(INDEX($A:$AP,ROW(),$H$6)),",",""),"원",""),0)))))</f>
        <v/>
      </c>
      <c r="AW797" s="2">
        <f>IF(OR($AS797="",$C$6=""),"",TRIM(INDEX($A:$AP,ROW(),$C$6)&amp;""))</f>
        <v/>
      </c>
      <c r="AX797" s="2">
        <f>IF($AS797="","",IF($AZ797&lt;&gt;"",SUBSTITUTE(SUBSTITUTE($AZ797,"-","")," ",""),$AY797))</f>
        <v/>
      </c>
      <c r="AY797" s="2">
        <f>IF(OR($AS797="",$E$6=""),"",TRIM(INDEX($A:$AP,ROW(),$E$6)&amp;""))</f>
        <v/>
      </c>
      <c r="AZ797" s="2">
        <f>IF(OR($AS797="",$D$6=""),"",TRIM(INDEX($A:$AP,ROW(),$D$6)&amp;""))</f>
        <v/>
      </c>
      <c r="BA797" s="2">
        <f>IF($AS797="","",IF(AND($AS797&gt;=설정!$B$10,$AS797&lt;=설정!$B$11),"포함","기간 밖"))</f>
        <v/>
      </c>
      <c r="BB797" s="2">
        <f>IF($AS797="","",IF(OR($AT797&lt;0,AND($I$6&lt;&gt;"",ISNUMBER(FIND("수정",INDEX($A:$AP,ROW(),IF($I$6="",1,$I$6))&amp;"")))),"수정","일반"))</f>
        <v/>
      </c>
      <c r="BC797" s="2">
        <f>IF($AS797="","",MID(IF($BA797="기간 밖"," / 기간 밖(신고기간 아님)","")&amp;IF(AND($AW797&lt;&gt;"",COUNTIF($AW$8:$AW$1007,$AW797)&gt;1)," / 승인번호 중복(두 번 붙여넣기?)","")&amp;IF(ABS($AU797-ROUND($AT797*0.1,0))&gt;설정!$B$8,IF($AU797=0," / 세액 0원(영세율·면세 여부 확인)"," / 세액이 공급가액 10%와 다름"),"")&amp;IF($BB797="수정"," / 수정세금계산서(합계에서 자동 가감)",""),4,200))</f>
        <v/>
      </c>
      <c r="BD797" s="2">
        <f>IF($BA797&lt;&gt;"포함","",IF(COUNTIFS($AX$8:$AX797,$AX797,$BA$8:$BA797,"포함")=1,MAX($BD$7:BD796)+1,""))</f>
        <v/>
      </c>
      <c r="BE797" s="2">
        <f>IF($BC797="","",MAX($BE$7:BE796)+1)</f>
        <v/>
      </c>
    </row>
    <row r="798">
      <c r="AR798" s="2">
        <f>IF(OR($A$5="",$B$6="",ROW()&lt;$A$5),"",IF(INDEX($A:$AP,ROW(),$B$6)="","",INDEX($A:$AP,ROW(),$B$6)))</f>
        <v/>
      </c>
      <c r="AS798" s="22">
        <f>IF($AR798="","",IF(ISNUMBER($AR798),IF($AR798&gt;=10000000,IFERROR(DATE(INT($AR798/10000),MOD(INT($AR798/100),100),MOD($AR798,100)),""),INT($AR798)),IFERROR(DATE(--LEFT(LEFT(SUBSTITUTE(SUBSTITUTE(SUBSTITUTE(SUBSTITUTE(TRIM($AR798),"-",""),".",""),"/","")," ",""),8),4),--MID(LEFT(SUBSTITUTE(SUBSTITUTE(SUBSTITUTE(SUBSTITUTE(TRIM($AR798),"-",""),".",""),"/","")," ",""),8),5,2),--MID(LEFT(SUBSTITUTE(SUBSTITUTE(SUBSTITUTE(SUBSTITUTE(TRIM($AR798),"-",""),".",""),"/","")," ",""),8),7,2)),"")))</f>
        <v/>
      </c>
      <c r="AT798" s="23">
        <f>IF($AS798="","",IF($F$6="",0,IF(ISNUMBER(INDEX($A:$AP,ROW(),$F$6)),INDEX($A:$AP,ROW(),$F$6),IFERROR(--SUBSTITUTE(SUBSTITUTE(TRIM(INDEX($A:$AP,ROW(),$F$6)),",",""),"원",""),0))))</f>
        <v/>
      </c>
      <c r="AU798" s="23">
        <f>IF($AS798="","",IF($G$6="",0,IF(ISNUMBER(INDEX($A:$AP,ROW(),$G$6)),INDEX($A:$AP,ROW(),$G$6),IFERROR(--SUBSTITUTE(SUBSTITUTE(TRIM(INDEX($A:$AP,ROW(),$G$6)),",",""),"원",""),0))))</f>
        <v/>
      </c>
      <c r="AV798" s="23">
        <f>IF($AS798="","",IF($H$6="",$AT798+$AU798,IF($H$6="",0,IF(ISNUMBER(INDEX($A:$AP,ROW(),$H$6)),INDEX($A:$AP,ROW(),$H$6),IFERROR(--SUBSTITUTE(SUBSTITUTE(TRIM(INDEX($A:$AP,ROW(),$H$6)),",",""),"원",""),0)))))</f>
        <v/>
      </c>
      <c r="AW798" s="2">
        <f>IF(OR($AS798="",$C$6=""),"",TRIM(INDEX($A:$AP,ROW(),$C$6)&amp;""))</f>
        <v/>
      </c>
      <c r="AX798" s="2">
        <f>IF($AS798="","",IF($AZ798&lt;&gt;"",SUBSTITUTE(SUBSTITUTE($AZ798,"-","")," ",""),$AY798))</f>
        <v/>
      </c>
      <c r="AY798" s="2">
        <f>IF(OR($AS798="",$E$6=""),"",TRIM(INDEX($A:$AP,ROW(),$E$6)&amp;""))</f>
        <v/>
      </c>
      <c r="AZ798" s="2">
        <f>IF(OR($AS798="",$D$6=""),"",TRIM(INDEX($A:$AP,ROW(),$D$6)&amp;""))</f>
        <v/>
      </c>
      <c r="BA798" s="2">
        <f>IF($AS798="","",IF(AND($AS798&gt;=설정!$B$10,$AS798&lt;=설정!$B$11),"포함","기간 밖"))</f>
        <v/>
      </c>
      <c r="BB798" s="2">
        <f>IF($AS798="","",IF(OR($AT798&lt;0,AND($I$6&lt;&gt;"",ISNUMBER(FIND("수정",INDEX($A:$AP,ROW(),IF($I$6="",1,$I$6))&amp;"")))),"수정","일반"))</f>
        <v/>
      </c>
      <c r="BC798" s="2">
        <f>IF($AS798="","",MID(IF($BA798="기간 밖"," / 기간 밖(신고기간 아님)","")&amp;IF(AND($AW798&lt;&gt;"",COUNTIF($AW$8:$AW$1007,$AW798)&gt;1)," / 승인번호 중복(두 번 붙여넣기?)","")&amp;IF(ABS($AU798-ROUND($AT798*0.1,0))&gt;설정!$B$8,IF($AU798=0," / 세액 0원(영세율·면세 여부 확인)"," / 세액이 공급가액 10%와 다름"),"")&amp;IF($BB798="수정"," / 수정세금계산서(합계에서 자동 가감)",""),4,200))</f>
        <v/>
      </c>
      <c r="BD798" s="2">
        <f>IF($BA798&lt;&gt;"포함","",IF(COUNTIFS($AX$8:$AX798,$AX798,$BA$8:$BA798,"포함")=1,MAX($BD$7:BD797)+1,""))</f>
        <v/>
      </c>
      <c r="BE798" s="2">
        <f>IF($BC798="","",MAX($BE$7:BE797)+1)</f>
        <v/>
      </c>
    </row>
    <row r="799">
      <c r="AR799" s="2">
        <f>IF(OR($A$5="",$B$6="",ROW()&lt;$A$5),"",IF(INDEX($A:$AP,ROW(),$B$6)="","",INDEX($A:$AP,ROW(),$B$6)))</f>
        <v/>
      </c>
      <c r="AS799" s="22">
        <f>IF($AR799="","",IF(ISNUMBER($AR799),IF($AR799&gt;=10000000,IFERROR(DATE(INT($AR799/10000),MOD(INT($AR799/100),100),MOD($AR799,100)),""),INT($AR799)),IFERROR(DATE(--LEFT(LEFT(SUBSTITUTE(SUBSTITUTE(SUBSTITUTE(SUBSTITUTE(TRIM($AR799),"-",""),".",""),"/","")," ",""),8),4),--MID(LEFT(SUBSTITUTE(SUBSTITUTE(SUBSTITUTE(SUBSTITUTE(TRIM($AR799),"-",""),".",""),"/","")," ",""),8),5,2),--MID(LEFT(SUBSTITUTE(SUBSTITUTE(SUBSTITUTE(SUBSTITUTE(TRIM($AR799),"-",""),".",""),"/","")," ",""),8),7,2)),"")))</f>
        <v/>
      </c>
      <c r="AT799" s="23">
        <f>IF($AS799="","",IF($F$6="",0,IF(ISNUMBER(INDEX($A:$AP,ROW(),$F$6)),INDEX($A:$AP,ROW(),$F$6),IFERROR(--SUBSTITUTE(SUBSTITUTE(TRIM(INDEX($A:$AP,ROW(),$F$6)),",",""),"원",""),0))))</f>
        <v/>
      </c>
      <c r="AU799" s="23">
        <f>IF($AS799="","",IF($G$6="",0,IF(ISNUMBER(INDEX($A:$AP,ROW(),$G$6)),INDEX($A:$AP,ROW(),$G$6),IFERROR(--SUBSTITUTE(SUBSTITUTE(TRIM(INDEX($A:$AP,ROW(),$G$6)),",",""),"원",""),0))))</f>
        <v/>
      </c>
      <c r="AV799" s="23">
        <f>IF($AS799="","",IF($H$6="",$AT799+$AU799,IF($H$6="",0,IF(ISNUMBER(INDEX($A:$AP,ROW(),$H$6)),INDEX($A:$AP,ROW(),$H$6),IFERROR(--SUBSTITUTE(SUBSTITUTE(TRIM(INDEX($A:$AP,ROW(),$H$6)),",",""),"원",""),0)))))</f>
        <v/>
      </c>
      <c r="AW799" s="2">
        <f>IF(OR($AS799="",$C$6=""),"",TRIM(INDEX($A:$AP,ROW(),$C$6)&amp;""))</f>
        <v/>
      </c>
      <c r="AX799" s="2">
        <f>IF($AS799="","",IF($AZ799&lt;&gt;"",SUBSTITUTE(SUBSTITUTE($AZ799,"-","")," ",""),$AY799))</f>
        <v/>
      </c>
      <c r="AY799" s="2">
        <f>IF(OR($AS799="",$E$6=""),"",TRIM(INDEX($A:$AP,ROW(),$E$6)&amp;""))</f>
        <v/>
      </c>
      <c r="AZ799" s="2">
        <f>IF(OR($AS799="",$D$6=""),"",TRIM(INDEX($A:$AP,ROW(),$D$6)&amp;""))</f>
        <v/>
      </c>
      <c r="BA799" s="2">
        <f>IF($AS799="","",IF(AND($AS799&gt;=설정!$B$10,$AS799&lt;=설정!$B$11),"포함","기간 밖"))</f>
        <v/>
      </c>
      <c r="BB799" s="2">
        <f>IF($AS799="","",IF(OR($AT799&lt;0,AND($I$6&lt;&gt;"",ISNUMBER(FIND("수정",INDEX($A:$AP,ROW(),IF($I$6="",1,$I$6))&amp;"")))),"수정","일반"))</f>
        <v/>
      </c>
      <c r="BC799" s="2">
        <f>IF($AS799="","",MID(IF($BA799="기간 밖"," / 기간 밖(신고기간 아님)","")&amp;IF(AND($AW799&lt;&gt;"",COUNTIF($AW$8:$AW$1007,$AW799)&gt;1)," / 승인번호 중복(두 번 붙여넣기?)","")&amp;IF(ABS($AU799-ROUND($AT799*0.1,0))&gt;설정!$B$8,IF($AU799=0," / 세액 0원(영세율·면세 여부 확인)"," / 세액이 공급가액 10%와 다름"),"")&amp;IF($BB799="수정"," / 수정세금계산서(합계에서 자동 가감)",""),4,200))</f>
        <v/>
      </c>
      <c r="BD799" s="2">
        <f>IF($BA799&lt;&gt;"포함","",IF(COUNTIFS($AX$8:$AX799,$AX799,$BA$8:$BA799,"포함")=1,MAX($BD$7:BD798)+1,""))</f>
        <v/>
      </c>
      <c r="BE799" s="2">
        <f>IF($BC799="","",MAX($BE$7:BE798)+1)</f>
        <v/>
      </c>
    </row>
    <row r="800">
      <c r="AR800" s="2">
        <f>IF(OR($A$5="",$B$6="",ROW()&lt;$A$5),"",IF(INDEX($A:$AP,ROW(),$B$6)="","",INDEX($A:$AP,ROW(),$B$6)))</f>
        <v/>
      </c>
      <c r="AS800" s="22">
        <f>IF($AR800="","",IF(ISNUMBER($AR800),IF($AR800&gt;=10000000,IFERROR(DATE(INT($AR800/10000),MOD(INT($AR800/100),100),MOD($AR800,100)),""),INT($AR800)),IFERROR(DATE(--LEFT(LEFT(SUBSTITUTE(SUBSTITUTE(SUBSTITUTE(SUBSTITUTE(TRIM($AR800),"-",""),".",""),"/","")," ",""),8),4),--MID(LEFT(SUBSTITUTE(SUBSTITUTE(SUBSTITUTE(SUBSTITUTE(TRIM($AR800),"-",""),".",""),"/","")," ",""),8),5,2),--MID(LEFT(SUBSTITUTE(SUBSTITUTE(SUBSTITUTE(SUBSTITUTE(TRIM($AR800),"-",""),".",""),"/","")," ",""),8),7,2)),"")))</f>
        <v/>
      </c>
      <c r="AT800" s="23">
        <f>IF($AS800="","",IF($F$6="",0,IF(ISNUMBER(INDEX($A:$AP,ROW(),$F$6)),INDEX($A:$AP,ROW(),$F$6),IFERROR(--SUBSTITUTE(SUBSTITUTE(TRIM(INDEX($A:$AP,ROW(),$F$6)),",",""),"원",""),0))))</f>
        <v/>
      </c>
      <c r="AU800" s="23">
        <f>IF($AS800="","",IF($G$6="",0,IF(ISNUMBER(INDEX($A:$AP,ROW(),$G$6)),INDEX($A:$AP,ROW(),$G$6),IFERROR(--SUBSTITUTE(SUBSTITUTE(TRIM(INDEX($A:$AP,ROW(),$G$6)),",",""),"원",""),0))))</f>
        <v/>
      </c>
      <c r="AV800" s="23">
        <f>IF($AS800="","",IF($H$6="",$AT800+$AU800,IF($H$6="",0,IF(ISNUMBER(INDEX($A:$AP,ROW(),$H$6)),INDEX($A:$AP,ROW(),$H$6),IFERROR(--SUBSTITUTE(SUBSTITUTE(TRIM(INDEX($A:$AP,ROW(),$H$6)),",",""),"원",""),0)))))</f>
        <v/>
      </c>
      <c r="AW800" s="2">
        <f>IF(OR($AS800="",$C$6=""),"",TRIM(INDEX($A:$AP,ROW(),$C$6)&amp;""))</f>
        <v/>
      </c>
      <c r="AX800" s="2">
        <f>IF($AS800="","",IF($AZ800&lt;&gt;"",SUBSTITUTE(SUBSTITUTE($AZ800,"-","")," ",""),$AY800))</f>
        <v/>
      </c>
      <c r="AY800" s="2">
        <f>IF(OR($AS800="",$E$6=""),"",TRIM(INDEX($A:$AP,ROW(),$E$6)&amp;""))</f>
        <v/>
      </c>
      <c r="AZ800" s="2">
        <f>IF(OR($AS800="",$D$6=""),"",TRIM(INDEX($A:$AP,ROW(),$D$6)&amp;""))</f>
        <v/>
      </c>
      <c r="BA800" s="2">
        <f>IF($AS800="","",IF(AND($AS800&gt;=설정!$B$10,$AS800&lt;=설정!$B$11),"포함","기간 밖"))</f>
        <v/>
      </c>
      <c r="BB800" s="2">
        <f>IF($AS800="","",IF(OR($AT800&lt;0,AND($I$6&lt;&gt;"",ISNUMBER(FIND("수정",INDEX($A:$AP,ROW(),IF($I$6="",1,$I$6))&amp;"")))),"수정","일반"))</f>
        <v/>
      </c>
      <c r="BC800" s="2">
        <f>IF($AS800="","",MID(IF($BA800="기간 밖"," / 기간 밖(신고기간 아님)","")&amp;IF(AND($AW800&lt;&gt;"",COUNTIF($AW$8:$AW$1007,$AW800)&gt;1)," / 승인번호 중복(두 번 붙여넣기?)","")&amp;IF(ABS($AU800-ROUND($AT800*0.1,0))&gt;설정!$B$8,IF($AU800=0," / 세액 0원(영세율·면세 여부 확인)"," / 세액이 공급가액 10%와 다름"),"")&amp;IF($BB800="수정"," / 수정세금계산서(합계에서 자동 가감)",""),4,200))</f>
        <v/>
      </c>
      <c r="BD800" s="2">
        <f>IF($BA800&lt;&gt;"포함","",IF(COUNTIFS($AX$8:$AX800,$AX800,$BA$8:$BA800,"포함")=1,MAX($BD$7:BD799)+1,""))</f>
        <v/>
      </c>
      <c r="BE800" s="2">
        <f>IF($BC800="","",MAX($BE$7:BE799)+1)</f>
        <v/>
      </c>
    </row>
    <row r="801">
      <c r="AR801" s="2">
        <f>IF(OR($A$5="",$B$6="",ROW()&lt;$A$5),"",IF(INDEX($A:$AP,ROW(),$B$6)="","",INDEX($A:$AP,ROW(),$B$6)))</f>
        <v/>
      </c>
      <c r="AS801" s="22">
        <f>IF($AR801="","",IF(ISNUMBER($AR801),IF($AR801&gt;=10000000,IFERROR(DATE(INT($AR801/10000),MOD(INT($AR801/100),100),MOD($AR801,100)),""),INT($AR801)),IFERROR(DATE(--LEFT(LEFT(SUBSTITUTE(SUBSTITUTE(SUBSTITUTE(SUBSTITUTE(TRIM($AR801),"-",""),".",""),"/","")," ",""),8),4),--MID(LEFT(SUBSTITUTE(SUBSTITUTE(SUBSTITUTE(SUBSTITUTE(TRIM($AR801),"-",""),".",""),"/","")," ",""),8),5,2),--MID(LEFT(SUBSTITUTE(SUBSTITUTE(SUBSTITUTE(SUBSTITUTE(TRIM($AR801),"-",""),".",""),"/","")," ",""),8),7,2)),"")))</f>
        <v/>
      </c>
      <c r="AT801" s="23">
        <f>IF($AS801="","",IF($F$6="",0,IF(ISNUMBER(INDEX($A:$AP,ROW(),$F$6)),INDEX($A:$AP,ROW(),$F$6),IFERROR(--SUBSTITUTE(SUBSTITUTE(TRIM(INDEX($A:$AP,ROW(),$F$6)),",",""),"원",""),0))))</f>
        <v/>
      </c>
      <c r="AU801" s="23">
        <f>IF($AS801="","",IF($G$6="",0,IF(ISNUMBER(INDEX($A:$AP,ROW(),$G$6)),INDEX($A:$AP,ROW(),$G$6),IFERROR(--SUBSTITUTE(SUBSTITUTE(TRIM(INDEX($A:$AP,ROW(),$G$6)),",",""),"원",""),0))))</f>
        <v/>
      </c>
      <c r="AV801" s="23">
        <f>IF($AS801="","",IF($H$6="",$AT801+$AU801,IF($H$6="",0,IF(ISNUMBER(INDEX($A:$AP,ROW(),$H$6)),INDEX($A:$AP,ROW(),$H$6),IFERROR(--SUBSTITUTE(SUBSTITUTE(TRIM(INDEX($A:$AP,ROW(),$H$6)),",",""),"원",""),0)))))</f>
        <v/>
      </c>
      <c r="AW801" s="2">
        <f>IF(OR($AS801="",$C$6=""),"",TRIM(INDEX($A:$AP,ROW(),$C$6)&amp;""))</f>
        <v/>
      </c>
      <c r="AX801" s="2">
        <f>IF($AS801="","",IF($AZ801&lt;&gt;"",SUBSTITUTE(SUBSTITUTE($AZ801,"-","")," ",""),$AY801))</f>
        <v/>
      </c>
      <c r="AY801" s="2">
        <f>IF(OR($AS801="",$E$6=""),"",TRIM(INDEX($A:$AP,ROW(),$E$6)&amp;""))</f>
        <v/>
      </c>
      <c r="AZ801" s="2">
        <f>IF(OR($AS801="",$D$6=""),"",TRIM(INDEX($A:$AP,ROW(),$D$6)&amp;""))</f>
        <v/>
      </c>
      <c r="BA801" s="2">
        <f>IF($AS801="","",IF(AND($AS801&gt;=설정!$B$10,$AS801&lt;=설정!$B$11),"포함","기간 밖"))</f>
        <v/>
      </c>
      <c r="BB801" s="2">
        <f>IF($AS801="","",IF(OR($AT801&lt;0,AND($I$6&lt;&gt;"",ISNUMBER(FIND("수정",INDEX($A:$AP,ROW(),IF($I$6="",1,$I$6))&amp;"")))),"수정","일반"))</f>
        <v/>
      </c>
      <c r="BC801" s="2">
        <f>IF($AS801="","",MID(IF($BA801="기간 밖"," / 기간 밖(신고기간 아님)","")&amp;IF(AND($AW801&lt;&gt;"",COUNTIF($AW$8:$AW$1007,$AW801)&gt;1)," / 승인번호 중복(두 번 붙여넣기?)","")&amp;IF(ABS($AU801-ROUND($AT801*0.1,0))&gt;설정!$B$8,IF($AU801=0," / 세액 0원(영세율·면세 여부 확인)"," / 세액이 공급가액 10%와 다름"),"")&amp;IF($BB801="수정"," / 수정세금계산서(합계에서 자동 가감)",""),4,200))</f>
        <v/>
      </c>
      <c r="BD801" s="2">
        <f>IF($BA801&lt;&gt;"포함","",IF(COUNTIFS($AX$8:$AX801,$AX801,$BA$8:$BA801,"포함")=1,MAX($BD$7:BD800)+1,""))</f>
        <v/>
      </c>
      <c r="BE801" s="2">
        <f>IF($BC801="","",MAX($BE$7:BE800)+1)</f>
        <v/>
      </c>
    </row>
    <row r="802">
      <c r="AR802" s="2">
        <f>IF(OR($A$5="",$B$6="",ROW()&lt;$A$5),"",IF(INDEX($A:$AP,ROW(),$B$6)="","",INDEX($A:$AP,ROW(),$B$6)))</f>
        <v/>
      </c>
      <c r="AS802" s="22">
        <f>IF($AR802="","",IF(ISNUMBER($AR802),IF($AR802&gt;=10000000,IFERROR(DATE(INT($AR802/10000),MOD(INT($AR802/100),100),MOD($AR802,100)),""),INT($AR802)),IFERROR(DATE(--LEFT(LEFT(SUBSTITUTE(SUBSTITUTE(SUBSTITUTE(SUBSTITUTE(TRIM($AR802),"-",""),".",""),"/","")," ",""),8),4),--MID(LEFT(SUBSTITUTE(SUBSTITUTE(SUBSTITUTE(SUBSTITUTE(TRIM($AR802),"-",""),".",""),"/","")," ",""),8),5,2),--MID(LEFT(SUBSTITUTE(SUBSTITUTE(SUBSTITUTE(SUBSTITUTE(TRIM($AR802),"-",""),".",""),"/","")," ",""),8),7,2)),"")))</f>
        <v/>
      </c>
      <c r="AT802" s="23">
        <f>IF($AS802="","",IF($F$6="",0,IF(ISNUMBER(INDEX($A:$AP,ROW(),$F$6)),INDEX($A:$AP,ROW(),$F$6),IFERROR(--SUBSTITUTE(SUBSTITUTE(TRIM(INDEX($A:$AP,ROW(),$F$6)),",",""),"원",""),0))))</f>
        <v/>
      </c>
      <c r="AU802" s="23">
        <f>IF($AS802="","",IF($G$6="",0,IF(ISNUMBER(INDEX($A:$AP,ROW(),$G$6)),INDEX($A:$AP,ROW(),$G$6),IFERROR(--SUBSTITUTE(SUBSTITUTE(TRIM(INDEX($A:$AP,ROW(),$G$6)),",",""),"원",""),0))))</f>
        <v/>
      </c>
      <c r="AV802" s="23">
        <f>IF($AS802="","",IF($H$6="",$AT802+$AU802,IF($H$6="",0,IF(ISNUMBER(INDEX($A:$AP,ROW(),$H$6)),INDEX($A:$AP,ROW(),$H$6),IFERROR(--SUBSTITUTE(SUBSTITUTE(TRIM(INDEX($A:$AP,ROW(),$H$6)),",",""),"원",""),0)))))</f>
        <v/>
      </c>
      <c r="AW802" s="2">
        <f>IF(OR($AS802="",$C$6=""),"",TRIM(INDEX($A:$AP,ROW(),$C$6)&amp;""))</f>
        <v/>
      </c>
      <c r="AX802" s="2">
        <f>IF($AS802="","",IF($AZ802&lt;&gt;"",SUBSTITUTE(SUBSTITUTE($AZ802,"-","")," ",""),$AY802))</f>
        <v/>
      </c>
      <c r="AY802" s="2">
        <f>IF(OR($AS802="",$E$6=""),"",TRIM(INDEX($A:$AP,ROW(),$E$6)&amp;""))</f>
        <v/>
      </c>
      <c r="AZ802" s="2">
        <f>IF(OR($AS802="",$D$6=""),"",TRIM(INDEX($A:$AP,ROW(),$D$6)&amp;""))</f>
        <v/>
      </c>
      <c r="BA802" s="2">
        <f>IF($AS802="","",IF(AND($AS802&gt;=설정!$B$10,$AS802&lt;=설정!$B$11),"포함","기간 밖"))</f>
        <v/>
      </c>
      <c r="BB802" s="2">
        <f>IF($AS802="","",IF(OR($AT802&lt;0,AND($I$6&lt;&gt;"",ISNUMBER(FIND("수정",INDEX($A:$AP,ROW(),IF($I$6="",1,$I$6))&amp;"")))),"수정","일반"))</f>
        <v/>
      </c>
      <c r="BC802" s="2">
        <f>IF($AS802="","",MID(IF($BA802="기간 밖"," / 기간 밖(신고기간 아님)","")&amp;IF(AND($AW802&lt;&gt;"",COUNTIF($AW$8:$AW$1007,$AW802)&gt;1)," / 승인번호 중복(두 번 붙여넣기?)","")&amp;IF(ABS($AU802-ROUND($AT802*0.1,0))&gt;설정!$B$8,IF($AU802=0," / 세액 0원(영세율·면세 여부 확인)"," / 세액이 공급가액 10%와 다름"),"")&amp;IF($BB802="수정"," / 수정세금계산서(합계에서 자동 가감)",""),4,200))</f>
        <v/>
      </c>
      <c r="BD802" s="2">
        <f>IF($BA802&lt;&gt;"포함","",IF(COUNTIFS($AX$8:$AX802,$AX802,$BA$8:$BA802,"포함")=1,MAX($BD$7:BD801)+1,""))</f>
        <v/>
      </c>
      <c r="BE802" s="2">
        <f>IF($BC802="","",MAX($BE$7:BE801)+1)</f>
        <v/>
      </c>
    </row>
    <row r="803">
      <c r="AR803" s="2">
        <f>IF(OR($A$5="",$B$6="",ROW()&lt;$A$5),"",IF(INDEX($A:$AP,ROW(),$B$6)="","",INDEX($A:$AP,ROW(),$B$6)))</f>
        <v/>
      </c>
      <c r="AS803" s="22">
        <f>IF($AR803="","",IF(ISNUMBER($AR803),IF($AR803&gt;=10000000,IFERROR(DATE(INT($AR803/10000),MOD(INT($AR803/100),100),MOD($AR803,100)),""),INT($AR803)),IFERROR(DATE(--LEFT(LEFT(SUBSTITUTE(SUBSTITUTE(SUBSTITUTE(SUBSTITUTE(TRIM($AR803),"-",""),".",""),"/","")," ",""),8),4),--MID(LEFT(SUBSTITUTE(SUBSTITUTE(SUBSTITUTE(SUBSTITUTE(TRIM($AR803),"-",""),".",""),"/","")," ",""),8),5,2),--MID(LEFT(SUBSTITUTE(SUBSTITUTE(SUBSTITUTE(SUBSTITUTE(TRIM($AR803),"-",""),".",""),"/","")," ",""),8),7,2)),"")))</f>
        <v/>
      </c>
      <c r="AT803" s="23">
        <f>IF($AS803="","",IF($F$6="",0,IF(ISNUMBER(INDEX($A:$AP,ROW(),$F$6)),INDEX($A:$AP,ROW(),$F$6),IFERROR(--SUBSTITUTE(SUBSTITUTE(TRIM(INDEX($A:$AP,ROW(),$F$6)),",",""),"원",""),0))))</f>
        <v/>
      </c>
      <c r="AU803" s="23">
        <f>IF($AS803="","",IF($G$6="",0,IF(ISNUMBER(INDEX($A:$AP,ROW(),$G$6)),INDEX($A:$AP,ROW(),$G$6),IFERROR(--SUBSTITUTE(SUBSTITUTE(TRIM(INDEX($A:$AP,ROW(),$G$6)),",",""),"원",""),0))))</f>
        <v/>
      </c>
      <c r="AV803" s="23">
        <f>IF($AS803="","",IF($H$6="",$AT803+$AU803,IF($H$6="",0,IF(ISNUMBER(INDEX($A:$AP,ROW(),$H$6)),INDEX($A:$AP,ROW(),$H$6),IFERROR(--SUBSTITUTE(SUBSTITUTE(TRIM(INDEX($A:$AP,ROW(),$H$6)),",",""),"원",""),0)))))</f>
        <v/>
      </c>
      <c r="AW803" s="2">
        <f>IF(OR($AS803="",$C$6=""),"",TRIM(INDEX($A:$AP,ROW(),$C$6)&amp;""))</f>
        <v/>
      </c>
      <c r="AX803" s="2">
        <f>IF($AS803="","",IF($AZ803&lt;&gt;"",SUBSTITUTE(SUBSTITUTE($AZ803,"-","")," ",""),$AY803))</f>
        <v/>
      </c>
      <c r="AY803" s="2">
        <f>IF(OR($AS803="",$E$6=""),"",TRIM(INDEX($A:$AP,ROW(),$E$6)&amp;""))</f>
        <v/>
      </c>
      <c r="AZ803" s="2">
        <f>IF(OR($AS803="",$D$6=""),"",TRIM(INDEX($A:$AP,ROW(),$D$6)&amp;""))</f>
        <v/>
      </c>
      <c r="BA803" s="2">
        <f>IF($AS803="","",IF(AND($AS803&gt;=설정!$B$10,$AS803&lt;=설정!$B$11),"포함","기간 밖"))</f>
        <v/>
      </c>
      <c r="BB803" s="2">
        <f>IF($AS803="","",IF(OR($AT803&lt;0,AND($I$6&lt;&gt;"",ISNUMBER(FIND("수정",INDEX($A:$AP,ROW(),IF($I$6="",1,$I$6))&amp;"")))),"수정","일반"))</f>
        <v/>
      </c>
      <c r="BC803" s="2">
        <f>IF($AS803="","",MID(IF($BA803="기간 밖"," / 기간 밖(신고기간 아님)","")&amp;IF(AND($AW803&lt;&gt;"",COUNTIF($AW$8:$AW$1007,$AW803)&gt;1)," / 승인번호 중복(두 번 붙여넣기?)","")&amp;IF(ABS($AU803-ROUND($AT803*0.1,0))&gt;설정!$B$8,IF($AU803=0," / 세액 0원(영세율·면세 여부 확인)"," / 세액이 공급가액 10%와 다름"),"")&amp;IF($BB803="수정"," / 수정세금계산서(합계에서 자동 가감)",""),4,200))</f>
        <v/>
      </c>
      <c r="BD803" s="2">
        <f>IF($BA803&lt;&gt;"포함","",IF(COUNTIFS($AX$8:$AX803,$AX803,$BA$8:$BA803,"포함")=1,MAX($BD$7:BD802)+1,""))</f>
        <v/>
      </c>
      <c r="BE803" s="2">
        <f>IF($BC803="","",MAX($BE$7:BE802)+1)</f>
        <v/>
      </c>
    </row>
    <row r="804">
      <c r="AR804" s="2">
        <f>IF(OR($A$5="",$B$6="",ROW()&lt;$A$5),"",IF(INDEX($A:$AP,ROW(),$B$6)="","",INDEX($A:$AP,ROW(),$B$6)))</f>
        <v/>
      </c>
      <c r="AS804" s="22">
        <f>IF($AR804="","",IF(ISNUMBER($AR804),IF($AR804&gt;=10000000,IFERROR(DATE(INT($AR804/10000),MOD(INT($AR804/100),100),MOD($AR804,100)),""),INT($AR804)),IFERROR(DATE(--LEFT(LEFT(SUBSTITUTE(SUBSTITUTE(SUBSTITUTE(SUBSTITUTE(TRIM($AR804),"-",""),".",""),"/","")," ",""),8),4),--MID(LEFT(SUBSTITUTE(SUBSTITUTE(SUBSTITUTE(SUBSTITUTE(TRIM($AR804),"-",""),".",""),"/","")," ",""),8),5,2),--MID(LEFT(SUBSTITUTE(SUBSTITUTE(SUBSTITUTE(SUBSTITUTE(TRIM($AR804),"-",""),".",""),"/","")," ",""),8),7,2)),"")))</f>
        <v/>
      </c>
      <c r="AT804" s="23">
        <f>IF($AS804="","",IF($F$6="",0,IF(ISNUMBER(INDEX($A:$AP,ROW(),$F$6)),INDEX($A:$AP,ROW(),$F$6),IFERROR(--SUBSTITUTE(SUBSTITUTE(TRIM(INDEX($A:$AP,ROW(),$F$6)),",",""),"원",""),0))))</f>
        <v/>
      </c>
      <c r="AU804" s="23">
        <f>IF($AS804="","",IF($G$6="",0,IF(ISNUMBER(INDEX($A:$AP,ROW(),$G$6)),INDEX($A:$AP,ROW(),$G$6),IFERROR(--SUBSTITUTE(SUBSTITUTE(TRIM(INDEX($A:$AP,ROW(),$G$6)),",",""),"원",""),0))))</f>
        <v/>
      </c>
      <c r="AV804" s="23">
        <f>IF($AS804="","",IF($H$6="",$AT804+$AU804,IF($H$6="",0,IF(ISNUMBER(INDEX($A:$AP,ROW(),$H$6)),INDEX($A:$AP,ROW(),$H$6),IFERROR(--SUBSTITUTE(SUBSTITUTE(TRIM(INDEX($A:$AP,ROW(),$H$6)),",",""),"원",""),0)))))</f>
        <v/>
      </c>
      <c r="AW804" s="2">
        <f>IF(OR($AS804="",$C$6=""),"",TRIM(INDEX($A:$AP,ROW(),$C$6)&amp;""))</f>
        <v/>
      </c>
      <c r="AX804" s="2">
        <f>IF($AS804="","",IF($AZ804&lt;&gt;"",SUBSTITUTE(SUBSTITUTE($AZ804,"-","")," ",""),$AY804))</f>
        <v/>
      </c>
      <c r="AY804" s="2">
        <f>IF(OR($AS804="",$E$6=""),"",TRIM(INDEX($A:$AP,ROW(),$E$6)&amp;""))</f>
        <v/>
      </c>
      <c r="AZ804" s="2">
        <f>IF(OR($AS804="",$D$6=""),"",TRIM(INDEX($A:$AP,ROW(),$D$6)&amp;""))</f>
        <v/>
      </c>
      <c r="BA804" s="2">
        <f>IF($AS804="","",IF(AND($AS804&gt;=설정!$B$10,$AS804&lt;=설정!$B$11),"포함","기간 밖"))</f>
        <v/>
      </c>
      <c r="BB804" s="2">
        <f>IF($AS804="","",IF(OR($AT804&lt;0,AND($I$6&lt;&gt;"",ISNUMBER(FIND("수정",INDEX($A:$AP,ROW(),IF($I$6="",1,$I$6))&amp;"")))),"수정","일반"))</f>
        <v/>
      </c>
      <c r="BC804" s="2">
        <f>IF($AS804="","",MID(IF($BA804="기간 밖"," / 기간 밖(신고기간 아님)","")&amp;IF(AND($AW804&lt;&gt;"",COUNTIF($AW$8:$AW$1007,$AW804)&gt;1)," / 승인번호 중복(두 번 붙여넣기?)","")&amp;IF(ABS($AU804-ROUND($AT804*0.1,0))&gt;설정!$B$8,IF($AU804=0," / 세액 0원(영세율·면세 여부 확인)"," / 세액이 공급가액 10%와 다름"),"")&amp;IF($BB804="수정"," / 수정세금계산서(합계에서 자동 가감)",""),4,200))</f>
        <v/>
      </c>
      <c r="BD804" s="2">
        <f>IF($BA804&lt;&gt;"포함","",IF(COUNTIFS($AX$8:$AX804,$AX804,$BA$8:$BA804,"포함")=1,MAX($BD$7:BD803)+1,""))</f>
        <v/>
      </c>
      <c r="BE804" s="2">
        <f>IF($BC804="","",MAX($BE$7:BE803)+1)</f>
        <v/>
      </c>
    </row>
    <row r="805">
      <c r="AR805" s="2">
        <f>IF(OR($A$5="",$B$6="",ROW()&lt;$A$5),"",IF(INDEX($A:$AP,ROW(),$B$6)="","",INDEX($A:$AP,ROW(),$B$6)))</f>
        <v/>
      </c>
      <c r="AS805" s="22">
        <f>IF($AR805="","",IF(ISNUMBER($AR805),IF($AR805&gt;=10000000,IFERROR(DATE(INT($AR805/10000),MOD(INT($AR805/100),100),MOD($AR805,100)),""),INT($AR805)),IFERROR(DATE(--LEFT(LEFT(SUBSTITUTE(SUBSTITUTE(SUBSTITUTE(SUBSTITUTE(TRIM($AR805),"-",""),".",""),"/","")," ",""),8),4),--MID(LEFT(SUBSTITUTE(SUBSTITUTE(SUBSTITUTE(SUBSTITUTE(TRIM($AR805),"-",""),".",""),"/","")," ",""),8),5,2),--MID(LEFT(SUBSTITUTE(SUBSTITUTE(SUBSTITUTE(SUBSTITUTE(TRIM($AR805),"-",""),".",""),"/","")," ",""),8),7,2)),"")))</f>
        <v/>
      </c>
      <c r="AT805" s="23">
        <f>IF($AS805="","",IF($F$6="",0,IF(ISNUMBER(INDEX($A:$AP,ROW(),$F$6)),INDEX($A:$AP,ROW(),$F$6),IFERROR(--SUBSTITUTE(SUBSTITUTE(TRIM(INDEX($A:$AP,ROW(),$F$6)),",",""),"원",""),0))))</f>
        <v/>
      </c>
      <c r="AU805" s="23">
        <f>IF($AS805="","",IF($G$6="",0,IF(ISNUMBER(INDEX($A:$AP,ROW(),$G$6)),INDEX($A:$AP,ROW(),$G$6),IFERROR(--SUBSTITUTE(SUBSTITUTE(TRIM(INDEX($A:$AP,ROW(),$G$6)),",",""),"원",""),0))))</f>
        <v/>
      </c>
      <c r="AV805" s="23">
        <f>IF($AS805="","",IF($H$6="",$AT805+$AU805,IF($H$6="",0,IF(ISNUMBER(INDEX($A:$AP,ROW(),$H$6)),INDEX($A:$AP,ROW(),$H$6),IFERROR(--SUBSTITUTE(SUBSTITUTE(TRIM(INDEX($A:$AP,ROW(),$H$6)),",",""),"원",""),0)))))</f>
        <v/>
      </c>
      <c r="AW805" s="2">
        <f>IF(OR($AS805="",$C$6=""),"",TRIM(INDEX($A:$AP,ROW(),$C$6)&amp;""))</f>
        <v/>
      </c>
      <c r="AX805" s="2">
        <f>IF($AS805="","",IF($AZ805&lt;&gt;"",SUBSTITUTE(SUBSTITUTE($AZ805,"-","")," ",""),$AY805))</f>
        <v/>
      </c>
      <c r="AY805" s="2">
        <f>IF(OR($AS805="",$E$6=""),"",TRIM(INDEX($A:$AP,ROW(),$E$6)&amp;""))</f>
        <v/>
      </c>
      <c r="AZ805" s="2">
        <f>IF(OR($AS805="",$D$6=""),"",TRIM(INDEX($A:$AP,ROW(),$D$6)&amp;""))</f>
        <v/>
      </c>
      <c r="BA805" s="2">
        <f>IF($AS805="","",IF(AND($AS805&gt;=설정!$B$10,$AS805&lt;=설정!$B$11),"포함","기간 밖"))</f>
        <v/>
      </c>
      <c r="BB805" s="2">
        <f>IF($AS805="","",IF(OR($AT805&lt;0,AND($I$6&lt;&gt;"",ISNUMBER(FIND("수정",INDEX($A:$AP,ROW(),IF($I$6="",1,$I$6))&amp;"")))),"수정","일반"))</f>
        <v/>
      </c>
      <c r="BC805" s="2">
        <f>IF($AS805="","",MID(IF($BA805="기간 밖"," / 기간 밖(신고기간 아님)","")&amp;IF(AND($AW805&lt;&gt;"",COUNTIF($AW$8:$AW$1007,$AW805)&gt;1)," / 승인번호 중복(두 번 붙여넣기?)","")&amp;IF(ABS($AU805-ROUND($AT805*0.1,0))&gt;설정!$B$8,IF($AU805=0," / 세액 0원(영세율·면세 여부 확인)"," / 세액이 공급가액 10%와 다름"),"")&amp;IF($BB805="수정"," / 수정세금계산서(합계에서 자동 가감)",""),4,200))</f>
        <v/>
      </c>
      <c r="BD805" s="2">
        <f>IF($BA805&lt;&gt;"포함","",IF(COUNTIFS($AX$8:$AX805,$AX805,$BA$8:$BA805,"포함")=1,MAX($BD$7:BD804)+1,""))</f>
        <v/>
      </c>
      <c r="BE805" s="2">
        <f>IF($BC805="","",MAX($BE$7:BE804)+1)</f>
        <v/>
      </c>
    </row>
    <row r="806">
      <c r="AR806" s="2">
        <f>IF(OR($A$5="",$B$6="",ROW()&lt;$A$5),"",IF(INDEX($A:$AP,ROW(),$B$6)="","",INDEX($A:$AP,ROW(),$B$6)))</f>
        <v/>
      </c>
      <c r="AS806" s="22">
        <f>IF($AR806="","",IF(ISNUMBER($AR806),IF($AR806&gt;=10000000,IFERROR(DATE(INT($AR806/10000),MOD(INT($AR806/100),100),MOD($AR806,100)),""),INT($AR806)),IFERROR(DATE(--LEFT(LEFT(SUBSTITUTE(SUBSTITUTE(SUBSTITUTE(SUBSTITUTE(TRIM($AR806),"-",""),".",""),"/","")," ",""),8),4),--MID(LEFT(SUBSTITUTE(SUBSTITUTE(SUBSTITUTE(SUBSTITUTE(TRIM($AR806),"-",""),".",""),"/","")," ",""),8),5,2),--MID(LEFT(SUBSTITUTE(SUBSTITUTE(SUBSTITUTE(SUBSTITUTE(TRIM($AR806),"-",""),".",""),"/","")," ",""),8),7,2)),"")))</f>
        <v/>
      </c>
      <c r="AT806" s="23">
        <f>IF($AS806="","",IF($F$6="",0,IF(ISNUMBER(INDEX($A:$AP,ROW(),$F$6)),INDEX($A:$AP,ROW(),$F$6),IFERROR(--SUBSTITUTE(SUBSTITUTE(TRIM(INDEX($A:$AP,ROW(),$F$6)),",",""),"원",""),0))))</f>
        <v/>
      </c>
      <c r="AU806" s="23">
        <f>IF($AS806="","",IF($G$6="",0,IF(ISNUMBER(INDEX($A:$AP,ROW(),$G$6)),INDEX($A:$AP,ROW(),$G$6),IFERROR(--SUBSTITUTE(SUBSTITUTE(TRIM(INDEX($A:$AP,ROW(),$G$6)),",",""),"원",""),0))))</f>
        <v/>
      </c>
      <c r="AV806" s="23">
        <f>IF($AS806="","",IF($H$6="",$AT806+$AU806,IF($H$6="",0,IF(ISNUMBER(INDEX($A:$AP,ROW(),$H$6)),INDEX($A:$AP,ROW(),$H$6),IFERROR(--SUBSTITUTE(SUBSTITUTE(TRIM(INDEX($A:$AP,ROW(),$H$6)),",",""),"원",""),0)))))</f>
        <v/>
      </c>
      <c r="AW806" s="2">
        <f>IF(OR($AS806="",$C$6=""),"",TRIM(INDEX($A:$AP,ROW(),$C$6)&amp;""))</f>
        <v/>
      </c>
      <c r="AX806" s="2">
        <f>IF($AS806="","",IF($AZ806&lt;&gt;"",SUBSTITUTE(SUBSTITUTE($AZ806,"-","")," ",""),$AY806))</f>
        <v/>
      </c>
      <c r="AY806" s="2">
        <f>IF(OR($AS806="",$E$6=""),"",TRIM(INDEX($A:$AP,ROW(),$E$6)&amp;""))</f>
        <v/>
      </c>
      <c r="AZ806" s="2">
        <f>IF(OR($AS806="",$D$6=""),"",TRIM(INDEX($A:$AP,ROW(),$D$6)&amp;""))</f>
        <v/>
      </c>
      <c r="BA806" s="2">
        <f>IF($AS806="","",IF(AND($AS806&gt;=설정!$B$10,$AS806&lt;=설정!$B$11),"포함","기간 밖"))</f>
        <v/>
      </c>
      <c r="BB806" s="2">
        <f>IF($AS806="","",IF(OR($AT806&lt;0,AND($I$6&lt;&gt;"",ISNUMBER(FIND("수정",INDEX($A:$AP,ROW(),IF($I$6="",1,$I$6))&amp;"")))),"수정","일반"))</f>
        <v/>
      </c>
      <c r="BC806" s="2">
        <f>IF($AS806="","",MID(IF($BA806="기간 밖"," / 기간 밖(신고기간 아님)","")&amp;IF(AND($AW806&lt;&gt;"",COUNTIF($AW$8:$AW$1007,$AW806)&gt;1)," / 승인번호 중복(두 번 붙여넣기?)","")&amp;IF(ABS($AU806-ROUND($AT806*0.1,0))&gt;설정!$B$8,IF($AU806=0," / 세액 0원(영세율·면세 여부 확인)"," / 세액이 공급가액 10%와 다름"),"")&amp;IF($BB806="수정"," / 수정세금계산서(합계에서 자동 가감)",""),4,200))</f>
        <v/>
      </c>
      <c r="BD806" s="2">
        <f>IF($BA806&lt;&gt;"포함","",IF(COUNTIFS($AX$8:$AX806,$AX806,$BA$8:$BA806,"포함")=1,MAX($BD$7:BD805)+1,""))</f>
        <v/>
      </c>
      <c r="BE806" s="2">
        <f>IF($BC806="","",MAX($BE$7:BE805)+1)</f>
        <v/>
      </c>
    </row>
    <row r="807">
      <c r="AR807" s="2">
        <f>IF(OR($A$5="",$B$6="",ROW()&lt;$A$5),"",IF(INDEX($A:$AP,ROW(),$B$6)="","",INDEX($A:$AP,ROW(),$B$6)))</f>
        <v/>
      </c>
      <c r="AS807" s="22">
        <f>IF($AR807="","",IF(ISNUMBER($AR807),IF($AR807&gt;=10000000,IFERROR(DATE(INT($AR807/10000),MOD(INT($AR807/100),100),MOD($AR807,100)),""),INT($AR807)),IFERROR(DATE(--LEFT(LEFT(SUBSTITUTE(SUBSTITUTE(SUBSTITUTE(SUBSTITUTE(TRIM($AR807),"-",""),".",""),"/","")," ",""),8),4),--MID(LEFT(SUBSTITUTE(SUBSTITUTE(SUBSTITUTE(SUBSTITUTE(TRIM($AR807),"-",""),".",""),"/","")," ",""),8),5,2),--MID(LEFT(SUBSTITUTE(SUBSTITUTE(SUBSTITUTE(SUBSTITUTE(TRIM($AR807),"-",""),".",""),"/","")," ",""),8),7,2)),"")))</f>
        <v/>
      </c>
      <c r="AT807" s="23">
        <f>IF($AS807="","",IF($F$6="",0,IF(ISNUMBER(INDEX($A:$AP,ROW(),$F$6)),INDEX($A:$AP,ROW(),$F$6),IFERROR(--SUBSTITUTE(SUBSTITUTE(TRIM(INDEX($A:$AP,ROW(),$F$6)),",",""),"원",""),0))))</f>
        <v/>
      </c>
      <c r="AU807" s="23">
        <f>IF($AS807="","",IF($G$6="",0,IF(ISNUMBER(INDEX($A:$AP,ROW(),$G$6)),INDEX($A:$AP,ROW(),$G$6),IFERROR(--SUBSTITUTE(SUBSTITUTE(TRIM(INDEX($A:$AP,ROW(),$G$6)),",",""),"원",""),0))))</f>
        <v/>
      </c>
      <c r="AV807" s="23">
        <f>IF($AS807="","",IF($H$6="",$AT807+$AU807,IF($H$6="",0,IF(ISNUMBER(INDEX($A:$AP,ROW(),$H$6)),INDEX($A:$AP,ROW(),$H$6),IFERROR(--SUBSTITUTE(SUBSTITUTE(TRIM(INDEX($A:$AP,ROW(),$H$6)),",",""),"원",""),0)))))</f>
        <v/>
      </c>
      <c r="AW807" s="2">
        <f>IF(OR($AS807="",$C$6=""),"",TRIM(INDEX($A:$AP,ROW(),$C$6)&amp;""))</f>
        <v/>
      </c>
      <c r="AX807" s="2">
        <f>IF($AS807="","",IF($AZ807&lt;&gt;"",SUBSTITUTE(SUBSTITUTE($AZ807,"-","")," ",""),$AY807))</f>
        <v/>
      </c>
      <c r="AY807" s="2">
        <f>IF(OR($AS807="",$E$6=""),"",TRIM(INDEX($A:$AP,ROW(),$E$6)&amp;""))</f>
        <v/>
      </c>
      <c r="AZ807" s="2">
        <f>IF(OR($AS807="",$D$6=""),"",TRIM(INDEX($A:$AP,ROW(),$D$6)&amp;""))</f>
        <v/>
      </c>
      <c r="BA807" s="2">
        <f>IF($AS807="","",IF(AND($AS807&gt;=설정!$B$10,$AS807&lt;=설정!$B$11),"포함","기간 밖"))</f>
        <v/>
      </c>
      <c r="BB807" s="2">
        <f>IF($AS807="","",IF(OR($AT807&lt;0,AND($I$6&lt;&gt;"",ISNUMBER(FIND("수정",INDEX($A:$AP,ROW(),IF($I$6="",1,$I$6))&amp;"")))),"수정","일반"))</f>
        <v/>
      </c>
      <c r="BC807" s="2">
        <f>IF($AS807="","",MID(IF($BA807="기간 밖"," / 기간 밖(신고기간 아님)","")&amp;IF(AND($AW807&lt;&gt;"",COUNTIF($AW$8:$AW$1007,$AW807)&gt;1)," / 승인번호 중복(두 번 붙여넣기?)","")&amp;IF(ABS($AU807-ROUND($AT807*0.1,0))&gt;설정!$B$8,IF($AU807=0," / 세액 0원(영세율·면세 여부 확인)"," / 세액이 공급가액 10%와 다름"),"")&amp;IF($BB807="수정"," / 수정세금계산서(합계에서 자동 가감)",""),4,200))</f>
        <v/>
      </c>
      <c r="BD807" s="2">
        <f>IF($BA807&lt;&gt;"포함","",IF(COUNTIFS($AX$8:$AX807,$AX807,$BA$8:$BA807,"포함")=1,MAX($BD$7:BD806)+1,""))</f>
        <v/>
      </c>
      <c r="BE807" s="2">
        <f>IF($BC807="","",MAX($BE$7:BE806)+1)</f>
        <v/>
      </c>
    </row>
    <row r="808">
      <c r="AR808" s="2">
        <f>IF(OR($A$5="",$B$6="",ROW()&lt;$A$5),"",IF(INDEX($A:$AP,ROW(),$B$6)="","",INDEX($A:$AP,ROW(),$B$6)))</f>
        <v/>
      </c>
      <c r="AS808" s="22">
        <f>IF($AR808="","",IF(ISNUMBER($AR808),IF($AR808&gt;=10000000,IFERROR(DATE(INT($AR808/10000),MOD(INT($AR808/100),100),MOD($AR808,100)),""),INT($AR808)),IFERROR(DATE(--LEFT(LEFT(SUBSTITUTE(SUBSTITUTE(SUBSTITUTE(SUBSTITUTE(TRIM($AR808),"-",""),".",""),"/","")," ",""),8),4),--MID(LEFT(SUBSTITUTE(SUBSTITUTE(SUBSTITUTE(SUBSTITUTE(TRIM($AR808),"-",""),".",""),"/","")," ",""),8),5,2),--MID(LEFT(SUBSTITUTE(SUBSTITUTE(SUBSTITUTE(SUBSTITUTE(TRIM($AR808),"-",""),".",""),"/","")," ",""),8),7,2)),"")))</f>
        <v/>
      </c>
      <c r="AT808" s="23">
        <f>IF($AS808="","",IF($F$6="",0,IF(ISNUMBER(INDEX($A:$AP,ROW(),$F$6)),INDEX($A:$AP,ROW(),$F$6),IFERROR(--SUBSTITUTE(SUBSTITUTE(TRIM(INDEX($A:$AP,ROW(),$F$6)),",",""),"원",""),0))))</f>
        <v/>
      </c>
      <c r="AU808" s="23">
        <f>IF($AS808="","",IF($G$6="",0,IF(ISNUMBER(INDEX($A:$AP,ROW(),$G$6)),INDEX($A:$AP,ROW(),$G$6),IFERROR(--SUBSTITUTE(SUBSTITUTE(TRIM(INDEX($A:$AP,ROW(),$G$6)),",",""),"원",""),0))))</f>
        <v/>
      </c>
      <c r="AV808" s="23">
        <f>IF($AS808="","",IF($H$6="",$AT808+$AU808,IF($H$6="",0,IF(ISNUMBER(INDEX($A:$AP,ROW(),$H$6)),INDEX($A:$AP,ROW(),$H$6),IFERROR(--SUBSTITUTE(SUBSTITUTE(TRIM(INDEX($A:$AP,ROW(),$H$6)),",",""),"원",""),0)))))</f>
        <v/>
      </c>
      <c r="AW808" s="2">
        <f>IF(OR($AS808="",$C$6=""),"",TRIM(INDEX($A:$AP,ROW(),$C$6)&amp;""))</f>
        <v/>
      </c>
      <c r="AX808" s="2">
        <f>IF($AS808="","",IF($AZ808&lt;&gt;"",SUBSTITUTE(SUBSTITUTE($AZ808,"-","")," ",""),$AY808))</f>
        <v/>
      </c>
      <c r="AY808" s="2">
        <f>IF(OR($AS808="",$E$6=""),"",TRIM(INDEX($A:$AP,ROW(),$E$6)&amp;""))</f>
        <v/>
      </c>
      <c r="AZ808" s="2">
        <f>IF(OR($AS808="",$D$6=""),"",TRIM(INDEX($A:$AP,ROW(),$D$6)&amp;""))</f>
        <v/>
      </c>
      <c r="BA808" s="2">
        <f>IF($AS808="","",IF(AND($AS808&gt;=설정!$B$10,$AS808&lt;=설정!$B$11),"포함","기간 밖"))</f>
        <v/>
      </c>
      <c r="BB808" s="2">
        <f>IF($AS808="","",IF(OR($AT808&lt;0,AND($I$6&lt;&gt;"",ISNUMBER(FIND("수정",INDEX($A:$AP,ROW(),IF($I$6="",1,$I$6))&amp;"")))),"수정","일반"))</f>
        <v/>
      </c>
      <c r="BC808" s="2">
        <f>IF($AS808="","",MID(IF($BA808="기간 밖"," / 기간 밖(신고기간 아님)","")&amp;IF(AND($AW808&lt;&gt;"",COUNTIF($AW$8:$AW$1007,$AW808)&gt;1)," / 승인번호 중복(두 번 붙여넣기?)","")&amp;IF(ABS($AU808-ROUND($AT808*0.1,0))&gt;설정!$B$8,IF($AU808=0," / 세액 0원(영세율·면세 여부 확인)"," / 세액이 공급가액 10%와 다름"),"")&amp;IF($BB808="수정"," / 수정세금계산서(합계에서 자동 가감)",""),4,200))</f>
        <v/>
      </c>
      <c r="BD808" s="2">
        <f>IF($BA808&lt;&gt;"포함","",IF(COUNTIFS($AX$8:$AX808,$AX808,$BA$8:$BA808,"포함")=1,MAX($BD$7:BD807)+1,""))</f>
        <v/>
      </c>
      <c r="BE808" s="2">
        <f>IF($BC808="","",MAX($BE$7:BE807)+1)</f>
        <v/>
      </c>
    </row>
    <row r="809">
      <c r="AR809" s="2">
        <f>IF(OR($A$5="",$B$6="",ROW()&lt;$A$5),"",IF(INDEX($A:$AP,ROW(),$B$6)="","",INDEX($A:$AP,ROW(),$B$6)))</f>
        <v/>
      </c>
      <c r="AS809" s="22">
        <f>IF($AR809="","",IF(ISNUMBER($AR809),IF($AR809&gt;=10000000,IFERROR(DATE(INT($AR809/10000),MOD(INT($AR809/100),100),MOD($AR809,100)),""),INT($AR809)),IFERROR(DATE(--LEFT(LEFT(SUBSTITUTE(SUBSTITUTE(SUBSTITUTE(SUBSTITUTE(TRIM($AR809),"-",""),".",""),"/","")," ",""),8),4),--MID(LEFT(SUBSTITUTE(SUBSTITUTE(SUBSTITUTE(SUBSTITUTE(TRIM($AR809),"-",""),".",""),"/","")," ",""),8),5,2),--MID(LEFT(SUBSTITUTE(SUBSTITUTE(SUBSTITUTE(SUBSTITUTE(TRIM($AR809),"-",""),".",""),"/","")," ",""),8),7,2)),"")))</f>
        <v/>
      </c>
      <c r="AT809" s="23">
        <f>IF($AS809="","",IF($F$6="",0,IF(ISNUMBER(INDEX($A:$AP,ROW(),$F$6)),INDEX($A:$AP,ROW(),$F$6),IFERROR(--SUBSTITUTE(SUBSTITUTE(TRIM(INDEX($A:$AP,ROW(),$F$6)),",",""),"원",""),0))))</f>
        <v/>
      </c>
      <c r="AU809" s="23">
        <f>IF($AS809="","",IF($G$6="",0,IF(ISNUMBER(INDEX($A:$AP,ROW(),$G$6)),INDEX($A:$AP,ROW(),$G$6),IFERROR(--SUBSTITUTE(SUBSTITUTE(TRIM(INDEX($A:$AP,ROW(),$G$6)),",",""),"원",""),0))))</f>
        <v/>
      </c>
      <c r="AV809" s="23">
        <f>IF($AS809="","",IF($H$6="",$AT809+$AU809,IF($H$6="",0,IF(ISNUMBER(INDEX($A:$AP,ROW(),$H$6)),INDEX($A:$AP,ROW(),$H$6),IFERROR(--SUBSTITUTE(SUBSTITUTE(TRIM(INDEX($A:$AP,ROW(),$H$6)),",",""),"원",""),0)))))</f>
        <v/>
      </c>
      <c r="AW809" s="2">
        <f>IF(OR($AS809="",$C$6=""),"",TRIM(INDEX($A:$AP,ROW(),$C$6)&amp;""))</f>
        <v/>
      </c>
      <c r="AX809" s="2">
        <f>IF($AS809="","",IF($AZ809&lt;&gt;"",SUBSTITUTE(SUBSTITUTE($AZ809,"-","")," ",""),$AY809))</f>
        <v/>
      </c>
      <c r="AY809" s="2">
        <f>IF(OR($AS809="",$E$6=""),"",TRIM(INDEX($A:$AP,ROW(),$E$6)&amp;""))</f>
        <v/>
      </c>
      <c r="AZ809" s="2">
        <f>IF(OR($AS809="",$D$6=""),"",TRIM(INDEX($A:$AP,ROW(),$D$6)&amp;""))</f>
        <v/>
      </c>
      <c r="BA809" s="2">
        <f>IF($AS809="","",IF(AND($AS809&gt;=설정!$B$10,$AS809&lt;=설정!$B$11),"포함","기간 밖"))</f>
        <v/>
      </c>
      <c r="BB809" s="2">
        <f>IF($AS809="","",IF(OR($AT809&lt;0,AND($I$6&lt;&gt;"",ISNUMBER(FIND("수정",INDEX($A:$AP,ROW(),IF($I$6="",1,$I$6))&amp;"")))),"수정","일반"))</f>
        <v/>
      </c>
      <c r="BC809" s="2">
        <f>IF($AS809="","",MID(IF($BA809="기간 밖"," / 기간 밖(신고기간 아님)","")&amp;IF(AND($AW809&lt;&gt;"",COUNTIF($AW$8:$AW$1007,$AW809)&gt;1)," / 승인번호 중복(두 번 붙여넣기?)","")&amp;IF(ABS($AU809-ROUND($AT809*0.1,0))&gt;설정!$B$8,IF($AU809=0," / 세액 0원(영세율·면세 여부 확인)"," / 세액이 공급가액 10%와 다름"),"")&amp;IF($BB809="수정"," / 수정세금계산서(합계에서 자동 가감)",""),4,200))</f>
        <v/>
      </c>
      <c r="BD809" s="2">
        <f>IF($BA809&lt;&gt;"포함","",IF(COUNTIFS($AX$8:$AX809,$AX809,$BA$8:$BA809,"포함")=1,MAX($BD$7:BD808)+1,""))</f>
        <v/>
      </c>
      <c r="BE809" s="2">
        <f>IF($BC809="","",MAX($BE$7:BE808)+1)</f>
        <v/>
      </c>
    </row>
    <row r="810">
      <c r="AR810" s="2">
        <f>IF(OR($A$5="",$B$6="",ROW()&lt;$A$5),"",IF(INDEX($A:$AP,ROW(),$B$6)="","",INDEX($A:$AP,ROW(),$B$6)))</f>
        <v/>
      </c>
      <c r="AS810" s="22">
        <f>IF($AR810="","",IF(ISNUMBER($AR810),IF($AR810&gt;=10000000,IFERROR(DATE(INT($AR810/10000),MOD(INT($AR810/100),100),MOD($AR810,100)),""),INT($AR810)),IFERROR(DATE(--LEFT(LEFT(SUBSTITUTE(SUBSTITUTE(SUBSTITUTE(SUBSTITUTE(TRIM($AR810),"-",""),".",""),"/","")," ",""),8),4),--MID(LEFT(SUBSTITUTE(SUBSTITUTE(SUBSTITUTE(SUBSTITUTE(TRIM($AR810),"-",""),".",""),"/","")," ",""),8),5,2),--MID(LEFT(SUBSTITUTE(SUBSTITUTE(SUBSTITUTE(SUBSTITUTE(TRIM($AR810),"-",""),".",""),"/","")," ",""),8),7,2)),"")))</f>
        <v/>
      </c>
      <c r="AT810" s="23">
        <f>IF($AS810="","",IF($F$6="",0,IF(ISNUMBER(INDEX($A:$AP,ROW(),$F$6)),INDEX($A:$AP,ROW(),$F$6),IFERROR(--SUBSTITUTE(SUBSTITUTE(TRIM(INDEX($A:$AP,ROW(),$F$6)),",",""),"원",""),0))))</f>
        <v/>
      </c>
      <c r="AU810" s="23">
        <f>IF($AS810="","",IF($G$6="",0,IF(ISNUMBER(INDEX($A:$AP,ROW(),$G$6)),INDEX($A:$AP,ROW(),$G$6),IFERROR(--SUBSTITUTE(SUBSTITUTE(TRIM(INDEX($A:$AP,ROW(),$G$6)),",",""),"원",""),0))))</f>
        <v/>
      </c>
      <c r="AV810" s="23">
        <f>IF($AS810="","",IF($H$6="",$AT810+$AU810,IF($H$6="",0,IF(ISNUMBER(INDEX($A:$AP,ROW(),$H$6)),INDEX($A:$AP,ROW(),$H$6),IFERROR(--SUBSTITUTE(SUBSTITUTE(TRIM(INDEX($A:$AP,ROW(),$H$6)),",",""),"원",""),0)))))</f>
        <v/>
      </c>
      <c r="AW810" s="2">
        <f>IF(OR($AS810="",$C$6=""),"",TRIM(INDEX($A:$AP,ROW(),$C$6)&amp;""))</f>
        <v/>
      </c>
      <c r="AX810" s="2">
        <f>IF($AS810="","",IF($AZ810&lt;&gt;"",SUBSTITUTE(SUBSTITUTE($AZ810,"-","")," ",""),$AY810))</f>
        <v/>
      </c>
      <c r="AY810" s="2">
        <f>IF(OR($AS810="",$E$6=""),"",TRIM(INDEX($A:$AP,ROW(),$E$6)&amp;""))</f>
        <v/>
      </c>
      <c r="AZ810" s="2">
        <f>IF(OR($AS810="",$D$6=""),"",TRIM(INDEX($A:$AP,ROW(),$D$6)&amp;""))</f>
        <v/>
      </c>
      <c r="BA810" s="2">
        <f>IF($AS810="","",IF(AND($AS810&gt;=설정!$B$10,$AS810&lt;=설정!$B$11),"포함","기간 밖"))</f>
        <v/>
      </c>
      <c r="BB810" s="2">
        <f>IF($AS810="","",IF(OR($AT810&lt;0,AND($I$6&lt;&gt;"",ISNUMBER(FIND("수정",INDEX($A:$AP,ROW(),IF($I$6="",1,$I$6))&amp;"")))),"수정","일반"))</f>
        <v/>
      </c>
      <c r="BC810" s="2">
        <f>IF($AS810="","",MID(IF($BA810="기간 밖"," / 기간 밖(신고기간 아님)","")&amp;IF(AND($AW810&lt;&gt;"",COUNTIF($AW$8:$AW$1007,$AW810)&gt;1)," / 승인번호 중복(두 번 붙여넣기?)","")&amp;IF(ABS($AU810-ROUND($AT810*0.1,0))&gt;설정!$B$8,IF($AU810=0," / 세액 0원(영세율·면세 여부 확인)"," / 세액이 공급가액 10%와 다름"),"")&amp;IF($BB810="수정"," / 수정세금계산서(합계에서 자동 가감)",""),4,200))</f>
        <v/>
      </c>
      <c r="BD810" s="2">
        <f>IF($BA810&lt;&gt;"포함","",IF(COUNTIFS($AX$8:$AX810,$AX810,$BA$8:$BA810,"포함")=1,MAX($BD$7:BD809)+1,""))</f>
        <v/>
      </c>
      <c r="BE810" s="2">
        <f>IF($BC810="","",MAX($BE$7:BE809)+1)</f>
        <v/>
      </c>
    </row>
    <row r="811">
      <c r="AR811" s="2">
        <f>IF(OR($A$5="",$B$6="",ROW()&lt;$A$5),"",IF(INDEX($A:$AP,ROW(),$B$6)="","",INDEX($A:$AP,ROW(),$B$6)))</f>
        <v/>
      </c>
      <c r="AS811" s="22">
        <f>IF($AR811="","",IF(ISNUMBER($AR811),IF($AR811&gt;=10000000,IFERROR(DATE(INT($AR811/10000),MOD(INT($AR811/100),100),MOD($AR811,100)),""),INT($AR811)),IFERROR(DATE(--LEFT(LEFT(SUBSTITUTE(SUBSTITUTE(SUBSTITUTE(SUBSTITUTE(TRIM($AR811),"-",""),".",""),"/","")," ",""),8),4),--MID(LEFT(SUBSTITUTE(SUBSTITUTE(SUBSTITUTE(SUBSTITUTE(TRIM($AR811),"-",""),".",""),"/","")," ",""),8),5,2),--MID(LEFT(SUBSTITUTE(SUBSTITUTE(SUBSTITUTE(SUBSTITUTE(TRIM($AR811),"-",""),".",""),"/","")," ",""),8),7,2)),"")))</f>
        <v/>
      </c>
      <c r="AT811" s="23">
        <f>IF($AS811="","",IF($F$6="",0,IF(ISNUMBER(INDEX($A:$AP,ROW(),$F$6)),INDEX($A:$AP,ROW(),$F$6),IFERROR(--SUBSTITUTE(SUBSTITUTE(TRIM(INDEX($A:$AP,ROW(),$F$6)),",",""),"원",""),0))))</f>
        <v/>
      </c>
      <c r="AU811" s="23">
        <f>IF($AS811="","",IF($G$6="",0,IF(ISNUMBER(INDEX($A:$AP,ROW(),$G$6)),INDEX($A:$AP,ROW(),$G$6),IFERROR(--SUBSTITUTE(SUBSTITUTE(TRIM(INDEX($A:$AP,ROW(),$G$6)),",",""),"원",""),0))))</f>
        <v/>
      </c>
      <c r="AV811" s="23">
        <f>IF($AS811="","",IF($H$6="",$AT811+$AU811,IF($H$6="",0,IF(ISNUMBER(INDEX($A:$AP,ROW(),$H$6)),INDEX($A:$AP,ROW(),$H$6),IFERROR(--SUBSTITUTE(SUBSTITUTE(TRIM(INDEX($A:$AP,ROW(),$H$6)),",",""),"원",""),0)))))</f>
        <v/>
      </c>
      <c r="AW811" s="2">
        <f>IF(OR($AS811="",$C$6=""),"",TRIM(INDEX($A:$AP,ROW(),$C$6)&amp;""))</f>
        <v/>
      </c>
      <c r="AX811" s="2">
        <f>IF($AS811="","",IF($AZ811&lt;&gt;"",SUBSTITUTE(SUBSTITUTE($AZ811,"-","")," ",""),$AY811))</f>
        <v/>
      </c>
      <c r="AY811" s="2">
        <f>IF(OR($AS811="",$E$6=""),"",TRIM(INDEX($A:$AP,ROW(),$E$6)&amp;""))</f>
        <v/>
      </c>
      <c r="AZ811" s="2">
        <f>IF(OR($AS811="",$D$6=""),"",TRIM(INDEX($A:$AP,ROW(),$D$6)&amp;""))</f>
        <v/>
      </c>
      <c r="BA811" s="2">
        <f>IF($AS811="","",IF(AND($AS811&gt;=설정!$B$10,$AS811&lt;=설정!$B$11),"포함","기간 밖"))</f>
        <v/>
      </c>
      <c r="BB811" s="2">
        <f>IF($AS811="","",IF(OR($AT811&lt;0,AND($I$6&lt;&gt;"",ISNUMBER(FIND("수정",INDEX($A:$AP,ROW(),IF($I$6="",1,$I$6))&amp;"")))),"수정","일반"))</f>
        <v/>
      </c>
      <c r="BC811" s="2">
        <f>IF($AS811="","",MID(IF($BA811="기간 밖"," / 기간 밖(신고기간 아님)","")&amp;IF(AND($AW811&lt;&gt;"",COUNTIF($AW$8:$AW$1007,$AW811)&gt;1)," / 승인번호 중복(두 번 붙여넣기?)","")&amp;IF(ABS($AU811-ROUND($AT811*0.1,0))&gt;설정!$B$8,IF($AU811=0," / 세액 0원(영세율·면세 여부 확인)"," / 세액이 공급가액 10%와 다름"),"")&amp;IF($BB811="수정"," / 수정세금계산서(합계에서 자동 가감)",""),4,200))</f>
        <v/>
      </c>
      <c r="BD811" s="2">
        <f>IF($BA811&lt;&gt;"포함","",IF(COUNTIFS($AX$8:$AX811,$AX811,$BA$8:$BA811,"포함")=1,MAX($BD$7:BD810)+1,""))</f>
        <v/>
      </c>
      <c r="BE811" s="2">
        <f>IF($BC811="","",MAX($BE$7:BE810)+1)</f>
        <v/>
      </c>
    </row>
    <row r="812">
      <c r="AR812" s="2">
        <f>IF(OR($A$5="",$B$6="",ROW()&lt;$A$5),"",IF(INDEX($A:$AP,ROW(),$B$6)="","",INDEX($A:$AP,ROW(),$B$6)))</f>
        <v/>
      </c>
      <c r="AS812" s="22">
        <f>IF($AR812="","",IF(ISNUMBER($AR812),IF($AR812&gt;=10000000,IFERROR(DATE(INT($AR812/10000),MOD(INT($AR812/100),100),MOD($AR812,100)),""),INT($AR812)),IFERROR(DATE(--LEFT(LEFT(SUBSTITUTE(SUBSTITUTE(SUBSTITUTE(SUBSTITUTE(TRIM($AR812),"-",""),".",""),"/","")," ",""),8),4),--MID(LEFT(SUBSTITUTE(SUBSTITUTE(SUBSTITUTE(SUBSTITUTE(TRIM($AR812),"-",""),".",""),"/","")," ",""),8),5,2),--MID(LEFT(SUBSTITUTE(SUBSTITUTE(SUBSTITUTE(SUBSTITUTE(TRIM($AR812),"-",""),".",""),"/","")," ",""),8),7,2)),"")))</f>
        <v/>
      </c>
      <c r="AT812" s="23">
        <f>IF($AS812="","",IF($F$6="",0,IF(ISNUMBER(INDEX($A:$AP,ROW(),$F$6)),INDEX($A:$AP,ROW(),$F$6),IFERROR(--SUBSTITUTE(SUBSTITUTE(TRIM(INDEX($A:$AP,ROW(),$F$6)),",",""),"원",""),0))))</f>
        <v/>
      </c>
      <c r="AU812" s="23">
        <f>IF($AS812="","",IF($G$6="",0,IF(ISNUMBER(INDEX($A:$AP,ROW(),$G$6)),INDEX($A:$AP,ROW(),$G$6),IFERROR(--SUBSTITUTE(SUBSTITUTE(TRIM(INDEX($A:$AP,ROW(),$G$6)),",",""),"원",""),0))))</f>
        <v/>
      </c>
      <c r="AV812" s="23">
        <f>IF($AS812="","",IF($H$6="",$AT812+$AU812,IF($H$6="",0,IF(ISNUMBER(INDEX($A:$AP,ROW(),$H$6)),INDEX($A:$AP,ROW(),$H$6),IFERROR(--SUBSTITUTE(SUBSTITUTE(TRIM(INDEX($A:$AP,ROW(),$H$6)),",",""),"원",""),0)))))</f>
        <v/>
      </c>
      <c r="AW812" s="2">
        <f>IF(OR($AS812="",$C$6=""),"",TRIM(INDEX($A:$AP,ROW(),$C$6)&amp;""))</f>
        <v/>
      </c>
      <c r="AX812" s="2">
        <f>IF($AS812="","",IF($AZ812&lt;&gt;"",SUBSTITUTE(SUBSTITUTE($AZ812,"-","")," ",""),$AY812))</f>
        <v/>
      </c>
      <c r="AY812" s="2">
        <f>IF(OR($AS812="",$E$6=""),"",TRIM(INDEX($A:$AP,ROW(),$E$6)&amp;""))</f>
        <v/>
      </c>
      <c r="AZ812" s="2">
        <f>IF(OR($AS812="",$D$6=""),"",TRIM(INDEX($A:$AP,ROW(),$D$6)&amp;""))</f>
        <v/>
      </c>
      <c r="BA812" s="2">
        <f>IF($AS812="","",IF(AND($AS812&gt;=설정!$B$10,$AS812&lt;=설정!$B$11),"포함","기간 밖"))</f>
        <v/>
      </c>
      <c r="BB812" s="2">
        <f>IF($AS812="","",IF(OR($AT812&lt;0,AND($I$6&lt;&gt;"",ISNUMBER(FIND("수정",INDEX($A:$AP,ROW(),IF($I$6="",1,$I$6))&amp;"")))),"수정","일반"))</f>
        <v/>
      </c>
      <c r="BC812" s="2">
        <f>IF($AS812="","",MID(IF($BA812="기간 밖"," / 기간 밖(신고기간 아님)","")&amp;IF(AND($AW812&lt;&gt;"",COUNTIF($AW$8:$AW$1007,$AW812)&gt;1)," / 승인번호 중복(두 번 붙여넣기?)","")&amp;IF(ABS($AU812-ROUND($AT812*0.1,0))&gt;설정!$B$8,IF($AU812=0," / 세액 0원(영세율·면세 여부 확인)"," / 세액이 공급가액 10%와 다름"),"")&amp;IF($BB812="수정"," / 수정세금계산서(합계에서 자동 가감)",""),4,200))</f>
        <v/>
      </c>
      <c r="BD812" s="2">
        <f>IF($BA812&lt;&gt;"포함","",IF(COUNTIFS($AX$8:$AX812,$AX812,$BA$8:$BA812,"포함")=1,MAX($BD$7:BD811)+1,""))</f>
        <v/>
      </c>
      <c r="BE812" s="2">
        <f>IF($BC812="","",MAX($BE$7:BE811)+1)</f>
        <v/>
      </c>
    </row>
    <row r="813">
      <c r="AR813" s="2">
        <f>IF(OR($A$5="",$B$6="",ROW()&lt;$A$5),"",IF(INDEX($A:$AP,ROW(),$B$6)="","",INDEX($A:$AP,ROW(),$B$6)))</f>
        <v/>
      </c>
      <c r="AS813" s="22">
        <f>IF($AR813="","",IF(ISNUMBER($AR813),IF($AR813&gt;=10000000,IFERROR(DATE(INT($AR813/10000),MOD(INT($AR813/100),100),MOD($AR813,100)),""),INT($AR813)),IFERROR(DATE(--LEFT(LEFT(SUBSTITUTE(SUBSTITUTE(SUBSTITUTE(SUBSTITUTE(TRIM($AR813),"-",""),".",""),"/","")," ",""),8),4),--MID(LEFT(SUBSTITUTE(SUBSTITUTE(SUBSTITUTE(SUBSTITUTE(TRIM($AR813),"-",""),".",""),"/","")," ",""),8),5,2),--MID(LEFT(SUBSTITUTE(SUBSTITUTE(SUBSTITUTE(SUBSTITUTE(TRIM($AR813),"-",""),".",""),"/","")," ",""),8),7,2)),"")))</f>
        <v/>
      </c>
      <c r="AT813" s="23">
        <f>IF($AS813="","",IF($F$6="",0,IF(ISNUMBER(INDEX($A:$AP,ROW(),$F$6)),INDEX($A:$AP,ROW(),$F$6),IFERROR(--SUBSTITUTE(SUBSTITUTE(TRIM(INDEX($A:$AP,ROW(),$F$6)),",",""),"원",""),0))))</f>
        <v/>
      </c>
      <c r="AU813" s="23">
        <f>IF($AS813="","",IF($G$6="",0,IF(ISNUMBER(INDEX($A:$AP,ROW(),$G$6)),INDEX($A:$AP,ROW(),$G$6),IFERROR(--SUBSTITUTE(SUBSTITUTE(TRIM(INDEX($A:$AP,ROW(),$G$6)),",",""),"원",""),0))))</f>
        <v/>
      </c>
      <c r="AV813" s="23">
        <f>IF($AS813="","",IF($H$6="",$AT813+$AU813,IF($H$6="",0,IF(ISNUMBER(INDEX($A:$AP,ROW(),$H$6)),INDEX($A:$AP,ROW(),$H$6),IFERROR(--SUBSTITUTE(SUBSTITUTE(TRIM(INDEX($A:$AP,ROW(),$H$6)),",",""),"원",""),0)))))</f>
        <v/>
      </c>
      <c r="AW813" s="2">
        <f>IF(OR($AS813="",$C$6=""),"",TRIM(INDEX($A:$AP,ROW(),$C$6)&amp;""))</f>
        <v/>
      </c>
      <c r="AX813" s="2">
        <f>IF($AS813="","",IF($AZ813&lt;&gt;"",SUBSTITUTE(SUBSTITUTE($AZ813,"-","")," ",""),$AY813))</f>
        <v/>
      </c>
      <c r="AY813" s="2">
        <f>IF(OR($AS813="",$E$6=""),"",TRIM(INDEX($A:$AP,ROW(),$E$6)&amp;""))</f>
        <v/>
      </c>
      <c r="AZ813" s="2">
        <f>IF(OR($AS813="",$D$6=""),"",TRIM(INDEX($A:$AP,ROW(),$D$6)&amp;""))</f>
        <v/>
      </c>
      <c r="BA813" s="2">
        <f>IF($AS813="","",IF(AND($AS813&gt;=설정!$B$10,$AS813&lt;=설정!$B$11),"포함","기간 밖"))</f>
        <v/>
      </c>
      <c r="BB813" s="2">
        <f>IF($AS813="","",IF(OR($AT813&lt;0,AND($I$6&lt;&gt;"",ISNUMBER(FIND("수정",INDEX($A:$AP,ROW(),IF($I$6="",1,$I$6))&amp;"")))),"수정","일반"))</f>
        <v/>
      </c>
      <c r="BC813" s="2">
        <f>IF($AS813="","",MID(IF($BA813="기간 밖"," / 기간 밖(신고기간 아님)","")&amp;IF(AND($AW813&lt;&gt;"",COUNTIF($AW$8:$AW$1007,$AW813)&gt;1)," / 승인번호 중복(두 번 붙여넣기?)","")&amp;IF(ABS($AU813-ROUND($AT813*0.1,0))&gt;설정!$B$8,IF($AU813=0," / 세액 0원(영세율·면세 여부 확인)"," / 세액이 공급가액 10%와 다름"),"")&amp;IF($BB813="수정"," / 수정세금계산서(합계에서 자동 가감)",""),4,200))</f>
        <v/>
      </c>
      <c r="BD813" s="2">
        <f>IF($BA813&lt;&gt;"포함","",IF(COUNTIFS($AX$8:$AX813,$AX813,$BA$8:$BA813,"포함")=1,MAX($BD$7:BD812)+1,""))</f>
        <v/>
      </c>
      <c r="BE813" s="2">
        <f>IF($BC813="","",MAX($BE$7:BE812)+1)</f>
        <v/>
      </c>
    </row>
    <row r="814">
      <c r="AR814" s="2">
        <f>IF(OR($A$5="",$B$6="",ROW()&lt;$A$5),"",IF(INDEX($A:$AP,ROW(),$B$6)="","",INDEX($A:$AP,ROW(),$B$6)))</f>
        <v/>
      </c>
      <c r="AS814" s="22">
        <f>IF($AR814="","",IF(ISNUMBER($AR814),IF($AR814&gt;=10000000,IFERROR(DATE(INT($AR814/10000),MOD(INT($AR814/100),100),MOD($AR814,100)),""),INT($AR814)),IFERROR(DATE(--LEFT(LEFT(SUBSTITUTE(SUBSTITUTE(SUBSTITUTE(SUBSTITUTE(TRIM($AR814),"-",""),".",""),"/","")," ",""),8),4),--MID(LEFT(SUBSTITUTE(SUBSTITUTE(SUBSTITUTE(SUBSTITUTE(TRIM($AR814),"-",""),".",""),"/","")," ",""),8),5,2),--MID(LEFT(SUBSTITUTE(SUBSTITUTE(SUBSTITUTE(SUBSTITUTE(TRIM($AR814),"-",""),".",""),"/","")," ",""),8),7,2)),"")))</f>
        <v/>
      </c>
      <c r="AT814" s="23">
        <f>IF($AS814="","",IF($F$6="",0,IF(ISNUMBER(INDEX($A:$AP,ROW(),$F$6)),INDEX($A:$AP,ROW(),$F$6),IFERROR(--SUBSTITUTE(SUBSTITUTE(TRIM(INDEX($A:$AP,ROW(),$F$6)),",",""),"원",""),0))))</f>
        <v/>
      </c>
      <c r="AU814" s="23">
        <f>IF($AS814="","",IF($G$6="",0,IF(ISNUMBER(INDEX($A:$AP,ROW(),$G$6)),INDEX($A:$AP,ROW(),$G$6),IFERROR(--SUBSTITUTE(SUBSTITUTE(TRIM(INDEX($A:$AP,ROW(),$G$6)),",",""),"원",""),0))))</f>
        <v/>
      </c>
      <c r="AV814" s="23">
        <f>IF($AS814="","",IF($H$6="",$AT814+$AU814,IF($H$6="",0,IF(ISNUMBER(INDEX($A:$AP,ROW(),$H$6)),INDEX($A:$AP,ROW(),$H$6),IFERROR(--SUBSTITUTE(SUBSTITUTE(TRIM(INDEX($A:$AP,ROW(),$H$6)),",",""),"원",""),0)))))</f>
        <v/>
      </c>
      <c r="AW814" s="2">
        <f>IF(OR($AS814="",$C$6=""),"",TRIM(INDEX($A:$AP,ROW(),$C$6)&amp;""))</f>
        <v/>
      </c>
      <c r="AX814" s="2">
        <f>IF($AS814="","",IF($AZ814&lt;&gt;"",SUBSTITUTE(SUBSTITUTE($AZ814,"-","")," ",""),$AY814))</f>
        <v/>
      </c>
      <c r="AY814" s="2">
        <f>IF(OR($AS814="",$E$6=""),"",TRIM(INDEX($A:$AP,ROW(),$E$6)&amp;""))</f>
        <v/>
      </c>
      <c r="AZ814" s="2">
        <f>IF(OR($AS814="",$D$6=""),"",TRIM(INDEX($A:$AP,ROW(),$D$6)&amp;""))</f>
        <v/>
      </c>
      <c r="BA814" s="2">
        <f>IF($AS814="","",IF(AND($AS814&gt;=설정!$B$10,$AS814&lt;=설정!$B$11),"포함","기간 밖"))</f>
        <v/>
      </c>
      <c r="BB814" s="2">
        <f>IF($AS814="","",IF(OR($AT814&lt;0,AND($I$6&lt;&gt;"",ISNUMBER(FIND("수정",INDEX($A:$AP,ROW(),IF($I$6="",1,$I$6))&amp;"")))),"수정","일반"))</f>
        <v/>
      </c>
      <c r="BC814" s="2">
        <f>IF($AS814="","",MID(IF($BA814="기간 밖"," / 기간 밖(신고기간 아님)","")&amp;IF(AND($AW814&lt;&gt;"",COUNTIF($AW$8:$AW$1007,$AW814)&gt;1)," / 승인번호 중복(두 번 붙여넣기?)","")&amp;IF(ABS($AU814-ROUND($AT814*0.1,0))&gt;설정!$B$8,IF($AU814=0," / 세액 0원(영세율·면세 여부 확인)"," / 세액이 공급가액 10%와 다름"),"")&amp;IF($BB814="수정"," / 수정세금계산서(합계에서 자동 가감)",""),4,200))</f>
        <v/>
      </c>
      <c r="BD814" s="2">
        <f>IF($BA814&lt;&gt;"포함","",IF(COUNTIFS($AX$8:$AX814,$AX814,$BA$8:$BA814,"포함")=1,MAX($BD$7:BD813)+1,""))</f>
        <v/>
      </c>
      <c r="BE814" s="2">
        <f>IF($BC814="","",MAX($BE$7:BE813)+1)</f>
        <v/>
      </c>
    </row>
    <row r="815">
      <c r="AR815" s="2">
        <f>IF(OR($A$5="",$B$6="",ROW()&lt;$A$5),"",IF(INDEX($A:$AP,ROW(),$B$6)="","",INDEX($A:$AP,ROW(),$B$6)))</f>
        <v/>
      </c>
      <c r="AS815" s="22">
        <f>IF($AR815="","",IF(ISNUMBER($AR815),IF($AR815&gt;=10000000,IFERROR(DATE(INT($AR815/10000),MOD(INT($AR815/100),100),MOD($AR815,100)),""),INT($AR815)),IFERROR(DATE(--LEFT(LEFT(SUBSTITUTE(SUBSTITUTE(SUBSTITUTE(SUBSTITUTE(TRIM($AR815),"-",""),".",""),"/","")," ",""),8),4),--MID(LEFT(SUBSTITUTE(SUBSTITUTE(SUBSTITUTE(SUBSTITUTE(TRIM($AR815),"-",""),".",""),"/","")," ",""),8),5,2),--MID(LEFT(SUBSTITUTE(SUBSTITUTE(SUBSTITUTE(SUBSTITUTE(TRIM($AR815),"-",""),".",""),"/","")," ",""),8),7,2)),"")))</f>
        <v/>
      </c>
      <c r="AT815" s="23">
        <f>IF($AS815="","",IF($F$6="",0,IF(ISNUMBER(INDEX($A:$AP,ROW(),$F$6)),INDEX($A:$AP,ROW(),$F$6),IFERROR(--SUBSTITUTE(SUBSTITUTE(TRIM(INDEX($A:$AP,ROW(),$F$6)),",",""),"원",""),0))))</f>
        <v/>
      </c>
      <c r="AU815" s="23">
        <f>IF($AS815="","",IF($G$6="",0,IF(ISNUMBER(INDEX($A:$AP,ROW(),$G$6)),INDEX($A:$AP,ROW(),$G$6),IFERROR(--SUBSTITUTE(SUBSTITUTE(TRIM(INDEX($A:$AP,ROW(),$G$6)),",",""),"원",""),0))))</f>
        <v/>
      </c>
      <c r="AV815" s="23">
        <f>IF($AS815="","",IF($H$6="",$AT815+$AU815,IF($H$6="",0,IF(ISNUMBER(INDEX($A:$AP,ROW(),$H$6)),INDEX($A:$AP,ROW(),$H$6),IFERROR(--SUBSTITUTE(SUBSTITUTE(TRIM(INDEX($A:$AP,ROW(),$H$6)),",",""),"원",""),0)))))</f>
        <v/>
      </c>
      <c r="AW815" s="2">
        <f>IF(OR($AS815="",$C$6=""),"",TRIM(INDEX($A:$AP,ROW(),$C$6)&amp;""))</f>
        <v/>
      </c>
      <c r="AX815" s="2">
        <f>IF($AS815="","",IF($AZ815&lt;&gt;"",SUBSTITUTE(SUBSTITUTE($AZ815,"-","")," ",""),$AY815))</f>
        <v/>
      </c>
      <c r="AY815" s="2">
        <f>IF(OR($AS815="",$E$6=""),"",TRIM(INDEX($A:$AP,ROW(),$E$6)&amp;""))</f>
        <v/>
      </c>
      <c r="AZ815" s="2">
        <f>IF(OR($AS815="",$D$6=""),"",TRIM(INDEX($A:$AP,ROW(),$D$6)&amp;""))</f>
        <v/>
      </c>
      <c r="BA815" s="2">
        <f>IF($AS815="","",IF(AND($AS815&gt;=설정!$B$10,$AS815&lt;=설정!$B$11),"포함","기간 밖"))</f>
        <v/>
      </c>
      <c r="BB815" s="2">
        <f>IF($AS815="","",IF(OR($AT815&lt;0,AND($I$6&lt;&gt;"",ISNUMBER(FIND("수정",INDEX($A:$AP,ROW(),IF($I$6="",1,$I$6))&amp;"")))),"수정","일반"))</f>
        <v/>
      </c>
      <c r="BC815" s="2">
        <f>IF($AS815="","",MID(IF($BA815="기간 밖"," / 기간 밖(신고기간 아님)","")&amp;IF(AND($AW815&lt;&gt;"",COUNTIF($AW$8:$AW$1007,$AW815)&gt;1)," / 승인번호 중복(두 번 붙여넣기?)","")&amp;IF(ABS($AU815-ROUND($AT815*0.1,0))&gt;설정!$B$8,IF($AU815=0," / 세액 0원(영세율·면세 여부 확인)"," / 세액이 공급가액 10%와 다름"),"")&amp;IF($BB815="수정"," / 수정세금계산서(합계에서 자동 가감)",""),4,200))</f>
        <v/>
      </c>
      <c r="BD815" s="2">
        <f>IF($BA815&lt;&gt;"포함","",IF(COUNTIFS($AX$8:$AX815,$AX815,$BA$8:$BA815,"포함")=1,MAX($BD$7:BD814)+1,""))</f>
        <v/>
      </c>
      <c r="BE815" s="2">
        <f>IF($BC815="","",MAX($BE$7:BE814)+1)</f>
        <v/>
      </c>
    </row>
    <row r="816">
      <c r="AR816" s="2">
        <f>IF(OR($A$5="",$B$6="",ROW()&lt;$A$5),"",IF(INDEX($A:$AP,ROW(),$B$6)="","",INDEX($A:$AP,ROW(),$B$6)))</f>
        <v/>
      </c>
      <c r="AS816" s="22">
        <f>IF($AR816="","",IF(ISNUMBER($AR816),IF($AR816&gt;=10000000,IFERROR(DATE(INT($AR816/10000),MOD(INT($AR816/100),100),MOD($AR816,100)),""),INT($AR816)),IFERROR(DATE(--LEFT(LEFT(SUBSTITUTE(SUBSTITUTE(SUBSTITUTE(SUBSTITUTE(TRIM($AR816),"-",""),".",""),"/","")," ",""),8),4),--MID(LEFT(SUBSTITUTE(SUBSTITUTE(SUBSTITUTE(SUBSTITUTE(TRIM($AR816),"-",""),".",""),"/","")," ",""),8),5,2),--MID(LEFT(SUBSTITUTE(SUBSTITUTE(SUBSTITUTE(SUBSTITUTE(TRIM($AR816),"-",""),".",""),"/","")," ",""),8),7,2)),"")))</f>
        <v/>
      </c>
      <c r="AT816" s="23">
        <f>IF($AS816="","",IF($F$6="",0,IF(ISNUMBER(INDEX($A:$AP,ROW(),$F$6)),INDEX($A:$AP,ROW(),$F$6),IFERROR(--SUBSTITUTE(SUBSTITUTE(TRIM(INDEX($A:$AP,ROW(),$F$6)),",",""),"원",""),0))))</f>
        <v/>
      </c>
      <c r="AU816" s="23">
        <f>IF($AS816="","",IF($G$6="",0,IF(ISNUMBER(INDEX($A:$AP,ROW(),$G$6)),INDEX($A:$AP,ROW(),$G$6),IFERROR(--SUBSTITUTE(SUBSTITUTE(TRIM(INDEX($A:$AP,ROW(),$G$6)),",",""),"원",""),0))))</f>
        <v/>
      </c>
      <c r="AV816" s="23">
        <f>IF($AS816="","",IF($H$6="",$AT816+$AU816,IF($H$6="",0,IF(ISNUMBER(INDEX($A:$AP,ROW(),$H$6)),INDEX($A:$AP,ROW(),$H$6),IFERROR(--SUBSTITUTE(SUBSTITUTE(TRIM(INDEX($A:$AP,ROW(),$H$6)),",",""),"원",""),0)))))</f>
        <v/>
      </c>
      <c r="AW816" s="2">
        <f>IF(OR($AS816="",$C$6=""),"",TRIM(INDEX($A:$AP,ROW(),$C$6)&amp;""))</f>
        <v/>
      </c>
      <c r="AX816" s="2">
        <f>IF($AS816="","",IF($AZ816&lt;&gt;"",SUBSTITUTE(SUBSTITUTE($AZ816,"-","")," ",""),$AY816))</f>
        <v/>
      </c>
      <c r="AY816" s="2">
        <f>IF(OR($AS816="",$E$6=""),"",TRIM(INDEX($A:$AP,ROW(),$E$6)&amp;""))</f>
        <v/>
      </c>
      <c r="AZ816" s="2">
        <f>IF(OR($AS816="",$D$6=""),"",TRIM(INDEX($A:$AP,ROW(),$D$6)&amp;""))</f>
        <v/>
      </c>
      <c r="BA816" s="2">
        <f>IF($AS816="","",IF(AND($AS816&gt;=설정!$B$10,$AS816&lt;=설정!$B$11),"포함","기간 밖"))</f>
        <v/>
      </c>
      <c r="BB816" s="2">
        <f>IF($AS816="","",IF(OR($AT816&lt;0,AND($I$6&lt;&gt;"",ISNUMBER(FIND("수정",INDEX($A:$AP,ROW(),IF($I$6="",1,$I$6))&amp;"")))),"수정","일반"))</f>
        <v/>
      </c>
      <c r="BC816" s="2">
        <f>IF($AS816="","",MID(IF($BA816="기간 밖"," / 기간 밖(신고기간 아님)","")&amp;IF(AND($AW816&lt;&gt;"",COUNTIF($AW$8:$AW$1007,$AW816)&gt;1)," / 승인번호 중복(두 번 붙여넣기?)","")&amp;IF(ABS($AU816-ROUND($AT816*0.1,0))&gt;설정!$B$8,IF($AU816=0," / 세액 0원(영세율·면세 여부 확인)"," / 세액이 공급가액 10%와 다름"),"")&amp;IF($BB816="수정"," / 수정세금계산서(합계에서 자동 가감)",""),4,200))</f>
        <v/>
      </c>
      <c r="BD816" s="2">
        <f>IF($BA816&lt;&gt;"포함","",IF(COUNTIFS($AX$8:$AX816,$AX816,$BA$8:$BA816,"포함")=1,MAX($BD$7:BD815)+1,""))</f>
        <v/>
      </c>
      <c r="BE816" s="2">
        <f>IF($BC816="","",MAX($BE$7:BE815)+1)</f>
        <v/>
      </c>
    </row>
    <row r="817">
      <c r="AR817" s="2">
        <f>IF(OR($A$5="",$B$6="",ROW()&lt;$A$5),"",IF(INDEX($A:$AP,ROW(),$B$6)="","",INDEX($A:$AP,ROW(),$B$6)))</f>
        <v/>
      </c>
      <c r="AS817" s="22">
        <f>IF($AR817="","",IF(ISNUMBER($AR817),IF($AR817&gt;=10000000,IFERROR(DATE(INT($AR817/10000),MOD(INT($AR817/100),100),MOD($AR817,100)),""),INT($AR817)),IFERROR(DATE(--LEFT(LEFT(SUBSTITUTE(SUBSTITUTE(SUBSTITUTE(SUBSTITUTE(TRIM($AR817),"-",""),".",""),"/","")," ",""),8),4),--MID(LEFT(SUBSTITUTE(SUBSTITUTE(SUBSTITUTE(SUBSTITUTE(TRIM($AR817),"-",""),".",""),"/","")," ",""),8),5,2),--MID(LEFT(SUBSTITUTE(SUBSTITUTE(SUBSTITUTE(SUBSTITUTE(TRIM($AR817),"-",""),".",""),"/","")," ",""),8),7,2)),"")))</f>
        <v/>
      </c>
      <c r="AT817" s="23">
        <f>IF($AS817="","",IF($F$6="",0,IF(ISNUMBER(INDEX($A:$AP,ROW(),$F$6)),INDEX($A:$AP,ROW(),$F$6),IFERROR(--SUBSTITUTE(SUBSTITUTE(TRIM(INDEX($A:$AP,ROW(),$F$6)),",",""),"원",""),0))))</f>
        <v/>
      </c>
      <c r="AU817" s="23">
        <f>IF($AS817="","",IF($G$6="",0,IF(ISNUMBER(INDEX($A:$AP,ROW(),$G$6)),INDEX($A:$AP,ROW(),$G$6),IFERROR(--SUBSTITUTE(SUBSTITUTE(TRIM(INDEX($A:$AP,ROW(),$G$6)),",",""),"원",""),0))))</f>
        <v/>
      </c>
      <c r="AV817" s="23">
        <f>IF($AS817="","",IF($H$6="",$AT817+$AU817,IF($H$6="",0,IF(ISNUMBER(INDEX($A:$AP,ROW(),$H$6)),INDEX($A:$AP,ROW(),$H$6),IFERROR(--SUBSTITUTE(SUBSTITUTE(TRIM(INDEX($A:$AP,ROW(),$H$6)),",",""),"원",""),0)))))</f>
        <v/>
      </c>
      <c r="AW817" s="2">
        <f>IF(OR($AS817="",$C$6=""),"",TRIM(INDEX($A:$AP,ROW(),$C$6)&amp;""))</f>
        <v/>
      </c>
      <c r="AX817" s="2">
        <f>IF($AS817="","",IF($AZ817&lt;&gt;"",SUBSTITUTE(SUBSTITUTE($AZ817,"-","")," ",""),$AY817))</f>
        <v/>
      </c>
      <c r="AY817" s="2">
        <f>IF(OR($AS817="",$E$6=""),"",TRIM(INDEX($A:$AP,ROW(),$E$6)&amp;""))</f>
        <v/>
      </c>
      <c r="AZ817" s="2">
        <f>IF(OR($AS817="",$D$6=""),"",TRIM(INDEX($A:$AP,ROW(),$D$6)&amp;""))</f>
        <v/>
      </c>
      <c r="BA817" s="2">
        <f>IF($AS817="","",IF(AND($AS817&gt;=설정!$B$10,$AS817&lt;=설정!$B$11),"포함","기간 밖"))</f>
        <v/>
      </c>
      <c r="BB817" s="2">
        <f>IF($AS817="","",IF(OR($AT817&lt;0,AND($I$6&lt;&gt;"",ISNUMBER(FIND("수정",INDEX($A:$AP,ROW(),IF($I$6="",1,$I$6))&amp;"")))),"수정","일반"))</f>
        <v/>
      </c>
      <c r="BC817" s="2">
        <f>IF($AS817="","",MID(IF($BA817="기간 밖"," / 기간 밖(신고기간 아님)","")&amp;IF(AND($AW817&lt;&gt;"",COUNTIF($AW$8:$AW$1007,$AW817)&gt;1)," / 승인번호 중복(두 번 붙여넣기?)","")&amp;IF(ABS($AU817-ROUND($AT817*0.1,0))&gt;설정!$B$8,IF($AU817=0," / 세액 0원(영세율·면세 여부 확인)"," / 세액이 공급가액 10%와 다름"),"")&amp;IF($BB817="수정"," / 수정세금계산서(합계에서 자동 가감)",""),4,200))</f>
        <v/>
      </c>
      <c r="BD817" s="2">
        <f>IF($BA817&lt;&gt;"포함","",IF(COUNTIFS($AX$8:$AX817,$AX817,$BA$8:$BA817,"포함")=1,MAX($BD$7:BD816)+1,""))</f>
        <v/>
      </c>
      <c r="BE817" s="2">
        <f>IF($BC817="","",MAX($BE$7:BE816)+1)</f>
        <v/>
      </c>
    </row>
    <row r="818">
      <c r="AR818" s="2">
        <f>IF(OR($A$5="",$B$6="",ROW()&lt;$A$5),"",IF(INDEX($A:$AP,ROW(),$B$6)="","",INDEX($A:$AP,ROW(),$B$6)))</f>
        <v/>
      </c>
      <c r="AS818" s="22">
        <f>IF($AR818="","",IF(ISNUMBER($AR818),IF($AR818&gt;=10000000,IFERROR(DATE(INT($AR818/10000),MOD(INT($AR818/100),100),MOD($AR818,100)),""),INT($AR818)),IFERROR(DATE(--LEFT(LEFT(SUBSTITUTE(SUBSTITUTE(SUBSTITUTE(SUBSTITUTE(TRIM($AR818),"-",""),".",""),"/","")," ",""),8),4),--MID(LEFT(SUBSTITUTE(SUBSTITUTE(SUBSTITUTE(SUBSTITUTE(TRIM($AR818),"-",""),".",""),"/","")," ",""),8),5,2),--MID(LEFT(SUBSTITUTE(SUBSTITUTE(SUBSTITUTE(SUBSTITUTE(TRIM($AR818),"-",""),".",""),"/","")," ",""),8),7,2)),"")))</f>
        <v/>
      </c>
      <c r="AT818" s="23">
        <f>IF($AS818="","",IF($F$6="",0,IF(ISNUMBER(INDEX($A:$AP,ROW(),$F$6)),INDEX($A:$AP,ROW(),$F$6),IFERROR(--SUBSTITUTE(SUBSTITUTE(TRIM(INDEX($A:$AP,ROW(),$F$6)),",",""),"원",""),0))))</f>
        <v/>
      </c>
      <c r="AU818" s="23">
        <f>IF($AS818="","",IF($G$6="",0,IF(ISNUMBER(INDEX($A:$AP,ROW(),$G$6)),INDEX($A:$AP,ROW(),$G$6),IFERROR(--SUBSTITUTE(SUBSTITUTE(TRIM(INDEX($A:$AP,ROW(),$G$6)),",",""),"원",""),0))))</f>
        <v/>
      </c>
      <c r="AV818" s="23">
        <f>IF($AS818="","",IF($H$6="",$AT818+$AU818,IF($H$6="",0,IF(ISNUMBER(INDEX($A:$AP,ROW(),$H$6)),INDEX($A:$AP,ROW(),$H$6),IFERROR(--SUBSTITUTE(SUBSTITUTE(TRIM(INDEX($A:$AP,ROW(),$H$6)),",",""),"원",""),0)))))</f>
        <v/>
      </c>
      <c r="AW818" s="2">
        <f>IF(OR($AS818="",$C$6=""),"",TRIM(INDEX($A:$AP,ROW(),$C$6)&amp;""))</f>
        <v/>
      </c>
      <c r="AX818" s="2">
        <f>IF($AS818="","",IF($AZ818&lt;&gt;"",SUBSTITUTE(SUBSTITUTE($AZ818,"-","")," ",""),$AY818))</f>
        <v/>
      </c>
      <c r="AY818" s="2">
        <f>IF(OR($AS818="",$E$6=""),"",TRIM(INDEX($A:$AP,ROW(),$E$6)&amp;""))</f>
        <v/>
      </c>
      <c r="AZ818" s="2">
        <f>IF(OR($AS818="",$D$6=""),"",TRIM(INDEX($A:$AP,ROW(),$D$6)&amp;""))</f>
        <v/>
      </c>
      <c r="BA818" s="2">
        <f>IF($AS818="","",IF(AND($AS818&gt;=설정!$B$10,$AS818&lt;=설정!$B$11),"포함","기간 밖"))</f>
        <v/>
      </c>
      <c r="BB818" s="2">
        <f>IF($AS818="","",IF(OR($AT818&lt;0,AND($I$6&lt;&gt;"",ISNUMBER(FIND("수정",INDEX($A:$AP,ROW(),IF($I$6="",1,$I$6))&amp;"")))),"수정","일반"))</f>
        <v/>
      </c>
      <c r="BC818" s="2">
        <f>IF($AS818="","",MID(IF($BA818="기간 밖"," / 기간 밖(신고기간 아님)","")&amp;IF(AND($AW818&lt;&gt;"",COUNTIF($AW$8:$AW$1007,$AW818)&gt;1)," / 승인번호 중복(두 번 붙여넣기?)","")&amp;IF(ABS($AU818-ROUND($AT818*0.1,0))&gt;설정!$B$8,IF($AU818=0," / 세액 0원(영세율·면세 여부 확인)"," / 세액이 공급가액 10%와 다름"),"")&amp;IF($BB818="수정"," / 수정세금계산서(합계에서 자동 가감)",""),4,200))</f>
        <v/>
      </c>
      <c r="BD818" s="2">
        <f>IF($BA818&lt;&gt;"포함","",IF(COUNTIFS($AX$8:$AX818,$AX818,$BA$8:$BA818,"포함")=1,MAX($BD$7:BD817)+1,""))</f>
        <v/>
      </c>
      <c r="BE818" s="2">
        <f>IF($BC818="","",MAX($BE$7:BE817)+1)</f>
        <v/>
      </c>
    </row>
    <row r="819">
      <c r="AR819" s="2">
        <f>IF(OR($A$5="",$B$6="",ROW()&lt;$A$5),"",IF(INDEX($A:$AP,ROW(),$B$6)="","",INDEX($A:$AP,ROW(),$B$6)))</f>
        <v/>
      </c>
      <c r="AS819" s="22">
        <f>IF($AR819="","",IF(ISNUMBER($AR819),IF($AR819&gt;=10000000,IFERROR(DATE(INT($AR819/10000),MOD(INT($AR819/100),100),MOD($AR819,100)),""),INT($AR819)),IFERROR(DATE(--LEFT(LEFT(SUBSTITUTE(SUBSTITUTE(SUBSTITUTE(SUBSTITUTE(TRIM($AR819),"-",""),".",""),"/","")," ",""),8),4),--MID(LEFT(SUBSTITUTE(SUBSTITUTE(SUBSTITUTE(SUBSTITUTE(TRIM($AR819),"-",""),".",""),"/","")," ",""),8),5,2),--MID(LEFT(SUBSTITUTE(SUBSTITUTE(SUBSTITUTE(SUBSTITUTE(TRIM($AR819),"-",""),".",""),"/","")," ",""),8),7,2)),"")))</f>
        <v/>
      </c>
      <c r="AT819" s="23">
        <f>IF($AS819="","",IF($F$6="",0,IF(ISNUMBER(INDEX($A:$AP,ROW(),$F$6)),INDEX($A:$AP,ROW(),$F$6),IFERROR(--SUBSTITUTE(SUBSTITUTE(TRIM(INDEX($A:$AP,ROW(),$F$6)),",",""),"원",""),0))))</f>
        <v/>
      </c>
      <c r="AU819" s="23">
        <f>IF($AS819="","",IF($G$6="",0,IF(ISNUMBER(INDEX($A:$AP,ROW(),$G$6)),INDEX($A:$AP,ROW(),$G$6),IFERROR(--SUBSTITUTE(SUBSTITUTE(TRIM(INDEX($A:$AP,ROW(),$G$6)),",",""),"원",""),0))))</f>
        <v/>
      </c>
      <c r="AV819" s="23">
        <f>IF($AS819="","",IF($H$6="",$AT819+$AU819,IF($H$6="",0,IF(ISNUMBER(INDEX($A:$AP,ROW(),$H$6)),INDEX($A:$AP,ROW(),$H$6),IFERROR(--SUBSTITUTE(SUBSTITUTE(TRIM(INDEX($A:$AP,ROW(),$H$6)),",",""),"원",""),0)))))</f>
        <v/>
      </c>
      <c r="AW819" s="2">
        <f>IF(OR($AS819="",$C$6=""),"",TRIM(INDEX($A:$AP,ROW(),$C$6)&amp;""))</f>
        <v/>
      </c>
      <c r="AX819" s="2">
        <f>IF($AS819="","",IF($AZ819&lt;&gt;"",SUBSTITUTE(SUBSTITUTE($AZ819,"-","")," ",""),$AY819))</f>
        <v/>
      </c>
      <c r="AY819" s="2">
        <f>IF(OR($AS819="",$E$6=""),"",TRIM(INDEX($A:$AP,ROW(),$E$6)&amp;""))</f>
        <v/>
      </c>
      <c r="AZ819" s="2">
        <f>IF(OR($AS819="",$D$6=""),"",TRIM(INDEX($A:$AP,ROW(),$D$6)&amp;""))</f>
        <v/>
      </c>
      <c r="BA819" s="2">
        <f>IF($AS819="","",IF(AND($AS819&gt;=설정!$B$10,$AS819&lt;=설정!$B$11),"포함","기간 밖"))</f>
        <v/>
      </c>
      <c r="BB819" s="2">
        <f>IF($AS819="","",IF(OR($AT819&lt;0,AND($I$6&lt;&gt;"",ISNUMBER(FIND("수정",INDEX($A:$AP,ROW(),IF($I$6="",1,$I$6))&amp;"")))),"수정","일반"))</f>
        <v/>
      </c>
      <c r="BC819" s="2">
        <f>IF($AS819="","",MID(IF($BA819="기간 밖"," / 기간 밖(신고기간 아님)","")&amp;IF(AND($AW819&lt;&gt;"",COUNTIF($AW$8:$AW$1007,$AW819)&gt;1)," / 승인번호 중복(두 번 붙여넣기?)","")&amp;IF(ABS($AU819-ROUND($AT819*0.1,0))&gt;설정!$B$8,IF($AU819=0," / 세액 0원(영세율·면세 여부 확인)"," / 세액이 공급가액 10%와 다름"),"")&amp;IF($BB819="수정"," / 수정세금계산서(합계에서 자동 가감)",""),4,200))</f>
        <v/>
      </c>
      <c r="BD819" s="2">
        <f>IF($BA819&lt;&gt;"포함","",IF(COUNTIFS($AX$8:$AX819,$AX819,$BA$8:$BA819,"포함")=1,MAX($BD$7:BD818)+1,""))</f>
        <v/>
      </c>
      <c r="BE819" s="2">
        <f>IF($BC819="","",MAX($BE$7:BE818)+1)</f>
        <v/>
      </c>
    </row>
    <row r="820">
      <c r="AR820" s="2">
        <f>IF(OR($A$5="",$B$6="",ROW()&lt;$A$5),"",IF(INDEX($A:$AP,ROW(),$B$6)="","",INDEX($A:$AP,ROW(),$B$6)))</f>
        <v/>
      </c>
      <c r="AS820" s="22">
        <f>IF($AR820="","",IF(ISNUMBER($AR820),IF($AR820&gt;=10000000,IFERROR(DATE(INT($AR820/10000),MOD(INT($AR820/100),100),MOD($AR820,100)),""),INT($AR820)),IFERROR(DATE(--LEFT(LEFT(SUBSTITUTE(SUBSTITUTE(SUBSTITUTE(SUBSTITUTE(TRIM($AR820),"-",""),".",""),"/","")," ",""),8),4),--MID(LEFT(SUBSTITUTE(SUBSTITUTE(SUBSTITUTE(SUBSTITUTE(TRIM($AR820),"-",""),".",""),"/","")," ",""),8),5,2),--MID(LEFT(SUBSTITUTE(SUBSTITUTE(SUBSTITUTE(SUBSTITUTE(TRIM($AR820),"-",""),".",""),"/","")," ",""),8),7,2)),"")))</f>
        <v/>
      </c>
      <c r="AT820" s="23">
        <f>IF($AS820="","",IF($F$6="",0,IF(ISNUMBER(INDEX($A:$AP,ROW(),$F$6)),INDEX($A:$AP,ROW(),$F$6),IFERROR(--SUBSTITUTE(SUBSTITUTE(TRIM(INDEX($A:$AP,ROW(),$F$6)),",",""),"원",""),0))))</f>
        <v/>
      </c>
      <c r="AU820" s="23">
        <f>IF($AS820="","",IF($G$6="",0,IF(ISNUMBER(INDEX($A:$AP,ROW(),$G$6)),INDEX($A:$AP,ROW(),$G$6),IFERROR(--SUBSTITUTE(SUBSTITUTE(TRIM(INDEX($A:$AP,ROW(),$G$6)),",",""),"원",""),0))))</f>
        <v/>
      </c>
      <c r="AV820" s="23">
        <f>IF($AS820="","",IF($H$6="",$AT820+$AU820,IF($H$6="",0,IF(ISNUMBER(INDEX($A:$AP,ROW(),$H$6)),INDEX($A:$AP,ROW(),$H$6),IFERROR(--SUBSTITUTE(SUBSTITUTE(TRIM(INDEX($A:$AP,ROW(),$H$6)),",",""),"원",""),0)))))</f>
        <v/>
      </c>
      <c r="AW820" s="2">
        <f>IF(OR($AS820="",$C$6=""),"",TRIM(INDEX($A:$AP,ROW(),$C$6)&amp;""))</f>
        <v/>
      </c>
      <c r="AX820" s="2">
        <f>IF($AS820="","",IF($AZ820&lt;&gt;"",SUBSTITUTE(SUBSTITUTE($AZ820,"-","")," ",""),$AY820))</f>
        <v/>
      </c>
      <c r="AY820" s="2">
        <f>IF(OR($AS820="",$E$6=""),"",TRIM(INDEX($A:$AP,ROW(),$E$6)&amp;""))</f>
        <v/>
      </c>
      <c r="AZ820" s="2">
        <f>IF(OR($AS820="",$D$6=""),"",TRIM(INDEX($A:$AP,ROW(),$D$6)&amp;""))</f>
        <v/>
      </c>
      <c r="BA820" s="2">
        <f>IF($AS820="","",IF(AND($AS820&gt;=설정!$B$10,$AS820&lt;=설정!$B$11),"포함","기간 밖"))</f>
        <v/>
      </c>
      <c r="BB820" s="2">
        <f>IF($AS820="","",IF(OR($AT820&lt;0,AND($I$6&lt;&gt;"",ISNUMBER(FIND("수정",INDEX($A:$AP,ROW(),IF($I$6="",1,$I$6))&amp;"")))),"수정","일반"))</f>
        <v/>
      </c>
      <c r="BC820" s="2">
        <f>IF($AS820="","",MID(IF($BA820="기간 밖"," / 기간 밖(신고기간 아님)","")&amp;IF(AND($AW820&lt;&gt;"",COUNTIF($AW$8:$AW$1007,$AW820)&gt;1)," / 승인번호 중복(두 번 붙여넣기?)","")&amp;IF(ABS($AU820-ROUND($AT820*0.1,0))&gt;설정!$B$8,IF($AU820=0," / 세액 0원(영세율·면세 여부 확인)"," / 세액이 공급가액 10%와 다름"),"")&amp;IF($BB820="수정"," / 수정세금계산서(합계에서 자동 가감)",""),4,200))</f>
        <v/>
      </c>
      <c r="BD820" s="2">
        <f>IF($BA820&lt;&gt;"포함","",IF(COUNTIFS($AX$8:$AX820,$AX820,$BA$8:$BA820,"포함")=1,MAX($BD$7:BD819)+1,""))</f>
        <v/>
      </c>
      <c r="BE820" s="2">
        <f>IF($BC820="","",MAX($BE$7:BE819)+1)</f>
        <v/>
      </c>
    </row>
    <row r="821">
      <c r="AR821" s="2">
        <f>IF(OR($A$5="",$B$6="",ROW()&lt;$A$5),"",IF(INDEX($A:$AP,ROW(),$B$6)="","",INDEX($A:$AP,ROW(),$B$6)))</f>
        <v/>
      </c>
      <c r="AS821" s="22">
        <f>IF($AR821="","",IF(ISNUMBER($AR821),IF($AR821&gt;=10000000,IFERROR(DATE(INT($AR821/10000),MOD(INT($AR821/100),100),MOD($AR821,100)),""),INT($AR821)),IFERROR(DATE(--LEFT(LEFT(SUBSTITUTE(SUBSTITUTE(SUBSTITUTE(SUBSTITUTE(TRIM($AR821),"-",""),".",""),"/","")," ",""),8),4),--MID(LEFT(SUBSTITUTE(SUBSTITUTE(SUBSTITUTE(SUBSTITUTE(TRIM($AR821),"-",""),".",""),"/","")," ",""),8),5,2),--MID(LEFT(SUBSTITUTE(SUBSTITUTE(SUBSTITUTE(SUBSTITUTE(TRIM($AR821),"-",""),".",""),"/","")," ",""),8),7,2)),"")))</f>
        <v/>
      </c>
      <c r="AT821" s="23">
        <f>IF($AS821="","",IF($F$6="",0,IF(ISNUMBER(INDEX($A:$AP,ROW(),$F$6)),INDEX($A:$AP,ROW(),$F$6),IFERROR(--SUBSTITUTE(SUBSTITUTE(TRIM(INDEX($A:$AP,ROW(),$F$6)),",",""),"원",""),0))))</f>
        <v/>
      </c>
      <c r="AU821" s="23">
        <f>IF($AS821="","",IF($G$6="",0,IF(ISNUMBER(INDEX($A:$AP,ROW(),$G$6)),INDEX($A:$AP,ROW(),$G$6),IFERROR(--SUBSTITUTE(SUBSTITUTE(TRIM(INDEX($A:$AP,ROW(),$G$6)),",",""),"원",""),0))))</f>
        <v/>
      </c>
      <c r="AV821" s="23">
        <f>IF($AS821="","",IF($H$6="",$AT821+$AU821,IF($H$6="",0,IF(ISNUMBER(INDEX($A:$AP,ROW(),$H$6)),INDEX($A:$AP,ROW(),$H$6),IFERROR(--SUBSTITUTE(SUBSTITUTE(TRIM(INDEX($A:$AP,ROW(),$H$6)),",",""),"원",""),0)))))</f>
        <v/>
      </c>
      <c r="AW821" s="2">
        <f>IF(OR($AS821="",$C$6=""),"",TRIM(INDEX($A:$AP,ROW(),$C$6)&amp;""))</f>
        <v/>
      </c>
      <c r="AX821" s="2">
        <f>IF($AS821="","",IF($AZ821&lt;&gt;"",SUBSTITUTE(SUBSTITUTE($AZ821,"-","")," ",""),$AY821))</f>
        <v/>
      </c>
      <c r="AY821" s="2">
        <f>IF(OR($AS821="",$E$6=""),"",TRIM(INDEX($A:$AP,ROW(),$E$6)&amp;""))</f>
        <v/>
      </c>
      <c r="AZ821" s="2">
        <f>IF(OR($AS821="",$D$6=""),"",TRIM(INDEX($A:$AP,ROW(),$D$6)&amp;""))</f>
        <v/>
      </c>
      <c r="BA821" s="2">
        <f>IF($AS821="","",IF(AND($AS821&gt;=설정!$B$10,$AS821&lt;=설정!$B$11),"포함","기간 밖"))</f>
        <v/>
      </c>
      <c r="BB821" s="2">
        <f>IF($AS821="","",IF(OR($AT821&lt;0,AND($I$6&lt;&gt;"",ISNUMBER(FIND("수정",INDEX($A:$AP,ROW(),IF($I$6="",1,$I$6))&amp;"")))),"수정","일반"))</f>
        <v/>
      </c>
      <c r="BC821" s="2">
        <f>IF($AS821="","",MID(IF($BA821="기간 밖"," / 기간 밖(신고기간 아님)","")&amp;IF(AND($AW821&lt;&gt;"",COUNTIF($AW$8:$AW$1007,$AW821)&gt;1)," / 승인번호 중복(두 번 붙여넣기?)","")&amp;IF(ABS($AU821-ROUND($AT821*0.1,0))&gt;설정!$B$8,IF($AU821=0," / 세액 0원(영세율·면세 여부 확인)"," / 세액이 공급가액 10%와 다름"),"")&amp;IF($BB821="수정"," / 수정세금계산서(합계에서 자동 가감)",""),4,200))</f>
        <v/>
      </c>
      <c r="BD821" s="2">
        <f>IF($BA821&lt;&gt;"포함","",IF(COUNTIFS($AX$8:$AX821,$AX821,$BA$8:$BA821,"포함")=1,MAX($BD$7:BD820)+1,""))</f>
        <v/>
      </c>
      <c r="BE821" s="2">
        <f>IF($BC821="","",MAX($BE$7:BE820)+1)</f>
        <v/>
      </c>
    </row>
    <row r="822">
      <c r="AR822" s="2">
        <f>IF(OR($A$5="",$B$6="",ROW()&lt;$A$5),"",IF(INDEX($A:$AP,ROW(),$B$6)="","",INDEX($A:$AP,ROW(),$B$6)))</f>
        <v/>
      </c>
      <c r="AS822" s="22">
        <f>IF($AR822="","",IF(ISNUMBER($AR822),IF($AR822&gt;=10000000,IFERROR(DATE(INT($AR822/10000),MOD(INT($AR822/100),100),MOD($AR822,100)),""),INT($AR822)),IFERROR(DATE(--LEFT(LEFT(SUBSTITUTE(SUBSTITUTE(SUBSTITUTE(SUBSTITUTE(TRIM($AR822),"-",""),".",""),"/","")," ",""),8),4),--MID(LEFT(SUBSTITUTE(SUBSTITUTE(SUBSTITUTE(SUBSTITUTE(TRIM($AR822),"-",""),".",""),"/","")," ",""),8),5,2),--MID(LEFT(SUBSTITUTE(SUBSTITUTE(SUBSTITUTE(SUBSTITUTE(TRIM($AR822),"-",""),".",""),"/","")," ",""),8),7,2)),"")))</f>
        <v/>
      </c>
      <c r="AT822" s="23">
        <f>IF($AS822="","",IF($F$6="",0,IF(ISNUMBER(INDEX($A:$AP,ROW(),$F$6)),INDEX($A:$AP,ROW(),$F$6),IFERROR(--SUBSTITUTE(SUBSTITUTE(TRIM(INDEX($A:$AP,ROW(),$F$6)),",",""),"원",""),0))))</f>
        <v/>
      </c>
      <c r="AU822" s="23">
        <f>IF($AS822="","",IF($G$6="",0,IF(ISNUMBER(INDEX($A:$AP,ROW(),$G$6)),INDEX($A:$AP,ROW(),$G$6),IFERROR(--SUBSTITUTE(SUBSTITUTE(TRIM(INDEX($A:$AP,ROW(),$G$6)),",",""),"원",""),0))))</f>
        <v/>
      </c>
      <c r="AV822" s="23">
        <f>IF($AS822="","",IF($H$6="",$AT822+$AU822,IF($H$6="",0,IF(ISNUMBER(INDEX($A:$AP,ROW(),$H$6)),INDEX($A:$AP,ROW(),$H$6),IFERROR(--SUBSTITUTE(SUBSTITUTE(TRIM(INDEX($A:$AP,ROW(),$H$6)),",",""),"원",""),0)))))</f>
        <v/>
      </c>
      <c r="AW822" s="2">
        <f>IF(OR($AS822="",$C$6=""),"",TRIM(INDEX($A:$AP,ROW(),$C$6)&amp;""))</f>
        <v/>
      </c>
      <c r="AX822" s="2">
        <f>IF($AS822="","",IF($AZ822&lt;&gt;"",SUBSTITUTE(SUBSTITUTE($AZ822,"-","")," ",""),$AY822))</f>
        <v/>
      </c>
      <c r="AY822" s="2">
        <f>IF(OR($AS822="",$E$6=""),"",TRIM(INDEX($A:$AP,ROW(),$E$6)&amp;""))</f>
        <v/>
      </c>
      <c r="AZ822" s="2">
        <f>IF(OR($AS822="",$D$6=""),"",TRIM(INDEX($A:$AP,ROW(),$D$6)&amp;""))</f>
        <v/>
      </c>
      <c r="BA822" s="2">
        <f>IF($AS822="","",IF(AND($AS822&gt;=설정!$B$10,$AS822&lt;=설정!$B$11),"포함","기간 밖"))</f>
        <v/>
      </c>
      <c r="BB822" s="2">
        <f>IF($AS822="","",IF(OR($AT822&lt;0,AND($I$6&lt;&gt;"",ISNUMBER(FIND("수정",INDEX($A:$AP,ROW(),IF($I$6="",1,$I$6))&amp;"")))),"수정","일반"))</f>
        <v/>
      </c>
      <c r="BC822" s="2">
        <f>IF($AS822="","",MID(IF($BA822="기간 밖"," / 기간 밖(신고기간 아님)","")&amp;IF(AND($AW822&lt;&gt;"",COUNTIF($AW$8:$AW$1007,$AW822)&gt;1)," / 승인번호 중복(두 번 붙여넣기?)","")&amp;IF(ABS($AU822-ROUND($AT822*0.1,0))&gt;설정!$B$8,IF($AU822=0," / 세액 0원(영세율·면세 여부 확인)"," / 세액이 공급가액 10%와 다름"),"")&amp;IF($BB822="수정"," / 수정세금계산서(합계에서 자동 가감)",""),4,200))</f>
        <v/>
      </c>
      <c r="BD822" s="2">
        <f>IF($BA822&lt;&gt;"포함","",IF(COUNTIFS($AX$8:$AX822,$AX822,$BA$8:$BA822,"포함")=1,MAX($BD$7:BD821)+1,""))</f>
        <v/>
      </c>
      <c r="BE822" s="2">
        <f>IF($BC822="","",MAX($BE$7:BE821)+1)</f>
        <v/>
      </c>
    </row>
    <row r="823">
      <c r="AR823" s="2">
        <f>IF(OR($A$5="",$B$6="",ROW()&lt;$A$5),"",IF(INDEX($A:$AP,ROW(),$B$6)="","",INDEX($A:$AP,ROW(),$B$6)))</f>
        <v/>
      </c>
      <c r="AS823" s="22">
        <f>IF($AR823="","",IF(ISNUMBER($AR823),IF($AR823&gt;=10000000,IFERROR(DATE(INT($AR823/10000),MOD(INT($AR823/100),100),MOD($AR823,100)),""),INT($AR823)),IFERROR(DATE(--LEFT(LEFT(SUBSTITUTE(SUBSTITUTE(SUBSTITUTE(SUBSTITUTE(TRIM($AR823),"-",""),".",""),"/","")," ",""),8),4),--MID(LEFT(SUBSTITUTE(SUBSTITUTE(SUBSTITUTE(SUBSTITUTE(TRIM($AR823),"-",""),".",""),"/","")," ",""),8),5,2),--MID(LEFT(SUBSTITUTE(SUBSTITUTE(SUBSTITUTE(SUBSTITUTE(TRIM($AR823),"-",""),".",""),"/","")," ",""),8),7,2)),"")))</f>
        <v/>
      </c>
      <c r="AT823" s="23">
        <f>IF($AS823="","",IF($F$6="",0,IF(ISNUMBER(INDEX($A:$AP,ROW(),$F$6)),INDEX($A:$AP,ROW(),$F$6),IFERROR(--SUBSTITUTE(SUBSTITUTE(TRIM(INDEX($A:$AP,ROW(),$F$6)),",",""),"원",""),0))))</f>
        <v/>
      </c>
      <c r="AU823" s="23">
        <f>IF($AS823="","",IF($G$6="",0,IF(ISNUMBER(INDEX($A:$AP,ROW(),$G$6)),INDEX($A:$AP,ROW(),$G$6),IFERROR(--SUBSTITUTE(SUBSTITUTE(TRIM(INDEX($A:$AP,ROW(),$G$6)),",",""),"원",""),0))))</f>
        <v/>
      </c>
      <c r="AV823" s="23">
        <f>IF($AS823="","",IF($H$6="",$AT823+$AU823,IF($H$6="",0,IF(ISNUMBER(INDEX($A:$AP,ROW(),$H$6)),INDEX($A:$AP,ROW(),$H$6),IFERROR(--SUBSTITUTE(SUBSTITUTE(TRIM(INDEX($A:$AP,ROW(),$H$6)),",",""),"원",""),0)))))</f>
        <v/>
      </c>
      <c r="AW823" s="2">
        <f>IF(OR($AS823="",$C$6=""),"",TRIM(INDEX($A:$AP,ROW(),$C$6)&amp;""))</f>
        <v/>
      </c>
      <c r="AX823" s="2">
        <f>IF($AS823="","",IF($AZ823&lt;&gt;"",SUBSTITUTE(SUBSTITUTE($AZ823,"-","")," ",""),$AY823))</f>
        <v/>
      </c>
      <c r="AY823" s="2">
        <f>IF(OR($AS823="",$E$6=""),"",TRIM(INDEX($A:$AP,ROW(),$E$6)&amp;""))</f>
        <v/>
      </c>
      <c r="AZ823" s="2">
        <f>IF(OR($AS823="",$D$6=""),"",TRIM(INDEX($A:$AP,ROW(),$D$6)&amp;""))</f>
        <v/>
      </c>
      <c r="BA823" s="2">
        <f>IF($AS823="","",IF(AND($AS823&gt;=설정!$B$10,$AS823&lt;=설정!$B$11),"포함","기간 밖"))</f>
        <v/>
      </c>
      <c r="BB823" s="2">
        <f>IF($AS823="","",IF(OR($AT823&lt;0,AND($I$6&lt;&gt;"",ISNUMBER(FIND("수정",INDEX($A:$AP,ROW(),IF($I$6="",1,$I$6))&amp;"")))),"수정","일반"))</f>
        <v/>
      </c>
      <c r="BC823" s="2">
        <f>IF($AS823="","",MID(IF($BA823="기간 밖"," / 기간 밖(신고기간 아님)","")&amp;IF(AND($AW823&lt;&gt;"",COUNTIF($AW$8:$AW$1007,$AW823)&gt;1)," / 승인번호 중복(두 번 붙여넣기?)","")&amp;IF(ABS($AU823-ROUND($AT823*0.1,0))&gt;설정!$B$8,IF($AU823=0," / 세액 0원(영세율·면세 여부 확인)"," / 세액이 공급가액 10%와 다름"),"")&amp;IF($BB823="수정"," / 수정세금계산서(합계에서 자동 가감)",""),4,200))</f>
        <v/>
      </c>
      <c r="BD823" s="2">
        <f>IF($BA823&lt;&gt;"포함","",IF(COUNTIFS($AX$8:$AX823,$AX823,$BA$8:$BA823,"포함")=1,MAX($BD$7:BD822)+1,""))</f>
        <v/>
      </c>
      <c r="BE823" s="2">
        <f>IF($BC823="","",MAX($BE$7:BE822)+1)</f>
        <v/>
      </c>
    </row>
    <row r="824">
      <c r="AR824" s="2">
        <f>IF(OR($A$5="",$B$6="",ROW()&lt;$A$5),"",IF(INDEX($A:$AP,ROW(),$B$6)="","",INDEX($A:$AP,ROW(),$B$6)))</f>
        <v/>
      </c>
      <c r="AS824" s="22">
        <f>IF($AR824="","",IF(ISNUMBER($AR824),IF($AR824&gt;=10000000,IFERROR(DATE(INT($AR824/10000),MOD(INT($AR824/100),100),MOD($AR824,100)),""),INT($AR824)),IFERROR(DATE(--LEFT(LEFT(SUBSTITUTE(SUBSTITUTE(SUBSTITUTE(SUBSTITUTE(TRIM($AR824),"-",""),".",""),"/","")," ",""),8),4),--MID(LEFT(SUBSTITUTE(SUBSTITUTE(SUBSTITUTE(SUBSTITUTE(TRIM($AR824),"-",""),".",""),"/","")," ",""),8),5,2),--MID(LEFT(SUBSTITUTE(SUBSTITUTE(SUBSTITUTE(SUBSTITUTE(TRIM($AR824),"-",""),".",""),"/","")," ",""),8),7,2)),"")))</f>
        <v/>
      </c>
      <c r="AT824" s="23">
        <f>IF($AS824="","",IF($F$6="",0,IF(ISNUMBER(INDEX($A:$AP,ROW(),$F$6)),INDEX($A:$AP,ROW(),$F$6),IFERROR(--SUBSTITUTE(SUBSTITUTE(TRIM(INDEX($A:$AP,ROW(),$F$6)),",",""),"원",""),0))))</f>
        <v/>
      </c>
      <c r="AU824" s="23">
        <f>IF($AS824="","",IF($G$6="",0,IF(ISNUMBER(INDEX($A:$AP,ROW(),$G$6)),INDEX($A:$AP,ROW(),$G$6),IFERROR(--SUBSTITUTE(SUBSTITUTE(TRIM(INDEX($A:$AP,ROW(),$G$6)),",",""),"원",""),0))))</f>
        <v/>
      </c>
      <c r="AV824" s="23">
        <f>IF($AS824="","",IF($H$6="",$AT824+$AU824,IF($H$6="",0,IF(ISNUMBER(INDEX($A:$AP,ROW(),$H$6)),INDEX($A:$AP,ROW(),$H$6),IFERROR(--SUBSTITUTE(SUBSTITUTE(TRIM(INDEX($A:$AP,ROW(),$H$6)),",",""),"원",""),0)))))</f>
        <v/>
      </c>
      <c r="AW824" s="2">
        <f>IF(OR($AS824="",$C$6=""),"",TRIM(INDEX($A:$AP,ROW(),$C$6)&amp;""))</f>
        <v/>
      </c>
      <c r="AX824" s="2">
        <f>IF($AS824="","",IF($AZ824&lt;&gt;"",SUBSTITUTE(SUBSTITUTE($AZ824,"-","")," ",""),$AY824))</f>
        <v/>
      </c>
      <c r="AY824" s="2">
        <f>IF(OR($AS824="",$E$6=""),"",TRIM(INDEX($A:$AP,ROW(),$E$6)&amp;""))</f>
        <v/>
      </c>
      <c r="AZ824" s="2">
        <f>IF(OR($AS824="",$D$6=""),"",TRIM(INDEX($A:$AP,ROW(),$D$6)&amp;""))</f>
        <v/>
      </c>
      <c r="BA824" s="2">
        <f>IF($AS824="","",IF(AND($AS824&gt;=설정!$B$10,$AS824&lt;=설정!$B$11),"포함","기간 밖"))</f>
        <v/>
      </c>
      <c r="BB824" s="2">
        <f>IF($AS824="","",IF(OR($AT824&lt;0,AND($I$6&lt;&gt;"",ISNUMBER(FIND("수정",INDEX($A:$AP,ROW(),IF($I$6="",1,$I$6))&amp;"")))),"수정","일반"))</f>
        <v/>
      </c>
      <c r="BC824" s="2">
        <f>IF($AS824="","",MID(IF($BA824="기간 밖"," / 기간 밖(신고기간 아님)","")&amp;IF(AND($AW824&lt;&gt;"",COUNTIF($AW$8:$AW$1007,$AW824)&gt;1)," / 승인번호 중복(두 번 붙여넣기?)","")&amp;IF(ABS($AU824-ROUND($AT824*0.1,0))&gt;설정!$B$8,IF($AU824=0," / 세액 0원(영세율·면세 여부 확인)"," / 세액이 공급가액 10%와 다름"),"")&amp;IF($BB824="수정"," / 수정세금계산서(합계에서 자동 가감)",""),4,200))</f>
        <v/>
      </c>
      <c r="BD824" s="2">
        <f>IF($BA824&lt;&gt;"포함","",IF(COUNTIFS($AX$8:$AX824,$AX824,$BA$8:$BA824,"포함")=1,MAX($BD$7:BD823)+1,""))</f>
        <v/>
      </c>
      <c r="BE824" s="2">
        <f>IF($BC824="","",MAX($BE$7:BE823)+1)</f>
        <v/>
      </c>
    </row>
    <row r="825">
      <c r="AR825" s="2">
        <f>IF(OR($A$5="",$B$6="",ROW()&lt;$A$5),"",IF(INDEX($A:$AP,ROW(),$B$6)="","",INDEX($A:$AP,ROW(),$B$6)))</f>
        <v/>
      </c>
      <c r="AS825" s="22">
        <f>IF($AR825="","",IF(ISNUMBER($AR825),IF($AR825&gt;=10000000,IFERROR(DATE(INT($AR825/10000),MOD(INT($AR825/100),100),MOD($AR825,100)),""),INT($AR825)),IFERROR(DATE(--LEFT(LEFT(SUBSTITUTE(SUBSTITUTE(SUBSTITUTE(SUBSTITUTE(TRIM($AR825),"-",""),".",""),"/","")," ",""),8),4),--MID(LEFT(SUBSTITUTE(SUBSTITUTE(SUBSTITUTE(SUBSTITUTE(TRIM($AR825),"-",""),".",""),"/","")," ",""),8),5,2),--MID(LEFT(SUBSTITUTE(SUBSTITUTE(SUBSTITUTE(SUBSTITUTE(TRIM($AR825),"-",""),".",""),"/","")," ",""),8),7,2)),"")))</f>
        <v/>
      </c>
      <c r="AT825" s="23">
        <f>IF($AS825="","",IF($F$6="",0,IF(ISNUMBER(INDEX($A:$AP,ROW(),$F$6)),INDEX($A:$AP,ROW(),$F$6),IFERROR(--SUBSTITUTE(SUBSTITUTE(TRIM(INDEX($A:$AP,ROW(),$F$6)),",",""),"원",""),0))))</f>
        <v/>
      </c>
      <c r="AU825" s="23">
        <f>IF($AS825="","",IF($G$6="",0,IF(ISNUMBER(INDEX($A:$AP,ROW(),$G$6)),INDEX($A:$AP,ROW(),$G$6),IFERROR(--SUBSTITUTE(SUBSTITUTE(TRIM(INDEX($A:$AP,ROW(),$G$6)),",",""),"원",""),0))))</f>
        <v/>
      </c>
      <c r="AV825" s="23">
        <f>IF($AS825="","",IF($H$6="",$AT825+$AU825,IF($H$6="",0,IF(ISNUMBER(INDEX($A:$AP,ROW(),$H$6)),INDEX($A:$AP,ROW(),$H$6),IFERROR(--SUBSTITUTE(SUBSTITUTE(TRIM(INDEX($A:$AP,ROW(),$H$6)),",",""),"원",""),0)))))</f>
        <v/>
      </c>
      <c r="AW825" s="2">
        <f>IF(OR($AS825="",$C$6=""),"",TRIM(INDEX($A:$AP,ROW(),$C$6)&amp;""))</f>
        <v/>
      </c>
      <c r="AX825" s="2">
        <f>IF($AS825="","",IF($AZ825&lt;&gt;"",SUBSTITUTE(SUBSTITUTE($AZ825,"-","")," ",""),$AY825))</f>
        <v/>
      </c>
      <c r="AY825" s="2">
        <f>IF(OR($AS825="",$E$6=""),"",TRIM(INDEX($A:$AP,ROW(),$E$6)&amp;""))</f>
        <v/>
      </c>
      <c r="AZ825" s="2">
        <f>IF(OR($AS825="",$D$6=""),"",TRIM(INDEX($A:$AP,ROW(),$D$6)&amp;""))</f>
        <v/>
      </c>
      <c r="BA825" s="2">
        <f>IF($AS825="","",IF(AND($AS825&gt;=설정!$B$10,$AS825&lt;=설정!$B$11),"포함","기간 밖"))</f>
        <v/>
      </c>
      <c r="BB825" s="2">
        <f>IF($AS825="","",IF(OR($AT825&lt;0,AND($I$6&lt;&gt;"",ISNUMBER(FIND("수정",INDEX($A:$AP,ROW(),IF($I$6="",1,$I$6))&amp;"")))),"수정","일반"))</f>
        <v/>
      </c>
      <c r="BC825" s="2">
        <f>IF($AS825="","",MID(IF($BA825="기간 밖"," / 기간 밖(신고기간 아님)","")&amp;IF(AND($AW825&lt;&gt;"",COUNTIF($AW$8:$AW$1007,$AW825)&gt;1)," / 승인번호 중복(두 번 붙여넣기?)","")&amp;IF(ABS($AU825-ROUND($AT825*0.1,0))&gt;설정!$B$8,IF($AU825=0," / 세액 0원(영세율·면세 여부 확인)"," / 세액이 공급가액 10%와 다름"),"")&amp;IF($BB825="수정"," / 수정세금계산서(합계에서 자동 가감)",""),4,200))</f>
        <v/>
      </c>
      <c r="BD825" s="2">
        <f>IF($BA825&lt;&gt;"포함","",IF(COUNTIFS($AX$8:$AX825,$AX825,$BA$8:$BA825,"포함")=1,MAX($BD$7:BD824)+1,""))</f>
        <v/>
      </c>
      <c r="BE825" s="2">
        <f>IF($BC825="","",MAX($BE$7:BE824)+1)</f>
        <v/>
      </c>
    </row>
    <row r="826">
      <c r="AR826" s="2">
        <f>IF(OR($A$5="",$B$6="",ROW()&lt;$A$5),"",IF(INDEX($A:$AP,ROW(),$B$6)="","",INDEX($A:$AP,ROW(),$B$6)))</f>
        <v/>
      </c>
      <c r="AS826" s="22">
        <f>IF($AR826="","",IF(ISNUMBER($AR826),IF($AR826&gt;=10000000,IFERROR(DATE(INT($AR826/10000),MOD(INT($AR826/100),100),MOD($AR826,100)),""),INT($AR826)),IFERROR(DATE(--LEFT(LEFT(SUBSTITUTE(SUBSTITUTE(SUBSTITUTE(SUBSTITUTE(TRIM($AR826),"-",""),".",""),"/","")," ",""),8),4),--MID(LEFT(SUBSTITUTE(SUBSTITUTE(SUBSTITUTE(SUBSTITUTE(TRIM($AR826),"-",""),".",""),"/","")," ",""),8),5,2),--MID(LEFT(SUBSTITUTE(SUBSTITUTE(SUBSTITUTE(SUBSTITUTE(TRIM($AR826),"-",""),".",""),"/","")," ",""),8),7,2)),"")))</f>
        <v/>
      </c>
      <c r="AT826" s="23">
        <f>IF($AS826="","",IF($F$6="",0,IF(ISNUMBER(INDEX($A:$AP,ROW(),$F$6)),INDEX($A:$AP,ROW(),$F$6),IFERROR(--SUBSTITUTE(SUBSTITUTE(TRIM(INDEX($A:$AP,ROW(),$F$6)),",",""),"원",""),0))))</f>
        <v/>
      </c>
      <c r="AU826" s="23">
        <f>IF($AS826="","",IF($G$6="",0,IF(ISNUMBER(INDEX($A:$AP,ROW(),$G$6)),INDEX($A:$AP,ROW(),$G$6),IFERROR(--SUBSTITUTE(SUBSTITUTE(TRIM(INDEX($A:$AP,ROW(),$G$6)),",",""),"원",""),0))))</f>
        <v/>
      </c>
      <c r="AV826" s="23">
        <f>IF($AS826="","",IF($H$6="",$AT826+$AU826,IF($H$6="",0,IF(ISNUMBER(INDEX($A:$AP,ROW(),$H$6)),INDEX($A:$AP,ROW(),$H$6),IFERROR(--SUBSTITUTE(SUBSTITUTE(TRIM(INDEX($A:$AP,ROW(),$H$6)),",",""),"원",""),0)))))</f>
        <v/>
      </c>
      <c r="AW826" s="2">
        <f>IF(OR($AS826="",$C$6=""),"",TRIM(INDEX($A:$AP,ROW(),$C$6)&amp;""))</f>
        <v/>
      </c>
      <c r="AX826" s="2">
        <f>IF($AS826="","",IF($AZ826&lt;&gt;"",SUBSTITUTE(SUBSTITUTE($AZ826,"-","")," ",""),$AY826))</f>
        <v/>
      </c>
      <c r="AY826" s="2">
        <f>IF(OR($AS826="",$E$6=""),"",TRIM(INDEX($A:$AP,ROW(),$E$6)&amp;""))</f>
        <v/>
      </c>
      <c r="AZ826" s="2">
        <f>IF(OR($AS826="",$D$6=""),"",TRIM(INDEX($A:$AP,ROW(),$D$6)&amp;""))</f>
        <v/>
      </c>
      <c r="BA826" s="2">
        <f>IF($AS826="","",IF(AND($AS826&gt;=설정!$B$10,$AS826&lt;=설정!$B$11),"포함","기간 밖"))</f>
        <v/>
      </c>
      <c r="BB826" s="2">
        <f>IF($AS826="","",IF(OR($AT826&lt;0,AND($I$6&lt;&gt;"",ISNUMBER(FIND("수정",INDEX($A:$AP,ROW(),IF($I$6="",1,$I$6))&amp;"")))),"수정","일반"))</f>
        <v/>
      </c>
      <c r="BC826" s="2">
        <f>IF($AS826="","",MID(IF($BA826="기간 밖"," / 기간 밖(신고기간 아님)","")&amp;IF(AND($AW826&lt;&gt;"",COUNTIF($AW$8:$AW$1007,$AW826)&gt;1)," / 승인번호 중복(두 번 붙여넣기?)","")&amp;IF(ABS($AU826-ROUND($AT826*0.1,0))&gt;설정!$B$8,IF($AU826=0," / 세액 0원(영세율·면세 여부 확인)"," / 세액이 공급가액 10%와 다름"),"")&amp;IF($BB826="수정"," / 수정세금계산서(합계에서 자동 가감)",""),4,200))</f>
        <v/>
      </c>
      <c r="BD826" s="2">
        <f>IF($BA826&lt;&gt;"포함","",IF(COUNTIFS($AX$8:$AX826,$AX826,$BA$8:$BA826,"포함")=1,MAX($BD$7:BD825)+1,""))</f>
        <v/>
      </c>
      <c r="BE826" s="2">
        <f>IF($BC826="","",MAX($BE$7:BE825)+1)</f>
        <v/>
      </c>
    </row>
    <row r="827">
      <c r="AR827" s="2">
        <f>IF(OR($A$5="",$B$6="",ROW()&lt;$A$5),"",IF(INDEX($A:$AP,ROW(),$B$6)="","",INDEX($A:$AP,ROW(),$B$6)))</f>
        <v/>
      </c>
      <c r="AS827" s="22">
        <f>IF($AR827="","",IF(ISNUMBER($AR827),IF($AR827&gt;=10000000,IFERROR(DATE(INT($AR827/10000),MOD(INT($AR827/100),100),MOD($AR827,100)),""),INT($AR827)),IFERROR(DATE(--LEFT(LEFT(SUBSTITUTE(SUBSTITUTE(SUBSTITUTE(SUBSTITUTE(TRIM($AR827),"-",""),".",""),"/","")," ",""),8),4),--MID(LEFT(SUBSTITUTE(SUBSTITUTE(SUBSTITUTE(SUBSTITUTE(TRIM($AR827),"-",""),".",""),"/","")," ",""),8),5,2),--MID(LEFT(SUBSTITUTE(SUBSTITUTE(SUBSTITUTE(SUBSTITUTE(TRIM($AR827),"-",""),".",""),"/","")," ",""),8),7,2)),"")))</f>
        <v/>
      </c>
      <c r="AT827" s="23">
        <f>IF($AS827="","",IF($F$6="",0,IF(ISNUMBER(INDEX($A:$AP,ROW(),$F$6)),INDEX($A:$AP,ROW(),$F$6),IFERROR(--SUBSTITUTE(SUBSTITUTE(TRIM(INDEX($A:$AP,ROW(),$F$6)),",",""),"원",""),0))))</f>
        <v/>
      </c>
      <c r="AU827" s="23">
        <f>IF($AS827="","",IF($G$6="",0,IF(ISNUMBER(INDEX($A:$AP,ROW(),$G$6)),INDEX($A:$AP,ROW(),$G$6),IFERROR(--SUBSTITUTE(SUBSTITUTE(TRIM(INDEX($A:$AP,ROW(),$G$6)),",",""),"원",""),0))))</f>
        <v/>
      </c>
      <c r="AV827" s="23">
        <f>IF($AS827="","",IF($H$6="",$AT827+$AU827,IF($H$6="",0,IF(ISNUMBER(INDEX($A:$AP,ROW(),$H$6)),INDEX($A:$AP,ROW(),$H$6),IFERROR(--SUBSTITUTE(SUBSTITUTE(TRIM(INDEX($A:$AP,ROW(),$H$6)),",",""),"원",""),0)))))</f>
        <v/>
      </c>
      <c r="AW827" s="2">
        <f>IF(OR($AS827="",$C$6=""),"",TRIM(INDEX($A:$AP,ROW(),$C$6)&amp;""))</f>
        <v/>
      </c>
      <c r="AX827" s="2">
        <f>IF($AS827="","",IF($AZ827&lt;&gt;"",SUBSTITUTE(SUBSTITUTE($AZ827,"-","")," ",""),$AY827))</f>
        <v/>
      </c>
      <c r="AY827" s="2">
        <f>IF(OR($AS827="",$E$6=""),"",TRIM(INDEX($A:$AP,ROW(),$E$6)&amp;""))</f>
        <v/>
      </c>
      <c r="AZ827" s="2">
        <f>IF(OR($AS827="",$D$6=""),"",TRIM(INDEX($A:$AP,ROW(),$D$6)&amp;""))</f>
        <v/>
      </c>
      <c r="BA827" s="2">
        <f>IF($AS827="","",IF(AND($AS827&gt;=설정!$B$10,$AS827&lt;=설정!$B$11),"포함","기간 밖"))</f>
        <v/>
      </c>
      <c r="BB827" s="2">
        <f>IF($AS827="","",IF(OR($AT827&lt;0,AND($I$6&lt;&gt;"",ISNUMBER(FIND("수정",INDEX($A:$AP,ROW(),IF($I$6="",1,$I$6))&amp;"")))),"수정","일반"))</f>
        <v/>
      </c>
      <c r="BC827" s="2">
        <f>IF($AS827="","",MID(IF($BA827="기간 밖"," / 기간 밖(신고기간 아님)","")&amp;IF(AND($AW827&lt;&gt;"",COUNTIF($AW$8:$AW$1007,$AW827)&gt;1)," / 승인번호 중복(두 번 붙여넣기?)","")&amp;IF(ABS($AU827-ROUND($AT827*0.1,0))&gt;설정!$B$8,IF($AU827=0," / 세액 0원(영세율·면세 여부 확인)"," / 세액이 공급가액 10%와 다름"),"")&amp;IF($BB827="수정"," / 수정세금계산서(합계에서 자동 가감)",""),4,200))</f>
        <v/>
      </c>
      <c r="BD827" s="2">
        <f>IF($BA827&lt;&gt;"포함","",IF(COUNTIFS($AX$8:$AX827,$AX827,$BA$8:$BA827,"포함")=1,MAX($BD$7:BD826)+1,""))</f>
        <v/>
      </c>
      <c r="BE827" s="2">
        <f>IF($BC827="","",MAX($BE$7:BE826)+1)</f>
        <v/>
      </c>
    </row>
    <row r="828">
      <c r="AR828" s="2">
        <f>IF(OR($A$5="",$B$6="",ROW()&lt;$A$5),"",IF(INDEX($A:$AP,ROW(),$B$6)="","",INDEX($A:$AP,ROW(),$B$6)))</f>
        <v/>
      </c>
      <c r="AS828" s="22">
        <f>IF($AR828="","",IF(ISNUMBER($AR828),IF($AR828&gt;=10000000,IFERROR(DATE(INT($AR828/10000),MOD(INT($AR828/100),100),MOD($AR828,100)),""),INT($AR828)),IFERROR(DATE(--LEFT(LEFT(SUBSTITUTE(SUBSTITUTE(SUBSTITUTE(SUBSTITUTE(TRIM($AR828),"-",""),".",""),"/","")," ",""),8),4),--MID(LEFT(SUBSTITUTE(SUBSTITUTE(SUBSTITUTE(SUBSTITUTE(TRIM($AR828),"-",""),".",""),"/","")," ",""),8),5,2),--MID(LEFT(SUBSTITUTE(SUBSTITUTE(SUBSTITUTE(SUBSTITUTE(TRIM($AR828),"-",""),".",""),"/","")," ",""),8),7,2)),"")))</f>
        <v/>
      </c>
      <c r="AT828" s="23">
        <f>IF($AS828="","",IF($F$6="",0,IF(ISNUMBER(INDEX($A:$AP,ROW(),$F$6)),INDEX($A:$AP,ROW(),$F$6),IFERROR(--SUBSTITUTE(SUBSTITUTE(TRIM(INDEX($A:$AP,ROW(),$F$6)),",",""),"원",""),0))))</f>
        <v/>
      </c>
      <c r="AU828" s="23">
        <f>IF($AS828="","",IF($G$6="",0,IF(ISNUMBER(INDEX($A:$AP,ROW(),$G$6)),INDEX($A:$AP,ROW(),$G$6),IFERROR(--SUBSTITUTE(SUBSTITUTE(TRIM(INDEX($A:$AP,ROW(),$G$6)),",",""),"원",""),0))))</f>
        <v/>
      </c>
      <c r="AV828" s="23">
        <f>IF($AS828="","",IF($H$6="",$AT828+$AU828,IF($H$6="",0,IF(ISNUMBER(INDEX($A:$AP,ROW(),$H$6)),INDEX($A:$AP,ROW(),$H$6),IFERROR(--SUBSTITUTE(SUBSTITUTE(TRIM(INDEX($A:$AP,ROW(),$H$6)),",",""),"원",""),0)))))</f>
        <v/>
      </c>
      <c r="AW828" s="2">
        <f>IF(OR($AS828="",$C$6=""),"",TRIM(INDEX($A:$AP,ROW(),$C$6)&amp;""))</f>
        <v/>
      </c>
      <c r="AX828" s="2">
        <f>IF($AS828="","",IF($AZ828&lt;&gt;"",SUBSTITUTE(SUBSTITUTE($AZ828,"-","")," ",""),$AY828))</f>
        <v/>
      </c>
      <c r="AY828" s="2">
        <f>IF(OR($AS828="",$E$6=""),"",TRIM(INDEX($A:$AP,ROW(),$E$6)&amp;""))</f>
        <v/>
      </c>
      <c r="AZ828" s="2">
        <f>IF(OR($AS828="",$D$6=""),"",TRIM(INDEX($A:$AP,ROW(),$D$6)&amp;""))</f>
        <v/>
      </c>
      <c r="BA828" s="2">
        <f>IF($AS828="","",IF(AND($AS828&gt;=설정!$B$10,$AS828&lt;=설정!$B$11),"포함","기간 밖"))</f>
        <v/>
      </c>
      <c r="BB828" s="2">
        <f>IF($AS828="","",IF(OR($AT828&lt;0,AND($I$6&lt;&gt;"",ISNUMBER(FIND("수정",INDEX($A:$AP,ROW(),IF($I$6="",1,$I$6))&amp;"")))),"수정","일반"))</f>
        <v/>
      </c>
      <c r="BC828" s="2">
        <f>IF($AS828="","",MID(IF($BA828="기간 밖"," / 기간 밖(신고기간 아님)","")&amp;IF(AND($AW828&lt;&gt;"",COUNTIF($AW$8:$AW$1007,$AW828)&gt;1)," / 승인번호 중복(두 번 붙여넣기?)","")&amp;IF(ABS($AU828-ROUND($AT828*0.1,0))&gt;설정!$B$8,IF($AU828=0," / 세액 0원(영세율·면세 여부 확인)"," / 세액이 공급가액 10%와 다름"),"")&amp;IF($BB828="수정"," / 수정세금계산서(합계에서 자동 가감)",""),4,200))</f>
        <v/>
      </c>
      <c r="BD828" s="2">
        <f>IF($BA828&lt;&gt;"포함","",IF(COUNTIFS($AX$8:$AX828,$AX828,$BA$8:$BA828,"포함")=1,MAX($BD$7:BD827)+1,""))</f>
        <v/>
      </c>
      <c r="BE828" s="2">
        <f>IF($BC828="","",MAX($BE$7:BE827)+1)</f>
        <v/>
      </c>
    </row>
    <row r="829">
      <c r="AR829" s="2">
        <f>IF(OR($A$5="",$B$6="",ROW()&lt;$A$5),"",IF(INDEX($A:$AP,ROW(),$B$6)="","",INDEX($A:$AP,ROW(),$B$6)))</f>
        <v/>
      </c>
      <c r="AS829" s="22">
        <f>IF($AR829="","",IF(ISNUMBER($AR829),IF($AR829&gt;=10000000,IFERROR(DATE(INT($AR829/10000),MOD(INT($AR829/100),100),MOD($AR829,100)),""),INT($AR829)),IFERROR(DATE(--LEFT(LEFT(SUBSTITUTE(SUBSTITUTE(SUBSTITUTE(SUBSTITUTE(TRIM($AR829),"-",""),".",""),"/","")," ",""),8),4),--MID(LEFT(SUBSTITUTE(SUBSTITUTE(SUBSTITUTE(SUBSTITUTE(TRIM($AR829),"-",""),".",""),"/","")," ",""),8),5,2),--MID(LEFT(SUBSTITUTE(SUBSTITUTE(SUBSTITUTE(SUBSTITUTE(TRIM($AR829),"-",""),".",""),"/","")," ",""),8),7,2)),"")))</f>
        <v/>
      </c>
      <c r="AT829" s="23">
        <f>IF($AS829="","",IF($F$6="",0,IF(ISNUMBER(INDEX($A:$AP,ROW(),$F$6)),INDEX($A:$AP,ROW(),$F$6),IFERROR(--SUBSTITUTE(SUBSTITUTE(TRIM(INDEX($A:$AP,ROW(),$F$6)),",",""),"원",""),0))))</f>
        <v/>
      </c>
      <c r="AU829" s="23">
        <f>IF($AS829="","",IF($G$6="",0,IF(ISNUMBER(INDEX($A:$AP,ROW(),$G$6)),INDEX($A:$AP,ROW(),$G$6),IFERROR(--SUBSTITUTE(SUBSTITUTE(TRIM(INDEX($A:$AP,ROW(),$G$6)),",",""),"원",""),0))))</f>
        <v/>
      </c>
      <c r="AV829" s="23">
        <f>IF($AS829="","",IF($H$6="",$AT829+$AU829,IF($H$6="",0,IF(ISNUMBER(INDEX($A:$AP,ROW(),$H$6)),INDEX($A:$AP,ROW(),$H$6),IFERROR(--SUBSTITUTE(SUBSTITUTE(TRIM(INDEX($A:$AP,ROW(),$H$6)),",",""),"원",""),0)))))</f>
        <v/>
      </c>
      <c r="AW829" s="2">
        <f>IF(OR($AS829="",$C$6=""),"",TRIM(INDEX($A:$AP,ROW(),$C$6)&amp;""))</f>
        <v/>
      </c>
      <c r="AX829" s="2">
        <f>IF($AS829="","",IF($AZ829&lt;&gt;"",SUBSTITUTE(SUBSTITUTE($AZ829,"-","")," ",""),$AY829))</f>
        <v/>
      </c>
      <c r="AY829" s="2">
        <f>IF(OR($AS829="",$E$6=""),"",TRIM(INDEX($A:$AP,ROW(),$E$6)&amp;""))</f>
        <v/>
      </c>
      <c r="AZ829" s="2">
        <f>IF(OR($AS829="",$D$6=""),"",TRIM(INDEX($A:$AP,ROW(),$D$6)&amp;""))</f>
        <v/>
      </c>
      <c r="BA829" s="2">
        <f>IF($AS829="","",IF(AND($AS829&gt;=설정!$B$10,$AS829&lt;=설정!$B$11),"포함","기간 밖"))</f>
        <v/>
      </c>
      <c r="BB829" s="2">
        <f>IF($AS829="","",IF(OR($AT829&lt;0,AND($I$6&lt;&gt;"",ISNUMBER(FIND("수정",INDEX($A:$AP,ROW(),IF($I$6="",1,$I$6))&amp;"")))),"수정","일반"))</f>
        <v/>
      </c>
      <c r="BC829" s="2">
        <f>IF($AS829="","",MID(IF($BA829="기간 밖"," / 기간 밖(신고기간 아님)","")&amp;IF(AND($AW829&lt;&gt;"",COUNTIF($AW$8:$AW$1007,$AW829)&gt;1)," / 승인번호 중복(두 번 붙여넣기?)","")&amp;IF(ABS($AU829-ROUND($AT829*0.1,0))&gt;설정!$B$8,IF($AU829=0," / 세액 0원(영세율·면세 여부 확인)"," / 세액이 공급가액 10%와 다름"),"")&amp;IF($BB829="수정"," / 수정세금계산서(합계에서 자동 가감)",""),4,200))</f>
        <v/>
      </c>
      <c r="BD829" s="2">
        <f>IF($BA829&lt;&gt;"포함","",IF(COUNTIFS($AX$8:$AX829,$AX829,$BA$8:$BA829,"포함")=1,MAX($BD$7:BD828)+1,""))</f>
        <v/>
      </c>
      <c r="BE829" s="2">
        <f>IF($BC829="","",MAX($BE$7:BE828)+1)</f>
        <v/>
      </c>
    </row>
    <row r="830">
      <c r="AR830" s="2">
        <f>IF(OR($A$5="",$B$6="",ROW()&lt;$A$5),"",IF(INDEX($A:$AP,ROW(),$B$6)="","",INDEX($A:$AP,ROW(),$B$6)))</f>
        <v/>
      </c>
      <c r="AS830" s="22">
        <f>IF($AR830="","",IF(ISNUMBER($AR830),IF($AR830&gt;=10000000,IFERROR(DATE(INT($AR830/10000),MOD(INT($AR830/100),100),MOD($AR830,100)),""),INT($AR830)),IFERROR(DATE(--LEFT(LEFT(SUBSTITUTE(SUBSTITUTE(SUBSTITUTE(SUBSTITUTE(TRIM($AR830),"-",""),".",""),"/","")," ",""),8),4),--MID(LEFT(SUBSTITUTE(SUBSTITUTE(SUBSTITUTE(SUBSTITUTE(TRIM($AR830),"-",""),".",""),"/","")," ",""),8),5,2),--MID(LEFT(SUBSTITUTE(SUBSTITUTE(SUBSTITUTE(SUBSTITUTE(TRIM($AR830),"-",""),".",""),"/","")," ",""),8),7,2)),"")))</f>
        <v/>
      </c>
      <c r="AT830" s="23">
        <f>IF($AS830="","",IF($F$6="",0,IF(ISNUMBER(INDEX($A:$AP,ROW(),$F$6)),INDEX($A:$AP,ROW(),$F$6),IFERROR(--SUBSTITUTE(SUBSTITUTE(TRIM(INDEX($A:$AP,ROW(),$F$6)),",",""),"원",""),0))))</f>
        <v/>
      </c>
      <c r="AU830" s="23">
        <f>IF($AS830="","",IF($G$6="",0,IF(ISNUMBER(INDEX($A:$AP,ROW(),$G$6)),INDEX($A:$AP,ROW(),$G$6),IFERROR(--SUBSTITUTE(SUBSTITUTE(TRIM(INDEX($A:$AP,ROW(),$G$6)),",",""),"원",""),0))))</f>
        <v/>
      </c>
      <c r="AV830" s="23">
        <f>IF($AS830="","",IF($H$6="",$AT830+$AU830,IF($H$6="",0,IF(ISNUMBER(INDEX($A:$AP,ROW(),$H$6)),INDEX($A:$AP,ROW(),$H$6),IFERROR(--SUBSTITUTE(SUBSTITUTE(TRIM(INDEX($A:$AP,ROW(),$H$6)),",",""),"원",""),0)))))</f>
        <v/>
      </c>
      <c r="AW830" s="2">
        <f>IF(OR($AS830="",$C$6=""),"",TRIM(INDEX($A:$AP,ROW(),$C$6)&amp;""))</f>
        <v/>
      </c>
      <c r="AX830" s="2">
        <f>IF($AS830="","",IF($AZ830&lt;&gt;"",SUBSTITUTE(SUBSTITUTE($AZ830,"-","")," ",""),$AY830))</f>
        <v/>
      </c>
      <c r="AY830" s="2">
        <f>IF(OR($AS830="",$E$6=""),"",TRIM(INDEX($A:$AP,ROW(),$E$6)&amp;""))</f>
        <v/>
      </c>
      <c r="AZ830" s="2">
        <f>IF(OR($AS830="",$D$6=""),"",TRIM(INDEX($A:$AP,ROW(),$D$6)&amp;""))</f>
        <v/>
      </c>
      <c r="BA830" s="2">
        <f>IF($AS830="","",IF(AND($AS830&gt;=설정!$B$10,$AS830&lt;=설정!$B$11),"포함","기간 밖"))</f>
        <v/>
      </c>
      <c r="BB830" s="2">
        <f>IF($AS830="","",IF(OR($AT830&lt;0,AND($I$6&lt;&gt;"",ISNUMBER(FIND("수정",INDEX($A:$AP,ROW(),IF($I$6="",1,$I$6))&amp;"")))),"수정","일반"))</f>
        <v/>
      </c>
      <c r="BC830" s="2">
        <f>IF($AS830="","",MID(IF($BA830="기간 밖"," / 기간 밖(신고기간 아님)","")&amp;IF(AND($AW830&lt;&gt;"",COUNTIF($AW$8:$AW$1007,$AW830)&gt;1)," / 승인번호 중복(두 번 붙여넣기?)","")&amp;IF(ABS($AU830-ROUND($AT830*0.1,0))&gt;설정!$B$8,IF($AU830=0," / 세액 0원(영세율·면세 여부 확인)"," / 세액이 공급가액 10%와 다름"),"")&amp;IF($BB830="수정"," / 수정세금계산서(합계에서 자동 가감)",""),4,200))</f>
        <v/>
      </c>
      <c r="BD830" s="2">
        <f>IF($BA830&lt;&gt;"포함","",IF(COUNTIFS($AX$8:$AX830,$AX830,$BA$8:$BA830,"포함")=1,MAX($BD$7:BD829)+1,""))</f>
        <v/>
      </c>
      <c r="BE830" s="2">
        <f>IF($BC830="","",MAX($BE$7:BE829)+1)</f>
        <v/>
      </c>
    </row>
    <row r="831">
      <c r="AR831" s="2">
        <f>IF(OR($A$5="",$B$6="",ROW()&lt;$A$5),"",IF(INDEX($A:$AP,ROW(),$B$6)="","",INDEX($A:$AP,ROW(),$B$6)))</f>
        <v/>
      </c>
      <c r="AS831" s="22">
        <f>IF($AR831="","",IF(ISNUMBER($AR831),IF($AR831&gt;=10000000,IFERROR(DATE(INT($AR831/10000),MOD(INT($AR831/100),100),MOD($AR831,100)),""),INT($AR831)),IFERROR(DATE(--LEFT(LEFT(SUBSTITUTE(SUBSTITUTE(SUBSTITUTE(SUBSTITUTE(TRIM($AR831),"-",""),".",""),"/","")," ",""),8),4),--MID(LEFT(SUBSTITUTE(SUBSTITUTE(SUBSTITUTE(SUBSTITUTE(TRIM($AR831),"-",""),".",""),"/","")," ",""),8),5,2),--MID(LEFT(SUBSTITUTE(SUBSTITUTE(SUBSTITUTE(SUBSTITUTE(TRIM($AR831),"-",""),".",""),"/","")," ",""),8),7,2)),"")))</f>
        <v/>
      </c>
      <c r="AT831" s="23">
        <f>IF($AS831="","",IF($F$6="",0,IF(ISNUMBER(INDEX($A:$AP,ROW(),$F$6)),INDEX($A:$AP,ROW(),$F$6),IFERROR(--SUBSTITUTE(SUBSTITUTE(TRIM(INDEX($A:$AP,ROW(),$F$6)),",",""),"원",""),0))))</f>
        <v/>
      </c>
      <c r="AU831" s="23">
        <f>IF($AS831="","",IF($G$6="",0,IF(ISNUMBER(INDEX($A:$AP,ROW(),$G$6)),INDEX($A:$AP,ROW(),$G$6),IFERROR(--SUBSTITUTE(SUBSTITUTE(TRIM(INDEX($A:$AP,ROW(),$G$6)),",",""),"원",""),0))))</f>
        <v/>
      </c>
      <c r="AV831" s="23">
        <f>IF($AS831="","",IF($H$6="",$AT831+$AU831,IF($H$6="",0,IF(ISNUMBER(INDEX($A:$AP,ROW(),$H$6)),INDEX($A:$AP,ROW(),$H$6),IFERROR(--SUBSTITUTE(SUBSTITUTE(TRIM(INDEX($A:$AP,ROW(),$H$6)),",",""),"원",""),0)))))</f>
        <v/>
      </c>
      <c r="AW831" s="2">
        <f>IF(OR($AS831="",$C$6=""),"",TRIM(INDEX($A:$AP,ROW(),$C$6)&amp;""))</f>
        <v/>
      </c>
      <c r="AX831" s="2">
        <f>IF($AS831="","",IF($AZ831&lt;&gt;"",SUBSTITUTE(SUBSTITUTE($AZ831,"-","")," ",""),$AY831))</f>
        <v/>
      </c>
      <c r="AY831" s="2">
        <f>IF(OR($AS831="",$E$6=""),"",TRIM(INDEX($A:$AP,ROW(),$E$6)&amp;""))</f>
        <v/>
      </c>
      <c r="AZ831" s="2">
        <f>IF(OR($AS831="",$D$6=""),"",TRIM(INDEX($A:$AP,ROW(),$D$6)&amp;""))</f>
        <v/>
      </c>
      <c r="BA831" s="2">
        <f>IF($AS831="","",IF(AND($AS831&gt;=설정!$B$10,$AS831&lt;=설정!$B$11),"포함","기간 밖"))</f>
        <v/>
      </c>
      <c r="BB831" s="2">
        <f>IF($AS831="","",IF(OR($AT831&lt;0,AND($I$6&lt;&gt;"",ISNUMBER(FIND("수정",INDEX($A:$AP,ROW(),IF($I$6="",1,$I$6))&amp;"")))),"수정","일반"))</f>
        <v/>
      </c>
      <c r="BC831" s="2">
        <f>IF($AS831="","",MID(IF($BA831="기간 밖"," / 기간 밖(신고기간 아님)","")&amp;IF(AND($AW831&lt;&gt;"",COUNTIF($AW$8:$AW$1007,$AW831)&gt;1)," / 승인번호 중복(두 번 붙여넣기?)","")&amp;IF(ABS($AU831-ROUND($AT831*0.1,0))&gt;설정!$B$8,IF($AU831=0," / 세액 0원(영세율·면세 여부 확인)"," / 세액이 공급가액 10%와 다름"),"")&amp;IF($BB831="수정"," / 수정세금계산서(합계에서 자동 가감)",""),4,200))</f>
        <v/>
      </c>
      <c r="BD831" s="2">
        <f>IF($BA831&lt;&gt;"포함","",IF(COUNTIFS($AX$8:$AX831,$AX831,$BA$8:$BA831,"포함")=1,MAX($BD$7:BD830)+1,""))</f>
        <v/>
      </c>
      <c r="BE831" s="2">
        <f>IF($BC831="","",MAX($BE$7:BE830)+1)</f>
        <v/>
      </c>
    </row>
    <row r="832">
      <c r="AR832" s="2">
        <f>IF(OR($A$5="",$B$6="",ROW()&lt;$A$5),"",IF(INDEX($A:$AP,ROW(),$B$6)="","",INDEX($A:$AP,ROW(),$B$6)))</f>
        <v/>
      </c>
      <c r="AS832" s="22">
        <f>IF($AR832="","",IF(ISNUMBER($AR832),IF($AR832&gt;=10000000,IFERROR(DATE(INT($AR832/10000),MOD(INT($AR832/100),100),MOD($AR832,100)),""),INT($AR832)),IFERROR(DATE(--LEFT(LEFT(SUBSTITUTE(SUBSTITUTE(SUBSTITUTE(SUBSTITUTE(TRIM($AR832),"-",""),".",""),"/","")," ",""),8),4),--MID(LEFT(SUBSTITUTE(SUBSTITUTE(SUBSTITUTE(SUBSTITUTE(TRIM($AR832),"-",""),".",""),"/","")," ",""),8),5,2),--MID(LEFT(SUBSTITUTE(SUBSTITUTE(SUBSTITUTE(SUBSTITUTE(TRIM($AR832),"-",""),".",""),"/","")," ",""),8),7,2)),"")))</f>
        <v/>
      </c>
      <c r="AT832" s="23">
        <f>IF($AS832="","",IF($F$6="",0,IF(ISNUMBER(INDEX($A:$AP,ROW(),$F$6)),INDEX($A:$AP,ROW(),$F$6),IFERROR(--SUBSTITUTE(SUBSTITUTE(TRIM(INDEX($A:$AP,ROW(),$F$6)),",",""),"원",""),0))))</f>
        <v/>
      </c>
      <c r="AU832" s="23">
        <f>IF($AS832="","",IF($G$6="",0,IF(ISNUMBER(INDEX($A:$AP,ROW(),$G$6)),INDEX($A:$AP,ROW(),$G$6),IFERROR(--SUBSTITUTE(SUBSTITUTE(TRIM(INDEX($A:$AP,ROW(),$G$6)),",",""),"원",""),0))))</f>
        <v/>
      </c>
      <c r="AV832" s="23">
        <f>IF($AS832="","",IF($H$6="",$AT832+$AU832,IF($H$6="",0,IF(ISNUMBER(INDEX($A:$AP,ROW(),$H$6)),INDEX($A:$AP,ROW(),$H$6),IFERROR(--SUBSTITUTE(SUBSTITUTE(TRIM(INDEX($A:$AP,ROW(),$H$6)),",",""),"원",""),0)))))</f>
        <v/>
      </c>
      <c r="AW832" s="2">
        <f>IF(OR($AS832="",$C$6=""),"",TRIM(INDEX($A:$AP,ROW(),$C$6)&amp;""))</f>
        <v/>
      </c>
      <c r="AX832" s="2">
        <f>IF($AS832="","",IF($AZ832&lt;&gt;"",SUBSTITUTE(SUBSTITUTE($AZ832,"-","")," ",""),$AY832))</f>
        <v/>
      </c>
      <c r="AY832" s="2">
        <f>IF(OR($AS832="",$E$6=""),"",TRIM(INDEX($A:$AP,ROW(),$E$6)&amp;""))</f>
        <v/>
      </c>
      <c r="AZ832" s="2">
        <f>IF(OR($AS832="",$D$6=""),"",TRIM(INDEX($A:$AP,ROW(),$D$6)&amp;""))</f>
        <v/>
      </c>
      <c r="BA832" s="2">
        <f>IF($AS832="","",IF(AND($AS832&gt;=설정!$B$10,$AS832&lt;=설정!$B$11),"포함","기간 밖"))</f>
        <v/>
      </c>
      <c r="BB832" s="2">
        <f>IF($AS832="","",IF(OR($AT832&lt;0,AND($I$6&lt;&gt;"",ISNUMBER(FIND("수정",INDEX($A:$AP,ROW(),IF($I$6="",1,$I$6))&amp;"")))),"수정","일반"))</f>
        <v/>
      </c>
      <c r="BC832" s="2">
        <f>IF($AS832="","",MID(IF($BA832="기간 밖"," / 기간 밖(신고기간 아님)","")&amp;IF(AND($AW832&lt;&gt;"",COUNTIF($AW$8:$AW$1007,$AW832)&gt;1)," / 승인번호 중복(두 번 붙여넣기?)","")&amp;IF(ABS($AU832-ROUND($AT832*0.1,0))&gt;설정!$B$8,IF($AU832=0," / 세액 0원(영세율·면세 여부 확인)"," / 세액이 공급가액 10%와 다름"),"")&amp;IF($BB832="수정"," / 수정세금계산서(합계에서 자동 가감)",""),4,200))</f>
        <v/>
      </c>
      <c r="BD832" s="2">
        <f>IF($BA832&lt;&gt;"포함","",IF(COUNTIFS($AX$8:$AX832,$AX832,$BA$8:$BA832,"포함")=1,MAX($BD$7:BD831)+1,""))</f>
        <v/>
      </c>
      <c r="BE832" s="2">
        <f>IF($BC832="","",MAX($BE$7:BE831)+1)</f>
        <v/>
      </c>
    </row>
    <row r="833">
      <c r="AR833" s="2">
        <f>IF(OR($A$5="",$B$6="",ROW()&lt;$A$5),"",IF(INDEX($A:$AP,ROW(),$B$6)="","",INDEX($A:$AP,ROW(),$B$6)))</f>
        <v/>
      </c>
      <c r="AS833" s="22">
        <f>IF($AR833="","",IF(ISNUMBER($AR833),IF($AR833&gt;=10000000,IFERROR(DATE(INT($AR833/10000),MOD(INT($AR833/100),100),MOD($AR833,100)),""),INT($AR833)),IFERROR(DATE(--LEFT(LEFT(SUBSTITUTE(SUBSTITUTE(SUBSTITUTE(SUBSTITUTE(TRIM($AR833),"-",""),".",""),"/","")," ",""),8),4),--MID(LEFT(SUBSTITUTE(SUBSTITUTE(SUBSTITUTE(SUBSTITUTE(TRIM($AR833),"-",""),".",""),"/","")," ",""),8),5,2),--MID(LEFT(SUBSTITUTE(SUBSTITUTE(SUBSTITUTE(SUBSTITUTE(TRIM($AR833),"-",""),".",""),"/","")," ",""),8),7,2)),"")))</f>
        <v/>
      </c>
      <c r="AT833" s="23">
        <f>IF($AS833="","",IF($F$6="",0,IF(ISNUMBER(INDEX($A:$AP,ROW(),$F$6)),INDEX($A:$AP,ROW(),$F$6),IFERROR(--SUBSTITUTE(SUBSTITUTE(TRIM(INDEX($A:$AP,ROW(),$F$6)),",",""),"원",""),0))))</f>
        <v/>
      </c>
      <c r="AU833" s="23">
        <f>IF($AS833="","",IF($G$6="",0,IF(ISNUMBER(INDEX($A:$AP,ROW(),$G$6)),INDEX($A:$AP,ROW(),$G$6),IFERROR(--SUBSTITUTE(SUBSTITUTE(TRIM(INDEX($A:$AP,ROW(),$G$6)),",",""),"원",""),0))))</f>
        <v/>
      </c>
      <c r="AV833" s="23">
        <f>IF($AS833="","",IF($H$6="",$AT833+$AU833,IF($H$6="",0,IF(ISNUMBER(INDEX($A:$AP,ROW(),$H$6)),INDEX($A:$AP,ROW(),$H$6),IFERROR(--SUBSTITUTE(SUBSTITUTE(TRIM(INDEX($A:$AP,ROW(),$H$6)),",",""),"원",""),0)))))</f>
        <v/>
      </c>
      <c r="AW833" s="2">
        <f>IF(OR($AS833="",$C$6=""),"",TRIM(INDEX($A:$AP,ROW(),$C$6)&amp;""))</f>
        <v/>
      </c>
      <c r="AX833" s="2">
        <f>IF($AS833="","",IF($AZ833&lt;&gt;"",SUBSTITUTE(SUBSTITUTE($AZ833,"-","")," ",""),$AY833))</f>
        <v/>
      </c>
      <c r="AY833" s="2">
        <f>IF(OR($AS833="",$E$6=""),"",TRIM(INDEX($A:$AP,ROW(),$E$6)&amp;""))</f>
        <v/>
      </c>
      <c r="AZ833" s="2">
        <f>IF(OR($AS833="",$D$6=""),"",TRIM(INDEX($A:$AP,ROW(),$D$6)&amp;""))</f>
        <v/>
      </c>
      <c r="BA833" s="2">
        <f>IF($AS833="","",IF(AND($AS833&gt;=설정!$B$10,$AS833&lt;=설정!$B$11),"포함","기간 밖"))</f>
        <v/>
      </c>
      <c r="BB833" s="2">
        <f>IF($AS833="","",IF(OR($AT833&lt;0,AND($I$6&lt;&gt;"",ISNUMBER(FIND("수정",INDEX($A:$AP,ROW(),IF($I$6="",1,$I$6))&amp;"")))),"수정","일반"))</f>
        <v/>
      </c>
      <c r="BC833" s="2">
        <f>IF($AS833="","",MID(IF($BA833="기간 밖"," / 기간 밖(신고기간 아님)","")&amp;IF(AND($AW833&lt;&gt;"",COUNTIF($AW$8:$AW$1007,$AW833)&gt;1)," / 승인번호 중복(두 번 붙여넣기?)","")&amp;IF(ABS($AU833-ROUND($AT833*0.1,0))&gt;설정!$B$8,IF($AU833=0," / 세액 0원(영세율·면세 여부 확인)"," / 세액이 공급가액 10%와 다름"),"")&amp;IF($BB833="수정"," / 수정세금계산서(합계에서 자동 가감)",""),4,200))</f>
        <v/>
      </c>
      <c r="BD833" s="2">
        <f>IF($BA833&lt;&gt;"포함","",IF(COUNTIFS($AX$8:$AX833,$AX833,$BA$8:$BA833,"포함")=1,MAX($BD$7:BD832)+1,""))</f>
        <v/>
      </c>
      <c r="BE833" s="2">
        <f>IF($BC833="","",MAX($BE$7:BE832)+1)</f>
        <v/>
      </c>
    </row>
    <row r="834">
      <c r="AR834" s="2">
        <f>IF(OR($A$5="",$B$6="",ROW()&lt;$A$5),"",IF(INDEX($A:$AP,ROW(),$B$6)="","",INDEX($A:$AP,ROW(),$B$6)))</f>
        <v/>
      </c>
      <c r="AS834" s="22">
        <f>IF($AR834="","",IF(ISNUMBER($AR834),IF($AR834&gt;=10000000,IFERROR(DATE(INT($AR834/10000),MOD(INT($AR834/100),100),MOD($AR834,100)),""),INT($AR834)),IFERROR(DATE(--LEFT(LEFT(SUBSTITUTE(SUBSTITUTE(SUBSTITUTE(SUBSTITUTE(TRIM($AR834),"-",""),".",""),"/","")," ",""),8),4),--MID(LEFT(SUBSTITUTE(SUBSTITUTE(SUBSTITUTE(SUBSTITUTE(TRIM($AR834),"-",""),".",""),"/","")," ",""),8),5,2),--MID(LEFT(SUBSTITUTE(SUBSTITUTE(SUBSTITUTE(SUBSTITUTE(TRIM($AR834),"-",""),".",""),"/","")," ",""),8),7,2)),"")))</f>
        <v/>
      </c>
      <c r="AT834" s="23">
        <f>IF($AS834="","",IF($F$6="",0,IF(ISNUMBER(INDEX($A:$AP,ROW(),$F$6)),INDEX($A:$AP,ROW(),$F$6),IFERROR(--SUBSTITUTE(SUBSTITUTE(TRIM(INDEX($A:$AP,ROW(),$F$6)),",",""),"원",""),0))))</f>
        <v/>
      </c>
      <c r="AU834" s="23">
        <f>IF($AS834="","",IF($G$6="",0,IF(ISNUMBER(INDEX($A:$AP,ROW(),$G$6)),INDEX($A:$AP,ROW(),$G$6),IFERROR(--SUBSTITUTE(SUBSTITUTE(TRIM(INDEX($A:$AP,ROW(),$G$6)),",",""),"원",""),0))))</f>
        <v/>
      </c>
      <c r="AV834" s="23">
        <f>IF($AS834="","",IF($H$6="",$AT834+$AU834,IF($H$6="",0,IF(ISNUMBER(INDEX($A:$AP,ROW(),$H$6)),INDEX($A:$AP,ROW(),$H$6),IFERROR(--SUBSTITUTE(SUBSTITUTE(TRIM(INDEX($A:$AP,ROW(),$H$6)),",",""),"원",""),0)))))</f>
        <v/>
      </c>
      <c r="AW834" s="2">
        <f>IF(OR($AS834="",$C$6=""),"",TRIM(INDEX($A:$AP,ROW(),$C$6)&amp;""))</f>
        <v/>
      </c>
      <c r="AX834" s="2">
        <f>IF($AS834="","",IF($AZ834&lt;&gt;"",SUBSTITUTE(SUBSTITUTE($AZ834,"-","")," ",""),$AY834))</f>
        <v/>
      </c>
      <c r="AY834" s="2">
        <f>IF(OR($AS834="",$E$6=""),"",TRIM(INDEX($A:$AP,ROW(),$E$6)&amp;""))</f>
        <v/>
      </c>
      <c r="AZ834" s="2">
        <f>IF(OR($AS834="",$D$6=""),"",TRIM(INDEX($A:$AP,ROW(),$D$6)&amp;""))</f>
        <v/>
      </c>
      <c r="BA834" s="2">
        <f>IF($AS834="","",IF(AND($AS834&gt;=설정!$B$10,$AS834&lt;=설정!$B$11),"포함","기간 밖"))</f>
        <v/>
      </c>
      <c r="BB834" s="2">
        <f>IF($AS834="","",IF(OR($AT834&lt;0,AND($I$6&lt;&gt;"",ISNUMBER(FIND("수정",INDEX($A:$AP,ROW(),IF($I$6="",1,$I$6))&amp;"")))),"수정","일반"))</f>
        <v/>
      </c>
      <c r="BC834" s="2">
        <f>IF($AS834="","",MID(IF($BA834="기간 밖"," / 기간 밖(신고기간 아님)","")&amp;IF(AND($AW834&lt;&gt;"",COUNTIF($AW$8:$AW$1007,$AW834)&gt;1)," / 승인번호 중복(두 번 붙여넣기?)","")&amp;IF(ABS($AU834-ROUND($AT834*0.1,0))&gt;설정!$B$8,IF($AU834=0," / 세액 0원(영세율·면세 여부 확인)"," / 세액이 공급가액 10%와 다름"),"")&amp;IF($BB834="수정"," / 수정세금계산서(합계에서 자동 가감)",""),4,200))</f>
        <v/>
      </c>
      <c r="BD834" s="2">
        <f>IF($BA834&lt;&gt;"포함","",IF(COUNTIFS($AX$8:$AX834,$AX834,$BA$8:$BA834,"포함")=1,MAX($BD$7:BD833)+1,""))</f>
        <v/>
      </c>
      <c r="BE834" s="2">
        <f>IF($BC834="","",MAX($BE$7:BE833)+1)</f>
        <v/>
      </c>
    </row>
    <row r="835">
      <c r="AR835" s="2">
        <f>IF(OR($A$5="",$B$6="",ROW()&lt;$A$5),"",IF(INDEX($A:$AP,ROW(),$B$6)="","",INDEX($A:$AP,ROW(),$B$6)))</f>
        <v/>
      </c>
      <c r="AS835" s="22">
        <f>IF($AR835="","",IF(ISNUMBER($AR835),IF($AR835&gt;=10000000,IFERROR(DATE(INT($AR835/10000),MOD(INT($AR835/100),100),MOD($AR835,100)),""),INT($AR835)),IFERROR(DATE(--LEFT(LEFT(SUBSTITUTE(SUBSTITUTE(SUBSTITUTE(SUBSTITUTE(TRIM($AR835),"-",""),".",""),"/","")," ",""),8),4),--MID(LEFT(SUBSTITUTE(SUBSTITUTE(SUBSTITUTE(SUBSTITUTE(TRIM($AR835),"-",""),".",""),"/","")," ",""),8),5,2),--MID(LEFT(SUBSTITUTE(SUBSTITUTE(SUBSTITUTE(SUBSTITUTE(TRIM($AR835),"-",""),".",""),"/","")," ",""),8),7,2)),"")))</f>
        <v/>
      </c>
      <c r="AT835" s="23">
        <f>IF($AS835="","",IF($F$6="",0,IF(ISNUMBER(INDEX($A:$AP,ROW(),$F$6)),INDEX($A:$AP,ROW(),$F$6),IFERROR(--SUBSTITUTE(SUBSTITUTE(TRIM(INDEX($A:$AP,ROW(),$F$6)),",",""),"원",""),0))))</f>
        <v/>
      </c>
      <c r="AU835" s="23">
        <f>IF($AS835="","",IF($G$6="",0,IF(ISNUMBER(INDEX($A:$AP,ROW(),$G$6)),INDEX($A:$AP,ROW(),$G$6),IFERROR(--SUBSTITUTE(SUBSTITUTE(TRIM(INDEX($A:$AP,ROW(),$G$6)),",",""),"원",""),0))))</f>
        <v/>
      </c>
      <c r="AV835" s="23">
        <f>IF($AS835="","",IF($H$6="",$AT835+$AU835,IF($H$6="",0,IF(ISNUMBER(INDEX($A:$AP,ROW(),$H$6)),INDEX($A:$AP,ROW(),$H$6),IFERROR(--SUBSTITUTE(SUBSTITUTE(TRIM(INDEX($A:$AP,ROW(),$H$6)),",",""),"원",""),0)))))</f>
        <v/>
      </c>
      <c r="AW835" s="2">
        <f>IF(OR($AS835="",$C$6=""),"",TRIM(INDEX($A:$AP,ROW(),$C$6)&amp;""))</f>
        <v/>
      </c>
      <c r="AX835" s="2">
        <f>IF($AS835="","",IF($AZ835&lt;&gt;"",SUBSTITUTE(SUBSTITUTE($AZ835,"-","")," ",""),$AY835))</f>
        <v/>
      </c>
      <c r="AY835" s="2">
        <f>IF(OR($AS835="",$E$6=""),"",TRIM(INDEX($A:$AP,ROW(),$E$6)&amp;""))</f>
        <v/>
      </c>
      <c r="AZ835" s="2">
        <f>IF(OR($AS835="",$D$6=""),"",TRIM(INDEX($A:$AP,ROW(),$D$6)&amp;""))</f>
        <v/>
      </c>
      <c r="BA835" s="2">
        <f>IF($AS835="","",IF(AND($AS835&gt;=설정!$B$10,$AS835&lt;=설정!$B$11),"포함","기간 밖"))</f>
        <v/>
      </c>
      <c r="BB835" s="2">
        <f>IF($AS835="","",IF(OR($AT835&lt;0,AND($I$6&lt;&gt;"",ISNUMBER(FIND("수정",INDEX($A:$AP,ROW(),IF($I$6="",1,$I$6))&amp;"")))),"수정","일반"))</f>
        <v/>
      </c>
      <c r="BC835" s="2">
        <f>IF($AS835="","",MID(IF($BA835="기간 밖"," / 기간 밖(신고기간 아님)","")&amp;IF(AND($AW835&lt;&gt;"",COUNTIF($AW$8:$AW$1007,$AW835)&gt;1)," / 승인번호 중복(두 번 붙여넣기?)","")&amp;IF(ABS($AU835-ROUND($AT835*0.1,0))&gt;설정!$B$8,IF($AU835=0," / 세액 0원(영세율·면세 여부 확인)"," / 세액이 공급가액 10%와 다름"),"")&amp;IF($BB835="수정"," / 수정세금계산서(합계에서 자동 가감)",""),4,200))</f>
        <v/>
      </c>
      <c r="BD835" s="2">
        <f>IF($BA835&lt;&gt;"포함","",IF(COUNTIFS($AX$8:$AX835,$AX835,$BA$8:$BA835,"포함")=1,MAX($BD$7:BD834)+1,""))</f>
        <v/>
      </c>
      <c r="BE835" s="2">
        <f>IF($BC835="","",MAX($BE$7:BE834)+1)</f>
        <v/>
      </c>
    </row>
    <row r="836">
      <c r="AR836" s="2">
        <f>IF(OR($A$5="",$B$6="",ROW()&lt;$A$5),"",IF(INDEX($A:$AP,ROW(),$B$6)="","",INDEX($A:$AP,ROW(),$B$6)))</f>
        <v/>
      </c>
      <c r="AS836" s="22">
        <f>IF($AR836="","",IF(ISNUMBER($AR836),IF($AR836&gt;=10000000,IFERROR(DATE(INT($AR836/10000),MOD(INT($AR836/100),100),MOD($AR836,100)),""),INT($AR836)),IFERROR(DATE(--LEFT(LEFT(SUBSTITUTE(SUBSTITUTE(SUBSTITUTE(SUBSTITUTE(TRIM($AR836),"-",""),".",""),"/","")," ",""),8),4),--MID(LEFT(SUBSTITUTE(SUBSTITUTE(SUBSTITUTE(SUBSTITUTE(TRIM($AR836),"-",""),".",""),"/","")," ",""),8),5,2),--MID(LEFT(SUBSTITUTE(SUBSTITUTE(SUBSTITUTE(SUBSTITUTE(TRIM($AR836),"-",""),".",""),"/","")," ",""),8),7,2)),"")))</f>
        <v/>
      </c>
      <c r="AT836" s="23">
        <f>IF($AS836="","",IF($F$6="",0,IF(ISNUMBER(INDEX($A:$AP,ROW(),$F$6)),INDEX($A:$AP,ROW(),$F$6),IFERROR(--SUBSTITUTE(SUBSTITUTE(TRIM(INDEX($A:$AP,ROW(),$F$6)),",",""),"원",""),0))))</f>
        <v/>
      </c>
      <c r="AU836" s="23">
        <f>IF($AS836="","",IF($G$6="",0,IF(ISNUMBER(INDEX($A:$AP,ROW(),$G$6)),INDEX($A:$AP,ROW(),$G$6),IFERROR(--SUBSTITUTE(SUBSTITUTE(TRIM(INDEX($A:$AP,ROW(),$G$6)),",",""),"원",""),0))))</f>
        <v/>
      </c>
      <c r="AV836" s="23">
        <f>IF($AS836="","",IF($H$6="",$AT836+$AU836,IF($H$6="",0,IF(ISNUMBER(INDEX($A:$AP,ROW(),$H$6)),INDEX($A:$AP,ROW(),$H$6),IFERROR(--SUBSTITUTE(SUBSTITUTE(TRIM(INDEX($A:$AP,ROW(),$H$6)),",",""),"원",""),0)))))</f>
        <v/>
      </c>
      <c r="AW836" s="2">
        <f>IF(OR($AS836="",$C$6=""),"",TRIM(INDEX($A:$AP,ROW(),$C$6)&amp;""))</f>
        <v/>
      </c>
      <c r="AX836" s="2">
        <f>IF($AS836="","",IF($AZ836&lt;&gt;"",SUBSTITUTE(SUBSTITUTE($AZ836,"-","")," ",""),$AY836))</f>
        <v/>
      </c>
      <c r="AY836" s="2">
        <f>IF(OR($AS836="",$E$6=""),"",TRIM(INDEX($A:$AP,ROW(),$E$6)&amp;""))</f>
        <v/>
      </c>
      <c r="AZ836" s="2">
        <f>IF(OR($AS836="",$D$6=""),"",TRIM(INDEX($A:$AP,ROW(),$D$6)&amp;""))</f>
        <v/>
      </c>
      <c r="BA836" s="2">
        <f>IF($AS836="","",IF(AND($AS836&gt;=설정!$B$10,$AS836&lt;=설정!$B$11),"포함","기간 밖"))</f>
        <v/>
      </c>
      <c r="BB836" s="2">
        <f>IF($AS836="","",IF(OR($AT836&lt;0,AND($I$6&lt;&gt;"",ISNUMBER(FIND("수정",INDEX($A:$AP,ROW(),IF($I$6="",1,$I$6))&amp;"")))),"수정","일반"))</f>
        <v/>
      </c>
      <c r="BC836" s="2">
        <f>IF($AS836="","",MID(IF($BA836="기간 밖"," / 기간 밖(신고기간 아님)","")&amp;IF(AND($AW836&lt;&gt;"",COUNTIF($AW$8:$AW$1007,$AW836)&gt;1)," / 승인번호 중복(두 번 붙여넣기?)","")&amp;IF(ABS($AU836-ROUND($AT836*0.1,0))&gt;설정!$B$8,IF($AU836=0," / 세액 0원(영세율·면세 여부 확인)"," / 세액이 공급가액 10%와 다름"),"")&amp;IF($BB836="수정"," / 수정세금계산서(합계에서 자동 가감)",""),4,200))</f>
        <v/>
      </c>
      <c r="BD836" s="2">
        <f>IF($BA836&lt;&gt;"포함","",IF(COUNTIFS($AX$8:$AX836,$AX836,$BA$8:$BA836,"포함")=1,MAX($BD$7:BD835)+1,""))</f>
        <v/>
      </c>
      <c r="BE836" s="2">
        <f>IF($BC836="","",MAX($BE$7:BE835)+1)</f>
        <v/>
      </c>
    </row>
    <row r="837">
      <c r="AR837" s="2">
        <f>IF(OR($A$5="",$B$6="",ROW()&lt;$A$5),"",IF(INDEX($A:$AP,ROW(),$B$6)="","",INDEX($A:$AP,ROW(),$B$6)))</f>
        <v/>
      </c>
      <c r="AS837" s="22">
        <f>IF($AR837="","",IF(ISNUMBER($AR837),IF($AR837&gt;=10000000,IFERROR(DATE(INT($AR837/10000),MOD(INT($AR837/100),100),MOD($AR837,100)),""),INT($AR837)),IFERROR(DATE(--LEFT(LEFT(SUBSTITUTE(SUBSTITUTE(SUBSTITUTE(SUBSTITUTE(TRIM($AR837),"-",""),".",""),"/","")," ",""),8),4),--MID(LEFT(SUBSTITUTE(SUBSTITUTE(SUBSTITUTE(SUBSTITUTE(TRIM($AR837),"-",""),".",""),"/","")," ",""),8),5,2),--MID(LEFT(SUBSTITUTE(SUBSTITUTE(SUBSTITUTE(SUBSTITUTE(TRIM($AR837),"-",""),".",""),"/","")," ",""),8),7,2)),"")))</f>
        <v/>
      </c>
      <c r="AT837" s="23">
        <f>IF($AS837="","",IF($F$6="",0,IF(ISNUMBER(INDEX($A:$AP,ROW(),$F$6)),INDEX($A:$AP,ROW(),$F$6),IFERROR(--SUBSTITUTE(SUBSTITUTE(TRIM(INDEX($A:$AP,ROW(),$F$6)),",",""),"원",""),0))))</f>
        <v/>
      </c>
      <c r="AU837" s="23">
        <f>IF($AS837="","",IF($G$6="",0,IF(ISNUMBER(INDEX($A:$AP,ROW(),$G$6)),INDEX($A:$AP,ROW(),$G$6),IFERROR(--SUBSTITUTE(SUBSTITUTE(TRIM(INDEX($A:$AP,ROW(),$G$6)),",",""),"원",""),0))))</f>
        <v/>
      </c>
      <c r="AV837" s="23">
        <f>IF($AS837="","",IF($H$6="",$AT837+$AU837,IF($H$6="",0,IF(ISNUMBER(INDEX($A:$AP,ROW(),$H$6)),INDEX($A:$AP,ROW(),$H$6),IFERROR(--SUBSTITUTE(SUBSTITUTE(TRIM(INDEX($A:$AP,ROW(),$H$6)),",",""),"원",""),0)))))</f>
        <v/>
      </c>
      <c r="AW837" s="2">
        <f>IF(OR($AS837="",$C$6=""),"",TRIM(INDEX($A:$AP,ROW(),$C$6)&amp;""))</f>
        <v/>
      </c>
      <c r="AX837" s="2">
        <f>IF($AS837="","",IF($AZ837&lt;&gt;"",SUBSTITUTE(SUBSTITUTE($AZ837,"-","")," ",""),$AY837))</f>
        <v/>
      </c>
      <c r="AY837" s="2">
        <f>IF(OR($AS837="",$E$6=""),"",TRIM(INDEX($A:$AP,ROW(),$E$6)&amp;""))</f>
        <v/>
      </c>
      <c r="AZ837" s="2">
        <f>IF(OR($AS837="",$D$6=""),"",TRIM(INDEX($A:$AP,ROW(),$D$6)&amp;""))</f>
        <v/>
      </c>
      <c r="BA837" s="2">
        <f>IF($AS837="","",IF(AND($AS837&gt;=설정!$B$10,$AS837&lt;=설정!$B$11),"포함","기간 밖"))</f>
        <v/>
      </c>
      <c r="BB837" s="2">
        <f>IF($AS837="","",IF(OR($AT837&lt;0,AND($I$6&lt;&gt;"",ISNUMBER(FIND("수정",INDEX($A:$AP,ROW(),IF($I$6="",1,$I$6))&amp;"")))),"수정","일반"))</f>
        <v/>
      </c>
      <c r="BC837" s="2">
        <f>IF($AS837="","",MID(IF($BA837="기간 밖"," / 기간 밖(신고기간 아님)","")&amp;IF(AND($AW837&lt;&gt;"",COUNTIF($AW$8:$AW$1007,$AW837)&gt;1)," / 승인번호 중복(두 번 붙여넣기?)","")&amp;IF(ABS($AU837-ROUND($AT837*0.1,0))&gt;설정!$B$8,IF($AU837=0," / 세액 0원(영세율·면세 여부 확인)"," / 세액이 공급가액 10%와 다름"),"")&amp;IF($BB837="수정"," / 수정세금계산서(합계에서 자동 가감)",""),4,200))</f>
        <v/>
      </c>
      <c r="BD837" s="2">
        <f>IF($BA837&lt;&gt;"포함","",IF(COUNTIFS($AX$8:$AX837,$AX837,$BA$8:$BA837,"포함")=1,MAX($BD$7:BD836)+1,""))</f>
        <v/>
      </c>
      <c r="BE837" s="2">
        <f>IF($BC837="","",MAX($BE$7:BE836)+1)</f>
        <v/>
      </c>
    </row>
    <row r="838">
      <c r="AR838" s="2">
        <f>IF(OR($A$5="",$B$6="",ROW()&lt;$A$5),"",IF(INDEX($A:$AP,ROW(),$B$6)="","",INDEX($A:$AP,ROW(),$B$6)))</f>
        <v/>
      </c>
      <c r="AS838" s="22">
        <f>IF($AR838="","",IF(ISNUMBER($AR838),IF($AR838&gt;=10000000,IFERROR(DATE(INT($AR838/10000),MOD(INT($AR838/100),100),MOD($AR838,100)),""),INT($AR838)),IFERROR(DATE(--LEFT(LEFT(SUBSTITUTE(SUBSTITUTE(SUBSTITUTE(SUBSTITUTE(TRIM($AR838),"-",""),".",""),"/","")," ",""),8),4),--MID(LEFT(SUBSTITUTE(SUBSTITUTE(SUBSTITUTE(SUBSTITUTE(TRIM($AR838),"-",""),".",""),"/","")," ",""),8),5,2),--MID(LEFT(SUBSTITUTE(SUBSTITUTE(SUBSTITUTE(SUBSTITUTE(TRIM($AR838),"-",""),".",""),"/","")," ",""),8),7,2)),"")))</f>
        <v/>
      </c>
      <c r="AT838" s="23">
        <f>IF($AS838="","",IF($F$6="",0,IF(ISNUMBER(INDEX($A:$AP,ROW(),$F$6)),INDEX($A:$AP,ROW(),$F$6),IFERROR(--SUBSTITUTE(SUBSTITUTE(TRIM(INDEX($A:$AP,ROW(),$F$6)),",",""),"원",""),0))))</f>
        <v/>
      </c>
      <c r="AU838" s="23">
        <f>IF($AS838="","",IF($G$6="",0,IF(ISNUMBER(INDEX($A:$AP,ROW(),$G$6)),INDEX($A:$AP,ROW(),$G$6),IFERROR(--SUBSTITUTE(SUBSTITUTE(TRIM(INDEX($A:$AP,ROW(),$G$6)),",",""),"원",""),0))))</f>
        <v/>
      </c>
      <c r="AV838" s="23">
        <f>IF($AS838="","",IF($H$6="",$AT838+$AU838,IF($H$6="",0,IF(ISNUMBER(INDEX($A:$AP,ROW(),$H$6)),INDEX($A:$AP,ROW(),$H$6),IFERROR(--SUBSTITUTE(SUBSTITUTE(TRIM(INDEX($A:$AP,ROW(),$H$6)),",",""),"원",""),0)))))</f>
        <v/>
      </c>
      <c r="AW838" s="2">
        <f>IF(OR($AS838="",$C$6=""),"",TRIM(INDEX($A:$AP,ROW(),$C$6)&amp;""))</f>
        <v/>
      </c>
      <c r="AX838" s="2">
        <f>IF($AS838="","",IF($AZ838&lt;&gt;"",SUBSTITUTE(SUBSTITUTE($AZ838,"-","")," ",""),$AY838))</f>
        <v/>
      </c>
      <c r="AY838" s="2">
        <f>IF(OR($AS838="",$E$6=""),"",TRIM(INDEX($A:$AP,ROW(),$E$6)&amp;""))</f>
        <v/>
      </c>
      <c r="AZ838" s="2">
        <f>IF(OR($AS838="",$D$6=""),"",TRIM(INDEX($A:$AP,ROW(),$D$6)&amp;""))</f>
        <v/>
      </c>
      <c r="BA838" s="2">
        <f>IF($AS838="","",IF(AND($AS838&gt;=설정!$B$10,$AS838&lt;=설정!$B$11),"포함","기간 밖"))</f>
        <v/>
      </c>
      <c r="BB838" s="2">
        <f>IF($AS838="","",IF(OR($AT838&lt;0,AND($I$6&lt;&gt;"",ISNUMBER(FIND("수정",INDEX($A:$AP,ROW(),IF($I$6="",1,$I$6))&amp;"")))),"수정","일반"))</f>
        <v/>
      </c>
      <c r="BC838" s="2">
        <f>IF($AS838="","",MID(IF($BA838="기간 밖"," / 기간 밖(신고기간 아님)","")&amp;IF(AND($AW838&lt;&gt;"",COUNTIF($AW$8:$AW$1007,$AW838)&gt;1)," / 승인번호 중복(두 번 붙여넣기?)","")&amp;IF(ABS($AU838-ROUND($AT838*0.1,0))&gt;설정!$B$8,IF($AU838=0," / 세액 0원(영세율·면세 여부 확인)"," / 세액이 공급가액 10%와 다름"),"")&amp;IF($BB838="수정"," / 수정세금계산서(합계에서 자동 가감)",""),4,200))</f>
        <v/>
      </c>
      <c r="BD838" s="2">
        <f>IF($BA838&lt;&gt;"포함","",IF(COUNTIFS($AX$8:$AX838,$AX838,$BA$8:$BA838,"포함")=1,MAX($BD$7:BD837)+1,""))</f>
        <v/>
      </c>
      <c r="BE838" s="2">
        <f>IF($BC838="","",MAX($BE$7:BE837)+1)</f>
        <v/>
      </c>
    </row>
    <row r="839">
      <c r="AR839" s="2">
        <f>IF(OR($A$5="",$B$6="",ROW()&lt;$A$5),"",IF(INDEX($A:$AP,ROW(),$B$6)="","",INDEX($A:$AP,ROW(),$B$6)))</f>
        <v/>
      </c>
      <c r="AS839" s="22">
        <f>IF($AR839="","",IF(ISNUMBER($AR839),IF($AR839&gt;=10000000,IFERROR(DATE(INT($AR839/10000),MOD(INT($AR839/100),100),MOD($AR839,100)),""),INT($AR839)),IFERROR(DATE(--LEFT(LEFT(SUBSTITUTE(SUBSTITUTE(SUBSTITUTE(SUBSTITUTE(TRIM($AR839),"-",""),".",""),"/","")," ",""),8),4),--MID(LEFT(SUBSTITUTE(SUBSTITUTE(SUBSTITUTE(SUBSTITUTE(TRIM($AR839),"-",""),".",""),"/","")," ",""),8),5,2),--MID(LEFT(SUBSTITUTE(SUBSTITUTE(SUBSTITUTE(SUBSTITUTE(TRIM($AR839),"-",""),".",""),"/","")," ",""),8),7,2)),"")))</f>
        <v/>
      </c>
      <c r="AT839" s="23">
        <f>IF($AS839="","",IF($F$6="",0,IF(ISNUMBER(INDEX($A:$AP,ROW(),$F$6)),INDEX($A:$AP,ROW(),$F$6),IFERROR(--SUBSTITUTE(SUBSTITUTE(TRIM(INDEX($A:$AP,ROW(),$F$6)),",",""),"원",""),0))))</f>
        <v/>
      </c>
      <c r="AU839" s="23">
        <f>IF($AS839="","",IF($G$6="",0,IF(ISNUMBER(INDEX($A:$AP,ROW(),$G$6)),INDEX($A:$AP,ROW(),$G$6),IFERROR(--SUBSTITUTE(SUBSTITUTE(TRIM(INDEX($A:$AP,ROW(),$G$6)),",",""),"원",""),0))))</f>
        <v/>
      </c>
      <c r="AV839" s="23">
        <f>IF($AS839="","",IF($H$6="",$AT839+$AU839,IF($H$6="",0,IF(ISNUMBER(INDEX($A:$AP,ROW(),$H$6)),INDEX($A:$AP,ROW(),$H$6),IFERROR(--SUBSTITUTE(SUBSTITUTE(TRIM(INDEX($A:$AP,ROW(),$H$6)),",",""),"원",""),0)))))</f>
        <v/>
      </c>
      <c r="AW839" s="2">
        <f>IF(OR($AS839="",$C$6=""),"",TRIM(INDEX($A:$AP,ROW(),$C$6)&amp;""))</f>
        <v/>
      </c>
      <c r="AX839" s="2">
        <f>IF($AS839="","",IF($AZ839&lt;&gt;"",SUBSTITUTE(SUBSTITUTE($AZ839,"-","")," ",""),$AY839))</f>
        <v/>
      </c>
      <c r="AY839" s="2">
        <f>IF(OR($AS839="",$E$6=""),"",TRIM(INDEX($A:$AP,ROW(),$E$6)&amp;""))</f>
        <v/>
      </c>
      <c r="AZ839" s="2">
        <f>IF(OR($AS839="",$D$6=""),"",TRIM(INDEX($A:$AP,ROW(),$D$6)&amp;""))</f>
        <v/>
      </c>
      <c r="BA839" s="2">
        <f>IF($AS839="","",IF(AND($AS839&gt;=설정!$B$10,$AS839&lt;=설정!$B$11),"포함","기간 밖"))</f>
        <v/>
      </c>
      <c r="BB839" s="2">
        <f>IF($AS839="","",IF(OR($AT839&lt;0,AND($I$6&lt;&gt;"",ISNUMBER(FIND("수정",INDEX($A:$AP,ROW(),IF($I$6="",1,$I$6))&amp;"")))),"수정","일반"))</f>
        <v/>
      </c>
      <c r="BC839" s="2">
        <f>IF($AS839="","",MID(IF($BA839="기간 밖"," / 기간 밖(신고기간 아님)","")&amp;IF(AND($AW839&lt;&gt;"",COUNTIF($AW$8:$AW$1007,$AW839)&gt;1)," / 승인번호 중복(두 번 붙여넣기?)","")&amp;IF(ABS($AU839-ROUND($AT839*0.1,0))&gt;설정!$B$8,IF($AU839=0," / 세액 0원(영세율·면세 여부 확인)"," / 세액이 공급가액 10%와 다름"),"")&amp;IF($BB839="수정"," / 수정세금계산서(합계에서 자동 가감)",""),4,200))</f>
        <v/>
      </c>
      <c r="BD839" s="2">
        <f>IF($BA839&lt;&gt;"포함","",IF(COUNTIFS($AX$8:$AX839,$AX839,$BA$8:$BA839,"포함")=1,MAX($BD$7:BD838)+1,""))</f>
        <v/>
      </c>
      <c r="BE839" s="2">
        <f>IF($BC839="","",MAX($BE$7:BE838)+1)</f>
        <v/>
      </c>
    </row>
    <row r="840">
      <c r="AR840" s="2">
        <f>IF(OR($A$5="",$B$6="",ROW()&lt;$A$5),"",IF(INDEX($A:$AP,ROW(),$B$6)="","",INDEX($A:$AP,ROW(),$B$6)))</f>
        <v/>
      </c>
      <c r="AS840" s="22">
        <f>IF($AR840="","",IF(ISNUMBER($AR840),IF($AR840&gt;=10000000,IFERROR(DATE(INT($AR840/10000),MOD(INT($AR840/100),100),MOD($AR840,100)),""),INT($AR840)),IFERROR(DATE(--LEFT(LEFT(SUBSTITUTE(SUBSTITUTE(SUBSTITUTE(SUBSTITUTE(TRIM($AR840),"-",""),".",""),"/","")," ",""),8),4),--MID(LEFT(SUBSTITUTE(SUBSTITUTE(SUBSTITUTE(SUBSTITUTE(TRIM($AR840),"-",""),".",""),"/","")," ",""),8),5,2),--MID(LEFT(SUBSTITUTE(SUBSTITUTE(SUBSTITUTE(SUBSTITUTE(TRIM($AR840),"-",""),".",""),"/","")," ",""),8),7,2)),"")))</f>
        <v/>
      </c>
      <c r="AT840" s="23">
        <f>IF($AS840="","",IF($F$6="",0,IF(ISNUMBER(INDEX($A:$AP,ROW(),$F$6)),INDEX($A:$AP,ROW(),$F$6),IFERROR(--SUBSTITUTE(SUBSTITUTE(TRIM(INDEX($A:$AP,ROW(),$F$6)),",",""),"원",""),0))))</f>
        <v/>
      </c>
      <c r="AU840" s="23">
        <f>IF($AS840="","",IF($G$6="",0,IF(ISNUMBER(INDEX($A:$AP,ROW(),$G$6)),INDEX($A:$AP,ROW(),$G$6),IFERROR(--SUBSTITUTE(SUBSTITUTE(TRIM(INDEX($A:$AP,ROW(),$G$6)),",",""),"원",""),0))))</f>
        <v/>
      </c>
      <c r="AV840" s="23">
        <f>IF($AS840="","",IF($H$6="",$AT840+$AU840,IF($H$6="",0,IF(ISNUMBER(INDEX($A:$AP,ROW(),$H$6)),INDEX($A:$AP,ROW(),$H$6),IFERROR(--SUBSTITUTE(SUBSTITUTE(TRIM(INDEX($A:$AP,ROW(),$H$6)),",",""),"원",""),0)))))</f>
        <v/>
      </c>
      <c r="AW840" s="2">
        <f>IF(OR($AS840="",$C$6=""),"",TRIM(INDEX($A:$AP,ROW(),$C$6)&amp;""))</f>
        <v/>
      </c>
      <c r="AX840" s="2">
        <f>IF($AS840="","",IF($AZ840&lt;&gt;"",SUBSTITUTE(SUBSTITUTE($AZ840,"-","")," ",""),$AY840))</f>
        <v/>
      </c>
      <c r="AY840" s="2">
        <f>IF(OR($AS840="",$E$6=""),"",TRIM(INDEX($A:$AP,ROW(),$E$6)&amp;""))</f>
        <v/>
      </c>
      <c r="AZ840" s="2">
        <f>IF(OR($AS840="",$D$6=""),"",TRIM(INDEX($A:$AP,ROW(),$D$6)&amp;""))</f>
        <v/>
      </c>
      <c r="BA840" s="2">
        <f>IF($AS840="","",IF(AND($AS840&gt;=설정!$B$10,$AS840&lt;=설정!$B$11),"포함","기간 밖"))</f>
        <v/>
      </c>
      <c r="BB840" s="2">
        <f>IF($AS840="","",IF(OR($AT840&lt;0,AND($I$6&lt;&gt;"",ISNUMBER(FIND("수정",INDEX($A:$AP,ROW(),IF($I$6="",1,$I$6))&amp;"")))),"수정","일반"))</f>
        <v/>
      </c>
      <c r="BC840" s="2">
        <f>IF($AS840="","",MID(IF($BA840="기간 밖"," / 기간 밖(신고기간 아님)","")&amp;IF(AND($AW840&lt;&gt;"",COUNTIF($AW$8:$AW$1007,$AW840)&gt;1)," / 승인번호 중복(두 번 붙여넣기?)","")&amp;IF(ABS($AU840-ROUND($AT840*0.1,0))&gt;설정!$B$8,IF($AU840=0," / 세액 0원(영세율·면세 여부 확인)"," / 세액이 공급가액 10%와 다름"),"")&amp;IF($BB840="수정"," / 수정세금계산서(합계에서 자동 가감)",""),4,200))</f>
        <v/>
      </c>
      <c r="BD840" s="2">
        <f>IF($BA840&lt;&gt;"포함","",IF(COUNTIFS($AX$8:$AX840,$AX840,$BA$8:$BA840,"포함")=1,MAX($BD$7:BD839)+1,""))</f>
        <v/>
      </c>
      <c r="BE840" s="2">
        <f>IF($BC840="","",MAX($BE$7:BE839)+1)</f>
        <v/>
      </c>
    </row>
    <row r="841">
      <c r="AR841" s="2">
        <f>IF(OR($A$5="",$B$6="",ROW()&lt;$A$5),"",IF(INDEX($A:$AP,ROW(),$B$6)="","",INDEX($A:$AP,ROW(),$B$6)))</f>
        <v/>
      </c>
      <c r="AS841" s="22">
        <f>IF($AR841="","",IF(ISNUMBER($AR841),IF($AR841&gt;=10000000,IFERROR(DATE(INT($AR841/10000),MOD(INT($AR841/100),100),MOD($AR841,100)),""),INT($AR841)),IFERROR(DATE(--LEFT(LEFT(SUBSTITUTE(SUBSTITUTE(SUBSTITUTE(SUBSTITUTE(TRIM($AR841),"-",""),".",""),"/","")," ",""),8),4),--MID(LEFT(SUBSTITUTE(SUBSTITUTE(SUBSTITUTE(SUBSTITUTE(TRIM($AR841),"-",""),".",""),"/","")," ",""),8),5,2),--MID(LEFT(SUBSTITUTE(SUBSTITUTE(SUBSTITUTE(SUBSTITUTE(TRIM($AR841),"-",""),".",""),"/","")," ",""),8),7,2)),"")))</f>
        <v/>
      </c>
      <c r="AT841" s="23">
        <f>IF($AS841="","",IF($F$6="",0,IF(ISNUMBER(INDEX($A:$AP,ROW(),$F$6)),INDEX($A:$AP,ROW(),$F$6),IFERROR(--SUBSTITUTE(SUBSTITUTE(TRIM(INDEX($A:$AP,ROW(),$F$6)),",",""),"원",""),0))))</f>
        <v/>
      </c>
      <c r="AU841" s="23">
        <f>IF($AS841="","",IF($G$6="",0,IF(ISNUMBER(INDEX($A:$AP,ROW(),$G$6)),INDEX($A:$AP,ROW(),$G$6),IFERROR(--SUBSTITUTE(SUBSTITUTE(TRIM(INDEX($A:$AP,ROW(),$G$6)),",",""),"원",""),0))))</f>
        <v/>
      </c>
      <c r="AV841" s="23">
        <f>IF($AS841="","",IF($H$6="",$AT841+$AU841,IF($H$6="",0,IF(ISNUMBER(INDEX($A:$AP,ROW(),$H$6)),INDEX($A:$AP,ROW(),$H$6),IFERROR(--SUBSTITUTE(SUBSTITUTE(TRIM(INDEX($A:$AP,ROW(),$H$6)),",",""),"원",""),0)))))</f>
        <v/>
      </c>
      <c r="AW841" s="2">
        <f>IF(OR($AS841="",$C$6=""),"",TRIM(INDEX($A:$AP,ROW(),$C$6)&amp;""))</f>
        <v/>
      </c>
      <c r="AX841" s="2">
        <f>IF($AS841="","",IF($AZ841&lt;&gt;"",SUBSTITUTE(SUBSTITUTE($AZ841,"-","")," ",""),$AY841))</f>
        <v/>
      </c>
      <c r="AY841" s="2">
        <f>IF(OR($AS841="",$E$6=""),"",TRIM(INDEX($A:$AP,ROW(),$E$6)&amp;""))</f>
        <v/>
      </c>
      <c r="AZ841" s="2">
        <f>IF(OR($AS841="",$D$6=""),"",TRIM(INDEX($A:$AP,ROW(),$D$6)&amp;""))</f>
        <v/>
      </c>
      <c r="BA841" s="2">
        <f>IF($AS841="","",IF(AND($AS841&gt;=설정!$B$10,$AS841&lt;=설정!$B$11),"포함","기간 밖"))</f>
        <v/>
      </c>
      <c r="BB841" s="2">
        <f>IF($AS841="","",IF(OR($AT841&lt;0,AND($I$6&lt;&gt;"",ISNUMBER(FIND("수정",INDEX($A:$AP,ROW(),IF($I$6="",1,$I$6))&amp;"")))),"수정","일반"))</f>
        <v/>
      </c>
      <c r="BC841" s="2">
        <f>IF($AS841="","",MID(IF($BA841="기간 밖"," / 기간 밖(신고기간 아님)","")&amp;IF(AND($AW841&lt;&gt;"",COUNTIF($AW$8:$AW$1007,$AW841)&gt;1)," / 승인번호 중복(두 번 붙여넣기?)","")&amp;IF(ABS($AU841-ROUND($AT841*0.1,0))&gt;설정!$B$8,IF($AU841=0," / 세액 0원(영세율·면세 여부 확인)"," / 세액이 공급가액 10%와 다름"),"")&amp;IF($BB841="수정"," / 수정세금계산서(합계에서 자동 가감)",""),4,200))</f>
        <v/>
      </c>
      <c r="BD841" s="2">
        <f>IF($BA841&lt;&gt;"포함","",IF(COUNTIFS($AX$8:$AX841,$AX841,$BA$8:$BA841,"포함")=1,MAX($BD$7:BD840)+1,""))</f>
        <v/>
      </c>
      <c r="BE841" s="2">
        <f>IF($BC841="","",MAX($BE$7:BE840)+1)</f>
        <v/>
      </c>
    </row>
    <row r="842">
      <c r="AR842" s="2">
        <f>IF(OR($A$5="",$B$6="",ROW()&lt;$A$5),"",IF(INDEX($A:$AP,ROW(),$B$6)="","",INDEX($A:$AP,ROW(),$B$6)))</f>
        <v/>
      </c>
      <c r="AS842" s="22">
        <f>IF($AR842="","",IF(ISNUMBER($AR842),IF($AR842&gt;=10000000,IFERROR(DATE(INT($AR842/10000),MOD(INT($AR842/100),100),MOD($AR842,100)),""),INT($AR842)),IFERROR(DATE(--LEFT(LEFT(SUBSTITUTE(SUBSTITUTE(SUBSTITUTE(SUBSTITUTE(TRIM($AR842),"-",""),".",""),"/","")," ",""),8),4),--MID(LEFT(SUBSTITUTE(SUBSTITUTE(SUBSTITUTE(SUBSTITUTE(TRIM($AR842),"-",""),".",""),"/","")," ",""),8),5,2),--MID(LEFT(SUBSTITUTE(SUBSTITUTE(SUBSTITUTE(SUBSTITUTE(TRIM($AR842),"-",""),".",""),"/","")," ",""),8),7,2)),"")))</f>
        <v/>
      </c>
      <c r="AT842" s="23">
        <f>IF($AS842="","",IF($F$6="",0,IF(ISNUMBER(INDEX($A:$AP,ROW(),$F$6)),INDEX($A:$AP,ROW(),$F$6),IFERROR(--SUBSTITUTE(SUBSTITUTE(TRIM(INDEX($A:$AP,ROW(),$F$6)),",",""),"원",""),0))))</f>
        <v/>
      </c>
      <c r="AU842" s="23">
        <f>IF($AS842="","",IF($G$6="",0,IF(ISNUMBER(INDEX($A:$AP,ROW(),$G$6)),INDEX($A:$AP,ROW(),$G$6),IFERROR(--SUBSTITUTE(SUBSTITUTE(TRIM(INDEX($A:$AP,ROW(),$G$6)),",",""),"원",""),0))))</f>
        <v/>
      </c>
      <c r="AV842" s="23">
        <f>IF($AS842="","",IF($H$6="",$AT842+$AU842,IF($H$6="",0,IF(ISNUMBER(INDEX($A:$AP,ROW(),$H$6)),INDEX($A:$AP,ROW(),$H$6),IFERROR(--SUBSTITUTE(SUBSTITUTE(TRIM(INDEX($A:$AP,ROW(),$H$6)),",",""),"원",""),0)))))</f>
        <v/>
      </c>
      <c r="AW842" s="2">
        <f>IF(OR($AS842="",$C$6=""),"",TRIM(INDEX($A:$AP,ROW(),$C$6)&amp;""))</f>
        <v/>
      </c>
      <c r="AX842" s="2">
        <f>IF($AS842="","",IF($AZ842&lt;&gt;"",SUBSTITUTE(SUBSTITUTE($AZ842,"-","")," ",""),$AY842))</f>
        <v/>
      </c>
      <c r="AY842" s="2">
        <f>IF(OR($AS842="",$E$6=""),"",TRIM(INDEX($A:$AP,ROW(),$E$6)&amp;""))</f>
        <v/>
      </c>
      <c r="AZ842" s="2">
        <f>IF(OR($AS842="",$D$6=""),"",TRIM(INDEX($A:$AP,ROW(),$D$6)&amp;""))</f>
        <v/>
      </c>
      <c r="BA842" s="2">
        <f>IF($AS842="","",IF(AND($AS842&gt;=설정!$B$10,$AS842&lt;=설정!$B$11),"포함","기간 밖"))</f>
        <v/>
      </c>
      <c r="BB842" s="2">
        <f>IF($AS842="","",IF(OR($AT842&lt;0,AND($I$6&lt;&gt;"",ISNUMBER(FIND("수정",INDEX($A:$AP,ROW(),IF($I$6="",1,$I$6))&amp;"")))),"수정","일반"))</f>
        <v/>
      </c>
      <c r="BC842" s="2">
        <f>IF($AS842="","",MID(IF($BA842="기간 밖"," / 기간 밖(신고기간 아님)","")&amp;IF(AND($AW842&lt;&gt;"",COUNTIF($AW$8:$AW$1007,$AW842)&gt;1)," / 승인번호 중복(두 번 붙여넣기?)","")&amp;IF(ABS($AU842-ROUND($AT842*0.1,0))&gt;설정!$B$8,IF($AU842=0," / 세액 0원(영세율·면세 여부 확인)"," / 세액이 공급가액 10%와 다름"),"")&amp;IF($BB842="수정"," / 수정세금계산서(합계에서 자동 가감)",""),4,200))</f>
        <v/>
      </c>
      <c r="BD842" s="2">
        <f>IF($BA842&lt;&gt;"포함","",IF(COUNTIFS($AX$8:$AX842,$AX842,$BA$8:$BA842,"포함")=1,MAX($BD$7:BD841)+1,""))</f>
        <v/>
      </c>
      <c r="BE842" s="2">
        <f>IF($BC842="","",MAX($BE$7:BE841)+1)</f>
        <v/>
      </c>
    </row>
    <row r="843">
      <c r="AR843" s="2">
        <f>IF(OR($A$5="",$B$6="",ROW()&lt;$A$5),"",IF(INDEX($A:$AP,ROW(),$B$6)="","",INDEX($A:$AP,ROW(),$B$6)))</f>
        <v/>
      </c>
      <c r="AS843" s="22">
        <f>IF($AR843="","",IF(ISNUMBER($AR843),IF($AR843&gt;=10000000,IFERROR(DATE(INT($AR843/10000),MOD(INT($AR843/100),100),MOD($AR843,100)),""),INT($AR843)),IFERROR(DATE(--LEFT(LEFT(SUBSTITUTE(SUBSTITUTE(SUBSTITUTE(SUBSTITUTE(TRIM($AR843),"-",""),".",""),"/","")," ",""),8),4),--MID(LEFT(SUBSTITUTE(SUBSTITUTE(SUBSTITUTE(SUBSTITUTE(TRIM($AR843),"-",""),".",""),"/","")," ",""),8),5,2),--MID(LEFT(SUBSTITUTE(SUBSTITUTE(SUBSTITUTE(SUBSTITUTE(TRIM($AR843),"-",""),".",""),"/","")," ",""),8),7,2)),"")))</f>
        <v/>
      </c>
      <c r="AT843" s="23">
        <f>IF($AS843="","",IF($F$6="",0,IF(ISNUMBER(INDEX($A:$AP,ROW(),$F$6)),INDEX($A:$AP,ROW(),$F$6),IFERROR(--SUBSTITUTE(SUBSTITUTE(TRIM(INDEX($A:$AP,ROW(),$F$6)),",",""),"원",""),0))))</f>
        <v/>
      </c>
      <c r="AU843" s="23">
        <f>IF($AS843="","",IF($G$6="",0,IF(ISNUMBER(INDEX($A:$AP,ROW(),$G$6)),INDEX($A:$AP,ROW(),$G$6),IFERROR(--SUBSTITUTE(SUBSTITUTE(TRIM(INDEX($A:$AP,ROW(),$G$6)),",",""),"원",""),0))))</f>
        <v/>
      </c>
      <c r="AV843" s="23">
        <f>IF($AS843="","",IF($H$6="",$AT843+$AU843,IF($H$6="",0,IF(ISNUMBER(INDEX($A:$AP,ROW(),$H$6)),INDEX($A:$AP,ROW(),$H$6),IFERROR(--SUBSTITUTE(SUBSTITUTE(TRIM(INDEX($A:$AP,ROW(),$H$6)),",",""),"원",""),0)))))</f>
        <v/>
      </c>
      <c r="AW843" s="2">
        <f>IF(OR($AS843="",$C$6=""),"",TRIM(INDEX($A:$AP,ROW(),$C$6)&amp;""))</f>
        <v/>
      </c>
      <c r="AX843" s="2">
        <f>IF($AS843="","",IF($AZ843&lt;&gt;"",SUBSTITUTE(SUBSTITUTE($AZ843,"-","")," ",""),$AY843))</f>
        <v/>
      </c>
      <c r="AY843" s="2">
        <f>IF(OR($AS843="",$E$6=""),"",TRIM(INDEX($A:$AP,ROW(),$E$6)&amp;""))</f>
        <v/>
      </c>
      <c r="AZ843" s="2">
        <f>IF(OR($AS843="",$D$6=""),"",TRIM(INDEX($A:$AP,ROW(),$D$6)&amp;""))</f>
        <v/>
      </c>
      <c r="BA843" s="2">
        <f>IF($AS843="","",IF(AND($AS843&gt;=설정!$B$10,$AS843&lt;=설정!$B$11),"포함","기간 밖"))</f>
        <v/>
      </c>
      <c r="BB843" s="2">
        <f>IF($AS843="","",IF(OR($AT843&lt;0,AND($I$6&lt;&gt;"",ISNUMBER(FIND("수정",INDEX($A:$AP,ROW(),IF($I$6="",1,$I$6))&amp;"")))),"수정","일반"))</f>
        <v/>
      </c>
      <c r="BC843" s="2">
        <f>IF($AS843="","",MID(IF($BA843="기간 밖"," / 기간 밖(신고기간 아님)","")&amp;IF(AND($AW843&lt;&gt;"",COUNTIF($AW$8:$AW$1007,$AW843)&gt;1)," / 승인번호 중복(두 번 붙여넣기?)","")&amp;IF(ABS($AU843-ROUND($AT843*0.1,0))&gt;설정!$B$8,IF($AU843=0," / 세액 0원(영세율·면세 여부 확인)"," / 세액이 공급가액 10%와 다름"),"")&amp;IF($BB843="수정"," / 수정세금계산서(합계에서 자동 가감)",""),4,200))</f>
        <v/>
      </c>
      <c r="BD843" s="2">
        <f>IF($BA843&lt;&gt;"포함","",IF(COUNTIFS($AX$8:$AX843,$AX843,$BA$8:$BA843,"포함")=1,MAX($BD$7:BD842)+1,""))</f>
        <v/>
      </c>
      <c r="BE843" s="2">
        <f>IF($BC843="","",MAX($BE$7:BE842)+1)</f>
        <v/>
      </c>
    </row>
    <row r="844">
      <c r="AR844" s="2">
        <f>IF(OR($A$5="",$B$6="",ROW()&lt;$A$5),"",IF(INDEX($A:$AP,ROW(),$B$6)="","",INDEX($A:$AP,ROW(),$B$6)))</f>
        <v/>
      </c>
      <c r="AS844" s="22">
        <f>IF($AR844="","",IF(ISNUMBER($AR844),IF($AR844&gt;=10000000,IFERROR(DATE(INT($AR844/10000),MOD(INT($AR844/100),100),MOD($AR844,100)),""),INT($AR844)),IFERROR(DATE(--LEFT(LEFT(SUBSTITUTE(SUBSTITUTE(SUBSTITUTE(SUBSTITUTE(TRIM($AR844),"-",""),".",""),"/","")," ",""),8),4),--MID(LEFT(SUBSTITUTE(SUBSTITUTE(SUBSTITUTE(SUBSTITUTE(TRIM($AR844),"-",""),".",""),"/","")," ",""),8),5,2),--MID(LEFT(SUBSTITUTE(SUBSTITUTE(SUBSTITUTE(SUBSTITUTE(TRIM($AR844),"-",""),".",""),"/","")," ",""),8),7,2)),"")))</f>
        <v/>
      </c>
      <c r="AT844" s="23">
        <f>IF($AS844="","",IF($F$6="",0,IF(ISNUMBER(INDEX($A:$AP,ROW(),$F$6)),INDEX($A:$AP,ROW(),$F$6),IFERROR(--SUBSTITUTE(SUBSTITUTE(TRIM(INDEX($A:$AP,ROW(),$F$6)),",",""),"원",""),0))))</f>
        <v/>
      </c>
      <c r="AU844" s="23">
        <f>IF($AS844="","",IF($G$6="",0,IF(ISNUMBER(INDEX($A:$AP,ROW(),$G$6)),INDEX($A:$AP,ROW(),$G$6),IFERROR(--SUBSTITUTE(SUBSTITUTE(TRIM(INDEX($A:$AP,ROW(),$G$6)),",",""),"원",""),0))))</f>
        <v/>
      </c>
      <c r="AV844" s="23">
        <f>IF($AS844="","",IF($H$6="",$AT844+$AU844,IF($H$6="",0,IF(ISNUMBER(INDEX($A:$AP,ROW(),$H$6)),INDEX($A:$AP,ROW(),$H$6),IFERROR(--SUBSTITUTE(SUBSTITUTE(TRIM(INDEX($A:$AP,ROW(),$H$6)),",",""),"원",""),0)))))</f>
        <v/>
      </c>
      <c r="AW844" s="2">
        <f>IF(OR($AS844="",$C$6=""),"",TRIM(INDEX($A:$AP,ROW(),$C$6)&amp;""))</f>
        <v/>
      </c>
      <c r="AX844" s="2">
        <f>IF($AS844="","",IF($AZ844&lt;&gt;"",SUBSTITUTE(SUBSTITUTE($AZ844,"-","")," ",""),$AY844))</f>
        <v/>
      </c>
      <c r="AY844" s="2">
        <f>IF(OR($AS844="",$E$6=""),"",TRIM(INDEX($A:$AP,ROW(),$E$6)&amp;""))</f>
        <v/>
      </c>
      <c r="AZ844" s="2">
        <f>IF(OR($AS844="",$D$6=""),"",TRIM(INDEX($A:$AP,ROW(),$D$6)&amp;""))</f>
        <v/>
      </c>
      <c r="BA844" s="2">
        <f>IF($AS844="","",IF(AND($AS844&gt;=설정!$B$10,$AS844&lt;=설정!$B$11),"포함","기간 밖"))</f>
        <v/>
      </c>
      <c r="BB844" s="2">
        <f>IF($AS844="","",IF(OR($AT844&lt;0,AND($I$6&lt;&gt;"",ISNUMBER(FIND("수정",INDEX($A:$AP,ROW(),IF($I$6="",1,$I$6))&amp;"")))),"수정","일반"))</f>
        <v/>
      </c>
      <c r="BC844" s="2">
        <f>IF($AS844="","",MID(IF($BA844="기간 밖"," / 기간 밖(신고기간 아님)","")&amp;IF(AND($AW844&lt;&gt;"",COUNTIF($AW$8:$AW$1007,$AW844)&gt;1)," / 승인번호 중복(두 번 붙여넣기?)","")&amp;IF(ABS($AU844-ROUND($AT844*0.1,0))&gt;설정!$B$8,IF($AU844=0," / 세액 0원(영세율·면세 여부 확인)"," / 세액이 공급가액 10%와 다름"),"")&amp;IF($BB844="수정"," / 수정세금계산서(합계에서 자동 가감)",""),4,200))</f>
        <v/>
      </c>
      <c r="BD844" s="2">
        <f>IF($BA844&lt;&gt;"포함","",IF(COUNTIFS($AX$8:$AX844,$AX844,$BA$8:$BA844,"포함")=1,MAX($BD$7:BD843)+1,""))</f>
        <v/>
      </c>
      <c r="BE844" s="2">
        <f>IF($BC844="","",MAX($BE$7:BE843)+1)</f>
        <v/>
      </c>
    </row>
    <row r="845">
      <c r="AR845" s="2">
        <f>IF(OR($A$5="",$B$6="",ROW()&lt;$A$5),"",IF(INDEX($A:$AP,ROW(),$B$6)="","",INDEX($A:$AP,ROW(),$B$6)))</f>
        <v/>
      </c>
      <c r="AS845" s="22">
        <f>IF($AR845="","",IF(ISNUMBER($AR845),IF($AR845&gt;=10000000,IFERROR(DATE(INT($AR845/10000),MOD(INT($AR845/100),100),MOD($AR845,100)),""),INT($AR845)),IFERROR(DATE(--LEFT(LEFT(SUBSTITUTE(SUBSTITUTE(SUBSTITUTE(SUBSTITUTE(TRIM($AR845),"-",""),".",""),"/","")," ",""),8),4),--MID(LEFT(SUBSTITUTE(SUBSTITUTE(SUBSTITUTE(SUBSTITUTE(TRIM($AR845),"-",""),".",""),"/","")," ",""),8),5,2),--MID(LEFT(SUBSTITUTE(SUBSTITUTE(SUBSTITUTE(SUBSTITUTE(TRIM($AR845),"-",""),".",""),"/","")," ",""),8),7,2)),"")))</f>
        <v/>
      </c>
      <c r="AT845" s="23">
        <f>IF($AS845="","",IF($F$6="",0,IF(ISNUMBER(INDEX($A:$AP,ROW(),$F$6)),INDEX($A:$AP,ROW(),$F$6),IFERROR(--SUBSTITUTE(SUBSTITUTE(TRIM(INDEX($A:$AP,ROW(),$F$6)),",",""),"원",""),0))))</f>
        <v/>
      </c>
      <c r="AU845" s="23">
        <f>IF($AS845="","",IF($G$6="",0,IF(ISNUMBER(INDEX($A:$AP,ROW(),$G$6)),INDEX($A:$AP,ROW(),$G$6),IFERROR(--SUBSTITUTE(SUBSTITUTE(TRIM(INDEX($A:$AP,ROW(),$G$6)),",",""),"원",""),0))))</f>
        <v/>
      </c>
      <c r="AV845" s="23">
        <f>IF($AS845="","",IF($H$6="",$AT845+$AU845,IF($H$6="",0,IF(ISNUMBER(INDEX($A:$AP,ROW(),$H$6)),INDEX($A:$AP,ROW(),$H$6),IFERROR(--SUBSTITUTE(SUBSTITUTE(TRIM(INDEX($A:$AP,ROW(),$H$6)),",",""),"원",""),0)))))</f>
        <v/>
      </c>
      <c r="AW845" s="2">
        <f>IF(OR($AS845="",$C$6=""),"",TRIM(INDEX($A:$AP,ROW(),$C$6)&amp;""))</f>
        <v/>
      </c>
      <c r="AX845" s="2">
        <f>IF($AS845="","",IF($AZ845&lt;&gt;"",SUBSTITUTE(SUBSTITUTE($AZ845,"-","")," ",""),$AY845))</f>
        <v/>
      </c>
      <c r="AY845" s="2">
        <f>IF(OR($AS845="",$E$6=""),"",TRIM(INDEX($A:$AP,ROW(),$E$6)&amp;""))</f>
        <v/>
      </c>
      <c r="AZ845" s="2">
        <f>IF(OR($AS845="",$D$6=""),"",TRIM(INDEX($A:$AP,ROW(),$D$6)&amp;""))</f>
        <v/>
      </c>
      <c r="BA845" s="2">
        <f>IF($AS845="","",IF(AND($AS845&gt;=설정!$B$10,$AS845&lt;=설정!$B$11),"포함","기간 밖"))</f>
        <v/>
      </c>
      <c r="BB845" s="2">
        <f>IF($AS845="","",IF(OR($AT845&lt;0,AND($I$6&lt;&gt;"",ISNUMBER(FIND("수정",INDEX($A:$AP,ROW(),IF($I$6="",1,$I$6))&amp;"")))),"수정","일반"))</f>
        <v/>
      </c>
      <c r="BC845" s="2">
        <f>IF($AS845="","",MID(IF($BA845="기간 밖"," / 기간 밖(신고기간 아님)","")&amp;IF(AND($AW845&lt;&gt;"",COUNTIF($AW$8:$AW$1007,$AW845)&gt;1)," / 승인번호 중복(두 번 붙여넣기?)","")&amp;IF(ABS($AU845-ROUND($AT845*0.1,0))&gt;설정!$B$8,IF($AU845=0," / 세액 0원(영세율·면세 여부 확인)"," / 세액이 공급가액 10%와 다름"),"")&amp;IF($BB845="수정"," / 수정세금계산서(합계에서 자동 가감)",""),4,200))</f>
        <v/>
      </c>
      <c r="BD845" s="2">
        <f>IF($BA845&lt;&gt;"포함","",IF(COUNTIFS($AX$8:$AX845,$AX845,$BA$8:$BA845,"포함")=1,MAX($BD$7:BD844)+1,""))</f>
        <v/>
      </c>
      <c r="BE845" s="2">
        <f>IF($BC845="","",MAX($BE$7:BE844)+1)</f>
        <v/>
      </c>
    </row>
    <row r="846">
      <c r="AR846" s="2">
        <f>IF(OR($A$5="",$B$6="",ROW()&lt;$A$5),"",IF(INDEX($A:$AP,ROW(),$B$6)="","",INDEX($A:$AP,ROW(),$B$6)))</f>
        <v/>
      </c>
      <c r="AS846" s="22">
        <f>IF($AR846="","",IF(ISNUMBER($AR846),IF($AR846&gt;=10000000,IFERROR(DATE(INT($AR846/10000),MOD(INT($AR846/100),100),MOD($AR846,100)),""),INT($AR846)),IFERROR(DATE(--LEFT(LEFT(SUBSTITUTE(SUBSTITUTE(SUBSTITUTE(SUBSTITUTE(TRIM($AR846),"-",""),".",""),"/","")," ",""),8),4),--MID(LEFT(SUBSTITUTE(SUBSTITUTE(SUBSTITUTE(SUBSTITUTE(TRIM($AR846),"-",""),".",""),"/","")," ",""),8),5,2),--MID(LEFT(SUBSTITUTE(SUBSTITUTE(SUBSTITUTE(SUBSTITUTE(TRIM($AR846),"-",""),".",""),"/","")," ",""),8),7,2)),"")))</f>
        <v/>
      </c>
      <c r="AT846" s="23">
        <f>IF($AS846="","",IF($F$6="",0,IF(ISNUMBER(INDEX($A:$AP,ROW(),$F$6)),INDEX($A:$AP,ROW(),$F$6),IFERROR(--SUBSTITUTE(SUBSTITUTE(TRIM(INDEX($A:$AP,ROW(),$F$6)),",",""),"원",""),0))))</f>
        <v/>
      </c>
      <c r="AU846" s="23">
        <f>IF($AS846="","",IF($G$6="",0,IF(ISNUMBER(INDEX($A:$AP,ROW(),$G$6)),INDEX($A:$AP,ROW(),$G$6),IFERROR(--SUBSTITUTE(SUBSTITUTE(TRIM(INDEX($A:$AP,ROW(),$G$6)),",",""),"원",""),0))))</f>
        <v/>
      </c>
      <c r="AV846" s="23">
        <f>IF($AS846="","",IF($H$6="",$AT846+$AU846,IF($H$6="",0,IF(ISNUMBER(INDEX($A:$AP,ROW(),$H$6)),INDEX($A:$AP,ROW(),$H$6),IFERROR(--SUBSTITUTE(SUBSTITUTE(TRIM(INDEX($A:$AP,ROW(),$H$6)),",",""),"원",""),0)))))</f>
        <v/>
      </c>
      <c r="AW846" s="2">
        <f>IF(OR($AS846="",$C$6=""),"",TRIM(INDEX($A:$AP,ROW(),$C$6)&amp;""))</f>
        <v/>
      </c>
      <c r="AX846" s="2">
        <f>IF($AS846="","",IF($AZ846&lt;&gt;"",SUBSTITUTE(SUBSTITUTE($AZ846,"-","")," ",""),$AY846))</f>
        <v/>
      </c>
      <c r="AY846" s="2">
        <f>IF(OR($AS846="",$E$6=""),"",TRIM(INDEX($A:$AP,ROW(),$E$6)&amp;""))</f>
        <v/>
      </c>
      <c r="AZ846" s="2">
        <f>IF(OR($AS846="",$D$6=""),"",TRIM(INDEX($A:$AP,ROW(),$D$6)&amp;""))</f>
        <v/>
      </c>
      <c r="BA846" s="2">
        <f>IF($AS846="","",IF(AND($AS846&gt;=설정!$B$10,$AS846&lt;=설정!$B$11),"포함","기간 밖"))</f>
        <v/>
      </c>
      <c r="BB846" s="2">
        <f>IF($AS846="","",IF(OR($AT846&lt;0,AND($I$6&lt;&gt;"",ISNUMBER(FIND("수정",INDEX($A:$AP,ROW(),IF($I$6="",1,$I$6))&amp;"")))),"수정","일반"))</f>
        <v/>
      </c>
      <c r="BC846" s="2">
        <f>IF($AS846="","",MID(IF($BA846="기간 밖"," / 기간 밖(신고기간 아님)","")&amp;IF(AND($AW846&lt;&gt;"",COUNTIF($AW$8:$AW$1007,$AW846)&gt;1)," / 승인번호 중복(두 번 붙여넣기?)","")&amp;IF(ABS($AU846-ROUND($AT846*0.1,0))&gt;설정!$B$8,IF($AU846=0," / 세액 0원(영세율·면세 여부 확인)"," / 세액이 공급가액 10%와 다름"),"")&amp;IF($BB846="수정"," / 수정세금계산서(합계에서 자동 가감)",""),4,200))</f>
        <v/>
      </c>
      <c r="BD846" s="2">
        <f>IF($BA846&lt;&gt;"포함","",IF(COUNTIFS($AX$8:$AX846,$AX846,$BA$8:$BA846,"포함")=1,MAX($BD$7:BD845)+1,""))</f>
        <v/>
      </c>
      <c r="BE846" s="2">
        <f>IF($BC846="","",MAX($BE$7:BE845)+1)</f>
        <v/>
      </c>
    </row>
    <row r="847">
      <c r="AR847" s="2">
        <f>IF(OR($A$5="",$B$6="",ROW()&lt;$A$5),"",IF(INDEX($A:$AP,ROW(),$B$6)="","",INDEX($A:$AP,ROW(),$B$6)))</f>
        <v/>
      </c>
      <c r="AS847" s="22">
        <f>IF($AR847="","",IF(ISNUMBER($AR847),IF($AR847&gt;=10000000,IFERROR(DATE(INT($AR847/10000),MOD(INT($AR847/100),100),MOD($AR847,100)),""),INT($AR847)),IFERROR(DATE(--LEFT(LEFT(SUBSTITUTE(SUBSTITUTE(SUBSTITUTE(SUBSTITUTE(TRIM($AR847),"-",""),".",""),"/","")," ",""),8),4),--MID(LEFT(SUBSTITUTE(SUBSTITUTE(SUBSTITUTE(SUBSTITUTE(TRIM($AR847),"-",""),".",""),"/","")," ",""),8),5,2),--MID(LEFT(SUBSTITUTE(SUBSTITUTE(SUBSTITUTE(SUBSTITUTE(TRIM($AR847),"-",""),".",""),"/","")," ",""),8),7,2)),"")))</f>
        <v/>
      </c>
      <c r="AT847" s="23">
        <f>IF($AS847="","",IF($F$6="",0,IF(ISNUMBER(INDEX($A:$AP,ROW(),$F$6)),INDEX($A:$AP,ROW(),$F$6),IFERROR(--SUBSTITUTE(SUBSTITUTE(TRIM(INDEX($A:$AP,ROW(),$F$6)),",",""),"원",""),0))))</f>
        <v/>
      </c>
      <c r="AU847" s="23">
        <f>IF($AS847="","",IF($G$6="",0,IF(ISNUMBER(INDEX($A:$AP,ROW(),$G$6)),INDEX($A:$AP,ROW(),$G$6),IFERROR(--SUBSTITUTE(SUBSTITUTE(TRIM(INDEX($A:$AP,ROW(),$G$6)),",",""),"원",""),0))))</f>
        <v/>
      </c>
      <c r="AV847" s="23">
        <f>IF($AS847="","",IF($H$6="",$AT847+$AU847,IF($H$6="",0,IF(ISNUMBER(INDEX($A:$AP,ROW(),$H$6)),INDEX($A:$AP,ROW(),$H$6),IFERROR(--SUBSTITUTE(SUBSTITUTE(TRIM(INDEX($A:$AP,ROW(),$H$6)),",",""),"원",""),0)))))</f>
        <v/>
      </c>
      <c r="AW847" s="2">
        <f>IF(OR($AS847="",$C$6=""),"",TRIM(INDEX($A:$AP,ROW(),$C$6)&amp;""))</f>
        <v/>
      </c>
      <c r="AX847" s="2">
        <f>IF($AS847="","",IF($AZ847&lt;&gt;"",SUBSTITUTE(SUBSTITUTE($AZ847,"-","")," ",""),$AY847))</f>
        <v/>
      </c>
      <c r="AY847" s="2">
        <f>IF(OR($AS847="",$E$6=""),"",TRIM(INDEX($A:$AP,ROW(),$E$6)&amp;""))</f>
        <v/>
      </c>
      <c r="AZ847" s="2">
        <f>IF(OR($AS847="",$D$6=""),"",TRIM(INDEX($A:$AP,ROW(),$D$6)&amp;""))</f>
        <v/>
      </c>
      <c r="BA847" s="2">
        <f>IF($AS847="","",IF(AND($AS847&gt;=설정!$B$10,$AS847&lt;=설정!$B$11),"포함","기간 밖"))</f>
        <v/>
      </c>
      <c r="BB847" s="2">
        <f>IF($AS847="","",IF(OR($AT847&lt;0,AND($I$6&lt;&gt;"",ISNUMBER(FIND("수정",INDEX($A:$AP,ROW(),IF($I$6="",1,$I$6))&amp;"")))),"수정","일반"))</f>
        <v/>
      </c>
      <c r="BC847" s="2">
        <f>IF($AS847="","",MID(IF($BA847="기간 밖"," / 기간 밖(신고기간 아님)","")&amp;IF(AND($AW847&lt;&gt;"",COUNTIF($AW$8:$AW$1007,$AW847)&gt;1)," / 승인번호 중복(두 번 붙여넣기?)","")&amp;IF(ABS($AU847-ROUND($AT847*0.1,0))&gt;설정!$B$8,IF($AU847=0," / 세액 0원(영세율·면세 여부 확인)"," / 세액이 공급가액 10%와 다름"),"")&amp;IF($BB847="수정"," / 수정세금계산서(합계에서 자동 가감)",""),4,200))</f>
        <v/>
      </c>
      <c r="BD847" s="2">
        <f>IF($BA847&lt;&gt;"포함","",IF(COUNTIFS($AX$8:$AX847,$AX847,$BA$8:$BA847,"포함")=1,MAX($BD$7:BD846)+1,""))</f>
        <v/>
      </c>
      <c r="BE847" s="2">
        <f>IF($BC847="","",MAX($BE$7:BE846)+1)</f>
        <v/>
      </c>
    </row>
    <row r="848">
      <c r="AR848" s="2">
        <f>IF(OR($A$5="",$B$6="",ROW()&lt;$A$5),"",IF(INDEX($A:$AP,ROW(),$B$6)="","",INDEX($A:$AP,ROW(),$B$6)))</f>
        <v/>
      </c>
      <c r="AS848" s="22">
        <f>IF($AR848="","",IF(ISNUMBER($AR848),IF($AR848&gt;=10000000,IFERROR(DATE(INT($AR848/10000),MOD(INT($AR848/100),100),MOD($AR848,100)),""),INT($AR848)),IFERROR(DATE(--LEFT(LEFT(SUBSTITUTE(SUBSTITUTE(SUBSTITUTE(SUBSTITUTE(TRIM($AR848),"-",""),".",""),"/","")," ",""),8),4),--MID(LEFT(SUBSTITUTE(SUBSTITUTE(SUBSTITUTE(SUBSTITUTE(TRIM($AR848),"-",""),".",""),"/","")," ",""),8),5,2),--MID(LEFT(SUBSTITUTE(SUBSTITUTE(SUBSTITUTE(SUBSTITUTE(TRIM($AR848),"-",""),".",""),"/","")," ",""),8),7,2)),"")))</f>
        <v/>
      </c>
      <c r="AT848" s="23">
        <f>IF($AS848="","",IF($F$6="",0,IF(ISNUMBER(INDEX($A:$AP,ROW(),$F$6)),INDEX($A:$AP,ROW(),$F$6),IFERROR(--SUBSTITUTE(SUBSTITUTE(TRIM(INDEX($A:$AP,ROW(),$F$6)),",",""),"원",""),0))))</f>
        <v/>
      </c>
      <c r="AU848" s="23">
        <f>IF($AS848="","",IF($G$6="",0,IF(ISNUMBER(INDEX($A:$AP,ROW(),$G$6)),INDEX($A:$AP,ROW(),$G$6),IFERROR(--SUBSTITUTE(SUBSTITUTE(TRIM(INDEX($A:$AP,ROW(),$G$6)),",",""),"원",""),0))))</f>
        <v/>
      </c>
      <c r="AV848" s="23">
        <f>IF($AS848="","",IF($H$6="",$AT848+$AU848,IF($H$6="",0,IF(ISNUMBER(INDEX($A:$AP,ROW(),$H$6)),INDEX($A:$AP,ROW(),$H$6),IFERROR(--SUBSTITUTE(SUBSTITUTE(TRIM(INDEX($A:$AP,ROW(),$H$6)),",",""),"원",""),0)))))</f>
        <v/>
      </c>
      <c r="AW848" s="2">
        <f>IF(OR($AS848="",$C$6=""),"",TRIM(INDEX($A:$AP,ROW(),$C$6)&amp;""))</f>
        <v/>
      </c>
      <c r="AX848" s="2">
        <f>IF($AS848="","",IF($AZ848&lt;&gt;"",SUBSTITUTE(SUBSTITUTE($AZ848,"-","")," ",""),$AY848))</f>
        <v/>
      </c>
      <c r="AY848" s="2">
        <f>IF(OR($AS848="",$E$6=""),"",TRIM(INDEX($A:$AP,ROW(),$E$6)&amp;""))</f>
        <v/>
      </c>
      <c r="AZ848" s="2">
        <f>IF(OR($AS848="",$D$6=""),"",TRIM(INDEX($A:$AP,ROW(),$D$6)&amp;""))</f>
        <v/>
      </c>
      <c r="BA848" s="2">
        <f>IF($AS848="","",IF(AND($AS848&gt;=설정!$B$10,$AS848&lt;=설정!$B$11),"포함","기간 밖"))</f>
        <v/>
      </c>
      <c r="BB848" s="2">
        <f>IF($AS848="","",IF(OR($AT848&lt;0,AND($I$6&lt;&gt;"",ISNUMBER(FIND("수정",INDEX($A:$AP,ROW(),IF($I$6="",1,$I$6))&amp;"")))),"수정","일반"))</f>
        <v/>
      </c>
      <c r="BC848" s="2">
        <f>IF($AS848="","",MID(IF($BA848="기간 밖"," / 기간 밖(신고기간 아님)","")&amp;IF(AND($AW848&lt;&gt;"",COUNTIF($AW$8:$AW$1007,$AW848)&gt;1)," / 승인번호 중복(두 번 붙여넣기?)","")&amp;IF(ABS($AU848-ROUND($AT848*0.1,0))&gt;설정!$B$8,IF($AU848=0," / 세액 0원(영세율·면세 여부 확인)"," / 세액이 공급가액 10%와 다름"),"")&amp;IF($BB848="수정"," / 수정세금계산서(합계에서 자동 가감)",""),4,200))</f>
        <v/>
      </c>
      <c r="BD848" s="2">
        <f>IF($BA848&lt;&gt;"포함","",IF(COUNTIFS($AX$8:$AX848,$AX848,$BA$8:$BA848,"포함")=1,MAX($BD$7:BD847)+1,""))</f>
        <v/>
      </c>
      <c r="BE848" s="2">
        <f>IF($BC848="","",MAX($BE$7:BE847)+1)</f>
        <v/>
      </c>
    </row>
    <row r="849">
      <c r="AR849" s="2">
        <f>IF(OR($A$5="",$B$6="",ROW()&lt;$A$5),"",IF(INDEX($A:$AP,ROW(),$B$6)="","",INDEX($A:$AP,ROW(),$B$6)))</f>
        <v/>
      </c>
      <c r="AS849" s="22">
        <f>IF($AR849="","",IF(ISNUMBER($AR849),IF($AR849&gt;=10000000,IFERROR(DATE(INT($AR849/10000),MOD(INT($AR849/100),100),MOD($AR849,100)),""),INT($AR849)),IFERROR(DATE(--LEFT(LEFT(SUBSTITUTE(SUBSTITUTE(SUBSTITUTE(SUBSTITUTE(TRIM($AR849),"-",""),".",""),"/","")," ",""),8),4),--MID(LEFT(SUBSTITUTE(SUBSTITUTE(SUBSTITUTE(SUBSTITUTE(TRIM($AR849),"-",""),".",""),"/","")," ",""),8),5,2),--MID(LEFT(SUBSTITUTE(SUBSTITUTE(SUBSTITUTE(SUBSTITUTE(TRIM($AR849),"-",""),".",""),"/","")," ",""),8),7,2)),"")))</f>
        <v/>
      </c>
      <c r="AT849" s="23">
        <f>IF($AS849="","",IF($F$6="",0,IF(ISNUMBER(INDEX($A:$AP,ROW(),$F$6)),INDEX($A:$AP,ROW(),$F$6),IFERROR(--SUBSTITUTE(SUBSTITUTE(TRIM(INDEX($A:$AP,ROW(),$F$6)),",",""),"원",""),0))))</f>
        <v/>
      </c>
      <c r="AU849" s="23">
        <f>IF($AS849="","",IF($G$6="",0,IF(ISNUMBER(INDEX($A:$AP,ROW(),$G$6)),INDEX($A:$AP,ROW(),$G$6),IFERROR(--SUBSTITUTE(SUBSTITUTE(TRIM(INDEX($A:$AP,ROW(),$G$6)),",",""),"원",""),0))))</f>
        <v/>
      </c>
      <c r="AV849" s="23">
        <f>IF($AS849="","",IF($H$6="",$AT849+$AU849,IF($H$6="",0,IF(ISNUMBER(INDEX($A:$AP,ROW(),$H$6)),INDEX($A:$AP,ROW(),$H$6),IFERROR(--SUBSTITUTE(SUBSTITUTE(TRIM(INDEX($A:$AP,ROW(),$H$6)),",",""),"원",""),0)))))</f>
        <v/>
      </c>
      <c r="AW849" s="2">
        <f>IF(OR($AS849="",$C$6=""),"",TRIM(INDEX($A:$AP,ROW(),$C$6)&amp;""))</f>
        <v/>
      </c>
      <c r="AX849" s="2">
        <f>IF($AS849="","",IF($AZ849&lt;&gt;"",SUBSTITUTE(SUBSTITUTE($AZ849,"-","")," ",""),$AY849))</f>
        <v/>
      </c>
      <c r="AY849" s="2">
        <f>IF(OR($AS849="",$E$6=""),"",TRIM(INDEX($A:$AP,ROW(),$E$6)&amp;""))</f>
        <v/>
      </c>
      <c r="AZ849" s="2">
        <f>IF(OR($AS849="",$D$6=""),"",TRIM(INDEX($A:$AP,ROW(),$D$6)&amp;""))</f>
        <v/>
      </c>
      <c r="BA849" s="2">
        <f>IF($AS849="","",IF(AND($AS849&gt;=설정!$B$10,$AS849&lt;=설정!$B$11),"포함","기간 밖"))</f>
        <v/>
      </c>
      <c r="BB849" s="2">
        <f>IF($AS849="","",IF(OR($AT849&lt;0,AND($I$6&lt;&gt;"",ISNUMBER(FIND("수정",INDEX($A:$AP,ROW(),IF($I$6="",1,$I$6))&amp;"")))),"수정","일반"))</f>
        <v/>
      </c>
      <c r="BC849" s="2">
        <f>IF($AS849="","",MID(IF($BA849="기간 밖"," / 기간 밖(신고기간 아님)","")&amp;IF(AND($AW849&lt;&gt;"",COUNTIF($AW$8:$AW$1007,$AW849)&gt;1)," / 승인번호 중복(두 번 붙여넣기?)","")&amp;IF(ABS($AU849-ROUND($AT849*0.1,0))&gt;설정!$B$8,IF($AU849=0," / 세액 0원(영세율·면세 여부 확인)"," / 세액이 공급가액 10%와 다름"),"")&amp;IF($BB849="수정"," / 수정세금계산서(합계에서 자동 가감)",""),4,200))</f>
        <v/>
      </c>
      <c r="BD849" s="2">
        <f>IF($BA849&lt;&gt;"포함","",IF(COUNTIFS($AX$8:$AX849,$AX849,$BA$8:$BA849,"포함")=1,MAX($BD$7:BD848)+1,""))</f>
        <v/>
      </c>
      <c r="BE849" s="2">
        <f>IF($BC849="","",MAX($BE$7:BE848)+1)</f>
        <v/>
      </c>
    </row>
    <row r="850">
      <c r="AR850" s="2">
        <f>IF(OR($A$5="",$B$6="",ROW()&lt;$A$5),"",IF(INDEX($A:$AP,ROW(),$B$6)="","",INDEX($A:$AP,ROW(),$B$6)))</f>
        <v/>
      </c>
      <c r="AS850" s="22">
        <f>IF($AR850="","",IF(ISNUMBER($AR850),IF($AR850&gt;=10000000,IFERROR(DATE(INT($AR850/10000),MOD(INT($AR850/100),100),MOD($AR850,100)),""),INT($AR850)),IFERROR(DATE(--LEFT(LEFT(SUBSTITUTE(SUBSTITUTE(SUBSTITUTE(SUBSTITUTE(TRIM($AR850),"-",""),".",""),"/","")," ",""),8),4),--MID(LEFT(SUBSTITUTE(SUBSTITUTE(SUBSTITUTE(SUBSTITUTE(TRIM($AR850),"-",""),".",""),"/","")," ",""),8),5,2),--MID(LEFT(SUBSTITUTE(SUBSTITUTE(SUBSTITUTE(SUBSTITUTE(TRIM($AR850),"-",""),".",""),"/","")," ",""),8),7,2)),"")))</f>
        <v/>
      </c>
      <c r="AT850" s="23">
        <f>IF($AS850="","",IF($F$6="",0,IF(ISNUMBER(INDEX($A:$AP,ROW(),$F$6)),INDEX($A:$AP,ROW(),$F$6),IFERROR(--SUBSTITUTE(SUBSTITUTE(TRIM(INDEX($A:$AP,ROW(),$F$6)),",",""),"원",""),0))))</f>
        <v/>
      </c>
      <c r="AU850" s="23">
        <f>IF($AS850="","",IF($G$6="",0,IF(ISNUMBER(INDEX($A:$AP,ROW(),$G$6)),INDEX($A:$AP,ROW(),$G$6),IFERROR(--SUBSTITUTE(SUBSTITUTE(TRIM(INDEX($A:$AP,ROW(),$G$6)),",",""),"원",""),0))))</f>
        <v/>
      </c>
      <c r="AV850" s="23">
        <f>IF($AS850="","",IF($H$6="",$AT850+$AU850,IF($H$6="",0,IF(ISNUMBER(INDEX($A:$AP,ROW(),$H$6)),INDEX($A:$AP,ROW(),$H$6),IFERROR(--SUBSTITUTE(SUBSTITUTE(TRIM(INDEX($A:$AP,ROW(),$H$6)),",",""),"원",""),0)))))</f>
        <v/>
      </c>
      <c r="AW850" s="2">
        <f>IF(OR($AS850="",$C$6=""),"",TRIM(INDEX($A:$AP,ROW(),$C$6)&amp;""))</f>
        <v/>
      </c>
      <c r="AX850" s="2">
        <f>IF($AS850="","",IF($AZ850&lt;&gt;"",SUBSTITUTE(SUBSTITUTE($AZ850,"-","")," ",""),$AY850))</f>
        <v/>
      </c>
      <c r="AY850" s="2">
        <f>IF(OR($AS850="",$E$6=""),"",TRIM(INDEX($A:$AP,ROW(),$E$6)&amp;""))</f>
        <v/>
      </c>
      <c r="AZ850" s="2">
        <f>IF(OR($AS850="",$D$6=""),"",TRIM(INDEX($A:$AP,ROW(),$D$6)&amp;""))</f>
        <v/>
      </c>
      <c r="BA850" s="2">
        <f>IF($AS850="","",IF(AND($AS850&gt;=설정!$B$10,$AS850&lt;=설정!$B$11),"포함","기간 밖"))</f>
        <v/>
      </c>
      <c r="BB850" s="2">
        <f>IF($AS850="","",IF(OR($AT850&lt;0,AND($I$6&lt;&gt;"",ISNUMBER(FIND("수정",INDEX($A:$AP,ROW(),IF($I$6="",1,$I$6))&amp;"")))),"수정","일반"))</f>
        <v/>
      </c>
      <c r="BC850" s="2">
        <f>IF($AS850="","",MID(IF($BA850="기간 밖"," / 기간 밖(신고기간 아님)","")&amp;IF(AND($AW850&lt;&gt;"",COUNTIF($AW$8:$AW$1007,$AW850)&gt;1)," / 승인번호 중복(두 번 붙여넣기?)","")&amp;IF(ABS($AU850-ROUND($AT850*0.1,0))&gt;설정!$B$8,IF($AU850=0," / 세액 0원(영세율·면세 여부 확인)"," / 세액이 공급가액 10%와 다름"),"")&amp;IF($BB850="수정"," / 수정세금계산서(합계에서 자동 가감)",""),4,200))</f>
        <v/>
      </c>
      <c r="BD850" s="2">
        <f>IF($BA850&lt;&gt;"포함","",IF(COUNTIFS($AX$8:$AX850,$AX850,$BA$8:$BA850,"포함")=1,MAX($BD$7:BD849)+1,""))</f>
        <v/>
      </c>
      <c r="BE850" s="2">
        <f>IF($BC850="","",MAX($BE$7:BE849)+1)</f>
        <v/>
      </c>
    </row>
    <row r="851">
      <c r="AR851" s="2">
        <f>IF(OR($A$5="",$B$6="",ROW()&lt;$A$5),"",IF(INDEX($A:$AP,ROW(),$B$6)="","",INDEX($A:$AP,ROW(),$B$6)))</f>
        <v/>
      </c>
      <c r="AS851" s="22">
        <f>IF($AR851="","",IF(ISNUMBER($AR851),IF($AR851&gt;=10000000,IFERROR(DATE(INT($AR851/10000),MOD(INT($AR851/100),100),MOD($AR851,100)),""),INT($AR851)),IFERROR(DATE(--LEFT(LEFT(SUBSTITUTE(SUBSTITUTE(SUBSTITUTE(SUBSTITUTE(TRIM($AR851),"-",""),".",""),"/","")," ",""),8),4),--MID(LEFT(SUBSTITUTE(SUBSTITUTE(SUBSTITUTE(SUBSTITUTE(TRIM($AR851),"-",""),".",""),"/","")," ",""),8),5,2),--MID(LEFT(SUBSTITUTE(SUBSTITUTE(SUBSTITUTE(SUBSTITUTE(TRIM($AR851),"-",""),".",""),"/","")," ",""),8),7,2)),"")))</f>
        <v/>
      </c>
      <c r="AT851" s="23">
        <f>IF($AS851="","",IF($F$6="",0,IF(ISNUMBER(INDEX($A:$AP,ROW(),$F$6)),INDEX($A:$AP,ROW(),$F$6),IFERROR(--SUBSTITUTE(SUBSTITUTE(TRIM(INDEX($A:$AP,ROW(),$F$6)),",",""),"원",""),0))))</f>
        <v/>
      </c>
      <c r="AU851" s="23">
        <f>IF($AS851="","",IF($G$6="",0,IF(ISNUMBER(INDEX($A:$AP,ROW(),$G$6)),INDEX($A:$AP,ROW(),$G$6),IFERROR(--SUBSTITUTE(SUBSTITUTE(TRIM(INDEX($A:$AP,ROW(),$G$6)),",",""),"원",""),0))))</f>
        <v/>
      </c>
      <c r="AV851" s="23">
        <f>IF($AS851="","",IF($H$6="",$AT851+$AU851,IF($H$6="",0,IF(ISNUMBER(INDEX($A:$AP,ROW(),$H$6)),INDEX($A:$AP,ROW(),$H$6),IFERROR(--SUBSTITUTE(SUBSTITUTE(TRIM(INDEX($A:$AP,ROW(),$H$6)),",",""),"원",""),0)))))</f>
        <v/>
      </c>
      <c r="AW851" s="2">
        <f>IF(OR($AS851="",$C$6=""),"",TRIM(INDEX($A:$AP,ROW(),$C$6)&amp;""))</f>
        <v/>
      </c>
      <c r="AX851" s="2">
        <f>IF($AS851="","",IF($AZ851&lt;&gt;"",SUBSTITUTE(SUBSTITUTE($AZ851,"-","")," ",""),$AY851))</f>
        <v/>
      </c>
      <c r="AY851" s="2">
        <f>IF(OR($AS851="",$E$6=""),"",TRIM(INDEX($A:$AP,ROW(),$E$6)&amp;""))</f>
        <v/>
      </c>
      <c r="AZ851" s="2">
        <f>IF(OR($AS851="",$D$6=""),"",TRIM(INDEX($A:$AP,ROW(),$D$6)&amp;""))</f>
        <v/>
      </c>
      <c r="BA851" s="2">
        <f>IF($AS851="","",IF(AND($AS851&gt;=설정!$B$10,$AS851&lt;=설정!$B$11),"포함","기간 밖"))</f>
        <v/>
      </c>
      <c r="BB851" s="2">
        <f>IF($AS851="","",IF(OR($AT851&lt;0,AND($I$6&lt;&gt;"",ISNUMBER(FIND("수정",INDEX($A:$AP,ROW(),IF($I$6="",1,$I$6))&amp;"")))),"수정","일반"))</f>
        <v/>
      </c>
      <c r="BC851" s="2">
        <f>IF($AS851="","",MID(IF($BA851="기간 밖"," / 기간 밖(신고기간 아님)","")&amp;IF(AND($AW851&lt;&gt;"",COUNTIF($AW$8:$AW$1007,$AW851)&gt;1)," / 승인번호 중복(두 번 붙여넣기?)","")&amp;IF(ABS($AU851-ROUND($AT851*0.1,0))&gt;설정!$B$8,IF($AU851=0," / 세액 0원(영세율·면세 여부 확인)"," / 세액이 공급가액 10%와 다름"),"")&amp;IF($BB851="수정"," / 수정세금계산서(합계에서 자동 가감)",""),4,200))</f>
        <v/>
      </c>
      <c r="BD851" s="2">
        <f>IF($BA851&lt;&gt;"포함","",IF(COUNTIFS($AX$8:$AX851,$AX851,$BA$8:$BA851,"포함")=1,MAX($BD$7:BD850)+1,""))</f>
        <v/>
      </c>
      <c r="BE851" s="2">
        <f>IF($BC851="","",MAX($BE$7:BE850)+1)</f>
        <v/>
      </c>
    </row>
    <row r="852">
      <c r="AR852" s="2">
        <f>IF(OR($A$5="",$B$6="",ROW()&lt;$A$5),"",IF(INDEX($A:$AP,ROW(),$B$6)="","",INDEX($A:$AP,ROW(),$B$6)))</f>
        <v/>
      </c>
      <c r="AS852" s="22">
        <f>IF($AR852="","",IF(ISNUMBER($AR852),IF($AR852&gt;=10000000,IFERROR(DATE(INT($AR852/10000),MOD(INT($AR852/100),100),MOD($AR852,100)),""),INT($AR852)),IFERROR(DATE(--LEFT(LEFT(SUBSTITUTE(SUBSTITUTE(SUBSTITUTE(SUBSTITUTE(TRIM($AR852),"-",""),".",""),"/","")," ",""),8),4),--MID(LEFT(SUBSTITUTE(SUBSTITUTE(SUBSTITUTE(SUBSTITUTE(TRIM($AR852),"-",""),".",""),"/","")," ",""),8),5,2),--MID(LEFT(SUBSTITUTE(SUBSTITUTE(SUBSTITUTE(SUBSTITUTE(TRIM($AR852),"-",""),".",""),"/","")," ",""),8),7,2)),"")))</f>
        <v/>
      </c>
      <c r="AT852" s="23">
        <f>IF($AS852="","",IF($F$6="",0,IF(ISNUMBER(INDEX($A:$AP,ROW(),$F$6)),INDEX($A:$AP,ROW(),$F$6),IFERROR(--SUBSTITUTE(SUBSTITUTE(TRIM(INDEX($A:$AP,ROW(),$F$6)),",",""),"원",""),0))))</f>
        <v/>
      </c>
      <c r="AU852" s="23">
        <f>IF($AS852="","",IF($G$6="",0,IF(ISNUMBER(INDEX($A:$AP,ROW(),$G$6)),INDEX($A:$AP,ROW(),$G$6),IFERROR(--SUBSTITUTE(SUBSTITUTE(TRIM(INDEX($A:$AP,ROW(),$G$6)),",",""),"원",""),0))))</f>
        <v/>
      </c>
      <c r="AV852" s="23">
        <f>IF($AS852="","",IF($H$6="",$AT852+$AU852,IF($H$6="",0,IF(ISNUMBER(INDEX($A:$AP,ROW(),$H$6)),INDEX($A:$AP,ROW(),$H$6),IFERROR(--SUBSTITUTE(SUBSTITUTE(TRIM(INDEX($A:$AP,ROW(),$H$6)),",",""),"원",""),0)))))</f>
        <v/>
      </c>
      <c r="AW852" s="2">
        <f>IF(OR($AS852="",$C$6=""),"",TRIM(INDEX($A:$AP,ROW(),$C$6)&amp;""))</f>
        <v/>
      </c>
      <c r="AX852" s="2">
        <f>IF($AS852="","",IF($AZ852&lt;&gt;"",SUBSTITUTE(SUBSTITUTE($AZ852,"-","")," ",""),$AY852))</f>
        <v/>
      </c>
      <c r="AY852" s="2">
        <f>IF(OR($AS852="",$E$6=""),"",TRIM(INDEX($A:$AP,ROW(),$E$6)&amp;""))</f>
        <v/>
      </c>
      <c r="AZ852" s="2">
        <f>IF(OR($AS852="",$D$6=""),"",TRIM(INDEX($A:$AP,ROW(),$D$6)&amp;""))</f>
        <v/>
      </c>
      <c r="BA852" s="2">
        <f>IF($AS852="","",IF(AND($AS852&gt;=설정!$B$10,$AS852&lt;=설정!$B$11),"포함","기간 밖"))</f>
        <v/>
      </c>
      <c r="BB852" s="2">
        <f>IF($AS852="","",IF(OR($AT852&lt;0,AND($I$6&lt;&gt;"",ISNUMBER(FIND("수정",INDEX($A:$AP,ROW(),IF($I$6="",1,$I$6))&amp;"")))),"수정","일반"))</f>
        <v/>
      </c>
      <c r="BC852" s="2">
        <f>IF($AS852="","",MID(IF($BA852="기간 밖"," / 기간 밖(신고기간 아님)","")&amp;IF(AND($AW852&lt;&gt;"",COUNTIF($AW$8:$AW$1007,$AW852)&gt;1)," / 승인번호 중복(두 번 붙여넣기?)","")&amp;IF(ABS($AU852-ROUND($AT852*0.1,0))&gt;설정!$B$8,IF($AU852=0," / 세액 0원(영세율·면세 여부 확인)"," / 세액이 공급가액 10%와 다름"),"")&amp;IF($BB852="수정"," / 수정세금계산서(합계에서 자동 가감)",""),4,200))</f>
        <v/>
      </c>
      <c r="BD852" s="2">
        <f>IF($BA852&lt;&gt;"포함","",IF(COUNTIFS($AX$8:$AX852,$AX852,$BA$8:$BA852,"포함")=1,MAX($BD$7:BD851)+1,""))</f>
        <v/>
      </c>
      <c r="BE852" s="2">
        <f>IF($BC852="","",MAX($BE$7:BE851)+1)</f>
        <v/>
      </c>
    </row>
    <row r="853">
      <c r="AR853" s="2">
        <f>IF(OR($A$5="",$B$6="",ROW()&lt;$A$5),"",IF(INDEX($A:$AP,ROW(),$B$6)="","",INDEX($A:$AP,ROW(),$B$6)))</f>
        <v/>
      </c>
      <c r="AS853" s="22">
        <f>IF($AR853="","",IF(ISNUMBER($AR853),IF($AR853&gt;=10000000,IFERROR(DATE(INT($AR853/10000),MOD(INT($AR853/100),100),MOD($AR853,100)),""),INT($AR853)),IFERROR(DATE(--LEFT(LEFT(SUBSTITUTE(SUBSTITUTE(SUBSTITUTE(SUBSTITUTE(TRIM($AR853),"-",""),".",""),"/","")," ",""),8),4),--MID(LEFT(SUBSTITUTE(SUBSTITUTE(SUBSTITUTE(SUBSTITUTE(TRIM($AR853),"-",""),".",""),"/","")," ",""),8),5,2),--MID(LEFT(SUBSTITUTE(SUBSTITUTE(SUBSTITUTE(SUBSTITUTE(TRIM($AR853),"-",""),".",""),"/","")," ",""),8),7,2)),"")))</f>
        <v/>
      </c>
      <c r="AT853" s="23">
        <f>IF($AS853="","",IF($F$6="",0,IF(ISNUMBER(INDEX($A:$AP,ROW(),$F$6)),INDEX($A:$AP,ROW(),$F$6),IFERROR(--SUBSTITUTE(SUBSTITUTE(TRIM(INDEX($A:$AP,ROW(),$F$6)),",",""),"원",""),0))))</f>
        <v/>
      </c>
      <c r="AU853" s="23">
        <f>IF($AS853="","",IF($G$6="",0,IF(ISNUMBER(INDEX($A:$AP,ROW(),$G$6)),INDEX($A:$AP,ROW(),$G$6),IFERROR(--SUBSTITUTE(SUBSTITUTE(TRIM(INDEX($A:$AP,ROW(),$G$6)),",",""),"원",""),0))))</f>
        <v/>
      </c>
      <c r="AV853" s="23">
        <f>IF($AS853="","",IF($H$6="",$AT853+$AU853,IF($H$6="",0,IF(ISNUMBER(INDEX($A:$AP,ROW(),$H$6)),INDEX($A:$AP,ROW(),$H$6),IFERROR(--SUBSTITUTE(SUBSTITUTE(TRIM(INDEX($A:$AP,ROW(),$H$6)),",",""),"원",""),0)))))</f>
        <v/>
      </c>
      <c r="AW853" s="2">
        <f>IF(OR($AS853="",$C$6=""),"",TRIM(INDEX($A:$AP,ROW(),$C$6)&amp;""))</f>
        <v/>
      </c>
      <c r="AX853" s="2">
        <f>IF($AS853="","",IF($AZ853&lt;&gt;"",SUBSTITUTE(SUBSTITUTE($AZ853,"-","")," ",""),$AY853))</f>
        <v/>
      </c>
      <c r="AY853" s="2">
        <f>IF(OR($AS853="",$E$6=""),"",TRIM(INDEX($A:$AP,ROW(),$E$6)&amp;""))</f>
        <v/>
      </c>
      <c r="AZ853" s="2">
        <f>IF(OR($AS853="",$D$6=""),"",TRIM(INDEX($A:$AP,ROW(),$D$6)&amp;""))</f>
        <v/>
      </c>
      <c r="BA853" s="2">
        <f>IF($AS853="","",IF(AND($AS853&gt;=설정!$B$10,$AS853&lt;=설정!$B$11),"포함","기간 밖"))</f>
        <v/>
      </c>
      <c r="BB853" s="2">
        <f>IF($AS853="","",IF(OR($AT853&lt;0,AND($I$6&lt;&gt;"",ISNUMBER(FIND("수정",INDEX($A:$AP,ROW(),IF($I$6="",1,$I$6))&amp;"")))),"수정","일반"))</f>
        <v/>
      </c>
      <c r="BC853" s="2">
        <f>IF($AS853="","",MID(IF($BA853="기간 밖"," / 기간 밖(신고기간 아님)","")&amp;IF(AND($AW853&lt;&gt;"",COUNTIF($AW$8:$AW$1007,$AW853)&gt;1)," / 승인번호 중복(두 번 붙여넣기?)","")&amp;IF(ABS($AU853-ROUND($AT853*0.1,0))&gt;설정!$B$8,IF($AU853=0," / 세액 0원(영세율·면세 여부 확인)"," / 세액이 공급가액 10%와 다름"),"")&amp;IF($BB853="수정"," / 수정세금계산서(합계에서 자동 가감)",""),4,200))</f>
        <v/>
      </c>
      <c r="BD853" s="2">
        <f>IF($BA853&lt;&gt;"포함","",IF(COUNTIFS($AX$8:$AX853,$AX853,$BA$8:$BA853,"포함")=1,MAX($BD$7:BD852)+1,""))</f>
        <v/>
      </c>
      <c r="BE853" s="2">
        <f>IF($BC853="","",MAX($BE$7:BE852)+1)</f>
        <v/>
      </c>
    </row>
    <row r="854">
      <c r="AR854" s="2">
        <f>IF(OR($A$5="",$B$6="",ROW()&lt;$A$5),"",IF(INDEX($A:$AP,ROW(),$B$6)="","",INDEX($A:$AP,ROW(),$B$6)))</f>
        <v/>
      </c>
      <c r="AS854" s="22">
        <f>IF($AR854="","",IF(ISNUMBER($AR854),IF($AR854&gt;=10000000,IFERROR(DATE(INT($AR854/10000),MOD(INT($AR854/100),100),MOD($AR854,100)),""),INT($AR854)),IFERROR(DATE(--LEFT(LEFT(SUBSTITUTE(SUBSTITUTE(SUBSTITUTE(SUBSTITUTE(TRIM($AR854),"-",""),".",""),"/","")," ",""),8),4),--MID(LEFT(SUBSTITUTE(SUBSTITUTE(SUBSTITUTE(SUBSTITUTE(TRIM($AR854),"-",""),".",""),"/","")," ",""),8),5,2),--MID(LEFT(SUBSTITUTE(SUBSTITUTE(SUBSTITUTE(SUBSTITUTE(TRIM($AR854),"-",""),".",""),"/","")," ",""),8),7,2)),"")))</f>
        <v/>
      </c>
      <c r="AT854" s="23">
        <f>IF($AS854="","",IF($F$6="",0,IF(ISNUMBER(INDEX($A:$AP,ROW(),$F$6)),INDEX($A:$AP,ROW(),$F$6),IFERROR(--SUBSTITUTE(SUBSTITUTE(TRIM(INDEX($A:$AP,ROW(),$F$6)),",",""),"원",""),0))))</f>
        <v/>
      </c>
      <c r="AU854" s="23">
        <f>IF($AS854="","",IF($G$6="",0,IF(ISNUMBER(INDEX($A:$AP,ROW(),$G$6)),INDEX($A:$AP,ROW(),$G$6),IFERROR(--SUBSTITUTE(SUBSTITUTE(TRIM(INDEX($A:$AP,ROW(),$G$6)),",",""),"원",""),0))))</f>
        <v/>
      </c>
      <c r="AV854" s="23">
        <f>IF($AS854="","",IF($H$6="",$AT854+$AU854,IF($H$6="",0,IF(ISNUMBER(INDEX($A:$AP,ROW(),$H$6)),INDEX($A:$AP,ROW(),$H$6),IFERROR(--SUBSTITUTE(SUBSTITUTE(TRIM(INDEX($A:$AP,ROW(),$H$6)),",",""),"원",""),0)))))</f>
        <v/>
      </c>
      <c r="AW854" s="2">
        <f>IF(OR($AS854="",$C$6=""),"",TRIM(INDEX($A:$AP,ROW(),$C$6)&amp;""))</f>
        <v/>
      </c>
      <c r="AX854" s="2">
        <f>IF($AS854="","",IF($AZ854&lt;&gt;"",SUBSTITUTE(SUBSTITUTE($AZ854,"-","")," ",""),$AY854))</f>
        <v/>
      </c>
      <c r="AY854" s="2">
        <f>IF(OR($AS854="",$E$6=""),"",TRIM(INDEX($A:$AP,ROW(),$E$6)&amp;""))</f>
        <v/>
      </c>
      <c r="AZ854" s="2">
        <f>IF(OR($AS854="",$D$6=""),"",TRIM(INDEX($A:$AP,ROW(),$D$6)&amp;""))</f>
        <v/>
      </c>
      <c r="BA854" s="2">
        <f>IF($AS854="","",IF(AND($AS854&gt;=설정!$B$10,$AS854&lt;=설정!$B$11),"포함","기간 밖"))</f>
        <v/>
      </c>
      <c r="BB854" s="2">
        <f>IF($AS854="","",IF(OR($AT854&lt;0,AND($I$6&lt;&gt;"",ISNUMBER(FIND("수정",INDEX($A:$AP,ROW(),IF($I$6="",1,$I$6))&amp;"")))),"수정","일반"))</f>
        <v/>
      </c>
      <c r="BC854" s="2">
        <f>IF($AS854="","",MID(IF($BA854="기간 밖"," / 기간 밖(신고기간 아님)","")&amp;IF(AND($AW854&lt;&gt;"",COUNTIF($AW$8:$AW$1007,$AW854)&gt;1)," / 승인번호 중복(두 번 붙여넣기?)","")&amp;IF(ABS($AU854-ROUND($AT854*0.1,0))&gt;설정!$B$8,IF($AU854=0," / 세액 0원(영세율·면세 여부 확인)"," / 세액이 공급가액 10%와 다름"),"")&amp;IF($BB854="수정"," / 수정세금계산서(합계에서 자동 가감)",""),4,200))</f>
        <v/>
      </c>
      <c r="BD854" s="2">
        <f>IF($BA854&lt;&gt;"포함","",IF(COUNTIFS($AX$8:$AX854,$AX854,$BA$8:$BA854,"포함")=1,MAX($BD$7:BD853)+1,""))</f>
        <v/>
      </c>
      <c r="BE854" s="2">
        <f>IF($BC854="","",MAX($BE$7:BE853)+1)</f>
        <v/>
      </c>
    </row>
    <row r="855">
      <c r="AR855" s="2">
        <f>IF(OR($A$5="",$B$6="",ROW()&lt;$A$5),"",IF(INDEX($A:$AP,ROW(),$B$6)="","",INDEX($A:$AP,ROW(),$B$6)))</f>
        <v/>
      </c>
      <c r="AS855" s="22">
        <f>IF($AR855="","",IF(ISNUMBER($AR855),IF($AR855&gt;=10000000,IFERROR(DATE(INT($AR855/10000),MOD(INT($AR855/100),100),MOD($AR855,100)),""),INT($AR855)),IFERROR(DATE(--LEFT(LEFT(SUBSTITUTE(SUBSTITUTE(SUBSTITUTE(SUBSTITUTE(TRIM($AR855),"-",""),".",""),"/","")," ",""),8),4),--MID(LEFT(SUBSTITUTE(SUBSTITUTE(SUBSTITUTE(SUBSTITUTE(TRIM($AR855),"-",""),".",""),"/","")," ",""),8),5,2),--MID(LEFT(SUBSTITUTE(SUBSTITUTE(SUBSTITUTE(SUBSTITUTE(TRIM($AR855),"-",""),".",""),"/","")," ",""),8),7,2)),"")))</f>
        <v/>
      </c>
      <c r="AT855" s="23">
        <f>IF($AS855="","",IF($F$6="",0,IF(ISNUMBER(INDEX($A:$AP,ROW(),$F$6)),INDEX($A:$AP,ROW(),$F$6),IFERROR(--SUBSTITUTE(SUBSTITUTE(TRIM(INDEX($A:$AP,ROW(),$F$6)),",",""),"원",""),0))))</f>
        <v/>
      </c>
      <c r="AU855" s="23">
        <f>IF($AS855="","",IF($G$6="",0,IF(ISNUMBER(INDEX($A:$AP,ROW(),$G$6)),INDEX($A:$AP,ROW(),$G$6),IFERROR(--SUBSTITUTE(SUBSTITUTE(TRIM(INDEX($A:$AP,ROW(),$G$6)),",",""),"원",""),0))))</f>
        <v/>
      </c>
      <c r="AV855" s="23">
        <f>IF($AS855="","",IF($H$6="",$AT855+$AU855,IF($H$6="",0,IF(ISNUMBER(INDEX($A:$AP,ROW(),$H$6)),INDEX($A:$AP,ROW(),$H$6),IFERROR(--SUBSTITUTE(SUBSTITUTE(TRIM(INDEX($A:$AP,ROW(),$H$6)),",",""),"원",""),0)))))</f>
        <v/>
      </c>
      <c r="AW855" s="2">
        <f>IF(OR($AS855="",$C$6=""),"",TRIM(INDEX($A:$AP,ROW(),$C$6)&amp;""))</f>
        <v/>
      </c>
      <c r="AX855" s="2">
        <f>IF($AS855="","",IF($AZ855&lt;&gt;"",SUBSTITUTE(SUBSTITUTE($AZ855,"-","")," ",""),$AY855))</f>
        <v/>
      </c>
      <c r="AY855" s="2">
        <f>IF(OR($AS855="",$E$6=""),"",TRIM(INDEX($A:$AP,ROW(),$E$6)&amp;""))</f>
        <v/>
      </c>
      <c r="AZ855" s="2">
        <f>IF(OR($AS855="",$D$6=""),"",TRIM(INDEX($A:$AP,ROW(),$D$6)&amp;""))</f>
        <v/>
      </c>
      <c r="BA855" s="2">
        <f>IF($AS855="","",IF(AND($AS855&gt;=설정!$B$10,$AS855&lt;=설정!$B$11),"포함","기간 밖"))</f>
        <v/>
      </c>
      <c r="BB855" s="2">
        <f>IF($AS855="","",IF(OR($AT855&lt;0,AND($I$6&lt;&gt;"",ISNUMBER(FIND("수정",INDEX($A:$AP,ROW(),IF($I$6="",1,$I$6))&amp;"")))),"수정","일반"))</f>
        <v/>
      </c>
      <c r="BC855" s="2">
        <f>IF($AS855="","",MID(IF($BA855="기간 밖"," / 기간 밖(신고기간 아님)","")&amp;IF(AND($AW855&lt;&gt;"",COUNTIF($AW$8:$AW$1007,$AW855)&gt;1)," / 승인번호 중복(두 번 붙여넣기?)","")&amp;IF(ABS($AU855-ROUND($AT855*0.1,0))&gt;설정!$B$8,IF($AU855=0," / 세액 0원(영세율·면세 여부 확인)"," / 세액이 공급가액 10%와 다름"),"")&amp;IF($BB855="수정"," / 수정세금계산서(합계에서 자동 가감)",""),4,200))</f>
        <v/>
      </c>
      <c r="BD855" s="2">
        <f>IF($BA855&lt;&gt;"포함","",IF(COUNTIFS($AX$8:$AX855,$AX855,$BA$8:$BA855,"포함")=1,MAX($BD$7:BD854)+1,""))</f>
        <v/>
      </c>
      <c r="BE855" s="2">
        <f>IF($BC855="","",MAX($BE$7:BE854)+1)</f>
        <v/>
      </c>
    </row>
    <row r="856">
      <c r="AR856" s="2">
        <f>IF(OR($A$5="",$B$6="",ROW()&lt;$A$5),"",IF(INDEX($A:$AP,ROW(),$B$6)="","",INDEX($A:$AP,ROW(),$B$6)))</f>
        <v/>
      </c>
      <c r="AS856" s="22">
        <f>IF($AR856="","",IF(ISNUMBER($AR856),IF($AR856&gt;=10000000,IFERROR(DATE(INT($AR856/10000),MOD(INT($AR856/100),100),MOD($AR856,100)),""),INT($AR856)),IFERROR(DATE(--LEFT(LEFT(SUBSTITUTE(SUBSTITUTE(SUBSTITUTE(SUBSTITUTE(TRIM($AR856),"-",""),".",""),"/","")," ",""),8),4),--MID(LEFT(SUBSTITUTE(SUBSTITUTE(SUBSTITUTE(SUBSTITUTE(TRIM($AR856),"-",""),".",""),"/","")," ",""),8),5,2),--MID(LEFT(SUBSTITUTE(SUBSTITUTE(SUBSTITUTE(SUBSTITUTE(TRIM($AR856),"-",""),".",""),"/","")," ",""),8),7,2)),"")))</f>
        <v/>
      </c>
      <c r="AT856" s="23">
        <f>IF($AS856="","",IF($F$6="",0,IF(ISNUMBER(INDEX($A:$AP,ROW(),$F$6)),INDEX($A:$AP,ROW(),$F$6),IFERROR(--SUBSTITUTE(SUBSTITUTE(TRIM(INDEX($A:$AP,ROW(),$F$6)),",",""),"원",""),0))))</f>
        <v/>
      </c>
      <c r="AU856" s="23">
        <f>IF($AS856="","",IF($G$6="",0,IF(ISNUMBER(INDEX($A:$AP,ROW(),$G$6)),INDEX($A:$AP,ROW(),$G$6),IFERROR(--SUBSTITUTE(SUBSTITUTE(TRIM(INDEX($A:$AP,ROW(),$G$6)),",",""),"원",""),0))))</f>
        <v/>
      </c>
      <c r="AV856" s="23">
        <f>IF($AS856="","",IF($H$6="",$AT856+$AU856,IF($H$6="",0,IF(ISNUMBER(INDEX($A:$AP,ROW(),$H$6)),INDEX($A:$AP,ROW(),$H$6),IFERROR(--SUBSTITUTE(SUBSTITUTE(TRIM(INDEX($A:$AP,ROW(),$H$6)),",",""),"원",""),0)))))</f>
        <v/>
      </c>
      <c r="AW856" s="2">
        <f>IF(OR($AS856="",$C$6=""),"",TRIM(INDEX($A:$AP,ROW(),$C$6)&amp;""))</f>
        <v/>
      </c>
      <c r="AX856" s="2">
        <f>IF($AS856="","",IF($AZ856&lt;&gt;"",SUBSTITUTE(SUBSTITUTE($AZ856,"-","")," ",""),$AY856))</f>
        <v/>
      </c>
      <c r="AY856" s="2">
        <f>IF(OR($AS856="",$E$6=""),"",TRIM(INDEX($A:$AP,ROW(),$E$6)&amp;""))</f>
        <v/>
      </c>
      <c r="AZ856" s="2">
        <f>IF(OR($AS856="",$D$6=""),"",TRIM(INDEX($A:$AP,ROW(),$D$6)&amp;""))</f>
        <v/>
      </c>
      <c r="BA856" s="2">
        <f>IF($AS856="","",IF(AND($AS856&gt;=설정!$B$10,$AS856&lt;=설정!$B$11),"포함","기간 밖"))</f>
        <v/>
      </c>
      <c r="BB856" s="2">
        <f>IF($AS856="","",IF(OR($AT856&lt;0,AND($I$6&lt;&gt;"",ISNUMBER(FIND("수정",INDEX($A:$AP,ROW(),IF($I$6="",1,$I$6))&amp;"")))),"수정","일반"))</f>
        <v/>
      </c>
      <c r="BC856" s="2">
        <f>IF($AS856="","",MID(IF($BA856="기간 밖"," / 기간 밖(신고기간 아님)","")&amp;IF(AND($AW856&lt;&gt;"",COUNTIF($AW$8:$AW$1007,$AW856)&gt;1)," / 승인번호 중복(두 번 붙여넣기?)","")&amp;IF(ABS($AU856-ROUND($AT856*0.1,0))&gt;설정!$B$8,IF($AU856=0," / 세액 0원(영세율·면세 여부 확인)"," / 세액이 공급가액 10%와 다름"),"")&amp;IF($BB856="수정"," / 수정세금계산서(합계에서 자동 가감)",""),4,200))</f>
        <v/>
      </c>
      <c r="BD856" s="2">
        <f>IF($BA856&lt;&gt;"포함","",IF(COUNTIFS($AX$8:$AX856,$AX856,$BA$8:$BA856,"포함")=1,MAX($BD$7:BD855)+1,""))</f>
        <v/>
      </c>
      <c r="BE856" s="2">
        <f>IF($BC856="","",MAX($BE$7:BE855)+1)</f>
        <v/>
      </c>
    </row>
    <row r="857">
      <c r="AR857" s="2">
        <f>IF(OR($A$5="",$B$6="",ROW()&lt;$A$5),"",IF(INDEX($A:$AP,ROW(),$B$6)="","",INDEX($A:$AP,ROW(),$B$6)))</f>
        <v/>
      </c>
      <c r="AS857" s="22">
        <f>IF($AR857="","",IF(ISNUMBER($AR857),IF($AR857&gt;=10000000,IFERROR(DATE(INT($AR857/10000),MOD(INT($AR857/100),100),MOD($AR857,100)),""),INT($AR857)),IFERROR(DATE(--LEFT(LEFT(SUBSTITUTE(SUBSTITUTE(SUBSTITUTE(SUBSTITUTE(TRIM($AR857),"-",""),".",""),"/","")," ",""),8),4),--MID(LEFT(SUBSTITUTE(SUBSTITUTE(SUBSTITUTE(SUBSTITUTE(TRIM($AR857),"-",""),".",""),"/","")," ",""),8),5,2),--MID(LEFT(SUBSTITUTE(SUBSTITUTE(SUBSTITUTE(SUBSTITUTE(TRIM($AR857),"-",""),".",""),"/","")," ",""),8),7,2)),"")))</f>
        <v/>
      </c>
      <c r="AT857" s="23">
        <f>IF($AS857="","",IF($F$6="",0,IF(ISNUMBER(INDEX($A:$AP,ROW(),$F$6)),INDEX($A:$AP,ROW(),$F$6),IFERROR(--SUBSTITUTE(SUBSTITUTE(TRIM(INDEX($A:$AP,ROW(),$F$6)),",",""),"원",""),0))))</f>
        <v/>
      </c>
      <c r="AU857" s="23">
        <f>IF($AS857="","",IF($G$6="",0,IF(ISNUMBER(INDEX($A:$AP,ROW(),$G$6)),INDEX($A:$AP,ROW(),$G$6),IFERROR(--SUBSTITUTE(SUBSTITUTE(TRIM(INDEX($A:$AP,ROW(),$G$6)),",",""),"원",""),0))))</f>
        <v/>
      </c>
      <c r="AV857" s="23">
        <f>IF($AS857="","",IF($H$6="",$AT857+$AU857,IF($H$6="",0,IF(ISNUMBER(INDEX($A:$AP,ROW(),$H$6)),INDEX($A:$AP,ROW(),$H$6),IFERROR(--SUBSTITUTE(SUBSTITUTE(TRIM(INDEX($A:$AP,ROW(),$H$6)),",",""),"원",""),0)))))</f>
        <v/>
      </c>
      <c r="AW857" s="2">
        <f>IF(OR($AS857="",$C$6=""),"",TRIM(INDEX($A:$AP,ROW(),$C$6)&amp;""))</f>
        <v/>
      </c>
      <c r="AX857" s="2">
        <f>IF($AS857="","",IF($AZ857&lt;&gt;"",SUBSTITUTE(SUBSTITUTE($AZ857,"-","")," ",""),$AY857))</f>
        <v/>
      </c>
      <c r="AY857" s="2">
        <f>IF(OR($AS857="",$E$6=""),"",TRIM(INDEX($A:$AP,ROW(),$E$6)&amp;""))</f>
        <v/>
      </c>
      <c r="AZ857" s="2">
        <f>IF(OR($AS857="",$D$6=""),"",TRIM(INDEX($A:$AP,ROW(),$D$6)&amp;""))</f>
        <v/>
      </c>
      <c r="BA857" s="2">
        <f>IF($AS857="","",IF(AND($AS857&gt;=설정!$B$10,$AS857&lt;=설정!$B$11),"포함","기간 밖"))</f>
        <v/>
      </c>
      <c r="BB857" s="2">
        <f>IF($AS857="","",IF(OR($AT857&lt;0,AND($I$6&lt;&gt;"",ISNUMBER(FIND("수정",INDEX($A:$AP,ROW(),IF($I$6="",1,$I$6))&amp;"")))),"수정","일반"))</f>
        <v/>
      </c>
      <c r="BC857" s="2">
        <f>IF($AS857="","",MID(IF($BA857="기간 밖"," / 기간 밖(신고기간 아님)","")&amp;IF(AND($AW857&lt;&gt;"",COUNTIF($AW$8:$AW$1007,$AW857)&gt;1)," / 승인번호 중복(두 번 붙여넣기?)","")&amp;IF(ABS($AU857-ROUND($AT857*0.1,0))&gt;설정!$B$8,IF($AU857=0," / 세액 0원(영세율·면세 여부 확인)"," / 세액이 공급가액 10%와 다름"),"")&amp;IF($BB857="수정"," / 수정세금계산서(합계에서 자동 가감)",""),4,200))</f>
        <v/>
      </c>
      <c r="BD857" s="2">
        <f>IF($BA857&lt;&gt;"포함","",IF(COUNTIFS($AX$8:$AX857,$AX857,$BA$8:$BA857,"포함")=1,MAX($BD$7:BD856)+1,""))</f>
        <v/>
      </c>
      <c r="BE857" s="2">
        <f>IF($BC857="","",MAX($BE$7:BE856)+1)</f>
        <v/>
      </c>
    </row>
    <row r="858">
      <c r="AR858" s="2">
        <f>IF(OR($A$5="",$B$6="",ROW()&lt;$A$5),"",IF(INDEX($A:$AP,ROW(),$B$6)="","",INDEX($A:$AP,ROW(),$B$6)))</f>
        <v/>
      </c>
      <c r="AS858" s="22">
        <f>IF($AR858="","",IF(ISNUMBER($AR858),IF($AR858&gt;=10000000,IFERROR(DATE(INT($AR858/10000),MOD(INT($AR858/100),100),MOD($AR858,100)),""),INT($AR858)),IFERROR(DATE(--LEFT(LEFT(SUBSTITUTE(SUBSTITUTE(SUBSTITUTE(SUBSTITUTE(TRIM($AR858),"-",""),".",""),"/","")," ",""),8),4),--MID(LEFT(SUBSTITUTE(SUBSTITUTE(SUBSTITUTE(SUBSTITUTE(TRIM($AR858),"-",""),".",""),"/","")," ",""),8),5,2),--MID(LEFT(SUBSTITUTE(SUBSTITUTE(SUBSTITUTE(SUBSTITUTE(TRIM($AR858),"-",""),".",""),"/","")," ",""),8),7,2)),"")))</f>
        <v/>
      </c>
      <c r="AT858" s="23">
        <f>IF($AS858="","",IF($F$6="",0,IF(ISNUMBER(INDEX($A:$AP,ROW(),$F$6)),INDEX($A:$AP,ROW(),$F$6),IFERROR(--SUBSTITUTE(SUBSTITUTE(TRIM(INDEX($A:$AP,ROW(),$F$6)),",",""),"원",""),0))))</f>
        <v/>
      </c>
      <c r="AU858" s="23">
        <f>IF($AS858="","",IF($G$6="",0,IF(ISNUMBER(INDEX($A:$AP,ROW(),$G$6)),INDEX($A:$AP,ROW(),$G$6),IFERROR(--SUBSTITUTE(SUBSTITUTE(TRIM(INDEX($A:$AP,ROW(),$G$6)),",",""),"원",""),0))))</f>
        <v/>
      </c>
      <c r="AV858" s="23">
        <f>IF($AS858="","",IF($H$6="",$AT858+$AU858,IF($H$6="",0,IF(ISNUMBER(INDEX($A:$AP,ROW(),$H$6)),INDEX($A:$AP,ROW(),$H$6),IFERROR(--SUBSTITUTE(SUBSTITUTE(TRIM(INDEX($A:$AP,ROW(),$H$6)),",",""),"원",""),0)))))</f>
        <v/>
      </c>
      <c r="AW858" s="2">
        <f>IF(OR($AS858="",$C$6=""),"",TRIM(INDEX($A:$AP,ROW(),$C$6)&amp;""))</f>
        <v/>
      </c>
      <c r="AX858" s="2">
        <f>IF($AS858="","",IF($AZ858&lt;&gt;"",SUBSTITUTE(SUBSTITUTE($AZ858,"-","")," ",""),$AY858))</f>
        <v/>
      </c>
      <c r="AY858" s="2">
        <f>IF(OR($AS858="",$E$6=""),"",TRIM(INDEX($A:$AP,ROW(),$E$6)&amp;""))</f>
        <v/>
      </c>
      <c r="AZ858" s="2">
        <f>IF(OR($AS858="",$D$6=""),"",TRIM(INDEX($A:$AP,ROW(),$D$6)&amp;""))</f>
        <v/>
      </c>
      <c r="BA858" s="2">
        <f>IF($AS858="","",IF(AND($AS858&gt;=설정!$B$10,$AS858&lt;=설정!$B$11),"포함","기간 밖"))</f>
        <v/>
      </c>
      <c r="BB858" s="2">
        <f>IF($AS858="","",IF(OR($AT858&lt;0,AND($I$6&lt;&gt;"",ISNUMBER(FIND("수정",INDEX($A:$AP,ROW(),IF($I$6="",1,$I$6))&amp;"")))),"수정","일반"))</f>
        <v/>
      </c>
      <c r="BC858" s="2">
        <f>IF($AS858="","",MID(IF($BA858="기간 밖"," / 기간 밖(신고기간 아님)","")&amp;IF(AND($AW858&lt;&gt;"",COUNTIF($AW$8:$AW$1007,$AW858)&gt;1)," / 승인번호 중복(두 번 붙여넣기?)","")&amp;IF(ABS($AU858-ROUND($AT858*0.1,0))&gt;설정!$B$8,IF($AU858=0," / 세액 0원(영세율·면세 여부 확인)"," / 세액이 공급가액 10%와 다름"),"")&amp;IF($BB858="수정"," / 수정세금계산서(합계에서 자동 가감)",""),4,200))</f>
        <v/>
      </c>
      <c r="BD858" s="2">
        <f>IF($BA858&lt;&gt;"포함","",IF(COUNTIFS($AX$8:$AX858,$AX858,$BA$8:$BA858,"포함")=1,MAX($BD$7:BD857)+1,""))</f>
        <v/>
      </c>
      <c r="BE858" s="2">
        <f>IF($BC858="","",MAX($BE$7:BE857)+1)</f>
        <v/>
      </c>
    </row>
    <row r="859">
      <c r="AR859" s="2">
        <f>IF(OR($A$5="",$B$6="",ROW()&lt;$A$5),"",IF(INDEX($A:$AP,ROW(),$B$6)="","",INDEX($A:$AP,ROW(),$B$6)))</f>
        <v/>
      </c>
      <c r="AS859" s="22">
        <f>IF($AR859="","",IF(ISNUMBER($AR859),IF($AR859&gt;=10000000,IFERROR(DATE(INT($AR859/10000),MOD(INT($AR859/100),100),MOD($AR859,100)),""),INT($AR859)),IFERROR(DATE(--LEFT(LEFT(SUBSTITUTE(SUBSTITUTE(SUBSTITUTE(SUBSTITUTE(TRIM($AR859),"-",""),".",""),"/","")," ",""),8),4),--MID(LEFT(SUBSTITUTE(SUBSTITUTE(SUBSTITUTE(SUBSTITUTE(TRIM($AR859),"-",""),".",""),"/","")," ",""),8),5,2),--MID(LEFT(SUBSTITUTE(SUBSTITUTE(SUBSTITUTE(SUBSTITUTE(TRIM($AR859),"-",""),".",""),"/","")," ",""),8),7,2)),"")))</f>
        <v/>
      </c>
      <c r="AT859" s="23">
        <f>IF($AS859="","",IF($F$6="",0,IF(ISNUMBER(INDEX($A:$AP,ROW(),$F$6)),INDEX($A:$AP,ROW(),$F$6),IFERROR(--SUBSTITUTE(SUBSTITUTE(TRIM(INDEX($A:$AP,ROW(),$F$6)),",",""),"원",""),0))))</f>
        <v/>
      </c>
      <c r="AU859" s="23">
        <f>IF($AS859="","",IF($G$6="",0,IF(ISNUMBER(INDEX($A:$AP,ROW(),$G$6)),INDEX($A:$AP,ROW(),$G$6),IFERROR(--SUBSTITUTE(SUBSTITUTE(TRIM(INDEX($A:$AP,ROW(),$G$6)),",",""),"원",""),0))))</f>
        <v/>
      </c>
      <c r="AV859" s="23">
        <f>IF($AS859="","",IF($H$6="",$AT859+$AU859,IF($H$6="",0,IF(ISNUMBER(INDEX($A:$AP,ROW(),$H$6)),INDEX($A:$AP,ROW(),$H$6),IFERROR(--SUBSTITUTE(SUBSTITUTE(TRIM(INDEX($A:$AP,ROW(),$H$6)),",",""),"원",""),0)))))</f>
        <v/>
      </c>
      <c r="AW859" s="2">
        <f>IF(OR($AS859="",$C$6=""),"",TRIM(INDEX($A:$AP,ROW(),$C$6)&amp;""))</f>
        <v/>
      </c>
      <c r="AX859" s="2">
        <f>IF($AS859="","",IF($AZ859&lt;&gt;"",SUBSTITUTE(SUBSTITUTE($AZ859,"-","")," ",""),$AY859))</f>
        <v/>
      </c>
      <c r="AY859" s="2">
        <f>IF(OR($AS859="",$E$6=""),"",TRIM(INDEX($A:$AP,ROW(),$E$6)&amp;""))</f>
        <v/>
      </c>
      <c r="AZ859" s="2">
        <f>IF(OR($AS859="",$D$6=""),"",TRIM(INDEX($A:$AP,ROW(),$D$6)&amp;""))</f>
        <v/>
      </c>
      <c r="BA859" s="2">
        <f>IF($AS859="","",IF(AND($AS859&gt;=설정!$B$10,$AS859&lt;=설정!$B$11),"포함","기간 밖"))</f>
        <v/>
      </c>
      <c r="BB859" s="2">
        <f>IF($AS859="","",IF(OR($AT859&lt;0,AND($I$6&lt;&gt;"",ISNUMBER(FIND("수정",INDEX($A:$AP,ROW(),IF($I$6="",1,$I$6))&amp;"")))),"수정","일반"))</f>
        <v/>
      </c>
      <c r="BC859" s="2">
        <f>IF($AS859="","",MID(IF($BA859="기간 밖"," / 기간 밖(신고기간 아님)","")&amp;IF(AND($AW859&lt;&gt;"",COUNTIF($AW$8:$AW$1007,$AW859)&gt;1)," / 승인번호 중복(두 번 붙여넣기?)","")&amp;IF(ABS($AU859-ROUND($AT859*0.1,0))&gt;설정!$B$8,IF($AU859=0," / 세액 0원(영세율·면세 여부 확인)"," / 세액이 공급가액 10%와 다름"),"")&amp;IF($BB859="수정"," / 수정세금계산서(합계에서 자동 가감)",""),4,200))</f>
        <v/>
      </c>
      <c r="BD859" s="2">
        <f>IF($BA859&lt;&gt;"포함","",IF(COUNTIFS($AX$8:$AX859,$AX859,$BA$8:$BA859,"포함")=1,MAX($BD$7:BD858)+1,""))</f>
        <v/>
      </c>
      <c r="BE859" s="2">
        <f>IF($BC859="","",MAX($BE$7:BE858)+1)</f>
        <v/>
      </c>
    </row>
    <row r="860">
      <c r="AR860" s="2">
        <f>IF(OR($A$5="",$B$6="",ROW()&lt;$A$5),"",IF(INDEX($A:$AP,ROW(),$B$6)="","",INDEX($A:$AP,ROW(),$B$6)))</f>
        <v/>
      </c>
      <c r="AS860" s="22">
        <f>IF($AR860="","",IF(ISNUMBER($AR860),IF($AR860&gt;=10000000,IFERROR(DATE(INT($AR860/10000),MOD(INT($AR860/100),100),MOD($AR860,100)),""),INT($AR860)),IFERROR(DATE(--LEFT(LEFT(SUBSTITUTE(SUBSTITUTE(SUBSTITUTE(SUBSTITUTE(TRIM($AR860),"-",""),".",""),"/","")," ",""),8),4),--MID(LEFT(SUBSTITUTE(SUBSTITUTE(SUBSTITUTE(SUBSTITUTE(TRIM($AR860),"-",""),".",""),"/","")," ",""),8),5,2),--MID(LEFT(SUBSTITUTE(SUBSTITUTE(SUBSTITUTE(SUBSTITUTE(TRIM($AR860),"-",""),".",""),"/","")," ",""),8),7,2)),"")))</f>
        <v/>
      </c>
      <c r="AT860" s="23">
        <f>IF($AS860="","",IF($F$6="",0,IF(ISNUMBER(INDEX($A:$AP,ROW(),$F$6)),INDEX($A:$AP,ROW(),$F$6),IFERROR(--SUBSTITUTE(SUBSTITUTE(TRIM(INDEX($A:$AP,ROW(),$F$6)),",",""),"원",""),0))))</f>
        <v/>
      </c>
      <c r="AU860" s="23">
        <f>IF($AS860="","",IF($G$6="",0,IF(ISNUMBER(INDEX($A:$AP,ROW(),$G$6)),INDEX($A:$AP,ROW(),$G$6),IFERROR(--SUBSTITUTE(SUBSTITUTE(TRIM(INDEX($A:$AP,ROW(),$G$6)),",",""),"원",""),0))))</f>
        <v/>
      </c>
      <c r="AV860" s="23">
        <f>IF($AS860="","",IF($H$6="",$AT860+$AU860,IF($H$6="",0,IF(ISNUMBER(INDEX($A:$AP,ROW(),$H$6)),INDEX($A:$AP,ROW(),$H$6),IFERROR(--SUBSTITUTE(SUBSTITUTE(TRIM(INDEX($A:$AP,ROW(),$H$6)),",",""),"원",""),0)))))</f>
        <v/>
      </c>
      <c r="AW860" s="2">
        <f>IF(OR($AS860="",$C$6=""),"",TRIM(INDEX($A:$AP,ROW(),$C$6)&amp;""))</f>
        <v/>
      </c>
      <c r="AX860" s="2">
        <f>IF($AS860="","",IF($AZ860&lt;&gt;"",SUBSTITUTE(SUBSTITUTE($AZ860,"-","")," ",""),$AY860))</f>
        <v/>
      </c>
      <c r="AY860" s="2">
        <f>IF(OR($AS860="",$E$6=""),"",TRIM(INDEX($A:$AP,ROW(),$E$6)&amp;""))</f>
        <v/>
      </c>
      <c r="AZ860" s="2">
        <f>IF(OR($AS860="",$D$6=""),"",TRIM(INDEX($A:$AP,ROW(),$D$6)&amp;""))</f>
        <v/>
      </c>
      <c r="BA860" s="2">
        <f>IF($AS860="","",IF(AND($AS860&gt;=설정!$B$10,$AS860&lt;=설정!$B$11),"포함","기간 밖"))</f>
        <v/>
      </c>
      <c r="BB860" s="2">
        <f>IF($AS860="","",IF(OR($AT860&lt;0,AND($I$6&lt;&gt;"",ISNUMBER(FIND("수정",INDEX($A:$AP,ROW(),IF($I$6="",1,$I$6))&amp;"")))),"수정","일반"))</f>
        <v/>
      </c>
      <c r="BC860" s="2">
        <f>IF($AS860="","",MID(IF($BA860="기간 밖"," / 기간 밖(신고기간 아님)","")&amp;IF(AND($AW860&lt;&gt;"",COUNTIF($AW$8:$AW$1007,$AW860)&gt;1)," / 승인번호 중복(두 번 붙여넣기?)","")&amp;IF(ABS($AU860-ROUND($AT860*0.1,0))&gt;설정!$B$8,IF($AU860=0," / 세액 0원(영세율·면세 여부 확인)"," / 세액이 공급가액 10%와 다름"),"")&amp;IF($BB860="수정"," / 수정세금계산서(합계에서 자동 가감)",""),4,200))</f>
        <v/>
      </c>
      <c r="BD860" s="2">
        <f>IF($BA860&lt;&gt;"포함","",IF(COUNTIFS($AX$8:$AX860,$AX860,$BA$8:$BA860,"포함")=1,MAX($BD$7:BD859)+1,""))</f>
        <v/>
      </c>
      <c r="BE860" s="2">
        <f>IF($BC860="","",MAX($BE$7:BE859)+1)</f>
        <v/>
      </c>
    </row>
    <row r="861">
      <c r="AR861" s="2">
        <f>IF(OR($A$5="",$B$6="",ROW()&lt;$A$5),"",IF(INDEX($A:$AP,ROW(),$B$6)="","",INDEX($A:$AP,ROW(),$B$6)))</f>
        <v/>
      </c>
      <c r="AS861" s="22">
        <f>IF($AR861="","",IF(ISNUMBER($AR861),IF($AR861&gt;=10000000,IFERROR(DATE(INT($AR861/10000),MOD(INT($AR861/100),100),MOD($AR861,100)),""),INT($AR861)),IFERROR(DATE(--LEFT(LEFT(SUBSTITUTE(SUBSTITUTE(SUBSTITUTE(SUBSTITUTE(TRIM($AR861),"-",""),".",""),"/","")," ",""),8),4),--MID(LEFT(SUBSTITUTE(SUBSTITUTE(SUBSTITUTE(SUBSTITUTE(TRIM($AR861),"-",""),".",""),"/","")," ",""),8),5,2),--MID(LEFT(SUBSTITUTE(SUBSTITUTE(SUBSTITUTE(SUBSTITUTE(TRIM($AR861),"-",""),".",""),"/","")," ",""),8),7,2)),"")))</f>
        <v/>
      </c>
      <c r="AT861" s="23">
        <f>IF($AS861="","",IF($F$6="",0,IF(ISNUMBER(INDEX($A:$AP,ROW(),$F$6)),INDEX($A:$AP,ROW(),$F$6),IFERROR(--SUBSTITUTE(SUBSTITUTE(TRIM(INDEX($A:$AP,ROW(),$F$6)),",",""),"원",""),0))))</f>
        <v/>
      </c>
      <c r="AU861" s="23">
        <f>IF($AS861="","",IF($G$6="",0,IF(ISNUMBER(INDEX($A:$AP,ROW(),$G$6)),INDEX($A:$AP,ROW(),$G$6),IFERROR(--SUBSTITUTE(SUBSTITUTE(TRIM(INDEX($A:$AP,ROW(),$G$6)),",",""),"원",""),0))))</f>
        <v/>
      </c>
      <c r="AV861" s="23">
        <f>IF($AS861="","",IF($H$6="",$AT861+$AU861,IF($H$6="",0,IF(ISNUMBER(INDEX($A:$AP,ROW(),$H$6)),INDEX($A:$AP,ROW(),$H$6),IFERROR(--SUBSTITUTE(SUBSTITUTE(TRIM(INDEX($A:$AP,ROW(),$H$6)),",",""),"원",""),0)))))</f>
        <v/>
      </c>
      <c r="AW861" s="2">
        <f>IF(OR($AS861="",$C$6=""),"",TRIM(INDEX($A:$AP,ROW(),$C$6)&amp;""))</f>
        <v/>
      </c>
      <c r="AX861" s="2">
        <f>IF($AS861="","",IF($AZ861&lt;&gt;"",SUBSTITUTE(SUBSTITUTE($AZ861,"-","")," ",""),$AY861))</f>
        <v/>
      </c>
      <c r="AY861" s="2">
        <f>IF(OR($AS861="",$E$6=""),"",TRIM(INDEX($A:$AP,ROW(),$E$6)&amp;""))</f>
        <v/>
      </c>
      <c r="AZ861" s="2">
        <f>IF(OR($AS861="",$D$6=""),"",TRIM(INDEX($A:$AP,ROW(),$D$6)&amp;""))</f>
        <v/>
      </c>
      <c r="BA861" s="2">
        <f>IF($AS861="","",IF(AND($AS861&gt;=설정!$B$10,$AS861&lt;=설정!$B$11),"포함","기간 밖"))</f>
        <v/>
      </c>
      <c r="BB861" s="2">
        <f>IF($AS861="","",IF(OR($AT861&lt;0,AND($I$6&lt;&gt;"",ISNUMBER(FIND("수정",INDEX($A:$AP,ROW(),IF($I$6="",1,$I$6))&amp;"")))),"수정","일반"))</f>
        <v/>
      </c>
      <c r="BC861" s="2">
        <f>IF($AS861="","",MID(IF($BA861="기간 밖"," / 기간 밖(신고기간 아님)","")&amp;IF(AND($AW861&lt;&gt;"",COUNTIF($AW$8:$AW$1007,$AW861)&gt;1)," / 승인번호 중복(두 번 붙여넣기?)","")&amp;IF(ABS($AU861-ROUND($AT861*0.1,0))&gt;설정!$B$8,IF($AU861=0," / 세액 0원(영세율·면세 여부 확인)"," / 세액이 공급가액 10%와 다름"),"")&amp;IF($BB861="수정"," / 수정세금계산서(합계에서 자동 가감)",""),4,200))</f>
        <v/>
      </c>
      <c r="BD861" s="2">
        <f>IF($BA861&lt;&gt;"포함","",IF(COUNTIFS($AX$8:$AX861,$AX861,$BA$8:$BA861,"포함")=1,MAX($BD$7:BD860)+1,""))</f>
        <v/>
      </c>
      <c r="BE861" s="2">
        <f>IF($BC861="","",MAX($BE$7:BE860)+1)</f>
        <v/>
      </c>
    </row>
    <row r="862">
      <c r="AR862" s="2">
        <f>IF(OR($A$5="",$B$6="",ROW()&lt;$A$5),"",IF(INDEX($A:$AP,ROW(),$B$6)="","",INDEX($A:$AP,ROW(),$B$6)))</f>
        <v/>
      </c>
      <c r="AS862" s="22">
        <f>IF($AR862="","",IF(ISNUMBER($AR862),IF($AR862&gt;=10000000,IFERROR(DATE(INT($AR862/10000),MOD(INT($AR862/100),100),MOD($AR862,100)),""),INT($AR862)),IFERROR(DATE(--LEFT(LEFT(SUBSTITUTE(SUBSTITUTE(SUBSTITUTE(SUBSTITUTE(TRIM($AR862),"-",""),".",""),"/","")," ",""),8),4),--MID(LEFT(SUBSTITUTE(SUBSTITUTE(SUBSTITUTE(SUBSTITUTE(TRIM($AR862),"-",""),".",""),"/","")," ",""),8),5,2),--MID(LEFT(SUBSTITUTE(SUBSTITUTE(SUBSTITUTE(SUBSTITUTE(TRIM($AR862),"-",""),".",""),"/","")," ",""),8),7,2)),"")))</f>
        <v/>
      </c>
      <c r="AT862" s="23">
        <f>IF($AS862="","",IF($F$6="",0,IF(ISNUMBER(INDEX($A:$AP,ROW(),$F$6)),INDEX($A:$AP,ROW(),$F$6),IFERROR(--SUBSTITUTE(SUBSTITUTE(TRIM(INDEX($A:$AP,ROW(),$F$6)),",",""),"원",""),0))))</f>
        <v/>
      </c>
      <c r="AU862" s="23">
        <f>IF($AS862="","",IF($G$6="",0,IF(ISNUMBER(INDEX($A:$AP,ROW(),$G$6)),INDEX($A:$AP,ROW(),$G$6),IFERROR(--SUBSTITUTE(SUBSTITUTE(TRIM(INDEX($A:$AP,ROW(),$G$6)),",",""),"원",""),0))))</f>
        <v/>
      </c>
      <c r="AV862" s="23">
        <f>IF($AS862="","",IF($H$6="",$AT862+$AU862,IF($H$6="",0,IF(ISNUMBER(INDEX($A:$AP,ROW(),$H$6)),INDEX($A:$AP,ROW(),$H$6),IFERROR(--SUBSTITUTE(SUBSTITUTE(TRIM(INDEX($A:$AP,ROW(),$H$6)),",",""),"원",""),0)))))</f>
        <v/>
      </c>
      <c r="AW862" s="2">
        <f>IF(OR($AS862="",$C$6=""),"",TRIM(INDEX($A:$AP,ROW(),$C$6)&amp;""))</f>
        <v/>
      </c>
      <c r="AX862" s="2">
        <f>IF($AS862="","",IF($AZ862&lt;&gt;"",SUBSTITUTE(SUBSTITUTE($AZ862,"-","")," ",""),$AY862))</f>
        <v/>
      </c>
      <c r="AY862" s="2">
        <f>IF(OR($AS862="",$E$6=""),"",TRIM(INDEX($A:$AP,ROW(),$E$6)&amp;""))</f>
        <v/>
      </c>
      <c r="AZ862" s="2">
        <f>IF(OR($AS862="",$D$6=""),"",TRIM(INDEX($A:$AP,ROW(),$D$6)&amp;""))</f>
        <v/>
      </c>
      <c r="BA862" s="2">
        <f>IF($AS862="","",IF(AND($AS862&gt;=설정!$B$10,$AS862&lt;=설정!$B$11),"포함","기간 밖"))</f>
        <v/>
      </c>
      <c r="BB862" s="2">
        <f>IF($AS862="","",IF(OR($AT862&lt;0,AND($I$6&lt;&gt;"",ISNUMBER(FIND("수정",INDEX($A:$AP,ROW(),IF($I$6="",1,$I$6))&amp;"")))),"수정","일반"))</f>
        <v/>
      </c>
      <c r="BC862" s="2">
        <f>IF($AS862="","",MID(IF($BA862="기간 밖"," / 기간 밖(신고기간 아님)","")&amp;IF(AND($AW862&lt;&gt;"",COUNTIF($AW$8:$AW$1007,$AW862)&gt;1)," / 승인번호 중복(두 번 붙여넣기?)","")&amp;IF(ABS($AU862-ROUND($AT862*0.1,0))&gt;설정!$B$8,IF($AU862=0," / 세액 0원(영세율·면세 여부 확인)"," / 세액이 공급가액 10%와 다름"),"")&amp;IF($BB862="수정"," / 수정세금계산서(합계에서 자동 가감)",""),4,200))</f>
        <v/>
      </c>
      <c r="BD862" s="2">
        <f>IF($BA862&lt;&gt;"포함","",IF(COUNTIFS($AX$8:$AX862,$AX862,$BA$8:$BA862,"포함")=1,MAX($BD$7:BD861)+1,""))</f>
        <v/>
      </c>
      <c r="BE862" s="2">
        <f>IF($BC862="","",MAX($BE$7:BE861)+1)</f>
        <v/>
      </c>
    </row>
    <row r="863">
      <c r="AR863" s="2">
        <f>IF(OR($A$5="",$B$6="",ROW()&lt;$A$5),"",IF(INDEX($A:$AP,ROW(),$B$6)="","",INDEX($A:$AP,ROW(),$B$6)))</f>
        <v/>
      </c>
      <c r="AS863" s="22">
        <f>IF($AR863="","",IF(ISNUMBER($AR863),IF($AR863&gt;=10000000,IFERROR(DATE(INT($AR863/10000),MOD(INT($AR863/100),100),MOD($AR863,100)),""),INT($AR863)),IFERROR(DATE(--LEFT(LEFT(SUBSTITUTE(SUBSTITUTE(SUBSTITUTE(SUBSTITUTE(TRIM($AR863),"-",""),".",""),"/","")," ",""),8),4),--MID(LEFT(SUBSTITUTE(SUBSTITUTE(SUBSTITUTE(SUBSTITUTE(TRIM($AR863),"-",""),".",""),"/","")," ",""),8),5,2),--MID(LEFT(SUBSTITUTE(SUBSTITUTE(SUBSTITUTE(SUBSTITUTE(TRIM($AR863),"-",""),".",""),"/","")," ",""),8),7,2)),"")))</f>
        <v/>
      </c>
      <c r="AT863" s="23">
        <f>IF($AS863="","",IF($F$6="",0,IF(ISNUMBER(INDEX($A:$AP,ROW(),$F$6)),INDEX($A:$AP,ROW(),$F$6),IFERROR(--SUBSTITUTE(SUBSTITUTE(TRIM(INDEX($A:$AP,ROW(),$F$6)),",",""),"원",""),0))))</f>
        <v/>
      </c>
      <c r="AU863" s="23">
        <f>IF($AS863="","",IF($G$6="",0,IF(ISNUMBER(INDEX($A:$AP,ROW(),$G$6)),INDEX($A:$AP,ROW(),$G$6),IFERROR(--SUBSTITUTE(SUBSTITUTE(TRIM(INDEX($A:$AP,ROW(),$G$6)),",",""),"원",""),0))))</f>
        <v/>
      </c>
      <c r="AV863" s="23">
        <f>IF($AS863="","",IF($H$6="",$AT863+$AU863,IF($H$6="",0,IF(ISNUMBER(INDEX($A:$AP,ROW(),$H$6)),INDEX($A:$AP,ROW(),$H$6),IFERROR(--SUBSTITUTE(SUBSTITUTE(TRIM(INDEX($A:$AP,ROW(),$H$6)),",",""),"원",""),0)))))</f>
        <v/>
      </c>
      <c r="AW863" s="2">
        <f>IF(OR($AS863="",$C$6=""),"",TRIM(INDEX($A:$AP,ROW(),$C$6)&amp;""))</f>
        <v/>
      </c>
      <c r="AX863" s="2">
        <f>IF($AS863="","",IF($AZ863&lt;&gt;"",SUBSTITUTE(SUBSTITUTE($AZ863,"-","")," ",""),$AY863))</f>
        <v/>
      </c>
      <c r="AY863" s="2">
        <f>IF(OR($AS863="",$E$6=""),"",TRIM(INDEX($A:$AP,ROW(),$E$6)&amp;""))</f>
        <v/>
      </c>
      <c r="AZ863" s="2">
        <f>IF(OR($AS863="",$D$6=""),"",TRIM(INDEX($A:$AP,ROW(),$D$6)&amp;""))</f>
        <v/>
      </c>
      <c r="BA863" s="2">
        <f>IF($AS863="","",IF(AND($AS863&gt;=설정!$B$10,$AS863&lt;=설정!$B$11),"포함","기간 밖"))</f>
        <v/>
      </c>
      <c r="BB863" s="2">
        <f>IF($AS863="","",IF(OR($AT863&lt;0,AND($I$6&lt;&gt;"",ISNUMBER(FIND("수정",INDEX($A:$AP,ROW(),IF($I$6="",1,$I$6))&amp;"")))),"수정","일반"))</f>
        <v/>
      </c>
      <c r="BC863" s="2">
        <f>IF($AS863="","",MID(IF($BA863="기간 밖"," / 기간 밖(신고기간 아님)","")&amp;IF(AND($AW863&lt;&gt;"",COUNTIF($AW$8:$AW$1007,$AW863)&gt;1)," / 승인번호 중복(두 번 붙여넣기?)","")&amp;IF(ABS($AU863-ROUND($AT863*0.1,0))&gt;설정!$B$8,IF($AU863=0," / 세액 0원(영세율·면세 여부 확인)"," / 세액이 공급가액 10%와 다름"),"")&amp;IF($BB863="수정"," / 수정세금계산서(합계에서 자동 가감)",""),4,200))</f>
        <v/>
      </c>
      <c r="BD863" s="2">
        <f>IF($BA863&lt;&gt;"포함","",IF(COUNTIFS($AX$8:$AX863,$AX863,$BA$8:$BA863,"포함")=1,MAX($BD$7:BD862)+1,""))</f>
        <v/>
      </c>
      <c r="BE863" s="2">
        <f>IF($BC863="","",MAX($BE$7:BE862)+1)</f>
        <v/>
      </c>
    </row>
    <row r="864">
      <c r="AR864" s="2">
        <f>IF(OR($A$5="",$B$6="",ROW()&lt;$A$5),"",IF(INDEX($A:$AP,ROW(),$B$6)="","",INDEX($A:$AP,ROW(),$B$6)))</f>
        <v/>
      </c>
      <c r="AS864" s="22">
        <f>IF($AR864="","",IF(ISNUMBER($AR864),IF($AR864&gt;=10000000,IFERROR(DATE(INT($AR864/10000),MOD(INT($AR864/100),100),MOD($AR864,100)),""),INT($AR864)),IFERROR(DATE(--LEFT(LEFT(SUBSTITUTE(SUBSTITUTE(SUBSTITUTE(SUBSTITUTE(TRIM($AR864),"-",""),".",""),"/","")," ",""),8),4),--MID(LEFT(SUBSTITUTE(SUBSTITUTE(SUBSTITUTE(SUBSTITUTE(TRIM($AR864),"-",""),".",""),"/","")," ",""),8),5,2),--MID(LEFT(SUBSTITUTE(SUBSTITUTE(SUBSTITUTE(SUBSTITUTE(TRIM($AR864),"-",""),".",""),"/","")," ",""),8),7,2)),"")))</f>
        <v/>
      </c>
      <c r="AT864" s="23">
        <f>IF($AS864="","",IF($F$6="",0,IF(ISNUMBER(INDEX($A:$AP,ROW(),$F$6)),INDEX($A:$AP,ROW(),$F$6),IFERROR(--SUBSTITUTE(SUBSTITUTE(TRIM(INDEX($A:$AP,ROW(),$F$6)),",",""),"원",""),0))))</f>
        <v/>
      </c>
      <c r="AU864" s="23">
        <f>IF($AS864="","",IF($G$6="",0,IF(ISNUMBER(INDEX($A:$AP,ROW(),$G$6)),INDEX($A:$AP,ROW(),$G$6),IFERROR(--SUBSTITUTE(SUBSTITUTE(TRIM(INDEX($A:$AP,ROW(),$G$6)),",",""),"원",""),0))))</f>
        <v/>
      </c>
      <c r="AV864" s="23">
        <f>IF($AS864="","",IF($H$6="",$AT864+$AU864,IF($H$6="",0,IF(ISNUMBER(INDEX($A:$AP,ROW(),$H$6)),INDEX($A:$AP,ROW(),$H$6),IFERROR(--SUBSTITUTE(SUBSTITUTE(TRIM(INDEX($A:$AP,ROW(),$H$6)),",",""),"원",""),0)))))</f>
        <v/>
      </c>
      <c r="AW864" s="2">
        <f>IF(OR($AS864="",$C$6=""),"",TRIM(INDEX($A:$AP,ROW(),$C$6)&amp;""))</f>
        <v/>
      </c>
      <c r="AX864" s="2">
        <f>IF($AS864="","",IF($AZ864&lt;&gt;"",SUBSTITUTE(SUBSTITUTE($AZ864,"-","")," ",""),$AY864))</f>
        <v/>
      </c>
      <c r="AY864" s="2">
        <f>IF(OR($AS864="",$E$6=""),"",TRIM(INDEX($A:$AP,ROW(),$E$6)&amp;""))</f>
        <v/>
      </c>
      <c r="AZ864" s="2">
        <f>IF(OR($AS864="",$D$6=""),"",TRIM(INDEX($A:$AP,ROW(),$D$6)&amp;""))</f>
        <v/>
      </c>
      <c r="BA864" s="2">
        <f>IF($AS864="","",IF(AND($AS864&gt;=설정!$B$10,$AS864&lt;=설정!$B$11),"포함","기간 밖"))</f>
        <v/>
      </c>
      <c r="BB864" s="2">
        <f>IF($AS864="","",IF(OR($AT864&lt;0,AND($I$6&lt;&gt;"",ISNUMBER(FIND("수정",INDEX($A:$AP,ROW(),IF($I$6="",1,$I$6))&amp;"")))),"수정","일반"))</f>
        <v/>
      </c>
      <c r="BC864" s="2">
        <f>IF($AS864="","",MID(IF($BA864="기간 밖"," / 기간 밖(신고기간 아님)","")&amp;IF(AND($AW864&lt;&gt;"",COUNTIF($AW$8:$AW$1007,$AW864)&gt;1)," / 승인번호 중복(두 번 붙여넣기?)","")&amp;IF(ABS($AU864-ROUND($AT864*0.1,0))&gt;설정!$B$8,IF($AU864=0," / 세액 0원(영세율·면세 여부 확인)"," / 세액이 공급가액 10%와 다름"),"")&amp;IF($BB864="수정"," / 수정세금계산서(합계에서 자동 가감)",""),4,200))</f>
        <v/>
      </c>
      <c r="BD864" s="2">
        <f>IF($BA864&lt;&gt;"포함","",IF(COUNTIFS($AX$8:$AX864,$AX864,$BA$8:$BA864,"포함")=1,MAX($BD$7:BD863)+1,""))</f>
        <v/>
      </c>
      <c r="BE864" s="2">
        <f>IF($BC864="","",MAX($BE$7:BE863)+1)</f>
        <v/>
      </c>
    </row>
    <row r="865">
      <c r="AR865" s="2">
        <f>IF(OR($A$5="",$B$6="",ROW()&lt;$A$5),"",IF(INDEX($A:$AP,ROW(),$B$6)="","",INDEX($A:$AP,ROW(),$B$6)))</f>
        <v/>
      </c>
      <c r="AS865" s="22">
        <f>IF($AR865="","",IF(ISNUMBER($AR865),IF($AR865&gt;=10000000,IFERROR(DATE(INT($AR865/10000),MOD(INT($AR865/100),100),MOD($AR865,100)),""),INT($AR865)),IFERROR(DATE(--LEFT(LEFT(SUBSTITUTE(SUBSTITUTE(SUBSTITUTE(SUBSTITUTE(TRIM($AR865),"-",""),".",""),"/","")," ",""),8),4),--MID(LEFT(SUBSTITUTE(SUBSTITUTE(SUBSTITUTE(SUBSTITUTE(TRIM($AR865),"-",""),".",""),"/","")," ",""),8),5,2),--MID(LEFT(SUBSTITUTE(SUBSTITUTE(SUBSTITUTE(SUBSTITUTE(TRIM($AR865),"-",""),".",""),"/","")," ",""),8),7,2)),"")))</f>
        <v/>
      </c>
      <c r="AT865" s="23">
        <f>IF($AS865="","",IF($F$6="",0,IF(ISNUMBER(INDEX($A:$AP,ROW(),$F$6)),INDEX($A:$AP,ROW(),$F$6),IFERROR(--SUBSTITUTE(SUBSTITUTE(TRIM(INDEX($A:$AP,ROW(),$F$6)),",",""),"원",""),0))))</f>
        <v/>
      </c>
      <c r="AU865" s="23">
        <f>IF($AS865="","",IF($G$6="",0,IF(ISNUMBER(INDEX($A:$AP,ROW(),$G$6)),INDEX($A:$AP,ROW(),$G$6),IFERROR(--SUBSTITUTE(SUBSTITUTE(TRIM(INDEX($A:$AP,ROW(),$G$6)),",",""),"원",""),0))))</f>
        <v/>
      </c>
      <c r="AV865" s="23">
        <f>IF($AS865="","",IF($H$6="",$AT865+$AU865,IF($H$6="",0,IF(ISNUMBER(INDEX($A:$AP,ROW(),$H$6)),INDEX($A:$AP,ROW(),$H$6),IFERROR(--SUBSTITUTE(SUBSTITUTE(TRIM(INDEX($A:$AP,ROW(),$H$6)),",",""),"원",""),0)))))</f>
        <v/>
      </c>
      <c r="AW865" s="2">
        <f>IF(OR($AS865="",$C$6=""),"",TRIM(INDEX($A:$AP,ROW(),$C$6)&amp;""))</f>
        <v/>
      </c>
      <c r="AX865" s="2">
        <f>IF($AS865="","",IF($AZ865&lt;&gt;"",SUBSTITUTE(SUBSTITUTE($AZ865,"-","")," ",""),$AY865))</f>
        <v/>
      </c>
      <c r="AY865" s="2">
        <f>IF(OR($AS865="",$E$6=""),"",TRIM(INDEX($A:$AP,ROW(),$E$6)&amp;""))</f>
        <v/>
      </c>
      <c r="AZ865" s="2">
        <f>IF(OR($AS865="",$D$6=""),"",TRIM(INDEX($A:$AP,ROW(),$D$6)&amp;""))</f>
        <v/>
      </c>
      <c r="BA865" s="2">
        <f>IF($AS865="","",IF(AND($AS865&gt;=설정!$B$10,$AS865&lt;=설정!$B$11),"포함","기간 밖"))</f>
        <v/>
      </c>
      <c r="BB865" s="2">
        <f>IF($AS865="","",IF(OR($AT865&lt;0,AND($I$6&lt;&gt;"",ISNUMBER(FIND("수정",INDEX($A:$AP,ROW(),IF($I$6="",1,$I$6))&amp;"")))),"수정","일반"))</f>
        <v/>
      </c>
      <c r="BC865" s="2">
        <f>IF($AS865="","",MID(IF($BA865="기간 밖"," / 기간 밖(신고기간 아님)","")&amp;IF(AND($AW865&lt;&gt;"",COUNTIF($AW$8:$AW$1007,$AW865)&gt;1)," / 승인번호 중복(두 번 붙여넣기?)","")&amp;IF(ABS($AU865-ROUND($AT865*0.1,0))&gt;설정!$B$8,IF($AU865=0," / 세액 0원(영세율·면세 여부 확인)"," / 세액이 공급가액 10%와 다름"),"")&amp;IF($BB865="수정"," / 수정세금계산서(합계에서 자동 가감)",""),4,200))</f>
        <v/>
      </c>
      <c r="BD865" s="2">
        <f>IF($BA865&lt;&gt;"포함","",IF(COUNTIFS($AX$8:$AX865,$AX865,$BA$8:$BA865,"포함")=1,MAX($BD$7:BD864)+1,""))</f>
        <v/>
      </c>
      <c r="BE865" s="2">
        <f>IF($BC865="","",MAX($BE$7:BE864)+1)</f>
        <v/>
      </c>
    </row>
    <row r="866">
      <c r="AR866" s="2">
        <f>IF(OR($A$5="",$B$6="",ROW()&lt;$A$5),"",IF(INDEX($A:$AP,ROW(),$B$6)="","",INDEX($A:$AP,ROW(),$B$6)))</f>
        <v/>
      </c>
      <c r="AS866" s="22">
        <f>IF($AR866="","",IF(ISNUMBER($AR866),IF($AR866&gt;=10000000,IFERROR(DATE(INT($AR866/10000),MOD(INT($AR866/100),100),MOD($AR866,100)),""),INT($AR866)),IFERROR(DATE(--LEFT(LEFT(SUBSTITUTE(SUBSTITUTE(SUBSTITUTE(SUBSTITUTE(TRIM($AR866),"-",""),".",""),"/","")," ",""),8),4),--MID(LEFT(SUBSTITUTE(SUBSTITUTE(SUBSTITUTE(SUBSTITUTE(TRIM($AR866),"-",""),".",""),"/","")," ",""),8),5,2),--MID(LEFT(SUBSTITUTE(SUBSTITUTE(SUBSTITUTE(SUBSTITUTE(TRIM($AR866),"-",""),".",""),"/","")," ",""),8),7,2)),"")))</f>
        <v/>
      </c>
      <c r="AT866" s="23">
        <f>IF($AS866="","",IF($F$6="",0,IF(ISNUMBER(INDEX($A:$AP,ROW(),$F$6)),INDEX($A:$AP,ROW(),$F$6),IFERROR(--SUBSTITUTE(SUBSTITUTE(TRIM(INDEX($A:$AP,ROW(),$F$6)),",",""),"원",""),0))))</f>
        <v/>
      </c>
      <c r="AU866" s="23">
        <f>IF($AS866="","",IF($G$6="",0,IF(ISNUMBER(INDEX($A:$AP,ROW(),$G$6)),INDEX($A:$AP,ROW(),$G$6),IFERROR(--SUBSTITUTE(SUBSTITUTE(TRIM(INDEX($A:$AP,ROW(),$G$6)),",",""),"원",""),0))))</f>
        <v/>
      </c>
      <c r="AV866" s="23">
        <f>IF($AS866="","",IF($H$6="",$AT866+$AU866,IF($H$6="",0,IF(ISNUMBER(INDEX($A:$AP,ROW(),$H$6)),INDEX($A:$AP,ROW(),$H$6),IFERROR(--SUBSTITUTE(SUBSTITUTE(TRIM(INDEX($A:$AP,ROW(),$H$6)),",",""),"원",""),0)))))</f>
        <v/>
      </c>
      <c r="AW866" s="2">
        <f>IF(OR($AS866="",$C$6=""),"",TRIM(INDEX($A:$AP,ROW(),$C$6)&amp;""))</f>
        <v/>
      </c>
      <c r="AX866" s="2">
        <f>IF($AS866="","",IF($AZ866&lt;&gt;"",SUBSTITUTE(SUBSTITUTE($AZ866,"-","")," ",""),$AY866))</f>
        <v/>
      </c>
      <c r="AY866" s="2">
        <f>IF(OR($AS866="",$E$6=""),"",TRIM(INDEX($A:$AP,ROW(),$E$6)&amp;""))</f>
        <v/>
      </c>
      <c r="AZ866" s="2">
        <f>IF(OR($AS866="",$D$6=""),"",TRIM(INDEX($A:$AP,ROW(),$D$6)&amp;""))</f>
        <v/>
      </c>
      <c r="BA866" s="2">
        <f>IF($AS866="","",IF(AND($AS866&gt;=설정!$B$10,$AS866&lt;=설정!$B$11),"포함","기간 밖"))</f>
        <v/>
      </c>
      <c r="BB866" s="2">
        <f>IF($AS866="","",IF(OR($AT866&lt;0,AND($I$6&lt;&gt;"",ISNUMBER(FIND("수정",INDEX($A:$AP,ROW(),IF($I$6="",1,$I$6))&amp;"")))),"수정","일반"))</f>
        <v/>
      </c>
      <c r="BC866" s="2">
        <f>IF($AS866="","",MID(IF($BA866="기간 밖"," / 기간 밖(신고기간 아님)","")&amp;IF(AND($AW866&lt;&gt;"",COUNTIF($AW$8:$AW$1007,$AW866)&gt;1)," / 승인번호 중복(두 번 붙여넣기?)","")&amp;IF(ABS($AU866-ROUND($AT866*0.1,0))&gt;설정!$B$8,IF($AU866=0," / 세액 0원(영세율·면세 여부 확인)"," / 세액이 공급가액 10%와 다름"),"")&amp;IF($BB866="수정"," / 수정세금계산서(합계에서 자동 가감)",""),4,200))</f>
        <v/>
      </c>
      <c r="BD866" s="2">
        <f>IF($BA866&lt;&gt;"포함","",IF(COUNTIFS($AX$8:$AX866,$AX866,$BA$8:$BA866,"포함")=1,MAX($BD$7:BD865)+1,""))</f>
        <v/>
      </c>
      <c r="BE866" s="2">
        <f>IF($BC866="","",MAX($BE$7:BE865)+1)</f>
        <v/>
      </c>
    </row>
    <row r="867">
      <c r="AR867" s="2">
        <f>IF(OR($A$5="",$B$6="",ROW()&lt;$A$5),"",IF(INDEX($A:$AP,ROW(),$B$6)="","",INDEX($A:$AP,ROW(),$B$6)))</f>
        <v/>
      </c>
      <c r="AS867" s="22">
        <f>IF($AR867="","",IF(ISNUMBER($AR867),IF($AR867&gt;=10000000,IFERROR(DATE(INT($AR867/10000),MOD(INT($AR867/100),100),MOD($AR867,100)),""),INT($AR867)),IFERROR(DATE(--LEFT(LEFT(SUBSTITUTE(SUBSTITUTE(SUBSTITUTE(SUBSTITUTE(TRIM($AR867),"-",""),".",""),"/","")," ",""),8),4),--MID(LEFT(SUBSTITUTE(SUBSTITUTE(SUBSTITUTE(SUBSTITUTE(TRIM($AR867),"-",""),".",""),"/","")," ",""),8),5,2),--MID(LEFT(SUBSTITUTE(SUBSTITUTE(SUBSTITUTE(SUBSTITUTE(TRIM($AR867),"-",""),".",""),"/","")," ",""),8),7,2)),"")))</f>
        <v/>
      </c>
      <c r="AT867" s="23">
        <f>IF($AS867="","",IF($F$6="",0,IF(ISNUMBER(INDEX($A:$AP,ROW(),$F$6)),INDEX($A:$AP,ROW(),$F$6),IFERROR(--SUBSTITUTE(SUBSTITUTE(TRIM(INDEX($A:$AP,ROW(),$F$6)),",",""),"원",""),0))))</f>
        <v/>
      </c>
      <c r="AU867" s="23">
        <f>IF($AS867="","",IF($G$6="",0,IF(ISNUMBER(INDEX($A:$AP,ROW(),$G$6)),INDEX($A:$AP,ROW(),$G$6),IFERROR(--SUBSTITUTE(SUBSTITUTE(TRIM(INDEX($A:$AP,ROW(),$G$6)),",",""),"원",""),0))))</f>
        <v/>
      </c>
      <c r="AV867" s="23">
        <f>IF($AS867="","",IF($H$6="",$AT867+$AU867,IF($H$6="",0,IF(ISNUMBER(INDEX($A:$AP,ROW(),$H$6)),INDEX($A:$AP,ROW(),$H$6),IFERROR(--SUBSTITUTE(SUBSTITUTE(TRIM(INDEX($A:$AP,ROW(),$H$6)),",",""),"원",""),0)))))</f>
        <v/>
      </c>
      <c r="AW867" s="2">
        <f>IF(OR($AS867="",$C$6=""),"",TRIM(INDEX($A:$AP,ROW(),$C$6)&amp;""))</f>
        <v/>
      </c>
      <c r="AX867" s="2">
        <f>IF($AS867="","",IF($AZ867&lt;&gt;"",SUBSTITUTE(SUBSTITUTE($AZ867,"-","")," ",""),$AY867))</f>
        <v/>
      </c>
      <c r="AY867" s="2">
        <f>IF(OR($AS867="",$E$6=""),"",TRIM(INDEX($A:$AP,ROW(),$E$6)&amp;""))</f>
        <v/>
      </c>
      <c r="AZ867" s="2">
        <f>IF(OR($AS867="",$D$6=""),"",TRIM(INDEX($A:$AP,ROW(),$D$6)&amp;""))</f>
        <v/>
      </c>
      <c r="BA867" s="2">
        <f>IF($AS867="","",IF(AND($AS867&gt;=설정!$B$10,$AS867&lt;=설정!$B$11),"포함","기간 밖"))</f>
        <v/>
      </c>
      <c r="BB867" s="2">
        <f>IF($AS867="","",IF(OR($AT867&lt;0,AND($I$6&lt;&gt;"",ISNUMBER(FIND("수정",INDEX($A:$AP,ROW(),IF($I$6="",1,$I$6))&amp;"")))),"수정","일반"))</f>
        <v/>
      </c>
      <c r="BC867" s="2">
        <f>IF($AS867="","",MID(IF($BA867="기간 밖"," / 기간 밖(신고기간 아님)","")&amp;IF(AND($AW867&lt;&gt;"",COUNTIF($AW$8:$AW$1007,$AW867)&gt;1)," / 승인번호 중복(두 번 붙여넣기?)","")&amp;IF(ABS($AU867-ROUND($AT867*0.1,0))&gt;설정!$B$8,IF($AU867=0," / 세액 0원(영세율·면세 여부 확인)"," / 세액이 공급가액 10%와 다름"),"")&amp;IF($BB867="수정"," / 수정세금계산서(합계에서 자동 가감)",""),4,200))</f>
        <v/>
      </c>
      <c r="BD867" s="2">
        <f>IF($BA867&lt;&gt;"포함","",IF(COUNTIFS($AX$8:$AX867,$AX867,$BA$8:$BA867,"포함")=1,MAX($BD$7:BD866)+1,""))</f>
        <v/>
      </c>
      <c r="BE867" s="2">
        <f>IF($BC867="","",MAX($BE$7:BE866)+1)</f>
        <v/>
      </c>
    </row>
    <row r="868">
      <c r="AR868" s="2">
        <f>IF(OR($A$5="",$B$6="",ROW()&lt;$A$5),"",IF(INDEX($A:$AP,ROW(),$B$6)="","",INDEX($A:$AP,ROW(),$B$6)))</f>
        <v/>
      </c>
      <c r="AS868" s="22">
        <f>IF($AR868="","",IF(ISNUMBER($AR868),IF($AR868&gt;=10000000,IFERROR(DATE(INT($AR868/10000),MOD(INT($AR868/100),100),MOD($AR868,100)),""),INT($AR868)),IFERROR(DATE(--LEFT(LEFT(SUBSTITUTE(SUBSTITUTE(SUBSTITUTE(SUBSTITUTE(TRIM($AR868),"-",""),".",""),"/","")," ",""),8),4),--MID(LEFT(SUBSTITUTE(SUBSTITUTE(SUBSTITUTE(SUBSTITUTE(TRIM($AR868),"-",""),".",""),"/","")," ",""),8),5,2),--MID(LEFT(SUBSTITUTE(SUBSTITUTE(SUBSTITUTE(SUBSTITUTE(TRIM($AR868),"-",""),".",""),"/","")," ",""),8),7,2)),"")))</f>
        <v/>
      </c>
      <c r="AT868" s="23">
        <f>IF($AS868="","",IF($F$6="",0,IF(ISNUMBER(INDEX($A:$AP,ROW(),$F$6)),INDEX($A:$AP,ROW(),$F$6),IFERROR(--SUBSTITUTE(SUBSTITUTE(TRIM(INDEX($A:$AP,ROW(),$F$6)),",",""),"원",""),0))))</f>
        <v/>
      </c>
      <c r="AU868" s="23">
        <f>IF($AS868="","",IF($G$6="",0,IF(ISNUMBER(INDEX($A:$AP,ROW(),$G$6)),INDEX($A:$AP,ROW(),$G$6),IFERROR(--SUBSTITUTE(SUBSTITUTE(TRIM(INDEX($A:$AP,ROW(),$G$6)),",",""),"원",""),0))))</f>
        <v/>
      </c>
      <c r="AV868" s="23">
        <f>IF($AS868="","",IF($H$6="",$AT868+$AU868,IF($H$6="",0,IF(ISNUMBER(INDEX($A:$AP,ROW(),$H$6)),INDEX($A:$AP,ROW(),$H$6),IFERROR(--SUBSTITUTE(SUBSTITUTE(TRIM(INDEX($A:$AP,ROW(),$H$6)),",",""),"원",""),0)))))</f>
        <v/>
      </c>
      <c r="AW868" s="2">
        <f>IF(OR($AS868="",$C$6=""),"",TRIM(INDEX($A:$AP,ROW(),$C$6)&amp;""))</f>
        <v/>
      </c>
      <c r="AX868" s="2">
        <f>IF($AS868="","",IF($AZ868&lt;&gt;"",SUBSTITUTE(SUBSTITUTE($AZ868,"-","")," ",""),$AY868))</f>
        <v/>
      </c>
      <c r="AY868" s="2">
        <f>IF(OR($AS868="",$E$6=""),"",TRIM(INDEX($A:$AP,ROW(),$E$6)&amp;""))</f>
        <v/>
      </c>
      <c r="AZ868" s="2">
        <f>IF(OR($AS868="",$D$6=""),"",TRIM(INDEX($A:$AP,ROW(),$D$6)&amp;""))</f>
        <v/>
      </c>
      <c r="BA868" s="2">
        <f>IF($AS868="","",IF(AND($AS868&gt;=설정!$B$10,$AS868&lt;=설정!$B$11),"포함","기간 밖"))</f>
        <v/>
      </c>
      <c r="BB868" s="2">
        <f>IF($AS868="","",IF(OR($AT868&lt;0,AND($I$6&lt;&gt;"",ISNUMBER(FIND("수정",INDEX($A:$AP,ROW(),IF($I$6="",1,$I$6))&amp;"")))),"수정","일반"))</f>
        <v/>
      </c>
      <c r="BC868" s="2">
        <f>IF($AS868="","",MID(IF($BA868="기간 밖"," / 기간 밖(신고기간 아님)","")&amp;IF(AND($AW868&lt;&gt;"",COUNTIF($AW$8:$AW$1007,$AW868)&gt;1)," / 승인번호 중복(두 번 붙여넣기?)","")&amp;IF(ABS($AU868-ROUND($AT868*0.1,0))&gt;설정!$B$8,IF($AU868=0," / 세액 0원(영세율·면세 여부 확인)"," / 세액이 공급가액 10%와 다름"),"")&amp;IF($BB868="수정"," / 수정세금계산서(합계에서 자동 가감)",""),4,200))</f>
        <v/>
      </c>
      <c r="BD868" s="2">
        <f>IF($BA868&lt;&gt;"포함","",IF(COUNTIFS($AX$8:$AX868,$AX868,$BA$8:$BA868,"포함")=1,MAX($BD$7:BD867)+1,""))</f>
        <v/>
      </c>
      <c r="BE868" s="2">
        <f>IF($BC868="","",MAX($BE$7:BE867)+1)</f>
        <v/>
      </c>
    </row>
    <row r="869">
      <c r="AR869" s="2">
        <f>IF(OR($A$5="",$B$6="",ROW()&lt;$A$5),"",IF(INDEX($A:$AP,ROW(),$B$6)="","",INDEX($A:$AP,ROW(),$B$6)))</f>
        <v/>
      </c>
      <c r="AS869" s="22">
        <f>IF($AR869="","",IF(ISNUMBER($AR869),IF($AR869&gt;=10000000,IFERROR(DATE(INT($AR869/10000),MOD(INT($AR869/100),100),MOD($AR869,100)),""),INT($AR869)),IFERROR(DATE(--LEFT(LEFT(SUBSTITUTE(SUBSTITUTE(SUBSTITUTE(SUBSTITUTE(TRIM($AR869),"-",""),".",""),"/","")," ",""),8),4),--MID(LEFT(SUBSTITUTE(SUBSTITUTE(SUBSTITUTE(SUBSTITUTE(TRIM($AR869),"-",""),".",""),"/","")," ",""),8),5,2),--MID(LEFT(SUBSTITUTE(SUBSTITUTE(SUBSTITUTE(SUBSTITUTE(TRIM($AR869),"-",""),".",""),"/","")," ",""),8),7,2)),"")))</f>
        <v/>
      </c>
      <c r="AT869" s="23">
        <f>IF($AS869="","",IF($F$6="",0,IF(ISNUMBER(INDEX($A:$AP,ROW(),$F$6)),INDEX($A:$AP,ROW(),$F$6),IFERROR(--SUBSTITUTE(SUBSTITUTE(TRIM(INDEX($A:$AP,ROW(),$F$6)),",",""),"원",""),0))))</f>
        <v/>
      </c>
      <c r="AU869" s="23">
        <f>IF($AS869="","",IF($G$6="",0,IF(ISNUMBER(INDEX($A:$AP,ROW(),$G$6)),INDEX($A:$AP,ROW(),$G$6),IFERROR(--SUBSTITUTE(SUBSTITUTE(TRIM(INDEX($A:$AP,ROW(),$G$6)),",",""),"원",""),0))))</f>
        <v/>
      </c>
      <c r="AV869" s="23">
        <f>IF($AS869="","",IF($H$6="",$AT869+$AU869,IF($H$6="",0,IF(ISNUMBER(INDEX($A:$AP,ROW(),$H$6)),INDEX($A:$AP,ROW(),$H$6),IFERROR(--SUBSTITUTE(SUBSTITUTE(TRIM(INDEX($A:$AP,ROW(),$H$6)),",",""),"원",""),0)))))</f>
        <v/>
      </c>
      <c r="AW869" s="2">
        <f>IF(OR($AS869="",$C$6=""),"",TRIM(INDEX($A:$AP,ROW(),$C$6)&amp;""))</f>
        <v/>
      </c>
      <c r="AX869" s="2">
        <f>IF($AS869="","",IF($AZ869&lt;&gt;"",SUBSTITUTE(SUBSTITUTE($AZ869,"-","")," ",""),$AY869))</f>
        <v/>
      </c>
      <c r="AY869" s="2">
        <f>IF(OR($AS869="",$E$6=""),"",TRIM(INDEX($A:$AP,ROW(),$E$6)&amp;""))</f>
        <v/>
      </c>
      <c r="AZ869" s="2">
        <f>IF(OR($AS869="",$D$6=""),"",TRIM(INDEX($A:$AP,ROW(),$D$6)&amp;""))</f>
        <v/>
      </c>
      <c r="BA869" s="2">
        <f>IF($AS869="","",IF(AND($AS869&gt;=설정!$B$10,$AS869&lt;=설정!$B$11),"포함","기간 밖"))</f>
        <v/>
      </c>
      <c r="BB869" s="2">
        <f>IF($AS869="","",IF(OR($AT869&lt;0,AND($I$6&lt;&gt;"",ISNUMBER(FIND("수정",INDEX($A:$AP,ROW(),IF($I$6="",1,$I$6))&amp;"")))),"수정","일반"))</f>
        <v/>
      </c>
      <c r="BC869" s="2">
        <f>IF($AS869="","",MID(IF($BA869="기간 밖"," / 기간 밖(신고기간 아님)","")&amp;IF(AND($AW869&lt;&gt;"",COUNTIF($AW$8:$AW$1007,$AW869)&gt;1)," / 승인번호 중복(두 번 붙여넣기?)","")&amp;IF(ABS($AU869-ROUND($AT869*0.1,0))&gt;설정!$B$8,IF($AU869=0," / 세액 0원(영세율·면세 여부 확인)"," / 세액이 공급가액 10%와 다름"),"")&amp;IF($BB869="수정"," / 수정세금계산서(합계에서 자동 가감)",""),4,200))</f>
        <v/>
      </c>
      <c r="BD869" s="2">
        <f>IF($BA869&lt;&gt;"포함","",IF(COUNTIFS($AX$8:$AX869,$AX869,$BA$8:$BA869,"포함")=1,MAX($BD$7:BD868)+1,""))</f>
        <v/>
      </c>
      <c r="BE869" s="2">
        <f>IF($BC869="","",MAX($BE$7:BE868)+1)</f>
        <v/>
      </c>
    </row>
    <row r="870">
      <c r="AR870" s="2">
        <f>IF(OR($A$5="",$B$6="",ROW()&lt;$A$5),"",IF(INDEX($A:$AP,ROW(),$B$6)="","",INDEX($A:$AP,ROW(),$B$6)))</f>
        <v/>
      </c>
      <c r="AS870" s="22">
        <f>IF($AR870="","",IF(ISNUMBER($AR870),IF($AR870&gt;=10000000,IFERROR(DATE(INT($AR870/10000),MOD(INT($AR870/100),100),MOD($AR870,100)),""),INT($AR870)),IFERROR(DATE(--LEFT(LEFT(SUBSTITUTE(SUBSTITUTE(SUBSTITUTE(SUBSTITUTE(TRIM($AR870),"-",""),".",""),"/","")," ",""),8),4),--MID(LEFT(SUBSTITUTE(SUBSTITUTE(SUBSTITUTE(SUBSTITUTE(TRIM($AR870),"-",""),".",""),"/","")," ",""),8),5,2),--MID(LEFT(SUBSTITUTE(SUBSTITUTE(SUBSTITUTE(SUBSTITUTE(TRIM($AR870),"-",""),".",""),"/","")," ",""),8),7,2)),"")))</f>
        <v/>
      </c>
      <c r="AT870" s="23">
        <f>IF($AS870="","",IF($F$6="",0,IF(ISNUMBER(INDEX($A:$AP,ROW(),$F$6)),INDEX($A:$AP,ROW(),$F$6),IFERROR(--SUBSTITUTE(SUBSTITUTE(TRIM(INDEX($A:$AP,ROW(),$F$6)),",",""),"원",""),0))))</f>
        <v/>
      </c>
      <c r="AU870" s="23">
        <f>IF($AS870="","",IF($G$6="",0,IF(ISNUMBER(INDEX($A:$AP,ROW(),$G$6)),INDEX($A:$AP,ROW(),$G$6),IFERROR(--SUBSTITUTE(SUBSTITUTE(TRIM(INDEX($A:$AP,ROW(),$G$6)),",",""),"원",""),0))))</f>
        <v/>
      </c>
      <c r="AV870" s="23">
        <f>IF($AS870="","",IF($H$6="",$AT870+$AU870,IF($H$6="",0,IF(ISNUMBER(INDEX($A:$AP,ROW(),$H$6)),INDEX($A:$AP,ROW(),$H$6),IFERROR(--SUBSTITUTE(SUBSTITUTE(TRIM(INDEX($A:$AP,ROW(),$H$6)),",",""),"원",""),0)))))</f>
        <v/>
      </c>
      <c r="AW870" s="2">
        <f>IF(OR($AS870="",$C$6=""),"",TRIM(INDEX($A:$AP,ROW(),$C$6)&amp;""))</f>
        <v/>
      </c>
      <c r="AX870" s="2">
        <f>IF($AS870="","",IF($AZ870&lt;&gt;"",SUBSTITUTE(SUBSTITUTE($AZ870,"-","")," ",""),$AY870))</f>
        <v/>
      </c>
      <c r="AY870" s="2">
        <f>IF(OR($AS870="",$E$6=""),"",TRIM(INDEX($A:$AP,ROW(),$E$6)&amp;""))</f>
        <v/>
      </c>
      <c r="AZ870" s="2">
        <f>IF(OR($AS870="",$D$6=""),"",TRIM(INDEX($A:$AP,ROW(),$D$6)&amp;""))</f>
        <v/>
      </c>
      <c r="BA870" s="2">
        <f>IF($AS870="","",IF(AND($AS870&gt;=설정!$B$10,$AS870&lt;=설정!$B$11),"포함","기간 밖"))</f>
        <v/>
      </c>
      <c r="BB870" s="2">
        <f>IF($AS870="","",IF(OR($AT870&lt;0,AND($I$6&lt;&gt;"",ISNUMBER(FIND("수정",INDEX($A:$AP,ROW(),IF($I$6="",1,$I$6))&amp;"")))),"수정","일반"))</f>
        <v/>
      </c>
      <c r="BC870" s="2">
        <f>IF($AS870="","",MID(IF($BA870="기간 밖"," / 기간 밖(신고기간 아님)","")&amp;IF(AND($AW870&lt;&gt;"",COUNTIF($AW$8:$AW$1007,$AW870)&gt;1)," / 승인번호 중복(두 번 붙여넣기?)","")&amp;IF(ABS($AU870-ROUND($AT870*0.1,0))&gt;설정!$B$8,IF($AU870=0," / 세액 0원(영세율·면세 여부 확인)"," / 세액이 공급가액 10%와 다름"),"")&amp;IF($BB870="수정"," / 수정세금계산서(합계에서 자동 가감)",""),4,200))</f>
        <v/>
      </c>
      <c r="BD870" s="2">
        <f>IF($BA870&lt;&gt;"포함","",IF(COUNTIFS($AX$8:$AX870,$AX870,$BA$8:$BA870,"포함")=1,MAX($BD$7:BD869)+1,""))</f>
        <v/>
      </c>
      <c r="BE870" s="2">
        <f>IF($BC870="","",MAX($BE$7:BE869)+1)</f>
        <v/>
      </c>
    </row>
    <row r="871">
      <c r="AR871" s="2">
        <f>IF(OR($A$5="",$B$6="",ROW()&lt;$A$5),"",IF(INDEX($A:$AP,ROW(),$B$6)="","",INDEX($A:$AP,ROW(),$B$6)))</f>
        <v/>
      </c>
      <c r="AS871" s="22">
        <f>IF($AR871="","",IF(ISNUMBER($AR871),IF($AR871&gt;=10000000,IFERROR(DATE(INT($AR871/10000),MOD(INT($AR871/100),100),MOD($AR871,100)),""),INT($AR871)),IFERROR(DATE(--LEFT(LEFT(SUBSTITUTE(SUBSTITUTE(SUBSTITUTE(SUBSTITUTE(TRIM($AR871),"-",""),".",""),"/","")," ",""),8),4),--MID(LEFT(SUBSTITUTE(SUBSTITUTE(SUBSTITUTE(SUBSTITUTE(TRIM($AR871),"-",""),".",""),"/","")," ",""),8),5,2),--MID(LEFT(SUBSTITUTE(SUBSTITUTE(SUBSTITUTE(SUBSTITUTE(TRIM($AR871),"-",""),".",""),"/","")," ",""),8),7,2)),"")))</f>
        <v/>
      </c>
      <c r="AT871" s="23">
        <f>IF($AS871="","",IF($F$6="",0,IF(ISNUMBER(INDEX($A:$AP,ROW(),$F$6)),INDEX($A:$AP,ROW(),$F$6),IFERROR(--SUBSTITUTE(SUBSTITUTE(TRIM(INDEX($A:$AP,ROW(),$F$6)),",",""),"원",""),0))))</f>
        <v/>
      </c>
      <c r="AU871" s="23">
        <f>IF($AS871="","",IF($G$6="",0,IF(ISNUMBER(INDEX($A:$AP,ROW(),$G$6)),INDEX($A:$AP,ROW(),$G$6),IFERROR(--SUBSTITUTE(SUBSTITUTE(TRIM(INDEX($A:$AP,ROW(),$G$6)),",",""),"원",""),0))))</f>
        <v/>
      </c>
      <c r="AV871" s="23">
        <f>IF($AS871="","",IF($H$6="",$AT871+$AU871,IF($H$6="",0,IF(ISNUMBER(INDEX($A:$AP,ROW(),$H$6)),INDEX($A:$AP,ROW(),$H$6),IFERROR(--SUBSTITUTE(SUBSTITUTE(TRIM(INDEX($A:$AP,ROW(),$H$6)),",",""),"원",""),0)))))</f>
        <v/>
      </c>
      <c r="AW871" s="2">
        <f>IF(OR($AS871="",$C$6=""),"",TRIM(INDEX($A:$AP,ROW(),$C$6)&amp;""))</f>
        <v/>
      </c>
      <c r="AX871" s="2">
        <f>IF($AS871="","",IF($AZ871&lt;&gt;"",SUBSTITUTE(SUBSTITUTE($AZ871,"-","")," ",""),$AY871))</f>
        <v/>
      </c>
      <c r="AY871" s="2">
        <f>IF(OR($AS871="",$E$6=""),"",TRIM(INDEX($A:$AP,ROW(),$E$6)&amp;""))</f>
        <v/>
      </c>
      <c r="AZ871" s="2">
        <f>IF(OR($AS871="",$D$6=""),"",TRIM(INDEX($A:$AP,ROW(),$D$6)&amp;""))</f>
        <v/>
      </c>
      <c r="BA871" s="2">
        <f>IF($AS871="","",IF(AND($AS871&gt;=설정!$B$10,$AS871&lt;=설정!$B$11),"포함","기간 밖"))</f>
        <v/>
      </c>
      <c r="BB871" s="2">
        <f>IF($AS871="","",IF(OR($AT871&lt;0,AND($I$6&lt;&gt;"",ISNUMBER(FIND("수정",INDEX($A:$AP,ROW(),IF($I$6="",1,$I$6))&amp;"")))),"수정","일반"))</f>
        <v/>
      </c>
      <c r="BC871" s="2">
        <f>IF($AS871="","",MID(IF($BA871="기간 밖"," / 기간 밖(신고기간 아님)","")&amp;IF(AND($AW871&lt;&gt;"",COUNTIF($AW$8:$AW$1007,$AW871)&gt;1)," / 승인번호 중복(두 번 붙여넣기?)","")&amp;IF(ABS($AU871-ROUND($AT871*0.1,0))&gt;설정!$B$8,IF($AU871=0," / 세액 0원(영세율·면세 여부 확인)"," / 세액이 공급가액 10%와 다름"),"")&amp;IF($BB871="수정"," / 수정세금계산서(합계에서 자동 가감)",""),4,200))</f>
        <v/>
      </c>
      <c r="BD871" s="2">
        <f>IF($BA871&lt;&gt;"포함","",IF(COUNTIFS($AX$8:$AX871,$AX871,$BA$8:$BA871,"포함")=1,MAX($BD$7:BD870)+1,""))</f>
        <v/>
      </c>
      <c r="BE871" s="2">
        <f>IF($BC871="","",MAX($BE$7:BE870)+1)</f>
        <v/>
      </c>
    </row>
    <row r="872">
      <c r="AR872" s="2">
        <f>IF(OR($A$5="",$B$6="",ROW()&lt;$A$5),"",IF(INDEX($A:$AP,ROW(),$B$6)="","",INDEX($A:$AP,ROW(),$B$6)))</f>
        <v/>
      </c>
      <c r="AS872" s="22">
        <f>IF($AR872="","",IF(ISNUMBER($AR872),IF($AR872&gt;=10000000,IFERROR(DATE(INT($AR872/10000),MOD(INT($AR872/100),100),MOD($AR872,100)),""),INT($AR872)),IFERROR(DATE(--LEFT(LEFT(SUBSTITUTE(SUBSTITUTE(SUBSTITUTE(SUBSTITUTE(TRIM($AR872),"-",""),".",""),"/","")," ",""),8),4),--MID(LEFT(SUBSTITUTE(SUBSTITUTE(SUBSTITUTE(SUBSTITUTE(TRIM($AR872),"-",""),".",""),"/","")," ",""),8),5,2),--MID(LEFT(SUBSTITUTE(SUBSTITUTE(SUBSTITUTE(SUBSTITUTE(TRIM($AR872),"-",""),".",""),"/","")," ",""),8),7,2)),"")))</f>
        <v/>
      </c>
      <c r="AT872" s="23">
        <f>IF($AS872="","",IF($F$6="",0,IF(ISNUMBER(INDEX($A:$AP,ROW(),$F$6)),INDEX($A:$AP,ROW(),$F$6),IFERROR(--SUBSTITUTE(SUBSTITUTE(TRIM(INDEX($A:$AP,ROW(),$F$6)),",",""),"원",""),0))))</f>
        <v/>
      </c>
      <c r="AU872" s="23">
        <f>IF($AS872="","",IF($G$6="",0,IF(ISNUMBER(INDEX($A:$AP,ROW(),$G$6)),INDEX($A:$AP,ROW(),$G$6),IFERROR(--SUBSTITUTE(SUBSTITUTE(TRIM(INDEX($A:$AP,ROW(),$G$6)),",",""),"원",""),0))))</f>
        <v/>
      </c>
      <c r="AV872" s="23">
        <f>IF($AS872="","",IF($H$6="",$AT872+$AU872,IF($H$6="",0,IF(ISNUMBER(INDEX($A:$AP,ROW(),$H$6)),INDEX($A:$AP,ROW(),$H$6),IFERROR(--SUBSTITUTE(SUBSTITUTE(TRIM(INDEX($A:$AP,ROW(),$H$6)),",",""),"원",""),0)))))</f>
        <v/>
      </c>
      <c r="AW872" s="2">
        <f>IF(OR($AS872="",$C$6=""),"",TRIM(INDEX($A:$AP,ROW(),$C$6)&amp;""))</f>
        <v/>
      </c>
      <c r="AX872" s="2">
        <f>IF($AS872="","",IF($AZ872&lt;&gt;"",SUBSTITUTE(SUBSTITUTE($AZ872,"-","")," ",""),$AY872))</f>
        <v/>
      </c>
      <c r="AY872" s="2">
        <f>IF(OR($AS872="",$E$6=""),"",TRIM(INDEX($A:$AP,ROW(),$E$6)&amp;""))</f>
        <v/>
      </c>
      <c r="AZ872" s="2">
        <f>IF(OR($AS872="",$D$6=""),"",TRIM(INDEX($A:$AP,ROW(),$D$6)&amp;""))</f>
        <v/>
      </c>
      <c r="BA872" s="2">
        <f>IF($AS872="","",IF(AND($AS872&gt;=설정!$B$10,$AS872&lt;=설정!$B$11),"포함","기간 밖"))</f>
        <v/>
      </c>
      <c r="BB872" s="2">
        <f>IF($AS872="","",IF(OR($AT872&lt;0,AND($I$6&lt;&gt;"",ISNUMBER(FIND("수정",INDEX($A:$AP,ROW(),IF($I$6="",1,$I$6))&amp;"")))),"수정","일반"))</f>
        <v/>
      </c>
      <c r="BC872" s="2">
        <f>IF($AS872="","",MID(IF($BA872="기간 밖"," / 기간 밖(신고기간 아님)","")&amp;IF(AND($AW872&lt;&gt;"",COUNTIF($AW$8:$AW$1007,$AW872)&gt;1)," / 승인번호 중복(두 번 붙여넣기?)","")&amp;IF(ABS($AU872-ROUND($AT872*0.1,0))&gt;설정!$B$8,IF($AU872=0," / 세액 0원(영세율·면세 여부 확인)"," / 세액이 공급가액 10%와 다름"),"")&amp;IF($BB872="수정"," / 수정세금계산서(합계에서 자동 가감)",""),4,200))</f>
        <v/>
      </c>
      <c r="BD872" s="2">
        <f>IF($BA872&lt;&gt;"포함","",IF(COUNTIFS($AX$8:$AX872,$AX872,$BA$8:$BA872,"포함")=1,MAX($BD$7:BD871)+1,""))</f>
        <v/>
      </c>
      <c r="BE872" s="2">
        <f>IF($BC872="","",MAX($BE$7:BE871)+1)</f>
        <v/>
      </c>
    </row>
    <row r="873">
      <c r="AR873" s="2">
        <f>IF(OR($A$5="",$B$6="",ROW()&lt;$A$5),"",IF(INDEX($A:$AP,ROW(),$B$6)="","",INDEX($A:$AP,ROW(),$B$6)))</f>
        <v/>
      </c>
      <c r="AS873" s="22">
        <f>IF($AR873="","",IF(ISNUMBER($AR873),IF($AR873&gt;=10000000,IFERROR(DATE(INT($AR873/10000),MOD(INT($AR873/100),100),MOD($AR873,100)),""),INT($AR873)),IFERROR(DATE(--LEFT(LEFT(SUBSTITUTE(SUBSTITUTE(SUBSTITUTE(SUBSTITUTE(TRIM($AR873),"-",""),".",""),"/","")," ",""),8),4),--MID(LEFT(SUBSTITUTE(SUBSTITUTE(SUBSTITUTE(SUBSTITUTE(TRIM($AR873),"-",""),".",""),"/","")," ",""),8),5,2),--MID(LEFT(SUBSTITUTE(SUBSTITUTE(SUBSTITUTE(SUBSTITUTE(TRIM($AR873),"-",""),".",""),"/","")," ",""),8),7,2)),"")))</f>
        <v/>
      </c>
      <c r="AT873" s="23">
        <f>IF($AS873="","",IF($F$6="",0,IF(ISNUMBER(INDEX($A:$AP,ROW(),$F$6)),INDEX($A:$AP,ROW(),$F$6),IFERROR(--SUBSTITUTE(SUBSTITUTE(TRIM(INDEX($A:$AP,ROW(),$F$6)),",",""),"원",""),0))))</f>
        <v/>
      </c>
      <c r="AU873" s="23">
        <f>IF($AS873="","",IF($G$6="",0,IF(ISNUMBER(INDEX($A:$AP,ROW(),$G$6)),INDEX($A:$AP,ROW(),$G$6),IFERROR(--SUBSTITUTE(SUBSTITUTE(TRIM(INDEX($A:$AP,ROW(),$G$6)),",",""),"원",""),0))))</f>
        <v/>
      </c>
      <c r="AV873" s="23">
        <f>IF($AS873="","",IF($H$6="",$AT873+$AU873,IF($H$6="",0,IF(ISNUMBER(INDEX($A:$AP,ROW(),$H$6)),INDEX($A:$AP,ROW(),$H$6),IFERROR(--SUBSTITUTE(SUBSTITUTE(TRIM(INDEX($A:$AP,ROW(),$H$6)),",",""),"원",""),0)))))</f>
        <v/>
      </c>
      <c r="AW873" s="2">
        <f>IF(OR($AS873="",$C$6=""),"",TRIM(INDEX($A:$AP,ROW(),$C$6)&amp;""))</f>
        <v/>
      </c>
      <c r="AX873" s="2">
        <f>IF($AS873="","",IF($AZ873&lt;&gt;"",SUBSTITUTE(SUBSTITUTE($AZ873,"-","")," ",""),$AY873))</f>
        <v/>
      </c>
      <c r="AY873" s="2">
        <f>IF(OR($AS873="",$E$6=""),"",TRIM(INDEX($A:$AP,ROW(),$E$6)&amp;""))</f>
        <v/>
      </c>
      <c r="AZ873" s="2">
        <f>IF(OR($AS873="",$D$6=""),"",TRIM(INDEX($A:$AP,ROW(),$D$6)&amp;""))</f>
        <v/>
      </c>
      <c r="BA873" s="2">
        <f>IF($AS873="","",IF(AND($AS873&gt;=설정!$B$10,$AS873&lt;=설정!$B$11),"포함","기간 밖"))</f>
        <v/>
      </c>
      <c r="BB873" s="2">
        <f>IF($AS873="","",IF(OR($AT873&lt;0,AND($I$6&lt;&gt;"",ISNUMBER(FIND("수정",INDEX($A:$AP,ROW(),IF($I$6="",1,$I$6))&amp;"")))),"수정","일반"))</f>
        <v/>
      </c>
      <c r="BC873" s="2">
        <f>IF($AS873="","",MID(IF($BA873="기간 밖"," / 기간 밖(신고기간 아님)","")&amp;IF(AND($AW873&lt;&gt;"",COUNTIF($AW$8:$AW$1007,$AW873)&gt;1)," / 승인번호 중복(두 번 붙여넣기?)","")&amp;IF(ABS($AU873-ROUND($AT873*0.1,0))&gt;설정!$B$8,IF($AU873=0," / 세액 0원(영세율·면세 여부 확인)"," / 세액이 공급가액 10%와 다름"),"")&amp;IF($BB873="수정"," / 수정세금계산서(합계에서 자동 가감)",""),4,200))</f>
        <v/>
      </c>
      <c r="BD873" s="2">
        <f>IF($BA873&lt;&gt;"포함","",IF(COUNTIFS($AX$8:$AX873,$AX873,$BA$8:$BA873,"포함")=1,MAX($BD$7:BD872)+1,""))</f>
        <v/>
      </c>
      <c r="BE873" s="2">
        <f>IF($BC873="","",MAX($BE$7:BE872)+1)</f>
        <v/>
      </c>
    </row>
    <row r="874">
      <c r="AR874" s="2">
        <f>IF(OR($A$5="",$B$6="",ROW()&lt;$A$5),"",IF(INDEX($A:$AP,ROW(),$B$6)="","",INDEX($A:$AP,ROW(),$B$6)))</f>
        <v/>
      </c>
      <c r="AS874" s="22">
        <f>IF($AR874="","",IF(ISNUMBER($AR874),IF($AR874&gt;=10000000,IFERROR(DATE(INT($AR874/10000),MOD(INT($AR874/100),100),MOD($AR874,100)),""),INT($AR874)),IFERROR(DATE(--LEFT(LEFT(SUBSTITUTE(SUBSTITUTE(SUBSTITUTE(SUBSTITUTE(TRIM($AR874),"-",""),".",""),"/","")," ",""),8),4),--MID(LEFT(SUBSTITUTE(SUBSTITUTE(SUBSTITUTE(SUBSTITUTE(TRIM($AR874),"-",""),".",""),"/","")," ",""),8),5,2),--MID(LEFT(SUBSTITUTE(SUBSTITUTE(SUBSTITUTE(SUBSTITUTE(TRIM($AR874),"-",""),".",""),"/","")," ",""),8),7,2)),"")))</f>
        <v/>
      </c>
      <c r="AT874" s="23">
        <f>IF($AS874="","",IF($F$6="",0,IF(ISNUMBER(INDEX($A:$AP,ROW(),$F$6)),INDEX($A:$AP,ROW(),$F$6),IFERROR(--SUBSTITUTE(SUBSTITUTE(TRIM(INDEX($A:$AP,ROW(),$F$6)),",",""),"원",""),0))))</f>
        <v/>
      </c>
      <c r="AU874" s="23">
        <f>IF($AS874="","",IF($G$6="",0,IF(ISNUMBER(INDEX($A:$AP,ROW(),$G$6)),INDEX($A:$AP,ROW(),$G$6),IFERROR(--SUBSTITUTE(SUBSTITUTE(TRIM(INDEX($A:$AP,ROW(),$G$6)),",",""),"원",""),0))))</f>
        <v/>
      </c>
      <c r="AV874" s="23">
        <f>IF($AS874="","",IF($H$6="",$AT874+$AU874,IF($H$6="",0,IF(ISNUMBER(INDEX($A:$AP,ROW(),$H$6)),INDEX($A:$AP,ROW(),$H$6),IFERROR(--SUBSTITUTE(SUBSTITUTE(TRIM(INDEX($A:$AP,ROW(),$H$6)),",",""),"원",""),0)))))</f>
        <v/>
      </c>
      <c r="AW874" s="2">
        <f>IF(OR($AS874="",$C$6=""),"",TRIM(INDEX($A:$AP,ROW(),$C$6)&amp;""))</f>
        <v/>
      </c>
      <c r="AX874" s="2">
        <f>IF($AS874="","",IF($AZ874&lt;&gt;"",SUBSTITUTE(SUBSTITUTE($AZ874,"-","")," ",""),$AY874))</f>
        <v/>
      </c>
      <c r="AY874" s="2">
        <f>IF(OR($AS874="",$E$6=""),"",TRIM(INDEX($A:$AP,ROW(),$E$6)&amp;""))</f>
        <v/>
      </c>
      <c r="AZ874" s="2">
        <f>IF(OR($AS874="",$D$6=""),"",TRIM(INDEX($A:$AP,ROW(),$D$6)&amp;""))</f>
        <v/>
      </c>
      <c r="BA874" s="2">
        <f>IF($AS874="","",IF(AND($AS874&gt;=설정!$B$10,$AS874&lt;=설정!$B$11),"포함","기간 밖"))</f>
        <v/>
      </c>
      <c r="BB874" s="2">
        <f>IF($AS874="","",IF(OR($AT874&lt;0,AND($I$6&lt;&gt;"",ISNUMBER(FIND("수정",INDEX($A:$AP,ROW(),IF($I$6="",1,$I$6))&amp;"")))),"수정","일반"))</f>
        <v/>
      </c>
      <c r="BC874" s="2">
        <f>IF($AS874="","",MID(IF($BA874="기간 밖"," / 기간 밖(신고기간 아님)","")&amp;IF(AND($AW874&lt;&gt;"",COUNTIF($AW$8:$AW$1007,$AW874)&gt;1)," / 승인번호 중복(두 번 붙여넣기?)","")&amp;IF(ABS($AU874-ROUND($AT874*0.1,0))&gt;설정!$B$8,IF($AU874=0," / 세액 0원(영세율·면세 여부 확인)"," / 세액이 공급가액 10%와 다름"),"")&amp;IF($BB874="수정"," / 수정세금계산서(합계에서 자동 가감)",""),4,200))</f>
        <v/>
      </c>
      <c r="BD874" s="2">
        <f>IF($BA874&lt;&gt;"포함","",IF(COUNTIFS($AX$8:$AX874,$AX874,$BA$8:$BA874,"포함")=1,MAX($BD$7:BD873)+1,""))</f>
        <v/>
      </c>
      <c r="BE874" s="2">
        <f>IF($BC874="","",MAX($BE$7:BE873)+1)</f>
        <v/>
      </c>
    </row>
    <row r="875">
      <c r="AR875" s="2">
        <f>IF(OR($A$5="",$B$6="",ROW()&lt;$A$5),"",IF(INDEX($A:$AP,ROW(),$B$6)="","",INDEX($A:$AP,ROW(),$B$6)))</f>
        <v/>
      </c>
      <c r="AS875" s="22">
        <f>IF($AR875="","",IF(ISNUMBER($AR875),IF($AR875&gt;=10000000,IFERROR(DATE(INT($AR875/10000),MOD(INT($AR875/100),100),MOD($AR875,100)),""),INT($AR875)),IFERROR(DATE(--LEFT(LEFT(SUBSTITUTE(SUBSTITUTE(SUBSTITUTE(SUBSTITUTE(TRIM($AR875),"-",""),".",""),"/","")," ",""),8),4),--MID(LEFT(SUBSTITUTE(SUBSTITUTE(SUBSTITUTE(SUBSTITUTE(TRIM($AR875),"-",""),".",""),"/","")," ",""),8),5,2),--MID(LEFT(SUBSTITUTE(SUBSTITUTE(SUBSTITUTE(SUBSTITUTE(TRIM($AR875),"-",""),".",""),"/","")," ",""),8),7,2)),"")))</f>
        <v/>
      </c>
      <c r="AT875" s="23">
        <f>IF($AS875="","",IF($F$6="",0,IF(ISNUMBER(INDEX($A:$AP,ROW(),$F$6)),INDEX($A:$AP,ROW(),$F$6),IFERROR(--SUBSTITUTE(SUBSTITUTE(TRIM(INDEX($A:$AP,ROW(),$F$6)),",",""),"원",""),0))))</f>
        <v/>
      </c>
      <c r="AU875" s="23">
        <f>IF($AS875="","",IF($G$6="",0,IF(ISNUMBER(INDEX($A:$AP,ROW(),$G$6)),INDEX($A:$AP,ROW(),$G$6),IFERROR(--SUBSTITUTE(SUBSTITUTE(TRIM(INDEX($A:$AP,ROW(),$G$6)),",",""),"원",""),0))))</f>
        <v/>
      </c>
      <c r="AV875" s="23">
        <f>IF($AS875="","",IF($H$6="",$AT875+$AU875,IF($H$6="",0,IF(ISNUMBER(INDEX($A:$AP,ROW(),$H$6)),INDEX($A:$AP,ROW(),$H$6),IFERROR(--SUBSTITUTE(SUBSTITUTE(TRIM(INDEX($A:$AP,ROW(),$H$6)),",",""),"원",""),0)))))</f>
        <v/>
      </c>
      <c r="AW875" s="2">
        <f>IF(OR($AS875="",$C$6=""),"",TRIM(INDEX($A:$AP,ROW(),$C$6)&amp;""))</f>
        <v/>
      </c>
      <c r="AX875" s="2">
        <f>IF($AS875="","",IF($AZ875&lt;&gt;"",SUBSTITUTE(SUBSTITUTE($AZ875,"-","")," ",""),$AY875))</f>
        <v/>
      </c>
      <c r="AY875" s="2">
        <f>IF(OR($AS875="",$E$6=""),"",TRIM(INDEX($A:$AP,ROW(),$E$6)&amp;""))</f>
        <v/>
      </c>
      <c r="AZ875" s="2">
        <f>IF(OR($AS875="",$D$6=""),"",TRIM(INDEX($A:$AP,ROW(),$D$6)&amp;""))</f>
        <v/>
      </c>
      <c r="BA875" s="2">
        <f>IF($AS875="","",IF(AND($AS875&gt;=설정!$B$10,$AS875&lt;=설정!$B$11),"포함","기간 밖"))</f>
        <v/>
      </c>
      <c r="BB875" s="2">
        <f>IF($AS875="","",IF(OR($AT875&lt;0,AND($I$6&lt;&gt;"",ISNUMBER(FIND("수정",INDEX($A:$AP,ROW(),IF($I$6="",1,$I$6))&amp;"")))),"수정","일반"))</f>
        <v/>
      </c>
      <c r="BC875" s="2">
        <f>IF($AS875="","",MID(IF($BA875="기간 밖"," / 기간 밖(신고기간 아님)","")&amp;IF(AND($AW875&lt;&gt;"",COUNTIF($AW$8:$AW$1007,$AW875)&gt;1)," / 승인번호 중복(두 번 붙여넣기?)","")&amp;IF(ABS($AU875-ROUND($AT875*0.1,0))&gt;설정!$B$8,IF($AU875=0," / 세액 0원(영세율·면세 여부 확인)"," / 세액이 공급가액 10%와 다름"),"")&amp;IF($BB875="수정"," / 수정세금계산서(합계에서 자동 가감)",""),4,200))</f>
        <v/>
      </c>
      <c r="BD875" s="2">
        <f>IF($BA875&lt;&gt;"포함","",IF(COUNTIFS($AX$8:$AX875,$AX875,$BA$8:$BA875,"포함")=1,MAX($BD$7:BD874)+1,""))</f>
        <v/>
      </c>
      <c r="BE875" s="2">
        <f>IF($BC875="","",MAX($BE$7:BE874)+1)</f>
        <v/>
      </c>
    </row>
    <row r="876">
      <c r="AR876" s="2">
        <f>IF(OR($A$5="",$B$6="",ROW()&lt;$A$5),"",IF(INDEX($A:$AP,ROW(),$B$6)="","",INDEX($A:$AP,ROW(),$B$6)))</f>
        <v/>
      </c>
      <c r="AS876" s="22">
        <f>IF($AR876="","",IF(ISNUMBER($AR876),IF($AR876&gt;=10000000,IFERROR(DATE(INT($AR876/10000),MOD(INT($AR876/100),100),MOD($AR876,100)),""),INT($AR876)),IFERROR(DATE(--LEFT(LEFT(SUBSTITUTE(SUBSTITUTE(SUBSTITUTE(SUBSTITUTE(TRIM($AR876),"-",""),".",""),"/","")," ",""),8),4),--MID(LEFT(SUBSTITUTE(SUBSTITUTE(SUBSTITUTE(SUBSTITUTE(TRIM($AR876),"-",""),".",""),"/","")," ",""),8),5,2),--MID(LEFT(SUBSTITUTE(SUBSTITUTE(SUBSTITUTE(SUBSTITUTE(TRIM($AR876),"-",""),".",""),"/","")," ",""),8),7,2)),"")))</f>
        <v/>
      </c>
      <c r="AT876" s="23">
        <f>IF($AS876="","",IF($F$6="",0,IF(ISNUMBER(INDEX($A:$AP,ROW(),$F$6)),INDEX($A:$AP,ROW(),$F$6),IFERROR(--SUBSTITUTE(SUBSTITUTE(TRIM(INDEX($A:$AP,ROW(),$F$6)),",",""),"원",""),0))))</f>
        <v/>
      </c>
      <c r="AU876" s="23">
        <f>IF($AS876="","",IF($G$6="",0,IF(ISNUMBER(INDEX($A:$AP,ROW(),$G$6)),INDEX($A:$AP,ROW(),$G$6),IFERROR(--SUBSTITUTE(SUBSTITUTE(TRIM(INDEX($A:$AP,ROW(),$G$6)),",",""),"원",""),0))))</f>
        <v/>
      </c>
      <c r="AV876" s="23">
        <f>IF($AS876="","",IF($H$6="",$AT876+$AU876,IF($H$6="",0,IF(ISNUMBER(INDEX($A:$AP,ROW(),$H$6)),INDEX($A:$AP,ROW(),$H$6),IFERROR(--SUBSTITUTE(SUBSTITUTE(TRIM(INDEX($A:$AP,ROW(),$H$6)),",",""),"원",""),0)))))</f>
        <v/>
      </c>
      <c r="AW876" s="2">
        <f>IF(OR($AS876="",$C$6=""),"",TRIM(INDEX($A:$AP,ROW(),$C$6)&amp;""))</f>
        <v/>
      </c>
      <c r="AX876" s="2">
        <f>IF($AS876="","",IF($AZ876&lt;&gt;"",SUBSTITUTE(SUBSTITUTE($AZ876,"-","")," ",""),$AY876))</f>
        <v/>
      </c>
      <c r="AY876" s="2">
        <f>IF(OR($AS876="",$E$6=""),"",TRIM(INDEX($A:$AP,ROW(),$E$6)&amp;""))</f>
        <v/>
      </c>
      <c r="AZ876" s="2">
        <f>IF(OR($AS876="",$D$6=""),"",TRIM(INDEX($A:$AP,ROW(),$D$6)&amp;""))</f>
        <v/>
      </c>
      <c r="BA876" s="2">
        <f>IF($AS876="","",IF(AND($AS876&gt;=설정!$B$10,$AS876&lt;=설정!$B$11),"포함","기간 밖"))</f>
        <v/>
      </c>
      <c r="BB876" s="2">
        <f>IF($AS876="","",IF(OR($AT876&lt;0,AND($I$6&lt;&gt;"",ISNUMBER(FIND("수정",INDEX($A:$AP,ROW(),IF($I$6="",1,$I$6))&amp;"")))),"수정","일반"))</f>
        <v/>
      </c>
      <c r="BC876" s="2">
        <f>IF($AS876="","",MID(IF($BA876="기간 밖"," / 기간 밖(신고기간 아님)","")&amp;IF(AND($AW876&lt;&gt;"",COUNTIF($AW$8:$AW$1007,$AW876)&gt;1)," / 승인번호 중복(두 번 붙여넣기?)","")&amp;IF(ABS($AU876-ROUND($AT876*0.1,0))&gt;설정!$B$8,IF($AU876=0," / 세액 0원(영세율·면세 여부 확인)"," / 세액이 공급가액 10%와 다름"),"")&amp;IF($BB876="수정"," / 수정세금계산서(합계에서 자동 가감)",""),4,200))</f>
        <v/>
      </c>
      <c r="BD876" s="2">
        <f>IF($BA876&lt;&gt;"포함","",IF(COUNTIFS($AX$8:$AX876,$AX876,$BA$8:$BA876,"포함")=1,MAX($BD$7:BD875)+1,""))</f>
        <v/>
      </c>
      <c r="BE876" s="2">
        <f>IF($BC876="","",MAX($BE$7:BE875)+1)</f>
        <v/>
      </c>
    </row>
    <row r="877">
      <c r="AR877" s="2">
        <f>IF(OR($A$5="",$B$6="",ROW()&lt;$A$5),"",IF(INDEX($A:$AP,ROW(),$B$6)="","",INDEX($A:$AP,ROW(),$B$6)))</f>
        <v/>
      </c>
      <c r="AS877" s="22">
        <f>IF($AR877="","",IF(ISNUMBER($AR877),IF($AR877&gt;=10000000,IFERROR(DATE(INT($AR877/10000),MOD(INT($AR877/100),100),MOD($AR877,100)),""),INT($AR877)),IFERROR(DATE(--LEFT(LEFT(SUBSTITUTE(SUBSTITUTE(SUBSTITUTE(SUBSTITUTE(TRIM($AR877),"-",""),".",""),"/","")," ",""),8),4),--MID(LEFT(SUBSTITUTE(SUBSTITUTE(SUBSTITUTE(SUBSTITUTE(TRIM($AR877),"-",""),".",""),"/","")," ",""),8),5,2),--MID(LEFT(SUBSTITUTE(SUBSTITUTE(SUBSTITUTE(SUBSTITUTE(TRIM($AR877),"-",""),".",""),"/","")," ",""),8),7,2)),"")))</f>
        <v/>
      </c>
      <c r="AT877" s="23">
        <f>IF($AS877="","",IF($F$6="",0,IF(ISNUMBER(INDEX($A:$AP,ROW(),$F$6)),INDEX($A:$AP,ROW(),$F$6),IFERROR(--SUBSTITUTE(SUBSTITUTE(TRIM(INDEX($A:$AP,ROW(),$F$6)),",",""),"원",""),0))))</f>
        <v/>
      </c>
      <c r="AU877" s="23">
        <f>IF($AS877="","",IF($G$6="",0,IF(ISNUMBER(INDEX($A:$AP,ROW(),$G$6)),INDEX($A:$AP,ROW(),$G$6),IFERROR(--SUBSTITUTE(SUBSTITUTE(TRIM(INDEX($A:$AP,ROW(),$G$6)),",",""),"원",""),0))))</f>
        <v/>
      </c>
      <c r="AV877" s="23">
        <f>IF($AS877="","",IF($H$6="",$AT877+$AU877,IF($H$6="",0,IF(ISNUMBER(INDEX($A:$AP,ROW(),$H$6)),INDEX($A:$AP,ROW(),$H$6),IFERROR(--SUBSTITUTE(SUBSTITUTE(TRIM(INDEX($A:$AP,ROW(),$H$6)),",",""),"원",""),0)))))</f>
        <v/>
      </c>
      <c r="AW877" s="2">
        <f>IF(OR($AS877="",$C$6=""),"",TRIM(INDEX($A:$AP,ROW(),$C$6)&amp;""))</f>
        <v/>
      </c>
      <c r="AX877" s="2">
        <f>IF($AS877="","",IF($AZ877&lt;&gt;"",SUBSTITUTE(SUBSTITUTE($AZ877,"-","")," ",""),$AY877))</f>
        <v/>
      </c>
      <c r="AY877" s="2">
        <f>IF(OR($AS877="",$E$6=""),"",TRIM(INDEX($A:$AP,ROW(),$E$6)&amp;""))</f>
        <v/>
      </c>
      <c r="AZ877" s="2">
        <f>IF(OR($AS877="",$D$6=""),"",TRIM(INDEX($A:$AP,ROW(),$D$6)&amp;""))</f>
        <v/>
      </c>
      <c r="BA877" s="2">
        <f>IF($AS877="","",IF(AND($AS877&gt;=설정!$B$10,$AS877&lt;=설정!$B$11),"포함","기간 밖"))</f>
        <v/>
      </c>
      <c r="BB877" s="2">
        <f>IF($AS877="","",IF(OR($AT877&lt;0,AND($I$6&lt;&gt;"",ISNUMBER(FIND("수정",INDEX($A:$AP,ROW(),IF($I$6="",1,$I$6))&amp;"")))),"수정","일반"))</f>
        <v/>
      </c>
      <c r="BC877" s="2">
        <f>IF($AS877="","",MID(IF($BA877="기간 밖"," / 기간 밖(신고기간 아님)","")&amp;IF(AND($AW877&lt;&gt;"",COUNTIF($AW$8:$AW$1007,$AW877)&gt;1)," / 승인번호 중복(두 번 붙여넣기?)","")&amp;IF(ABS($AU877-ROUND($AT877*0.1,0))&gt;설정!$B$8,IF($AU877=0," / 세액 0원(영세율·면세 여부 확인)"," / 세액이 공급가액 10%와 다름"),"")&amp;IF($BB877="수정"," / 수정세금계산서(합계에서 자동 가감)",""),4,200))</f>
        <v/>
      </c>
      <c r="BD877" s="2">
        <f>IF($BA877&lt;&gt;"포함","",IF(COUNTIFS($AX$8:$AX877,$AX877,$BA$8:$BA877,"포함")=1,MAX($BD$7:BD876)+1,""))</f>
        <v/>
      </c>
      <c r="BE877" s="2">
        <f>IF($BC877="","",MAX($BE$7:BE876)+1)</f>
        <v/>
      </c>
    </row>
    <row r="878">
      <c r="AR878" s="2">
        <f>IF(OR($A$5="",$B$6="",ROW()&lt;$A$5),"",IF(INDEX($A:$AP,ROW(),$B$6)="","",INDEX($A:$AP,ROW(),$B$6)))</f>
        <v/>
      </c>
      <c r="AS878" s="22">
        <f>IF($AR878="","",IF(ISNUMBER($AR878),IF($AR878&gt;=10000000,IFERROR(DATE(INT($AR878/10000),MOD(INT($AR878/100),100),MOD($AR878,100)),""),INT($AR878)),IFERROR(DATE(--LEFT(LEFT(SUBSTITUTE(SUBSTITUTE(SUBSTITUTE(SUBSTITUTE(TRIM($AR878),"-",""),".",""),"/","")," ",""),8),4),--MID(LEFT(SUBSTITUTE(SUBSTITUTE(SUBSTITUTE(SUBSTITUTE(TRIM($AR878),"-",""),".",""),"/","")," ",""),8),5,2),--MID(LEFT(SUBSTITUTE(SUBSTITUTE(SUBSTITUTE(SUBSTITUTE(TRIM($AR878),"-",""),".",""),"/","")," ",""),8),7,2)),"")))</f>
        <v/>
      </c>
      <c r="AT878" s="23">
        <f>IF($AS878="","",IF($F$6="",0,IF(ISNUMBER(INDEX($A:$AP,ROW(),$F$6)),INDEX($A:$AP,ROW(),$F$6),IFERROR(--SUBSTITUTE(SUBSTITUTE(TRIM(INDEX($A:$AP,ROW(),$F$6)),",",""),"원",""),0))))</f>
        <v/>
      </c>
      <c r="AU878" s="23">
        <f>IF($AS878="","",IF($G$6="",0,IF(ISNUMBER(INDEX($A:$AP,ROW(),$G$6)),INDEX($A:$AP,ROW(),$G$6),IFERROR(--SUBSTITUTE(SUBSTITUTE(TRIM(INDEX($A:$AP,ROW(),$G$6)),",",""),"원",""),0))))</f>
        <v/>
      </c>
      <c r="AV878" s="23">
        <f>IF($AS878="","",IF($H$6="",$AT878+$AU878,IF($H$6="",0,IF(ISNUMBER(INDEX($A:$AP,ROW(),$H$6)),INDEX($A:$AP,ROW(),$H$6),IFERROR(--SUBSTITUTE(SUBSTITUTE(TRIM(INDEX($A:$AP,ROW(),$H$6)),",",""),"원",""),0)))))</f>
        <v/>
      </c>
      <c r="AW878" s="2">
        <f>IF(OR($AS878="",$C$6=""),"",TRIM(INDEX($A:$AP,ROW(),$C$6)&amp;""))</f>
        <v/>
      </c>
      <c r="AX878" s="2">
        <f>IF($AS878="","",IF($AZ878&lt;&gt;"",SUBSTITUTE(SUBSTITUTE($AZ878,"-","")," ",""),$AY878))</f>
        <v/>
      </c>
      <c r="AY878" s="2">
        <f>IF(OR($AS878="",$E$6=""),"",TRIM(INDEX($A:$AP,ROW(),$E$6)&amp;""))</f>
        <v/>
      </c>
      <c r="AZ878" s="2">
        <f>IF(OR($AS878="",$D$6=""),"",TRIM(INDEX($A:$AP,ROW(),$D$6)&amp;""))</f>
        <v/>
      </c>
      <c r="BA878" s="2">
        <f>IF($AS878="","",IF(AND($AS878&gt;=설정!$B$10,$AS878&lt;=설정!$B$11),"포함","기간 밖"))</f>
        <v/>
      </c>
      <c r="BB878" s="2">
        <f>IF($AS878="","",IF(OR($AT878&lt;0,AND($I$6&lt;&gt;"",ISNUMBER(FIND("수정",INDEX($A:$AP,ROW(),IF($I$6="",1,$I$6))&amp;"")))),"수정","일반"))</f>
        <v/>
      </c>
      <c r="BC878" s="2">
        <f>IF($AS878="","",MID(IF($BA878="기간 밖"," / 기간 밖(신고기간 아님)","")&amp;IF(AND($AW878&lt;&gt;"",COUNTIF($AW$8:$AW$1007,$AW878)&gt;1)," / 승인번호 중복(두 번 붙여넣기?)","")&amp;IF(ABS($AU878-ROUND($AT878*0.1,0))&gt;설정!$B$8,IF($AU878=0," / 세액 0원(영세율·면세 여부 확인)"," / 세액이 공급가액 10%와 다름"),"")&amp;IF($BB878="수정"," / 수정세금계산서(합계에서 자동 가감)",""),4,200))</f>
        <v/>
      </c>
      <c r="BD878" s="2">
        <f>IF($BA878&lt;&gt;"포함","",IF(COUNTIFS($AX$8:$AX878,$AX878,$BA$8:$BA878,"포함")=1,MAX($BD$7:BD877)+1,""))</f>
        <v/>
      </c>
      <c r="BE878" s="2">
        <f>IF($BC878="","",MAX($BE$7:BE877)+1)</f>
        <v/>
      </c>
    </row>
    <row r="879">
      <c r="AR879" s="2">
        <f>IF(OR($A$5="",$B$6="",ROW()&lt;$A$5),"",IF(INDEX($A:$AP,ROW(),$B$6)="","",INDEX($A:$AP,ROW(),$B$6)))</f>
        <v/>
      </c>
      <c r="AS879" s="22">
        <f>IF($AR879="","",IF(ISNUMBER($AR879),IF($AR879&gt;=10000000,IFERROR(DATE(INT($AR879/10000),MOD(INT($AR879/100),100),MOD($AR879,100)),""),INT($AR879)),IFERROR(DATE(--LEFT(LEFT(SUBSTITUTE(SUBSTITUTE(SUBSTITUTE(SUBSTITUTE(TRIM($AR879),"-",""),".",""),"/","")," ",""),8),4),--MID(LEFT(SUBSTITUTE(SUBSTITUTE(SUBSTITUTE(SUBSTITUTE(TRIM($AR879),"-",""),".",""),"/","")," ",""),8),5,2),--MID(LEFT(SUBSTITUTE(SUBSTITUTE(SUBSTITUTE(SUBSTITUTE(TRIM($AR879),"-",""),".",""),"/","")," ",""),8),7,2)),"")))</f>
        <v/>
      </c>
      <c r="AT879" s="23">
        <f>IF($AS879="","",IF($F$6="",0,IF(ISNUMBER(INDEX($A:$AP,ROW(),$F$6)),INDEX($A:$AP,ROW(),$F$6),IFERROR(--SUBSTITUTE(SUBSTITUTE(TRIM(INDEX($A:$AP,ROW(),$F$6)),",",""),"원",""),0))))</f>
        <v/>
      </c>
      <c r="AU879" s="23">
        <f>IF($AS879="","",IF($G$6="",0,IF(ISNUMBER(INDEX($A:$AP,ROW(),$G$6)),INDEX($A:$AP,ROW(),$G$6),IFERROR(--SUBSTITUTE(SUBSTITUTE(TRIM(INDEX($A:$AP,ROW(),$G$6)),",",""),"원",""),0))))</f>
        <v/>
      </c>
      <c r="AV879" s="23">
        <f>IF($AS879="","",IF($H$6="",$AT879+$AU879,IF($H$6="",0,IF(ISNUMBER(INDEX($A:$AP,ROW(),$H$6)),INDEX($A:$AP,ROW(),$H$6),IFERROR(--SUBSTITUTE(SUBSTITUTE(TRIM(INDEX($A:$AP,ROW(),$H$6)),",",""),"원",""),0)))))</f>
        <v/>
      </c>
      <c r="AW879" s="2">
        <f>IF(OR($AS879="",$C$6=""),"",TRIM(INDEX($A:$AP,ROW(),$C$6)&amp;""))</f>
        <v/>
      </c>
      <c r="AX879" s="2">
        <f>IF($AS879="","",IF($AZ879&lt;&gt;"",SUBSTITUTE(SUBSTITUTE($AZ879,"-","")," ",""),$AY879))</f>
        <v/>
      </c>
      <c r="AY879" s="2">
        <f>IF(OR($AS879="",$E$6=""),"",TRIM(INDEX($A:$AP,ROW(),$E$6)&amp;""))</f>
        <v/>
      </c>
      <c r="AZ879" s="2">
        <f>IF(OR($AS879="",$D$6=""),"",TRIM(INDEX($A:$AP,ROW(),$D$6)&amp;""))</f>
        <v/>
      </c>
      <c r="BA879" s="2">
        <f>IF($AS879="","",IF(AND($AS879&gt;=설정!$B$10,$AS879&lt;=설정!$B$11),"포함","기간 밖"))</f>
        <v/>
      </c>
      <c r="BB879" s="2">
        <f>IF($AS879="","",IF(OR($AT879&lt;0,AND($I$6&lt;&gt;"",ISNUMBER(FIND("수정",INDEX($A:$AP,ROW(),IF($I$6="",1,$I$6))&amp;"")))),"수정","일반"))</f>
        <v/>
      </c>
      <c r="BC879" s="2">
        <f>IF($AS879="","",MID(IF($BA879="기간 밖"," / 기간 밖(신고기간 아님)","")&amp;IF(AND($AW879&lt;&gt;"",COUNTIF($AW$8:$AW$1007,$AW879)&gt;1)," / 승인번호 중복(두 번 붙여넣기?)","")&amp;IF(ABS($AU879-ROUND($AT879*0.1,0))&gt;설정!$B$8,IF($AU879=0," / 세액 0원(영세율·면세 여부 확인)"," / 세액이 공급가액 10%와 다름"),"")&amp;IF($BB879="수정"," / 수정세금계산서(합계에서 자동 가감)",""),4,200))</f>
        <v/>
      </c>
      <c r="BD879" s="2">
        <f>IF($BA879&lt;&gt;"포함","",IF(COUNTIFS($AX$8:$AX879,$AX879,$BA$8:$BA879,"포함")=1,MAX($BD$7:BD878)+1,""))</f>
        <v/>
      </c>
      <c r="BE879" s="2">
        <f>IF($BC879="","",MAX($BE$7:BE878)+1)</f>
        <v/>
      </c>
    </row>
    <row r="880">
      <c r="AR880" s="2">
        <f>IF(OR($A$5="",$B$6="",ROW()&lt;$A$5),"",IF(INDEX($A:$AP,ROW(),$B$6)="","",INDEX($A:$AP,ROW(),$B$6)))</f>
        <v/>
      </c>
      <c r="AS880" s="22">
        <f>IF($AR880="","",IF(ISNUMBER($AR880),IF($AR880&gt;=10000000,IFERROR(DATE(INT($AR880/10000),MOD(INT($AR880/100),100),MOD($AR880,100)),""),INT($AR880)),IFERROR(DATE(--LEFT(LEFT(SUBSTITUTE(SUBSTITUTE(SUBSTITUTE(SUBSTITUTE(TRIM($AR880),"-",""),".",""),"/","")," ",""),8),4),--MID(LEFT(SUBSTITUTE(SUBSTITUTE(SUBSTITUTE(SUBSTITUTE(TRIM($AR880),"-",""),".",""),"/","")," ",""),8),5,2),--MID(LEFT(SUBSTITUTE(SUBSTITUTE(SUBSTITUTE(SUBSTITUTE(TRIM($AR880),"-",""),".",""),"/","")," ",""),8),7,2)),"")))</f>
        <v/>
      </c>
      <c r="AT880" s="23">
        <f>IF($AS880="","",IF($F$6="",0,IF(ISNUMBER(INDEX($A:$AP,ROW(),$F$6)),INDEX($A:$AP,ROW(),$F$6),IFERROR(--SUBSTITUTE(SUBSTITUTE(TRIM(INDEX($A:$AP,ROW(),$F$6)),",",""),"원",""),0))))</f>
        <v/>
      </c>
      <c r="AU880" s="23">
        <f>IF($AS880="","",IF($G$6="",0,IF(ISNUMBER(INDEX($A:$AP,ROW(),$G$6)),INDEX($A:$AP,ROW(),$G$6),IFERROR(--SUBSTITUTE(SUBSTITUTE(TRIM(INDEX($A:$AP,ROW(),$G$6)),",",""),"원",""),0))))</f>
        <v/>
      </c>
      <c r="AV880" s="23">
        <f>IF($AS880="","",IF($H$6="",$AT880+$AU880,IF($H$6="",0,IF(ISNUMBER(INDEX($A:$AP,ROW(),$H$6)),INDEX($A:$AP,ROW(),$H$6),IFERROR(--SUBSTITUTE(SUBSTITUTE(TRIM(INDEX($A:$AP,ROW(),$H$6)),",",""),"원",""),0)))))</f>
        <v/>
      </c>
      <c r="AW880" s="2">
        <f>IF(OR($AS880="",$C$6=""),"",TRIM(INDEX($A:$AP,ROW(),$C$6)&amp;""))</f>
        <v/>
      </c>
      <c r="AX880" s="2">
        <f>IF($AS880="","",IF($AZ880&lt;&gt;"",SUBSTITUTE(SUBSTITUTE($AZ880,"-","")," ",""),$AY880))</f>
        <v/>
      </c>
      <c r="AY880" s="2">
        <f>IF(OR($AS880="",$E$6=""),"",TRIM(INDEX($A:$AP,ROW(),$E$6)&amp;""))</f>
        <v/>
      </c>
      <c r="AZ880" s="2">
        <f>IF(OR($AS880="",$D$6=""),"",TRIM(INDEX($A:$AP,ROW(),$D$6)&amp;""))</f>
        <v/>
      </c>
      <c r="BA880" s="2">
        <f>IF($AS880="","",IF(AND($AS880&gt;=설정!$B$10,$AS880&lt;=설정!$B$11),"포함","기간 밖"))</f>
        <v/>
      </c>
      <c r="BB880" s="2">
        <f>IF($AS880="","",IF(OR($AT880&lt;0,AND($I$6&lt;&gt;"",ISNUMBER(FIND("수정",INDEX($A:$AP,ROW(),IF($I$6="",1,$I$6))&amp;"")))),"수정","일반"))</f>
        <v/>
      </c>
      <c r="BC880" s="2">
        <f>IF($AS880="","",MID(IF($BA880="기간 밖"," / 기간 밖(신고기간 아님)","")&amp;IF(AND($AW880&lt;&gt;"",COUNTIF($AW$8:$AW$1007,$AW880)&gt;1)," / 승인번호 중복(두 번 붙여넣기?)","")&amp;IF(ABS($AU880-ROUND($AT880*0.1,0))&gt;설정!$B$8,IF($AU880=0," / 세액 0원(영세율·면세 여부 확인)"," / 세액이 공급가액 10%와 다름"),"")&amp;IF($BB880="수정"," / 수정세금계산서(합계에서 자동 가감)",""),4,200))</f>
        <v/>
      </c>
      <c r="BD880" s="2">
        <f>IF($BA880&lt;&gt;"포함","",IF(COUNTIFS($AX$8:$AX880,$AX880,$BA$8:$BA880,"포함")=1,MAX($BD$7:BD879)+1,""))</f>
        <v/>
      </c>
      <c r="BE880" s="2">
        <f>IF($BC880="","",MAX($BE$7:BE879)+1)</f>
        <v/>
      </c>
    </row>
    <row r="881">
      <c r="AR881" s="2">
        <f>IF(OR($A$5="",$B$6="",ROW()&lt;$A$5),"",IF(INDEX($A:$AP,ROW(),$B$6)="","",INDEX($A:$AP,ROW(),$B$6)))</f>
        <v/>
      </c>
      <c r="AS881" s="22">
        <f>IF($AR881="","",IF(ISNUMBER($AR881),IF($AR881&gt;=10000000,IFERROR(DATE(INT($AR881/10000),MOD(INT($AR881/100),100),MOD($AR881,100)),""),INT($AR881)),IFERROR(DATE(--LEFT(LEFT(SUBSTITUTE(SUBSTITUTE(SUBSTITUTE(SUBSTITUTE(TRIM($AR881),"-",""),".",""),"/","")," ",""),8),4),--MID(LEFT(SUBSTITUTE(SUBSTITUTE(SUBSTITUTE(SUBSTITUTE(TRIM($AR881),"-",""),".",""),"/","")," ",""),8),5,2),--MID(LEFT(SUBSTITUTE(SUBSTITUTE(SUBSTITUTE(SUBSTITUTE(TRIM($AR881),"-",""),".",""),"/","")," ",""),8),7,2)),"")))</f>
        <v/>
      </c>
      <c r="AT881" s="23">
        <f>IF($AS881="","",IF($F$6="",0,IF(ISNUMBER(INDEX($A:$AP,ROW(),$F$6)),INDEX($A:$AP,ROW(),$F$6),IFERROR(--SUBSTITUTE(SUBSTITUTE(TRIM(INDEX($A:$AP,ROW(),$F$6)),",",""),"원",""),0))))</f>
        <v/>
      </c>
      <c r="AU881" s="23">
        <f>IF($AS881="","",IF($G$6="",0,IF(ISNUMBER(INDEX($A:$AP,ROW(),$G$6)),INDEX($A:$AP,ROW(),$G$6),IFERROR(--SUBSTITUTE(SUBSTITUTE(TRIM(INDEX($A:$AP,ROW(),$G$6)),",",""),"원",""),0))))</f>
        <v/>
      </c>
      <c r="AV881" s="23">
        <f>IF($AS881="","",IF($H$6="",$AT881+$AU881,IF($H$6="",0,IF(ISNUMBER(INDEX($A:$AP,ROW(),$H$6)),INDEX($A:$AP,ROW(),$H$6),IFERROR(--SUBSTITUTE(SUBSTITUTE(TRIM(INDEX($A:$AP,ROW(),$H$6)),",",""),"원",""),0)))))</f>
        <v/>
      </c>
      <c r="AW881" s="2">
        <f>IF(OR($AS881="",$C$6=""),"",TRIM(INDEX($A:$AP,ROW(),$C$6)&amp;""))</f>
        <v/>
      </c>
      <c r="AX881" s="2">
        <f>IF($AS881="","",IF($AZ881&lt;&gt;"",SUBSTITUTE(SUBSTITUTE($AZ881,"-","")," ",""),$AY881))</f>
        <v/>
      </c>
      <c r="AY881" s="2">
        <f>IF(OR($AS881="",$E$6=""),"",TRIM(INDEX($A:$AP,ROW(),$E$6)&amp;""))</f>
        <v/>
      </c>
      <c r="AZ881" s="2">
        <f>IF(OR($AS881="",$D$6=""),"",TRIM(INDEX($A:$AP,ROW(),$D$6)&amp;""))</f>
        <v/>
      </c>
      <c r="BA881" s="2">
        <f>IF($AS881="","",IF(AND($AS881&gt;=설정!$B$10,$AS881&lt;=설정!$B$11),"포함","기간 밖"))</f>
        <v/>
      </c>
      <c r="BB881" s="2">
        <f>IF($AS881="","",IF(OR($AT881&lt;0,AND($I$6&lt;&gt;"",ISNUMBER(FIND("수정",INDEX($A:$AP,ROW(),IF($I$6="",1,$I$6))&amp;"")))),"수정","일반"))</f>
        <v/>
      </c>
      <c r="BC881" s="2">
        <f>IF($AS881="","",MID(IF($BA881="기간 밖"," / 기간 밖(신고기간 아님)","")&amp;IF(AND($AW881&lt;&gt;"",COUNTIF($AW$8:$AW$1007,$AW881)&gt;1)," / 승인번호 중복(두 번 붙여넣기?)","")&amp;IF(ABS($AU881-ROUND($AT881*0.1,0))&gt;설정!$B$8,IF($AU881=0," / 세액 0원(영세율·면세 여부 확인)"," / 세액이 공급가액 10%와 다름"),"")&amp;IF($BB881="수정"," / 수정세금계산서(합계에서 자동 가감)",""),4,200))</f>
        <v/>
      </c>
      <c r="BD881" s="2">
        <f>IF($BA881&lt;&gt;"포함","",IF(COUNTIFS($AX$8:$AX881,$AX881,$BA$8:$BA881,"포함")=1,MAX($BD$7:BD880)+1,""))</f>
        <v/>
      </c>
      <c r="BE881" s="2">
        <f>IF($BC881="","",MAX($BE$7:BE880)+1)</f>
        <v/>
      </c>
    </row>
    <row r="882">
      <c r="AR882" s="2">
        <f>IF(OR($A$5="",$B$6="",ROW()&lt;$A$5),"",IF(INDEX($A:$AP,ROW(),$B$6)="","",INDEX($A:$AP,ROW(),$B$6)))</f>
        <v/>
      </c>
      <c r="AS882" s="22">
        <f>IF($AR882="","",IF(ISNUMBER($AR882),IF($AR882&gt;=10000000,IFERROR(DATE(INT($AR882/10000),MOD(INT($AR882/100),100),MOD($AR882,100)),""),INT($AR882)),IFERROR(DATE(--LEFT(LEFT(SUBSTITUTE(SUBSTITUTE(SUBSTITUTE(SUBSTITUTE(TRIM($AR882),"-",""),".",""),"/","")," ",""),8),4),--MID(LEFT(SUBSTITUTE(SUBSTITUTE(SUBSTITUTE(SUBSTITUTE(TRIM($AR882),"-",""),".",""),"/","")," ",""),8),5,2),--MID(LEFT(SUBSTITUTE(SUBSTITUTE(SUBSTITUTE(SUBSTITUTE(TRIM($AR882),"-",""),".",""),"/","")," ",""),8),7,2)),"")))</f>
        <v/>
      </c>
      <c r="AT882" s="23">
        <f>IF($AS882="","",IF($F$6="",0,IF(ISNUMBER(INDEX($A:$AP,ROW(),$F$6)),INDEX($A:$AP,ROW(),$F$6),IFERROR(--SUBSTITUTE(SUBSTITUTE(TRIM(INDEX($A:$AP,ROW(),$F$6)),",",""),"원",""),0))))</f>
        <v/>
      </c>
      <c r="AU882" s="23">
        <f>IF($AS882="","",IF($G$6="",0,IF(ISNUMBER(INDEX($A:$AP,ROW(),$G$6)),INDEX($A:$AP,ROW(),$G$6),IFERROR(--SUBSTITUTE(SUBSTITUTE(TRIM(INDEX($A:$AP,ROW(),$G$6)),",",""),"원",""),0))))</f>
        <v/>
      </c>
      <c r="AV882" s="23">
        <f>IF($AS882="","",IF($H$6="",$AT882+$AU882,IF($H$6="",0,IF(ISNUMBER(INDEX($A:$AP,ROW(),$H$6)),INDEX($A:$AP,ROW(),$H$6),IFERROR(--SUBSTITUTE(SUBSTITUTE(TRIM(INDEX($A:$AP,ROW(),$H$6)),",",""),"원",""),0)))))</f>
        <v/>
      </c>
      <c r="AW882" s="2">
        <f>IF(OR($AS882="",$C$6=""),"",TRIM(INDEX($A:$AP,ROW(),$C$6)&amp;""))</f>
        <v/>
      </c>
      <c r="AX882" s="2">
        <f>IF($AS882="","",IF($AZ882&lt;&gt;"",SUBSTITUTE(SUBSTITUTE($AZ882,"-","")," ",""),$AY882))</f>
        <v/>
      </c>
      <c r="AY882" s="2">
        <f>IF(OR($AS882="",$E$6=""),"",TRIM(INDEX($A:$AP,ROW(),$E$6)&amp;""))</f>
        <v/>
      </c>
      <c r="AZ882" s="2">
        <f>IF(OR($AS882="",$D$6=""),"",TRIM(INDEX($A:$AP,ROW(),$D$6)&amp;""))</f>
        <v/>
      </c>
      <c r="BA882" s="2">
        <f>IF($AS882="","",IF(AND($AS882&gt;=설정!$B$10,$AS882&lt;=설정!$B$11),"포함","기간 밖"))</f>
        <v/>
      </c>
      <c r="BB882" s="2">
        <f>IF($AS882="","",IF(OR($AT882&lt;0,AND($I$6&lt;&gt;"",ISNUMBER(FIND("수정",INDEX($A:$AP,ROW(),IF($I$6="",1,$I$6))&amp;"")))),"수정","일반"))</f>
        <v/>
      </c>
      <c r="BC882" s="2">
        <f>IF($AS882="","",MID(IF($BA882="기간 밖"," / 기간 밖(신고기간 아님)","")&amp;IF(AND($AW882&lt;&gt;"",COUNTIF($AW$8:$AW$1007,$AW882)&gt;1)," / 승인번호 중복(두 번 붙여넣기?)","")&amp;IF(ABS($AU882-ROUND($AT882*0.1,0))&gt;설정!$B$8,IF($AU882=0," / 세액 0원(영세율·면세 여부 확인)"," / 세액이 공급가액 10%와 다름"),"")&amp;IF($BB882="수정"," / 수정세금계산서(합계에서 자동 가감)",""),4,200))</f>
        <v/>
      </c>
      <c r="BD882" s="2">
        <f>IF($BA882&lt;&gt;"포함","",IF(COUNTIFS($AX$8:$AX882,$AX882,$BA$8:$BA882,"포함")=1,MAX($BD$7:BD881)+1,""))</f>
        <v/>
      </c>
      <c r="BE882" s="2">
        <f>IF($BC882="","",MAX($BE$7:BE881)+1)</f>
        <v/>
      </c>
    </row>
    <row r="883">
      <c r="AR883" s="2">
        <f>IF(OR($A$5="",$B$6="",ROW()&lt;$A$5),"",IF(INDEX($A:$AP,ROW(),$B$6)="","",INDEX($A:$AP,ROW(),$B$6)))</f>
        <v/>
      </c>
      <c r="AS883" s="22">
        <f>IF($AR883="","",IF(ISNUMBER($AR883),IF($AR883&gt;=10000000,IFERROR(DATE(INT($AR883/10000),MOD(INT($AR883/100),100),MOD($AR883,100)),""),INT($AR883)),IFERROR(DATE(--LEFT(LEFT(SUBSTITUTE(SUBSTITUTE(SUBSTITUTE(SUBSTITUTE(TRIM($AR883),"-",""),".",""),"/","")," ",""),8),4),--MID(LEFT(SUBSTITUTE(SUBSTITUTE(SUBSTITUTE(SUBSTITUTE(TRIM($AR883),"-",""),".",""),"/","")," ",""),8),5,2),--MID(LEFT(SUBSTITUTE(SUBSTITUTE(SUBSTITUTE(SUBSTITUTE(TRIM($AR883),"-",""),".",""),"/","")," ",""),8),7,2)),"")))</f>
        <v/>
      </c>
      <c r="AT883" s="23">
        <f>IF($AS883="","",IF($F$6="",0,IF(ISNUMBER(INDEX($A:$AP,ROW(),$F$6)),INDEX($A:$AP,ROW(),$F$6),IFERROR(--SUBSTITUTE(SUBSTITUTE(TRIM(INDEX($A:$AP,ROW(),$F$6)),",",""),"원",""),0))))</f>
        <v/>
      </c>
      <c r="AU883" s="23">
        <f>IF($AS883="","",IF($G$6="",0,IF(ISNUMBER(INDEX($A:$AP,ROW(),$G$6)),INDEX($A:$AP,ROW(),$G$6),IFERROR(--SUBSTITUTE(SUBSTITUTE(TRIM(INDEX($A:$AP,ROW(),$G$6)),",",""),"원",""),0))))</f>
        <v/>
      </c>
      <c r="AV883" s="23">
        <f>IF($AS883="","",IF($H$6="",$AT883+$AU883,IF($H$6="",0,IF(ISNUMBER(INDEX($A:$AP,ROW(),$H$6)),INDEX($A:$AP,ROW(),$H$6),IFERROR(--SUBSTITUTE(SUBSTITUTE(TRIM(INDEX($A:$AP,ROW(),$H$6)),",",""),"원",""),0)))))</f>
        <v/>
      </c>
      <c r="AW883" s="2">
        <f>IF(OR($AS883="",$C$6=""),"",TRIM(INDEX($A:$AP,ROW(),$C$6)&amp;""))</f>
        <v/>
      </c>
      <c r="AX883" s="2">
        <f>IF($AS883="","",IF($AZ883&lt;&gt;"",SUBSTITUTE(SUBSTITUTE($AZ883,"-","")," ",""),$AY883))</f>
        <v/>
      </c>
      <c r="AY883" s="2">
        <f>IF(OR($AS883="",$E$6=""),"",TRIM(INDEX($A:$AP,ROW(),$E$6)&amp;""))</f>
        <v/>
      </c>
      <c r="AZ883" s="2">
        <f>IF(OR($AS883="",$D$6=""),"",TRIM(INDEX($A:$AP,ROW(),$D$6)&amp;""))</f>
        <v/>
      </c>
      <c r="BA883" s="2">
        <f>IF($AS883="","",IF(AND($AS883&gt;=설정!$B$10,$AS883&lt;=설정!$B$11),"포함","기간 밖"))</f>
        <v/>
      </c>
      <c r="BB883" s="2">
        <f>IF($AS883="","",IF(OR($AT883&lt;0,AND($I$6&lt;&gt;"",ISNUMBER(FIND("수정",INDEX($A:$AP,ROW(),IF($I$6="",1,$I$6))&amp;"")))),"수정","일반"))</f>
        <v/>
      </c>
      <c r="BC883" s="2">
        <f>IF($AS883="","",MID(IF($BA883="기간 밖"," / 기간 밖(신고기간 아님)","")&amp;IF(AND($AW883&lt;&gt;"",COUNTIF($AW$8:$AW$1007,$AW883)&gt;1)," / 승인번호 중복(두 번 붙여넣기?)","")&amp;IF(ABS($AU883-ROUND($AT883*0.1,0))&gt;설정!$B$8,IF($AU883=0," / 세액 0원(영세율·면세 여부 확인)"," / 세액이 공급가액 10%와 다름"),"")&amp;IF($BB883="수정"," / 수정세금계산서(합계에서 자동 가감)",""),4,200))</f>
        <v/>
      </c>
      <c r="BD883" s="2">
        <f>IF($BA883&lt;&gt;"포함","",IF(COUNTIFS($AX$8:$AX883,$AX883,$BA$8:$BA883,"포함")=1,MAX($BD$7:BD882)+1,""))</f>
        <v/>
      </c>
      <c r="BE883" s="2">
        <f>IF($BC883="","",MAX($BE$7:BE882)+1)</f>
        <v/>
      </c>
    </row>
    <row r="884">
      <c r="AR884" s="2">
        <f>IF(OR($A$5="",$B$6="",ROW()&lt;$A$5),"",IF(INDEX($A:$AP,ROW(),$B$6)="","",INDEX($A:$AP,ROW(),$B$6)))</f>
        <v/>
      </c>
      <c r="AS884" s="22">
        <f>IF($AR884="","",IF(ISNUMBER($AR884),IF($AR884&gt;=10000000,IFERROR(DATE(INT($AR884/10000),MOD(INT($AR884/100),100),MOD($AR884,100)),""),INT($AR884)),IFERROR(DATE(--LEFT(LEFT(SUBSTITUTE(SUBSTITUTE(SUBSTITUTE(SUBSTITUTE(TRIM($AR884),"-",""),".",""),"/","")," ",""),8),4),--MID(LEFT(SUBSTITUTE(SUBSTITUTE(SUBSTITUTE(SUBSTITUTE(TRIM($AR884),"-",""),".",""),"/","")," ",""),8),5,2),--MID(LEFT(SUBSTITUTE(SUBSTITUTE(SUBSTITUTE(SUBSTITUTE(TRIM($AR884),"-",""),".",""),"/","")," ",""),8),7,2)),"")))</f>
        <v/>
      </c>
      <c r="AT884" s="23">
        <f>IF($AS884="","",IF($F$6="",0,IF(ISNUMBER(INDEX($A:$AP,ROW(),$F$6)),INDEX($A:$AP,ROW(),$F$6),IFERROR(--SUBSTITUTE(SUBSTITUTE(TRIM(INDEX($A:$AP,ROW(),$F$6)),",",""),"원",""),0))))</f>
        <v/>
      </c>
      <c r="AU884" s="23">
        <f>IF($AS884="","",IF($G$6="",0,IF(ISNUMBER(INDEX($A:$AP,ROW(),$G$6)),INDEX($A:$AP,ROW(),$G$6),IFERROR(--SUBSTITUTE(SUBSTITUTE(TRIM(INDEX($A:$AP,ROW(),$G$6)),",",""),"원",""),0))))</f>
        <v/>
      </c>
      <c r="AV884" s="23">
        <f>IF($AS884="","",IF($H$6="",$AT884+$AU884,IF($H$6="",0,IF(ISNUMBER(INDEX($A:$AP,ROW(),$H$6)),INDEX($A:$AP,ROW(),$H$6),IFERROR(--SUBSTITUTE(SUBSTITUTE(TRIM(INDEX($A:$AP,ROW(),$H$6)),",",""),"원",""),0)))))</f>
        <v/>
      </c>
      <c r="AW884" s="2">
        <f>IF(OR($AS884="",$C$6=""),"",TRIM(INDEX($A:$AP,ROW(),$C$6)&amp;""))</f>
        <v/>
      </c>
      <c r="AX884" s="2">
        <f>IF($AS884="","",IF($AZ884&lt;&gt;"",SUBSTITUTE(SUBSTITUTE($AZ884,"-","")," ",""),$AY884))</f>
        <v/>
      </c>
      <c r="AY884" s="2">
        <f>IF(OR($AS884="",$E$6=""),"",TRIM(INDEX($A:$AP,ROW(),$E$6)&amp;""))</f>
        <v/>
      </c>
      <c r="AZ884" s="2">
        <f>IF(OR($AS884="",$D$6=""),"",TRIM(INDEX($A:$AP,ROW(),$D$6)&amp;""))</f>
        <v/>
      </c>
      <c r="BA884" s="2">
        <f>IF($AS884="","",IF(AND($AS884&gt;=설정!$B$10,$AS884&lt;=설정!$B$11),"포함","기간 밖"))</f>
        <v/>
      </c>
      <c r="BB884" s="2">
        <f>IF($AS884="","",IF(OR($AT884&lt;0,AND($I$6&lt;&gt;"",ISNUMBER(FIND("수정",INDEX($A:$AP,ROW(),IF($I$6="",1,$I$6))&amp;"")))),"수정","일반"))</f>
        <v/>
      </c>
      <c r="BC884" s="2">
        <f>IF($AS884="","",MID(IF($BA884="기간 밖"," / 기간 밖(신고기간 아님)","")&amp;IF(AND($AW884&lt;&gt;"",COUNTIF($AW$8:$AW$1007,$AW884)&gt;1)," / 승인번호 중복(두 번 붙여넣기?)","")&amp;IF(ABS($AU884-ROUND($AT884*0.1,0))&gt;설정!$B$8,IF($AU884=0," / 세액 0원(영세율·면세 여부 확인)"," / 세액이 공급가액 10%와 다름"),"")&amp;IF($BB884="수정"," / 수정세금계산서(합계에서 자동 가감)",""),4,200))</f>
        <v/>
      </c>
      <c r="BD884" s="2">
        <f>IF($BA884&lt;&gt;"포함","",IF(COUNTIFS($AX$8:$AX884,$AX884,$BA$8:$BA884,"포함")=1,MAX($BD$7:BD883)+1,""))</f>
        <v/>
      </c>
      <c r="BE884" s="2">
        <f>IF($BC884="","",MAX($BE$7:BE883)+1)</f>
        <v/>
      </c>
    </row>
    <row r="885">
      <c r="AR885" s="2">
        <f>IF(OR($A$5="",$B$6="",ROW()&lt;$A$5),"",IF(INDEX($A:$AP,ROW(),$B$6)="","",INDEX($A:$AP,ROW(),$B$6)))</f>
        <v/>
      </c>
      <c r="AS885" s="22">
        <f>IF($AR885="","",IF(ISNUMBER($AR885),IF($AR885&gt;=10000000,IFERROR(DATE(INT($AR885/10000),MOD(INT($AR885/100),100),MOD($AR885,100)),""),INT($AR885)),IFERROR(DATE(--LEFT(LEFT(SUBSTITUTE(SUBSTITUTE(SUBSTITUTE(SUBSTITUTE(TRIM($AR885),"-",""),".",""),"/","")," ",""),8),4),--MID(LEFT(SUBSTITUTE(SUBSTITUTE(SUBSTITUTE(SUBSTITUTE(TRIM($AR885),"-",""),".",""),"/","")," ",""),8),5,2),--MID(LEFT(SUBSTITUTE(SUBSTITUTE(SUBSTITUTE(SUBSTITUTE(TRIM($AR885),"-",""),".",""),"/","")," ",""),8),7,2)),"")))</f>
        <v/>
      </c>
      <c r="AT885" s="23">
        <f>IF($AS885="","",IF($F$6="",0,IF(ISNUMBER(INDEX($A:$AP,ROW(),$F$6)),INDEX($A:$AP,ROW(),$F$6),IFERROR(--SUBSTITUTE(SUBSTITUTE(TRIM(INDEX($A:$AP,ROW(),$F$6)),",",""),"원",""),0))))</f>
        <v/>
      </c>
      <c r="AU885" s="23">
        <f>IF($AS885="","",IF($G$6="",0,IF(ISNUMBER(INDEX($A:$AP,ROW(),$G$6)),INDEX($A:$AP,ROW(),$G$6),IFERROR(--SUBSTITUTE(SUBSTITUTE(TRIM(INDEX($A:$AP,ROW(),$G$6)),",",""),"원",""),0))))</f>
        <v/>
      </c>
      <c r="AV885" s="23">
        <f>IF($AS885="","",IF($H$6="",$AT885+$AU885,IF($H$6="",0,IF(ISNUMBER(INDEX($A:$AP,ROW(),$H$6)),INDEX($A:$AP,ROW(),$H$6),IFERROR(--SUBSTITUTE(SUBSTITUTE(TRIM(INDEX($A:$AP,ROW(),$H$6)),",",""),"원",""),0)))))</f>
        <v/>
      </c>
      <c r="AW885" s="2">
        <f>IF(OR($AS885="",$C$6=""),"",TRIM(INDEX($A:$AP,ROW(),$C$6)&amp;""))</f>
        <v/>
      </c>
      <c r="AX885" s="2">
        <f>IF($AS885="","",IF($AZ885&lt;&gt;"",SUBSTITUTE(SUBSTITUTE($AZ885,"-","")," ",""),$AY885))</f>
        <v/>
      </c>
      <c r="AY885" s="2">
        <f>IF(OR($AS885="",$E$6=""),"",TRIM(INDEX($A:$AP,ROW(),$E$6)&amp;""))</f>
        <v/>
      </c>
      <c r="AZ885" s="2">
        <f>IF(OR($AS885="",$D$6=""),"",TRIM(INDEX($A:$AP,ROW(),$D$6)&amp;""))</f>
        <v/>
      </c>
      <c r="BA885" s="2">
        <f>IF($AS885="","",IF(AND($AS885&gt;=설정!$B$10,$AS885&lt;=설정!$B$11),"포함","기간 밖"))</f>
        <v/>
      </c>
      <c r="BB885" s="2">
        <f>IF($AS885="","",IF(OR($AT885&lt;0,AND($I$6&lt;&gt;"",ISNUMBER(FIND("수정",INDEX($A:$AP,ROW(),IF($I$6="",1,$I$6))&amp;"")))),"수정","일반"))</f>
        <v/>
      </c>
      <c r="BC885" s="2">
        <f>IF($AS885="","",MID(IF($BA885="기간 밖"," / 기간 밖(신고기간 아님)","")&amp;IF(AND($AW885&lt;&gt;"",COUNTIF($AW$8:$AW$1007,$AW885)&gt;1)," / 승인번호 중복(두 번 붙여넣기?)","")&amp;IF(ABS($AU885-ROUND($AT885*0.1,0))&gt;설정!$B$8,IF($AU885=0," / 세액 0원(영세율·면세 여부 확인)"," / 세액이 공급가액 10%와 다름"),"")&amp;IF($BB885="수정"," / 수정세금계산서(합계에서 자동 가감)",""),4,200))</f>
        <v/>
      </c>
      <c r="BD885" s="2">
        <f>IF($BA885&lt;&gt;"포함","",IF(COUNTIFS($AX$8:$AX885,$AX885,$BA$8:$BA885,"포함")=1,MAX($BD$7:BD884)+1,""))</f>
        <v/>
      </c>
      <c r="BE885" s="2">
        <f>IF($BC885="","",MAX($BE$7:BE884)+1)</f>
        <v/>
      </c>
    </row>
    <row r="886">
      <c r="AR886" s="2">
        <f>IF(OR($A$5="",$B$6="",ROW()&lt;$A$5),"",IF(INDEX($A:$AP,ROW(),$B$6)="","",INDEX($A:$AP,ROW(),$B$6)))</f>
        <v/>
      </c>
      <c r="AS886" s="22">
        <f>IF($AR886="","",IF(ISNUMBER($AR886),IF($AR886&gt;=10000000,IFERROR(DATE(INT($AR886/10000),MOD(INT($AR886/100),100),MOD($AR886,100)),""),INT($AR886)),IFERROR(DATE(--LEFT(LEFT(SUBSTITUTE(SUBSTITUTE(SUBSTITUTE(SUBSTITUTE(TRIM($AR886),"-",""),".",""),"/","")," ",""),8),4),--MID(LEFT(SUBSTITUTE(SUBSTITUTE(SUBSTITUTE(SUBSTITUTE(TRIM($AR886),"-",""),".",""),"/","")," ",""),8),5,2),--MID(LEFT(SUBSTITUTE(SUBSTITUTE(SUBSTITUTE(SUBSTITUTE(TRIM($AR886),"-",""),".",""),"/","")," ",""),8),7,2)),"")))</f>
        <v/>
      </c>
      <c r="AT886" s="23">
        <f>IF($AS886="","",IF($F$6="",0,IF(ISNUMBER(INDEX($A:$AP,ROW(),$F$6)),INDEX($A:$AP,ROW(),$F$6),IFERROR(--SUBSTITUTE(SUBSTITUTE(TRIM(INDEX($A:$AP,ROW(),$F$6)),",",""),"원",""),0))))</f>
        <v/>
      </c>
      <c r="AU886" s="23">
        <f>IF($AS886="","",IF($G$6="",0,IF(ISNUMBER(INDEX($A:$AP,ROW(),$G$6)),INDEX($A:$AP,ROW(),$G$6),IFERROR(--SUBSTITUTE(SUBSTITUTE(TRIM(INDEX($A:$AP,ROW(),$G$6)),",",""),"원",""),0))))</f>
        <v/>
      </c>
      <c r="AV886" s="23">
        <f>IF($AS886="","",IF($H$6="",$AT886+$AU886,IF($H$6="",0,IF(ISNUMBER(INDEX($A:$AP,ROW(),$H$6)),INDEX($A:$AP,ROW(),$H$6),IFERROR(--SUBSTITUTE(SUBSTITUTE(TRIM(INDEX($A:$AP,ROW(),$H$6)),",",""),"원",""),0)))))</f>
        <v/>
      </c>
      <c r="AW886" s="2">
        <f>IF(OR($AS886="",$C$6=""),"",TRIM(INDEX($A:$AP,ROW(),$C$6)&amp;""))</f>
        <v/>
      </c>
      <c r="AX886" s="2">
        <f>IF($AS886="","",IF($AZ886&lt;&gt;"",SUBSTITUTE(SUBSTITUTE($AZ886,"-","")," ",""),$AY886))</f>
        <v/>
      </c>
      <c r="AY886" s="2">
        <f>IF(OR($AS886="",$E$6=""),"",TRIM(INDEX($A:$AP,ROW(),$E$6)&amp;""))</f>
        <v/>
      </c>
      <c r="AZ886" s="2">
        <f>IF(OR($AS886="",$D$6=""),"",TRIM(INDEX($A:$AP,ROW(),$D$6)&amp;""))</f>
        <v/>
      </c>
      <c r="BA886" s="2">
        <f>IF($AS886="","",IF(AND($AS886&gt;=설정!$B$10,$AS886&lt;=설정!$B$11),"포함","기간 밖"))</f>
        <v/>
      </c>
      <c r="BB886" s="2">
        <f>IF($AS886="","",IF(OR($AT886&lt;0,AND($I$6&lt;&gt;"",ISNUMBER(FIND("수정",INDEX($A:$AP,ROW(),IF($I$6="",1,$I$6))&amp;"")))),"수정","일반"))</f>
        <v/>
      </c>
      <c r="BC886" s="2">
        <f>IF($AS886="","",MID(IF($BA886="기간 밖"," / 기간 밖(신고기간 아님)","")&amp;IF(AND($AW886&lt;&gt;"",COUNTIF($AW$8:$AW$1007,$AW886)&gt;1)," / 승인번호 중복(두 번 붙여넣기?)","")&amp;IF(ABS($AU886-ROUND($AT886*0.1,0))&gt;설정!$B$8,IF($AU886=0," / 세액 0원(영세율·면세 여부 확인)"," / 세액이 공급가액 10%와 다름"),"")&amp;IF($BB886="수정"," / 수정세금계산서(합계에서 자동 가감)",""),4,200))</f>
        <v/>
      </c>
      <c r="BD886" s="2">
        <f>IF($BA886&lt;&gt;"포함","",IF(COUNTIFS($AX$8:$AX886,$AX886,$BA$8:$BA886,"포함")=1,MAX($BD$7:BD885)+1,""))</f>
        <v/>
      </c>
      <c r="BE886" s="2">
        <f>IF($BC886="","",MAX($BE$7:BE885)+1)</f>
        <v/>
      </c>
    </row>
    <row r="887">
      <c r="AR887" s="2">
        <f>IF(OR($A$5="",$B$6="",ROW()&lt;$A$5),"",IF(INDEX($A:$AP,ROW(),$B$6)="","",INDEX($A:$AP,ROW(),$B$6)))</f>
        <v/>
      </c>
      <c r="AS887" s="22">
        <f>IF($AR887="","",IF(ISNUMBER($AR887),IF($AR887&gt;=10000000,IFERROR(DATE(INT($AR887/10000),MOD(INT($AR887/100),100),MOD($AR887,100)),""),INT($AR887)),IFERROR(DATE(--LEFT(LEFT(SUBSTITUTE(SUBSTITUTE(SUBSTITUTE(SUBSTITUTE(TRIM($AR887),"-",""),".",""),"/","")," ",""),8),4),--MID(LEFT(SUBSTITUTE(SUBSTITUTE(SUBSTITUTE(SUBSTITUTE(TRIM($AR887),"-",""),".",""),"/","")," ",""),8),5,2),--MID(LEFT(SUBSTITUTE(SUBSTITUTE(SUBSTITUTE(SUBSTITUTE(TRIM($AR887),"-",""),".",""),"/","")," ",""),8),7,2)),"")))</f>
        <v/>
      </c>
      <c r="AT887" s="23">
        <f>IF($AS887="","",IF($F$6="",0,IF(ISNUMBER(INDEX($A:$AP,ROW(),$F$6)),INDEX($A:$AP,ROW(),$F$6),IFERROR(--SUBSTITUTE(SUBSTITUTE(TRIM(INDEX($A:$AP,ROW(),$F$6)),",",""),"원",""),0))))</f>
        <v/>
      </c>
      <c r="AU887" s="23">
        <f>IF($AS887="","",IF($G$6="",0,IF(ISNUMBER(INDEX($A:$AP,ROW(),$G$6)),INDEX($A:$AP,ROW(),$G$6),IFERROR(--SUBSTITUTE(SUBSTITUTE(TRIM(INDEX($A:$AP,ROW(),$G$6)),",",""),"원",""),0))))</f>
        <v/>
      </c>
      <c r="AV887" s="23">
        <f>IF($AS887="","",IF($H$6="",$AT887+$AU887,IF($H$6="",0,IF(ISNUMBER(INDEX($A:$AP,ROW(),$H$6)),INDEX($A:$AP,ROW(),$H$6),IFERROR(--SUBSTITUTE(SUBSTITUTE(TRIM(INDEX($A:$AP,ROW(),$H$6)),",",""),"원",""),0)))))</f>
        <v/>
      </c>
      <c r="AW887" s="2">
        <f>IF(OR($AS887="",$C$6=""),"",TRIM(INDEX($A:$AP,ROW(),$C$6)&amp;""))</f>
        <v/>
      </c>
      <c r="AX887" s="2">
        <f>IF($AS887="","",IF($AZ887&lt;&gt;"",SUBSTITUTE(SUBSTITUTE($AZ887,"-","")," ",""),$AY887))</f>
        <v/>
      </c>
      <c r="AY887" s="2">
        <f>IF(OR($AS887="",$E$6=""),"",TRIM(INDEX($A:$AP,ROW(),$E$6)&amp;""))</f>
        <v/>
      </c>
      <c r="AZ887" s="2">
        <f>IF(OR($AS887="",$D$6=""),"",TRIM(INDEX($A:$AP,ROW(),$D$6)&amp;""))</f>
        <v/>
      </c>
      <c r="BA887" s="2">
        <f>IF($AS887="","",IF(AND($AS887&gt;=설정!$B$10,$AS887&lt;=설정!$B$11),"포함","기간 밖"))</f>
        <v/>
      </c>
      <c r="BB887" s="2">
        <f>IF($AS887="","",IF(OR($AT887&lt;0,AND($I$6&lt;&gt;"",ISNUMBER(FIND("수정",INDEX($A:$AP,ROW(),IF($I$6="",1,$I$6))&amp;"")))),"수정","일반"))</f>
        <v/>
      </c>
      <c r="BC887" s="2">
        <f>IF($AS887="","",MID(IF($BA887="기간 밖"," / 기간 밖(신고기간 아님)","")&amp;IF(AND($AW887&lt;&gt;"",COUNTIF($AW$8:$AW$1007,$AW887)&gt;1)," / 승인번호 중복(두 번 붙여넣기?)","")&amp;IF(ABS($AU887-ROUND($AT887*0.1,0))&gt;설정!$B$8,IF($AU887=0," / 세액 0원(영세율·면세 여부 확인)"," / 세액이 공급가액 10%와 다름"),"")&amp;IF($BB887="수정"," / 수정세금계산서(합계에서 자동 가감)",""),4,200))</f>
        <v/>
      </c>
      <c r="BD887" s="2">
        <f>IF($BA887&lt;&gt;"포함","",IF(COUNTIFS($AX$8:$AX887,$AX887,$BA$8:$BA887,"포함")=1,MAX($BD$7:BD886)+1,""))</f>
        <v/>
      </c>
      <c r="BE887" s="2">
        <f>IF($BC887="","",MAX($BE$7:BE886)+1)</f>
        <v/>
      </c>
    </row>
    <row r="888">
      <c r="AR888" s="2">
        <f>IF(OR($A$5="",$B$6="",ROW()&lt;$A$5),"",IF(INDEX($A:$AP,ROW(),$B$6)="","",INDEX($A:$AP,ROW(),$B$6)))</f>
        <v/>
      </c>
      <c r="AS888" s="22">
        <f>IF($AR888="","",IF(ISNUMBER($AR888),IF($AR888&gt;=10000000,IFERROR(DATE(INT($AR888/10000),MOD(INT($AR888/100),100),MOD($AR888,100)),""),INT($AR888)),IFERROR(DATE(--LEFT(LEFT(SUBSTITUTE(SUBSTITUTE(SUBSTITUTE(SUBSTITUTE(TRIM($AR888),"-",""),".",""),"/","")," ",""),8),4),--MID(LEFT(SUBSTITUTE(SUBSTITUTE(SUBSTITUTE(SUBSTITUTE(TRIM($AR888),"-",""),".",""),"/","")," ",""),8),5,2),--MID(LEFT(SUBSTITUTE(SUBSTITUTE(SUBSTITUTE(SUBSTITUTE(TRIM($AR888),"-",""),".",""),"/","")," ",""),8),7,2)),"")))</f>
        <v/>
      </c>
      <c r="AT888" s="23">
        <f>IF($AS888="","",IF($F$6="",0,IF(ISNUMBER(INDEX($A:$AP,ROW(),$F$6)),INDEX($A:$AP,ROW(),$F$6),IFERROR(--SUBSTITUTE(SUBSTITUTE(TRIM(INDEX($A:$AP,ROW(),$F$6)),",",""),"원",""),0))))</f>
        <v/>
      </c>
      <c r="AU888" s="23">
        <f>IF($AS888="","",IF($G$6="",0,IF(ISNUMBER(INDEX($A:$AP,ROW(),$G$6)),INDEX($A:$AP,ROW(),$G$6),IFERROR(--SUBSTITUTE(SUBSTITUTE(TRIM(INDEX($A:$AP,ROW(),$G$6)),",",""),"원",""),0))))</f>
        <v/>
      </c>
      <c r="AV888" s="23">
        <f>IF($AS888="","",IF($H$6="",$AT888+$AU888,IF($H$6="",0,IF(ISNUMBER(INDEX($A:$AP,ROW(),$H$6)),INDEX($A:$AP,ROW(),$H$6),IFERROR(--SUBSTITUTE(SUBSTITUTE(TRIM(INDEX($A:$AP,ROW(),$H$6)),",",""),"원",""),0)))))</f>
        <v/>
      </c>
      <c r="AW888" s="2">
        <f>IF(OR($AS888="",$C$6=""),"",TRIM(INDEX($A:$AP,ROW(),$C$6)&amp;""))</f>
        <v/>
      </c>
      <c r="AX888" s="2">
        <f>IF($AS888="","",IF($AZ888&lt;&gt;"",SUBSTITUTE(SUBSTITUTE($AZ888,"-","")," ",""),$AY888))</f>
        <v/>
      </c>
      <c r="AY888" s="2">
        <f>IF(OR($AS888="",$E$6=""),"",TRIM(INDEX($A:$AP,ROW(),$E$6)&amp;""))</f>
        <v/>
      </c>
      <c r="AZ888" s="2">
        <f>IF(OR($AS888="",$D$6=""),"",TRIM(INDEX($A:$AP,ROW(),$D$6)&amp;""))</f>
        <v/>
      </c>
      <c r="BA888" s="2">
        <f>IF($AS888="","",IF(AND($AS888&gt;=설정!$B$10,$AS888&lt;=설정!$B$11),"포함","기간 밖"))</f>
        <v/>
      </c>
      <c r="BB888" s="2">
        <f>IF($AS888="","",IF(OR($AT888&lt;0,AND($I$6&lt;&gt;"",ISNUMBER(FIND("수정",INDEX($A:$AP,ROW(),IF($I$6="",1,$I$6))&amp;"")))),"수정","일반"))</f>
        <v/>
      </c>
      <c r="BC888" s="2">
        <f>IF($AS888="","",MID(IF($BA888="기간 밖"," / 기간 밖(신고기간 아님)","")&amp;IF(AND($AW888&lt;&gt;"",COUNTIF($AW$8:$AW$1007,$AW888)&gt;1)," / 승인번호 중복(두 번 붙여넣기?)","")&amp;IF(ABS($AU888-ROUND($AT888*0.1,0))&gt;설정!$B$8,IF($AU888=0," / 세액 0원(영세율·면세 여부 확인)"," / 세액이 공급가액 10%와 다름"),"")&amp;IF($BB888="수정"," / 수정세금계산서(합계에서 자동 가감)",""),4,200))</f>
        <v/>
      </c>
      <c r="BD888" s="2">
        <f>IF($BA888&lt;&gt;"포함","",IF(COUNTIFS($AX$8:$AX888,$AX888,$BA$8:$BA888,"포함")=1,MAX($BD$7:BD887)+1,""))</f>
        <v/>
      </c>
      <c r="BE888" s="2">
        <f>IF($BC888="","",MAX($BE$7:BE887)+1)</f>
        <v/>
      </c>
    </row>
    <row r="889">
      <c r="AR889" s="2">
        <f>IF(OR($A$5="",$B$6="",ROW()&lt;$A$5),"",IF(INDEX($A:$AP,ROW(),$B$6)="","",INDEX($A:$AP,ROW(),$B$6)))</f>
        <v/>
      </c>
      <c r="AS889" s="22">
        <f>IF($AR889="","",IF(ISNUMBER($AR889),IF($AR889&gt;=10000000,IFERROR(DATE(INT($AR889/10000),MOD(INT($AR889/100),100),MOD($AR889,100)),""),INT($AR889)),IFERROR(DATE(--LEFT(LEFT(SUBSTITUTE(SUBSTITUTE(SUBSTITUTE(SUBSTITUTE(TRIM($AR889),"-",""),".",""),"/","")," ",""),8),4),--MID(LEFT(SUBSTITUTE(SUBSTITUTE(SUBSTITUTE(SUBSTITUTE(TRIM($AR889),"-",""),".",""),"/","")," ",""),8),5,2),--MID(LEFT(SUBSTITUTE(SUBSTITUTE(SUBSTITUTE(SUBSTITUTE(TRIM($AR889),"-",""),".",""),"/","")," ",""),8),7,2)),"")))</f>
        <v/>
      </c>
      <c r="AT889" s="23">
        <f>IF($AS889="","",IF($F$6="",0,IF(ISNUMBER(INDEX($A:$AP,ROW(),$F$6)),INDEX($A:$AP,ROW(),$F$6),IFERROR(--SUBSTITUTE(SUBSTITUTE(TRIM(INDEX($A:$AP,ROW(),$F$6)),",",""),"원",""),0))))</f>
        <v/>
      </c>
      <c r="AU889" s="23">
        <f>IF($AS889="","",IF($G$6="",0,IF(ISNUMBER(INDEX($A:$AP,ROW(),$G$6)),INDEX($A:$AP,ROW(),$G$6),IFERROR(--SUBSTITUTE(SUBSTITUTE(TRIM(INDEX($A:$AP,ROW(),$G$6)),",",""),"원",""),0))))</f>
        <v/>
      </c>
      <c r="AV889" s="23">
        <f>IF($AS889="","",IF($H$6="",$AT889+$AU889,IF($H$6="",0,IF(ISNUMBER(INDEX($A:$AP,ROW(),$H$6)),INDEX($A:$AP,ROW(),$H$6),IFERROR(--SUBSTITUTE(SUBSTITUTE(TRIM(INDEX($A:$AP,ROW(),$H$6)),",",""),"원",""),0)))))</f>
        <v/>
      </c>
      <c r="AW889" s="2">
        <f>IF(OR($AS889="",$C$6=""),"",TRIM(INDEX($A:$AP,ROW(),$C$6)&amp;""))</f>
        <v/>
      </c>
      <c r="AX889" s="2">
        <f>IF($AS889="","",IF($AZ889&lt;&gt;"",SUBSTITUTE(SUBSTITUTE($AZ889,"-","")," ",""),$AY889))</f>
        <v/>
      </c>
      <c r="AY889" s="2">
        <f>IF(OR($AS889="",$E$6=""),"",TRIM(INDEX($A:$AP,ROW(),$E$6)&amp;""))</f>
        <v/>
      </c>
      <c r="AZ889" s="2">
        <f>IF(OR($AS889="",$D$6=""),"",TRIM(INDEX($A:$AP,ROW(),$D$6)&amp;""))</f>
        <v/>
      </c>
      <c r="BA889" s="2">
        <f>IF($AS889="","",IF(AND($AS889&gt;=설정!$B$10,$AS889&lt;=설정!$B$11),"포함","기간 밖"))</f>
        <v/>
      </c>
      <c r="BB889" s="2">
        <f>IF($AS889="","",IF(OR($AT889&lt;0,AND($I$6&lt;&gt;"",ISNUMBER(FIND("수정",INDEX($A:$AP,ROW(),IF($I$6="",1,$I$6))&amp;"")))),"수정","일반"))</f>
        <v/>
      </c>
      <c r="BC889" s="2">
        <f>IF($AS889="","",MID(IF($BA889="기간 밖"," / 기간 밖(신고기간 아님)","")&amp;IF(AND($AW889&lt;&gt;"",COUNTIF($AW$8:$AW$1007,$AW889)&gt;1)," / 승인번호 중복(두 번 붙여넣기?)","")&amp;IF(ABS($AU889-ROUND($AT889*0.1,0))&gt;설정!$B$8,IF($AU889=0," / 세액 0원(영세율·면세 여부 확인)"," / 세액이 공급가액 10%와 다름"),"")&amp;IF($BB889="수정"," / 수정세금계산서(합계에서 자동 가감)",""),4,200))</f>
        <v/>
      </c>
      <c r="BD889" s="2">
        <f>IF($BA889&lt;&gt;"포함","",IF(COUNTIFS($AX$8:$AX889,$AX889,$BA$8:$BA889,"포함")=1,MAX($BD$7:BD888)+1,""))</f>
        <v/>
      </c>
      <c r="BE889" s="2">
        <f>IF($BC889="","",MAX($BE$7:BE888)+1)</f>
        <v/>
      </c>
    </row>
    <row r="890">
      <c r="AR890" s="2">
        <f>IF(OR($A$5="",$B$6="",ROW()&lt;$A$5),"",IF(INDEX($A:$AP,ROW(),$B$6)="","",INDEX($A:$AP,ROW(),$B$6)))</f>
        <v/>
      </c>
      <c r="AS890" s="22">
        <f>IF($AR890="","",IF(ISNUMBER($AR890),IF($AR890&gt;=10000000,IFERROR(DATE(INT($AR890/10000),MOD(INT($AR890/100),100),MOD($AR890,100)),""),INT($AR890)),IFERROR(DATE(--LEFT(LEFT(SUBSTITUTE(SUBSTITUTE(SUBSTITUTE(SUBSTITUTE(TRIM($AR890),"-",""),".",""),"/","")," ",""),8),4),--MID(LEFT(SUBSTITUTE(SUBSTITUTE(SUBSTITUTE(SUBSTITUTE(TRIM($AR890),"-",""),".",""),"/","")," ",""),8),5,2),--MID(LEFT(SUBSTITUTE(SUBSTITUTE(SUBSTITUTE(SUBSTITUTE(TRIM($AR890),"-",""),".",""),"/","")," ",""),8),7,2)),"")))</f>
        <v/>
      </c>
      <c r="AT890" s="23">
        <f>IF($AS890="","",IF($F$6="",0,IF(ISNUMBER(INDEX($A:$AP,ROW(),$F$6)),INDEX($A:$AP,ROW(),$F$6),IFERROR(--SUBSTITUTE(SUBSTITUTE(TRIM(INDEX($A:$AP,ROW(),$F$6)),",",""),"원",""),0))))</f>
        <v/>
      </c>
      <c r="AU890" s="23">
        <f>IF($AS890="","",IF($G$6="",0,IF(ISNUMBER(INDEX($A:$AP,ROW(),$G$6)),INDEX($A:$AP,ROW(),$G$6),IFERROR(--SUBSTITUTE(SUBSTITUTE(TRIM(INDEX($A:$AP,ROW(),$G$6)),",",""),"원",""),0))))</f>
        <v/>
      </c>
      <c r="AV890" s="23">
        <f>IF($AS890="","",IF($H$6="",$AT890+$AU890,IF($H$6="",0,IF(ISNUMBER(INDEX($A:$AP,ROW(),$H$6)),INDEX($A:$AP,ROW(),$H$6),IFERROR(--SUBSTITUTE(SUBSTITUTE(TRIM(INDEX($A:$AP,ROW(),$H$6)),",",""),"원",""),0)))))</f>
        <v/>
      </c>
      <c r="AW890" s="2">
        <f>IF(OR($AS890="",$C$6=""),"",TRIM(INDEX($A:$AP,ROW(),$C$6)&amp;""))</f>
        <v/>
      </c>
      <c r="AX890" s="2">
        <f>IF($AS890="","",IF($AZ890&lt;&gt;"",SUBSTITUTE(SUBSTITUTE($AZ890,"-","")," ",""),$AY890))</f>
        <v/>
      </c>
      <c r="AY890" s="2">
        <f>IF(OR($AS890="",$E$6=""),"",TRIM(INDEX($A:$AP,ROW(),$E$6)&amp;""))</f>
        <v/>
      </c>
      <c r="AZ890" s="2">
        <f>IF(OR($AS890="",$D$6=""),"",TRIM(INDEX($A:$AP,ROW(),$D$6)&amp;""))</f>
        <v/>
      </c>
      <c r="BA890" s="2">
        <f>IF($AS890="","",IF(AND($AS890&gt;=설정!$B$10,$AS890&lt;=설정!$B$11),"포함","기간 밖"))</f>
        <v/>
      </c>
      <c r="BB890" s="2">
        <f>IF($AS890="","",IF(OR($AT890&lt;0,AND($I$6&lt;&gt;"",ISNUMBER(FIND("수정",INDEX($A:$AP,ROW(),IF($I$6="",1,$I$6))&amp;"")))),"수정","일반"))</f>
        <v/>
      </c>
      <c r="BC890" s="2">
        <f>IF($AS890="","",MID(IF($BA890="기간 밖"," / 기간 밖(신고기간 아님)","")&amp;IF(AND($AW890&lt;&gt;"",COUNTIF($AW$8:$AW$1007,$AW890)&gt;1)," / 승인번호 중복(두 번 붙여넣기?)","")&amp;IF(ABS($AU890-ROUND($AT890*0.1,0))&gt;설정!$B$8,IF($AU890=0," / 세액 0원(영세율·면세 여부 확인)"," / 세액이 공급가액 10%와 다름"),"")&amp;IF($BB890="수정"," / 수정세금계산서(합계에서 자동 가감)",""),4,200))</f>
        <v/>
      </c>
      <c r="BD890" s="2">
        <f>IF($BA890&lt;&gt;"포함","",IF(COUNTIFS($AX$8:$AX890,$AX890,$BA$8:$BA890,"포함")=1,MAX($BD$7:BD889)+1,""))</f>
        <v/>
      </c>
      <c r="BE890" s="2">
        <f>IF($BC890="","",MAX($BE$7:BE889)+1)</f>
        <v/>
      </c>
    </row>
    <row r="891">
      <c r="AR891" s="2">
        <f>IF(OR($A$5="",$B$6="",ROW()&lt;$A$5),"",IF(INDEX($A:$AP,ROW(),$B$6)="","",INDEX($A:$AP,ROW(),$B$6)))</f>
        <v/>
      </c>
      <c r="AS891" s="22">
        <f>IF($AR891="","",IF(ISNUMBER($AR891),IF($AR891&gt;=10000000,IFERROR(DATE(INT($AR891/10000),MOD(INT($AR891/100),100),MOD($AR891,100)),""),INT($AR891)),IFERROR(DATE(--LEFT(LEFT(SUBSTITUTE(SUBSTITUTE(SUBSTITUTE(SUBSTITUTE(TRIM($AR891),"-",""),".",""),"/","")," ",""),8),4),--MID(LEFT(SUBSTITUTE(SUBSTITUTE(SUBSTITUTE(SUBSTITUTE(TRIM($AR891),"-",""),".",""),"/","")," ",""),8),5,2),--MID(LEFT(SUBSTITUTE(SUBSTITUTE(SUBSTITUTE(SUBSTITUTE(TRIM($AR891),"-",""),".",""),"/","")," ",""),8),7,2)),"")))</f>
        <v/>
      </c>
      <c r="AT891" s="23">
        <f>IF($AS891="","",IF($F$6="",0,IF(ISNUMBER(INDEX($A:$AP,ROW(),$F$6)),INDEX($A:$AP,ROW(),$F$6),IFERROR(--SUBSTITUTE(SUBSTITUTE(TRIM(INDEX($A:$AP,ROW(),$F$6)),",",""),"원",""),0))))</f>
        <v/>
      </c>
      <c r="AU891" s="23">
        <f>IF($AS891="","",IF($G$6="",0,IF(ISNUMBER(INDEX($A:$AP,ROW(),$G$6)),INDEX($A:$AP,ROW(),$G$6),IFERROR(--SUBSTITUTE(SUBSTITUTE(TRIM(INDEX($A:$AP,ROW(),$G$6)),",",""),"원",""),0))))</f>
        <v/>
      </c>
      <c r="AV891" s="23">
        <f>IF($AS891="","",IF($H$6="",$AT891+$AU891,IF($H$6="",0,IF(ISNUMBER(INDEX($A:$AP,ROW(),$H$6)),INDEX($A:$AP,ROW(),$H$6),IFERROR(--SUBSTITUTE(SUBSTITUTE(TRIM(INDEX($A:$AP,ROW(),$H$6)),",",""),"원",""),0)))))</f>
        <v/>
      </c>
      <c r="AW891" s="2">
        <f>IF(OR($AS891="",$C$6=""),"",TRIM(INDEX($A:$AP,ROW(),$C$6)&amp;""))</f>
        <v/>
      </c>
      <c r="AX891" s="2">
        <f>IF($AS891="","",IF($AZ891&lt;&gt;"",SUBSTITUTE(SUBSTITUTE($AZ891,"-","")," ",""),$AY891))</f>
        <v/>
      </c>
      <c r="AY891" s="2">
        <f>IF(OR($AS891="",$E$6=""),"",TRIM(INDEX($A:$AP,ROW(),$E$6)&amp;""))</f>
        <v/>
      </c>
      <c r="AZ891" s="2">
        <f>IF(OR($AS891="",$D$6=""),"",TRIM(INDEX($A:$AP,ROW(),$D$6)&amp;""))</f>
        <v/>
      </c>
      <c r="BA891" s="2">
        <f>IF($AS891="","",IF(AND($AS891&gt;=설정!$B$10,$AS891&lt;=설정!$B$11),"포함","기간 밖"))</f>
        <v/>
      </c>
      <c r="BB891" s="2">
        <f>IF($AS891="","",IF(OR($AT891&lt;0,AND($I$6&lt;&gt;"",ISNUMBER(FIND("수정",INDEX($A:$AP,ROW(),IF($I$6="",1,$I$6))&amp;"")))),"수정","일반"))</f>
        <v/>
      </c>
      <c r="BC891" s="2">
        <f>IF($AS891="","",MID(IF($BA891="기간 밖"," / 기간 밖(신고기간 아님)","")&amp;IF(AND($AW891&lt;&gt;"",COUNTIF($AW$8:$AW$1007,$AW891)&gt;1)," / 승인번호 중복(두 번 붙여넣기?)","")&amp;IF(ABS($AU891-ROUND($AT891*0.1,0))&gt;설정!$B$8,IF($AU891=0," / 세액 0원(영세율·면세 여부 확인)"," / 세액이 공급가액 10%와 다름"),"")&amp;IF($BB891="수정"," / 수정세금계산서(합계에서 자동 가감)",""),4,200))</f>
        <v/>
      </c>
      <c r="BD891" s="2">
        <f>IF($BA891&lt;&gt;"포함","",IF(COUNTIFS($AX$8:$AX891,$AX891,$BA$8:$BA891,"포함")=1,MAX($BD$7:BD890)+1,""))</f>
        <v/>
      </c>
      <c r="BE891" s="2">
        <f>IF($BC891="","",MAX($BE$7:BE890)+1)</f>
        <v/>
      </c>
    </row>
    <row r="892">
      <c r="AR892" s="2">
        <f>IF(OR($A$5="",$B$6="",ROW()&lt;$A$5),"",IF(INDEX($A:$AP,ROW(),$B$6)="","",INDEX($A:$AP,ROW(),$B$6)))</f>
        <v/>
      </c>
      <c r="AS892" s="22">
        <f>IF($AR892="","",IF(ISNUMBER($AR892),IF($AR892&gt;=10000000,IFERROR(DATE(INT($AR892/10000),MOD(INT($AR892/100),100),MOD($AR892,100)),""),INT($AR892)),IFERROR(DATE(--LEFT(LEFT(SUBSTITUTE(SUBSTITUTE(SUBSTITUTE(SUBSTITUTE(TRIM($AR892),"-",""),".",""),"/","")," ",""),8),4),--MID(LEFT(SUBSTITUTE(SUBSTITUTE(SUBSTITUTE(SUBSTITUTE(TRIM($AR892),"-",""),".",""),"/","")," ",""),8),5,2),--MID(LEFT(SUBSTITUTE(SUBSTITUTE(SUBSTITUTE(SUBSTITUTE(TRIM($AR892),"-",""),".",""),"/","")," ",""),8),7,2)),"")))</f>
        <v/>
      </c>
      <c r="AT892" s="23">
        <f>IF($AS892="","",IF($F$6="",0,IF(ISNUMBER(INDEX($A:$AP,ROW(),$F$6)),INDEX($A:$AP,ROW(),$F$6),IFERROR(--SUBSTITUTE(SUBSTITUTE(TRIM(INDEX($A:$AP,ROW(),$F$6)),",",""),"원",""),0))))</f>
        <v/>
      </c>
      <c r="AU892" s="23">
        <f>IF($AS892="","",IF($G$6="",0,IF(ISNUMBER(INDEX($A:$AP,ROW(),$G$6)),INDEX($A:$AP,ROW(),$G$6),IFERROR(--SUBSTITUTE(SUBSTITUTE(TRIM(INDEX($A:$AP,ROW(),$G$6)),",",""),"원",""),0))))</f>
        <v/>
      </c>
      <c r="AV892" s="23">
        <f>IF($AS892="","",IF($H$6="",$AT892+$AU892,IF($H$6="",0,IF(ISNUMBER(INDEX($A:$AP,ROW(),$H$6)),INDEX($A:$AP,ROW(),$H$6),IFERROR(--SUBSTITUTE(SUBSTITUTE(TRIM(INDEX($A:$AP,ROW(),$H$6)),",",""),"원",""),0)))))</f>
        <v/>
      </c>
      <c r="AW892" s="2">
        <f>IF(OR($AS892="",$C$6=""),"",TRIM(INDEX($A:$AP,ROW(),$C$6)&amp;""))</f>
        <v/>
      </c>
      <c r="AX892" s="2">
        <f>IF($AS892="","",IF($AZ892&lt;&gt;"",SUBSTITUTE(SUBSTITUTE($AZ892,"-","")," ",""),$AY892))</f>
        <v/>
      </c>
      <c r="AY892" s="2">
        <f>IF(OR($AS892="",$E$6=""),"",TRIM(INDEX($A:$AP,ROW(),$E$6)&amp;""))</f>
        <v/>
      </c>
      <c r="AZ892" s="2">
        <f>IF(OR($AS892="",$D$6=""),"",TRIM(INDEX($A:$AP,ROW(),$D$6)&amp;""))</f>
        <v/>
      </c>
      <c r="BA892" s="2">
        <f>IF($AS892="","",IF(AND($AS892&gt;=설정!$B$10,$AS892&lt;=설정!$B$11),"포함","기간 밖"))</f>
        <v/>
      </c>
      <c r="BB892" s="2">
        <f>IF($AS892="","",IF(OR($AT892&lt;0,AND($I$6&lt;&gt;"",ISNUMBER(FIND("수정",INDEX($A:$AP,ROW(),IF($I$6="",1,$I$6))&amp;"")))),"수정","일반"))</f>
        <v/>
      </c>
      <c r="BC892" s="2">
        <f>IF($AS892="","",MID(IF($BA892="기간 밖"," / 기간 밖(신고기간 아님)","")&amp;IF(AND($AW892&lt;&gt;"",COUNTIF($AW$8:$AW$1007,$AW892)&gt;1)," / 승인번호 중복(두 번 붙여넣기?)","")&amp;IF(ABS($AU892-ROUND($AT892*0.1,0))&gt;설정!$B$8,IF($AU892=0," / 세액 0원(영세율·면세 여부 확인)"," / 세액이 공급가액 10%와 다름"),"")&amp;IF($BB892="수정"," / 수정세금계산서(합계에서 자동 가감)",""),4,200))</f>
        <v/>
      </c>
      <c r="BD892" s="2">
        <f>IF($BA892&lt;&gt;"포함","",IF(COUNTIFS($AX$8:$AX892,$AX892,$BA$8:$BA892,"포함")=1,MAX($BD$7:BD891)+1,""))</f>
        <v/>
      </c>
      <c r="BE892" s="2">
        <f>IF($BC892="","",MAX($BE$7:BE891)+1)</f>
        <v/>
      </c>
    </row>
    <row r="893">
      <c r="AR893" s="2">
        <f>IF(OR($A$5="",$B$6="",ROW()&lt;$A$5),"",IF(INDEX($A:$AP,ROW(),$B$6)="","",INDEX($A:$AP,ROW(),$B$6)))</f>
        <v/>
      </c>
      <c r="AS893" s="22">
        <f>IF($AR893="","",IF(ISNUMBER($AR893),IF($AR893&gt;=10000000,IFERROR(DATE(INT($AR893/10000),MOD(INT($AR893/100),100),MOD($AR893,100)),""),INT($AR893)),IFERROR(DATE(--LEFT(LEFT(SUBSTITUTE(SUBSTITUTE(SUBSTITUTE(SUBSTITUTE(TRIM($AR893),"-",""),".",""),"/","")," ",""),8),4),--MID(LEFT(SUBSTITUTE(SUBSTITUTE(SUBSTITUTE(SUBSTITUTE(TRIM($AR893),"-",""),".",""),"/","")," ",""),8),5,2),--MID(LEFT(SUBSTITUTE(SUBSTITUTE(SUBSTITUTE(SUBSTITUTE(TRIM($AR893),"-",""),".",""),"/","")," ",""),8),7,2)),"")))</f>
        <v/>
      </c>
      <c r="AT893" s="23">
        <f>IF($AS893="","",IF($F$6="",0,IF(ISNUMBER(INDEX($A:$AP,ROW(),$F$6)),INDEX($A:$AP,ROW(),$F$6),IFERROR(--SUBSTITUTE(SUBSTITUTE(TRIM(INDEX($A:$AP,ROW(),$F$6)),",",""),"원",""),0))))</f>
        <v/>
      </c>
      <c r="AU893" s="23">
        <f>IF($AS893="","",IF($G$6="",0,IF(ISNUMBER(INDEX($A:$AP,ROW(),$G$6)),INDEX($A:$AP,ROW(),$G$6),IFERROR(--SUBSTITUTE(SUBSTITUTE(TRIM(INDEX($A:$AP,ROW(),$G$6)),",",""),"원",""),0))))</f>
        <v/>
      </c>
      <c r="AV893" s="23">
        <f>IF($AS893="","",IF($H$6="",$AT893+$AU893,IF($H$6="",0,IF(ISNUMBER(INDEX($A:$AP,ROW(),$H$6)),INDEX($A:$AP,ROW(),$H$6),IFERROR(--SUBSTITUTE(SUBSTITUTE(TRIM(INDEX($A:$AP,ROW(),$H$6)),",",""),"원",""),0)))))</f>
        <v/>
      </c>
      <c r="AW893" s="2">
        <f>IF(OR($AS893="",$C$6=""),"",TRIM(INDEX($A:$AP,ROW(),$C$6)&amp;""))</f>
        <v/>
      </c>
      <c r="AX893" s="2">
        <f>IF($AS893="","",IF($AZ893&lt;&gt;"",SUBSTITUTE(SUBSTITUTE($AZ893,"-","")," ",""),$AY893))</f>
        <v/>
      </c>
      <c r="AY893" s="2">
        <f>IF(OR($AS893="",$E$6=""),"",TRIM(INDEX($A:$AP,ROW(),$E$6)&amp;""))</f>
        <v/>
      </c>
      <c r="AZ893" s="2">
        <f>IF(OR($AS893="",$D$6=""),"",TRIM(INDEX($A:$AP,ROW(),$D$6)&amp;""))</f>
        <v/>
      </c>
      <c r="BA893" s="2">
        <f>IF($AS893="","",IF(AND($AS893&gt;=설정!$B$10,$AS893&lt;=설정!$B$11),"포함","기간 밖"))</f>
        <v/>
      </c>
      <c r="BB893" s="2">
        <f>IF($AS893="","",IF(OR($AT893&lt;0,AND($I$6&lt;&gt;"",ISNUMBER(FIND("수정",INDEX($A:$AP,ROW(),IF($I$6="",1,$I$6))&amp;"")))),"수정","일반"))</f>
        <v/>
      </c>
      <c r="BC893" s="2">
        <f>IF($AS893="","",MID(IF($BA893="기간 밖"," / 기간 밖(신고기간 아님)","")&amp;IF(AND($AW893&lt;&gt;"",COUNTIF($AW$8:$AW$1007,$AW893)&gt;1)," / 승인번호 중복(두 번 붙여넣기?)","")&amp;IF(ABS($AU893-ROUND($AT893*0.1,0))&gt;설정!$B$8,IF($AU893=0," / 세액 0원(영세율·면세 여부 확인)"," / 세액이 공급가액 10%와 다름"),"")&amp;IF($BB893="수정"," / 수정세금계산서(합계에서 자동 가감)",""),4,200))</f>
        <v/>
      </c>
      <c r="BD893" s="2">
        <f>IF($BA893&lt;&gt;"포함","",IF(COUNTIFS($AX$8:$AX893,$AX893,$BA$8:$BA893,"포함")=1,MAX($BD$7:BD892)+1,""))</f>
        <v/>
      </c>
      <c r="BE893" s="2">
        <f>IF($BC893="","",MAX($BE$7:BE892)+1)</f>
        <v/>
      </c>
    </row>
    <row r="894">
      <c r="AR894" s="2">
        <f>IF(OR($A$5="",$B$6="",ROW()&lt;$A$5),"",IF(INDEX($A:$AP,ROW(),$B$6)="","",INDEX($A:$AP,ROW(),$B$6)))</f>
        <v/>
      </c>
      <c r="AS894" s="22">
        <f>IF($AR894="","",IF(ISNUMBER($AR894),IF($AR894&gt;=10000000,IFERROR(DATE(INT($AR894/10000),MOD(INT($AR894/100),100),MOD($AR894,100)),""),INT($AR894)),IFERROR(DATE(--LEFT(LEFT(SUBSTITUTE(SUBSTITUTE(SUBSTITUTE(SUBSTITUTE(TRIM($AR894),"-",""),".",""),"/","")," ",""),8),4),--MID(LEFT(SUBSTITUTE(SUBSTITUTE(SUBSTITUTE(SUBSTITUTE(TRIM($AR894),"-",""),".",""),"/","")," ",""),8),5,2),--MID(LEFT(SUBSTITUTE(SUBSTITUTE(SUBSTITUTE(SUBSTITUTE(TRIM($AR894),"-",""),".",""),"/","")," ",""),8),7,2)),"")))</f>
        <v/>
      </c>
      <c r="AT894" s="23">
        <f>IF($AS894="","",IF($F$6="",0,IF(ISNUMBER(INDEX($A:$AP,ROW(),$F$6)),INDEX($A:$AP,ROW(),$F$6),IFERROR(--SUBSTITUTE(SUBSTITUTE(TRIM(INDEX($A:$AP,ROW(),$F$6)),",",""),"원",""),0))))</f>
        <v/>
      </c>
      <c r="AU894" s="23">
        <f>IF($AS894="","",IF($G$6="",0,IF(ISNUMBER(INDEX($A:$AP,ROW(),$G$6)),INDEX($A:$AP,ROW(),$G$6),IFERROR(--SUBSTITUTE(SUBSTITUTE(TRIM(INDEX($A:$AP,ROW(),$G$6)),",",""),"원",""),0))))</f>
        <v/>
      </c>
      <c r="AV894" s="23">
        <f>IF($AS894="","",IF($H$6="",$AT894+$AU894,IF($H$6="",0,IF(ISNUMBER(INDEX($A:$AP,ROW(),$H$6)),INDEX($A:$AP,ROW(),$H$6),IFERROR(--SUBSTITUTE(SUBSTITUTE(TRIM(INDEX($A:$AP,ROW(),$H$6)),",",""),"원",""),0)))))</f>
        <v/>
      </c>
      <c r="AW894" s="2">
        <f>IF(OR($AS894="",$C$6=""),"",TRIM(INDEX($A:$AP,ROW(),$C$6)&amp;""))</f>
        <v/>
      </c>
      <c r="AX894" s="2">
        <f>IF($AS894="","",IF($AZ894&lt;&gt;"",SUBSTITUTE(SUBSTITUTE($AZ894,"-","")," ",""),$AY894))</f>
        <v/>
      </c>
      <c r="AY894" s="2">
        <f>IF(OR($AS894="",$E$6=""),"",TRIM(INDEX($A:$AP,ROW(),$E$6)&amp;""))</f>
        <v/>
      </c>
      <c r="AZ894" s="2">
        <f>IF(OR($AS894="",$D$6=""),"",TRIM(INDEX($A:$AP,ROW(),$D$6)&amp;""))</f>
        <v/>
      </c>
      <c r="BA894" s="2">
        <f>IF($AS894="","",IF(AND($AS894&gt;=설정!$B$10,$AS894&lt;=설정!$B$11),"포함","기간 밖"))</f>
        <v/>
      </c>
      <c r="BB894" s="2">
        <f>IF($AS894="","",IF(OR($AT894&lt;0,AND($I$6&lt;&gt;"",ISNUMBER(FIND("수정",INDEX($A:$AP,ROW(),IF($I$6="",1,$I$6))&amp;"")))),"수정","일반"))</f>
        <v/>
      </c>
      <c r="BC894" s="2">
        <f>IF($AS894="","",MID(IF($BA894="기간 밖"," / 기간 밖(신고기간 아님)","")&amp;IF(AND($AW894&lt;&gt;"",COUNTIF($AW$8:$AW$1007,$AW894)&gt;1)," / 승인번호 중복(두 번 붙여넣기?)","")&amp;IF(ABS($AU894-ROUND($AT894*0.1,0))&gt;설정!$B$8,IF($AU894=0," / 세액 0원(영세율·면세 여부 확인)"," / 세액이 공급가액 10%와 다름"),"")&amp;IF($BB894="수정"," / 수정세금계산서(합계에서 자동 가감)",""),4,200))</f>
        <v/>
      </c>
      <c r="BD894" s="2">
        <f>IF($BA894&lt;&gt;"포함","",IF(COUNTIFS($AX$8:$AX894,$AX894,$BA$8:$BA894,"포함")=1,MAX($BD$7:BD893)+1,""))</f>
        <v/>
      </c>
      <c r="BE894" s="2">
        <f>IF($BC894="","",MAX($BE$7:BE893)+1)</f>
        <v/>
      </c>
    </row>
    <row r="895">
      <c r="AR895" s="2">
        <f>IF(OR($A$5="",$B$6="",ROW()&lt;$A$5),"",IF(INDEX($A:$AP,ROW(),$B$6)="","",INDEX($A:$AP,ROW(),$B$6)))</f>
        <v/>
      </c>
      <c r="AS895" s="22">
        <f>IF($AR895="","",IF(ISNUMBER($AR895),IF($AR895&gt;=10000000,IFERROR(DATE(INT($AR895/10000),MOD(INT($AR895/100),100),MOD($AR895,100)),""),INT($AR895)),IFERROR(DATE(--LEFT(LEFT(SUBSTITUTE(SUBSTITUTE(SUBSTITUTE(SUBSTITUTE(TRIM($AR895),"-",""),".",""),"/","")," ",""),8),4),--MID(LEFT(SUBSTITUTE(SUBSTITUTE(SUBSTITUTE(SUBSTITUTE(TRIM($AR895),"-",""),".",""),"/","")," ",""),8),5,2),--MID(LEFT(SUBSTITUTE(SUBSTITUTE(SUBSTITUTE(SUBSTITUTE(TRIM($AR895),"-",""),".",""),"/","")," ",""),8),7,2)),"")))</f>
        <v/>
      </c>
      <c r="AT895" s="23">
        <f>IF($AS895="","",IF($F$6="",0,IF(ISNUMBER(INDEX($A:$AP,ROW(),$F$6)),INDEX($A:$AP,ROW(),$F$6),IFERROR(--SUBSTITUTE(SUBSTITUTE(TRIM(INDEX($A:$AP,ROW(),$F$6)),",",""),"원",""),0))))</f>
        <v/>
      </c>
      <c r="AU895" s="23">
        <f>IF($AS895="","",IF($G$6="",0,IF(ISNUMBER(INDEX($A:$AP,ROW(),$G$6)),INDEX($A:$AP,ROW(),$G$6),IFERROR(--SUBSTITUTE(SUBSTITUTE(TRIM(INDEX($A:$AP,ROW(),$G$6)),",",""),"원",""),0))))</f>
        <v/>
      </c>
      <c r="AV895" s="23">
        <f>IF($AS895="","",IF($H$6="",$AT895+$AU895,IF($H$6="",0,IF(ISNUMBER(INDEX($A:$AP,ROW(),$H$6)),INDEX($A:$AP,ROW(),$H$6),IFERROR(--SUBSTITUTE(SUBSTITUTE(TRIM(INDEX($A:$AP,ROW(),$H$6)),",",""),"원",""),0)))))</f>
        <v/>
      </c>
      <c r="AW895" s="2">
        <f>IF(OR($AS895="",$C$6=""),"",TRIM(INDEX($A:$AP,ROW(),$C$6)&amp;""))</f>
        <v/>
      </c>
      <c r="AX895" s="2">
        <f>IF($AS895="","",IF($AZ895&lt;&gt;"",SUBSTITUTE(SUBSTITUTE($AZ895,"-","")," ",""),$AY895))</f>
        <v/>
      </c>
      <c r="AY895" s="2">
        <f>IF(OR($AS895="",$E$6=""),"",TRIM(INDEX($A:$AP,ROW(),$E$6)&amp;""))</f>
        <v/>
      </c>
      <c r="AZ895" s="2">
        <f>IF(OR($AS895="",$D$6=""),"",TRIM(INDEX($A:$AP,ROW(),$D$6)&amp;""))</f>
        <v/>
      </c>
      <c r="BA895" s="2">
        <f>IF($AS895="","",IF(AND($AS895&gt;=설정!$B$10,$AS895&lt;=설정!$B$11),"포함","기간 밖"))</f>
        <v/>
      </c>
      <c r="BB895" s="2">
        <f>IF($AS895="","",IF(OR($AT895&lt;0,AND($I$6&lt;&gt;"",ISNUMBER(FIND("수정",INDEX($A:$AP,ROW(),IF($I$6="",1,$I$6))&amp;"")))),"수정","일반"))</f>
        <v/>
      </c>
      <c r="BC895" s="2">
        <f>IF($AS895="","",MID(IF($BA895="기간 밖"," / 기간 밖(신고기간 아님)","")&amp;IF(AND($AW895&lt;&gt;"",COUNTIF($AW$8:$AW$1007,$AW895)&gt;1)," / 승인번호 중복(두 번 붙여넣기?)","")&amp;IF(ABS($AU895-ROUND($AT895*0.1,0))&gt;설정!$B$8,IF($AU895=0," / 세액 0원(영세율·면세 여부 확인)"," / 세액이 공급가액 10%와 다름"),"")&amp;IF($BB895="수정"," / 수정세금계산서(합계에서 자동 가감)",""),4,200))</f>
        <v/>
      </c>
      <c r="BD895" s="2">
        <f>IF($BA895&lt;&gt;"포함","",IF(COUNTIFS($AX$8:$AX895,$AX895,$BA$8:$BA895,"포함")=1,MAX($BD$7:BD894)+1,""))</f>
        <v/>
      </c>
      <c r="BE895" s="2">
        <f>IF($BC895="","",MAX($BE$7:BE894)+1)</f>
        <v/>
      </c>
    </row>
    <row r="896">
      <c r="AR896" s="2">
        <f>IF(OR($A$5="",$B$6="",ROW()&lt;$A$5),"",IF(INDEX($A:$AP,ROW(),$B$6)="","",INDEX($A:$AP,ROW(),$B$6)))</f>
        <v/>
      </c>
      <c r="AS896" s="22">
        <f>IF($AR896="","",IF(ISNUMBER($AR896),IF($AR896&gt;=10000000,IFERROR(DATE(INT($AR896/10000),MOD(INT($AR896/100),100),MOD($AR896,100)),""),INT($AR896)),IFERROR(DATE(--LEFT(LEFT(SUBSTITUTE(SUBSTITUTE(SUBSTITUTE(SUBSTITUTE(TRIM($AR896),"-",""),".",""),"/","")," ",""),8),4),--MID(LEFT(SUBSTITUTE(SUBSTITUTE(SUBSTITUTE(SUBSTITUTE(TRIM($AR896),"-",""),".",""),"/","")," ",""),8),5,2),--MID(LEFT(SUBSTITUTE(SUBSTITUTE(SUBSTITUTE(SUBSTITUTE(TRIM($AR896),"-",""),".",""),"/","")," ",""),8),7,2)),"")))</f>
        <v/>
      </c>
      <c r="AT896" s="23">
        <f>IF($AS896="","",IF($F$6="",0,IF(ISNUMBER(INDEX($A:$AP,ROW(),$F$6)),INDEX($A:$AP,ROW(),$F$6),IFERROR(--SUBSTITUTE(SUBSTITUTE(TRIM(INDEX($A:$AP,ROW(),$F$6)),",",""),"원",""),0))))</f>
        <v/>
      </c>
      <c r="AU896" s="23">
        <f>IF($AS896="","",IF($G$6="",0,IF(ISNUMBER(INDEX($A:$AP,ROW(),$G$6)),INDEX($A:$AP,ROW(),$G$6),IFERROR(--SUBSTITUTE(SUBSTITUTE(TRIM(INDEX($A:$AP,ROW(),$G$6)),",",""),"원",""),0))))</f>
        <v/>
      </c>
      <c r="AV896" s="23">
        <f>IF($AS896="","",IF($H$6="",$AT896+$AU896,IF($H$6="",0,IF(ISNUMBER(INDEX($A:$AP,ROW(),$H$6)),INDEX($A:$AP,ROW(),$H$6),IFERROR(--SUBSTITUTE(SUBSTITUTE(TRIM(INDEX($A:$AP,ROW(),$H$6)),",",""),"원",""),0)))))</f>
        <v/>
      </c>
      <c r="AW896" s="2">
        <f>IF(OR($AS896="",$C$6=""),"",TRIM(INDEX($A:$AP,ROW(),$C$6)&amp;""))</f>
        <v/>
      </c>
      <c r="AX896" s="2">
        <f>IF($AS896="","",IF($AZ896&lt;&gt;"",SUBSTITUTE(SUBSTITUTE($AZ896,"-","")," ",""),$AY896))</f>
        <v/>
      </c>
      <c r="AY896" s="2">
        <f>IF(OR($AS896="",$E$6=""),"",TRIM(INDEX($A:$AP,ROW(),$E$6)&amp;""))</f>
        <v/>
      </c>
      <c r="AZ896" s="2">
        <f>IF(OR($AS896="",$D$6=""),"",TRIM(INDEX($A:$AP,ROW(),$D$6)&amp;""))</f>
        <v/>
      </c>
      <c r="BA896" s="2">
        <f>IF($AS896="","",IF(AND($AS896&gt;=설정!$B$10,$AS896&lt;=설정!$B$11),"포함","기간 밖"))</f>
        <v/>
      </c>
      <c r="BB896" s="2">
        <f>IF($AS896="","",IF(OR($AT896&lt;0,AND($I$6&lt;&gt;"",ISNUMBER(FIND("수정",INDEX($A:$AP,ROW(),IF($I$6="",1,$I$6))&amp;"")))),"수정","일반"))</f>
        <v/>
      </c>
      <c r="BC896" s="2">
        <f>IF($AS896="","",MID(IF($BA896="기간 밖"," / 기간 밖(신고기간 아님)","")&amp;IF(AND($AW896&lt;&gt;"",COUNTIF($AW$8:$AW$1007,$AW896)&gt;1)," / 승인번호 중복(두 번 붙여넣기?)","")&amp;IF(ABS($AU896-ROUND($AT896*0.1,0))&gt;설정!$B$8,IF($AU896=0," / 세액 0원(영세율·면세 여부 확인)"," / 세액이 공급가액 10%와 다름"),"")&amp;IF($BB896="수정"," / 수정세금계산서(합계에서 자동 가감)",""),4,200))</f>
        <v/>
      </c>
      <c r="BD896" s="2">
        <f>IF($BA896&lt;&gt;"포함","",IF(COUNTIFS($AX$8:$AX896,$AX896,$BA$8:$BA896,"포함")=1,MAX($BD$7:BD895)+1,""))</f>
        <v/>
      </c>
      <c r="BE896" s="2">
        <f>IF($BC896="","",MAX($BE$7:BE895)+1)</f>
        <v/>
      </c>
    </row>
    <row r="897">
      <c r="AR897" s="2">
        <f>IF(OR($A$5="",$B$6="",ROW()&lt;$A$5),"",IF(INDEX($A:$AP,ROW(),$B$6)="","",INDEX($A:$AP,ROW(),$B$6)))</f>
        <v/>
      </c>
      <c r="AS897" s="22">
        <f>IF($AR897="","",IF(ISNUMBER($AR897),IF($AR897&gt;=10000000,IFERROR(DATE(INT($AR897/10000),MOD(INT($AR897/100),100),MOD($AR897,100)),""),INT($AR897)),IFERROR(DATE(--LEFT(LEFT(SUBSTITUTE(SUBSTITUTE(SUBSTITUTE(SUBSTITUTE(TRIM($AR897),"-",""),".",""),"/","")," ",""),8),4),--MID(LEFT(SUBSTITUTE(SUBSTITUTE(SUBSTITUTE(SUBSTITUTE(TRIM($AR897),"-",""),".",""),"/","")," ",""),8),5,2),--MID(LEFT(SUBSTITUTE(SUBSTITUTE(SUBSTITUTE(SUBSTITUTE(TRIM($AR897),"-",""),".",""),"/","")," ",""),8),7,2)),"")))</f>
        <v/>
      </c>
      <c r="AT897" s="23">
        <f>IF($AS897="","",IF($F$6="",0,IF(ISNUMBER(INDEX($A:$AP,ROW(),$F$6)),INDEX($A:$AP,ROW(),$F$6),IFERROR(--SUBSTITUTE(SUBSTITUTE(TRIM(INDEX($A:$AP,ROW(),$F$6)),",",""),"원",""),0))))</f>
        <v/>
      </c>
      <c r="AU897" s="23">
        <f>IF($AS897="","",IF($G$6="",0,IF(ISNUMBER(INDEX($A:$AP,ROW(),$G$6)),INDEX($A:$AP,ROW(),$G$6),IFERROR(--SUBSTITUTE(SUBSTITUTE(TRIM(INDEX($A:$AP,ROW(),$G$6)),",",""),"원",""),0))))</f>
        <v/>
      </c>
      <c r="AV897" s="23">
        <f>IF($AS897="","",IF($H$6="",$AT897+$AU897,IF($H$6="",0,IF(ISNUMBER(INDEX($A:$AP,ROW(),$H$6)),INDEX($A:$AP,ROW(),$H$6),IFERROR(--SUBSTITUTE(SUBSTITUTE(TRIM(INDEX($A:$AP,ROW(),$H$6)),",",""),"원",""),0)))))</f>
        <v/>
      </c>
      <c r="AW897" s="2">
        <f>IF(OR($AS897="",$C$6=""),"",TRIM(INDEX($A:$AP,ROW(),$C$6)&amp;""))</f>
        <v/>
      </c>
      <c r="AX897" s="2">
        <f>IF($AS897="","",IF($AZ897&lt;&gt;"",SUBSTITUTE(SUBSTITUTE($AZ897,"-","")," ",""),$AY897))</f>
        <v/>
      </c>
      <c r="AY897" s="2">
        <f>IF(OR($AS897="",$E$6=""),"",TRIM(INDEX($A:$AP,ROW(),$E$6)&amp;""))</f>
        <v/>
      </c>
      <c r="AZ897" s="2">
        <f>IF(OR($AS897="",$D$6=""),"",TRIM(INDEX($A:$AP,ROW(),$D$6)&amp;""))</f>
        <v/>
      </c>
      <c r="BA897" s="2">
        <f>IF($AS897="","",IF(AND($AS897&gt;=설정!$B$10,$AS897&lt;=설정!$B$11),"포함","기간 밖"))</f>
        <v/>
      </c>
      <c r="BB897" s="2">
        <f>IF($AS897="","",IF(OR($AT897&lt;0,AND($I$6&lt;&gt;"",ISNUMBER(FIND("수정",INDEX($A:$AP,ROW(),IF($I$6="",1,$I$6))&amp;"")))),"수정","일반"))</f>
        <v/>
      </c>
      <c r="BC897" s="2">
        <f>IF($AS897="","",MID(IF($BA897="기간 밖"," / 기간 밖(신고기간 아님)","")&amp;IF(AND($AW897&lt;&gt;"",COUNTIF($AW$8:$AW$1007,$AW897)&gt;1)," / 승인번호 중복(두 번 붙여넣기?)","")&amp;IF(ABS($AU897-ROUND($AT897*0.1,0))&gt;설정!$B$8,IF($AU897=0," / 세액 0원(영세율·면세 여부 확인)"," / 세액이 공급가액 10%와 다름"),"")&amp;IF($BB897="수정"," / 수정세금계산서(합계에서 자동 가감)",""),4,200))</f>
        <v/>
      </c>
      <c r="BD897" s="2">
        <f>IF($BA897&lt;&gt;"포함","",IF(COUNTIFS($AX$8:$AX897,$AX897,$BA$8:$BA897,"포함")=1,MAX($BD$7:BD896)+1,""))</f>
        <v/>
      </c>
      <c r="BE897" s="2">
        <f>IF($BC897="","",MAX($BE$7:BE896)+1)</f>
        <v/>
      </c>
    </row>
    <row r="898">
      <c r="AR898" s="2">
        <f>IF(OR($A$5="",$B$6="",ROW()&lt;$A$5),"",IF(INDEX($A:$AP,ROW(),$B$6)="","",INDEX($A:$AP,ROW(),$B$6)))</f>
        <v/>
      </c>
      <c r="AS898" s="22">
        <f>IF($AR898="","",IF(ISNUMBER($AR898),IF($AR898&gt;=10000000,IFERROR(DATE(INT($AR898/10000),MOD(INT($AR898/100),100),MOD($AR898,100)),""),INT($AR898)),IFERROR(DATE(--LEFT(LEFT(SUBSTITUTE(SUBSTITUTE(SUBSTITUTE(SUBSTITUTE(TRIM($AR898),"-",""),".",""),"/","")," ",""),8),4),--MID(LEFT(SUBSTITUTE(SUBSTITUTE(SUBSTITUTE(SUBSTITUTE(TRIM($AR898),"-",""),".",""),"/","")," ",""),8),5,2),--MID(LEFT(SUBSTITUTE(SUBSTITUTE(SUBSTITUTE(SUBSTITUTE(TRIM($AR898),"-",""),".",""),"/","")," ",""),8),7,2)),"")))</f>
        <v/>
      </c>
      <c r="AT898" s="23">
        <f>IF($AS898="","",IF($F$6="",0,IF(ISNUMBER(INDEX($A:$AP,ROW(),$F$6)),INDEX($A:$AP,ROW(),$F$6),IFERROR(--SUBSTITUTE(SUBSTITUTE(TRIM(INDEX($A:$AP,ROW(),$F$6)),",",""),"원",""),0))))</f>
        <v/>
      </c>
      <c r="AU898" s="23">
        <f>IF($AS898="","",IF($G$6="",0,IF(ISNUMBER(INDEX($A:$AP,ROW(),$G$6)),INDEX($A:$AP,ROW(),$G$6),IFERROR(--SUBSTITUTE(SUBSTITUTE(TRIM(INDEX($A:$AP,ROW(),$G$6)),",",""),"원",""),0))))</f>
        <v/>
      </c>
      <c r="AV898" s="23">
        <f>IF($AS898="","",IF($H$6="",$AT898+$AU898,IF($H$6="",0,IF(ISNUMBER(INDEX($A:$AP,ROW(),$H$6)),INDEX($A:$AP,ROW(),$H$6),IFERROR(--SUBSTITUTE(SUBSTITUTE(TRIM(INDEX($A:$AP,ROW(),$H$6)),",",""),"원",""),0)))))</f>
        <v/>
      </c>
      <c r="AW898" s="2">
        <f>IF(OR($AS898="",$C$6=""),"",TRIM(INDEX($A:$AP,ROW(),$C$6)&amp;""))</f>
        <v/>
      </c>
      <c r="AX898" s="2">
        <f>IF($AS898="","",IF($AZ898&lt;&gt;"",SUBSTITUTE(SUBSTITUTE($AZ898,"-","")," ",""),$AY898))</f>
        <v/>
      </c>
      <c r="AY898" s="2">
        <f>IF(OR($AS898="",$E$6=""),"",TRIM(INDEX($A:$AP,ROW(),$E$6)&amp;""))</f>
        <v/>
      </c>
      <c r="AZ898" s="2">
        <f>IF(OR($AS898="",$D$6=""),"",TRIM(INDEX($A:$AP,ROW(),$D$6)&amp;""))</f>
        <v/>
      </c>
      <c r="BA898" s="2">
        <f>IF($AS898="","",IF(AND($AS898&gt;=설정!$B$10,$AS898&lt;=설정!$B$11),"포함","기간 밖"))</f>
        <v/>
      </c>
      <c r="BB898" s="2">
        <f>IF($AS898="","",IF(OR($AT898&lt;0,AND($I$6&lt;&gt;"",ISNUMBER(FIND("수정",INDEX($A:$AP,ROW(),IF($I$6="",1,$I$6))&amp;"")))),"수정","일반"))</f>
        <v/>
      </c>
      <c r="BC898" s="2">
        <f>IF($AS898="","",MID(IF($BA898="기간 밖"," / 기간 밖(신고기간 아님)","")&amp;IF(AND($AW898&lt;&gt;"",COUNTIF($AW$8:$AW$1007,$AW898)&gt;1)," / 승인번호 중복(두 번 붙여넣기?)","")&amp;IF(ABS($AU898-ROUND($AT898*0.1,0))&gt;설정!$B$8,IF($AU898=0," / 세액 0원(영세율·면세 여부 확인)"," / 세액이 공급가액 10%와 다름"),"")&amp;IF($BB898="수정"," / 수정세금계산서(합계에서 자동 가감)",""),4,200))</f>
        <v/>
      </c>
      <c r="BD898" s="2">
        <f>IF($BA898&lt;&gt;"포함","",IF(COUNTIFS($AX$8:$AX898,$AX898,$BA$8:$BA898,"포함")=1,MAX($BD$7:BD897)+1,""))</f>
        <v/>
      </c>
      <c r="BE898" s="2">
        <f>IF($BC898="","",MAX($BE$7:BE897)+1)</f>
        <v/>
      </c>
    </row>
    <row r="899">
      <c r="AR899" s="2">
        <f>IF(OR($A$5="",$B$6="",ROW()&lt;$A$5),"",IF(INDEX($A:$AP,ROW(),$B$6)="","",INDEX($A:$AP,ROW(),$B$6)))</f>
        <v/>
      </c>
      <c r="AS899" s="22">
        <f>IF($AR899="","",IF(ISNUMBER($AR899),IF($AR899&gt;=10000000,IFERROR(DATE(INT($AR899/10000),MOD(INT($AR899/100),100),MOD($AR899,100)),""),INT($AR899)),IFERROR(DATE(--LEFT(LEFT(SUBSTITUTE(SUBSTITUTE(SUBSTITUTE(SUBSTITUTE(TRIM($AR899),"-",""),".",""),"/","")," ",""),8),4),--MID(LEFT(SUBSTITUTE(SUBSTITUTE(SUBSTITUTE(SUBSTITUTE(TRIM($AR899),"-",""),".",""),"/","")," ",""),8),5,2),--MID(LEFT(SUBSTITUTE(SUBSTITUTE(SUBSTITUTE(SUBSTITUTE(TRIM($AR899),"-",""),".",""),"/","")," ",""),8),7,2)),"")))</f>
        <v/>
      </c>
      <c r="AT899" s="23">
        <f>IF($AS899="","",IF($F$6="",0,IF(ISNUMBER(INDEX($A:$AP,ROW(),$F$6)),INDEX($A:$AP,ROW(),$F$6),IFERROR(--SUBSTITUTE(SUBSTITUTE(TRIM(INDEX($A:$AP,ROW(),$F$6)),",",""),"원",""),0))))</f>
        <v/>
      </c>
      <c r="AU899" s="23">
        <f>IF($AS899="","",IF($G$6="",0,IF(ISNUMBER(INDEX($A:$AP,ROW(),$G$6)),INDEX($A:$AP,ROW(),$G$6),IFERROR(--SUBSTITUTE(SUBSTITUTE(TRIM(INDEX($A:$AP,ROW(),$G$6)),",",""),"원",""),0))))</f>
        <v/>
      </c>
      <c r="AV899" s="23">
        <f>IF($AS899="","",IF($H$6="",$AT899+$AU899,IF($H$6="",0,IF(ISNUMBER(INDEX($A:$AP,ROW(),$H$6)),INDEX($A:$AP,ROW(),$H$6),IFERROR(--SUBSTITUTE(SUBSTITUTE(TRIM(INDEX($A:$AP,ROW(),$H$6)),",",""),"원",""),0)))))</f>
        <v/>
      </c>
      <c r="AW899" s="2">
        <f>IF(OR($AS899="",$C$6=""),"",TRIM(INDEX($A:$AP,ROW(),$C$6)&amp;""))</f>
        <v/>
      </c>
      <c r="AX899" s="2">
        <f>IF($AS899="","",IF($AZ899&lt;&gt;"",SUBSTITUTE(SUBSTITUTE($AZ899,"-","")," ",""),$AY899))</f>
        <v/>
      </c>
      <c r="AY899" s="2">
        <f>IF(OR($AS899="",$E$6=""),"",TRIM(INDEX($A:$AP,ROW(),$E$6)&amp;""))</f>
        <v/>
      </c>
      <c r="AZ899" s="2">
        <f>IF(OR($AS899="",$D$6=""),"",TRIM(INDEX($A:$AP,ROW(),$D$6)&amp;""))</f>
        <v/>
      </c>
      <c r="BA899" s="2">
        <f>IF($AS899="","",IF(AND($AS899&gt;=설정!$B$10,$AS899&lt;=설정!$B$11),"포함","기간 밖"))</f>
        <v/>
      </c>
      <c r="BB899" s="2">
        <f>IF($AS899="","",IF(OR($AT899&lt;0,AND($I$6&lt;&gt;"",ISNUMBER(FIND("수정",INDEX($A:$AP,ROW(),IF($I$6="",1,$I$6))&amp;"")))),"수정","일반"))</f>
        <v/>
      </c>
      <c r="BC899" s="2">
        <f>IF($AS899="","",MID(IF($BA899="기간 밖"," / 기간 밖(신고기간 아님)","")&amp;IF(AND($AW899&lt;&gt;"",COUNTIF($AW$8:$AW$1007,$AW899)&gt;1)," / 승인번호 중복(두 번 붙여넣기?)","")&amp;IF(ABS($AU899-ROUND($AT899*0.1,0))&gt;설정!$B$8,IF($AU899=0," / 세액 0원(영세율·면세 여부 확인)"," / 세액이 공급가액 10%와 다름"),"")&amp;IF($BB899="수정"," / 수정세금계산서(합계에서 자동 가감)",""),4,200))</f>
        <v/>
      </c>
      <c r="BD899" s="2">
        <f>IF($BA899&lt;&gt;"포함","",IF(COUNTIFS($AX$8:$AX899,$AX899,$BA$8:$BA899,"포함")=1,MAX($BD$7:BD898)+1,""))</f>
        <v/>
      </c>
      <c r="BE899" s="2">
        <f>IF($BC899="","",MAX($BE$7:BE898)+1)</f>
        <v/>
      </c>
    </row>
    <row r="900">
      <c r="AR900" s="2">
        <f>IF(OR($A$5="",$B$6="",ROW()&lt;$A$5),"",IF(INDEX($A:$AP,ROW(),$B$6)="","",INDEX($A:$AP,ROW(),$B$6)))</f>
        <v/>
      </c>
      <c r="AS900" s="22">
        <f>IF($AR900="","",IF(ISNUMBER($AR900),IF($AR900&gt;=10000000,IFERROR(DATE(INT($AR900/10000),MOD(INT($AR900/100),100),MOD($AR900,100)),""),INT($AR900)),IFERROR(DATE(--LEFT(LEFT(SUBSTITUTE(SUBSTITUTE(SUBSTITUTE(SUBSTITUTE(TRIM($AR900),"-",""),".",""),"/","")," ",""),8),4),--MID(LEFT(SUBSTITUTE(SUBSTITUTE(SUBSTITUTE(SUBSTITUTE(TRIM($AR900),"-",""),".",""),"/","")," ",""),8),5,2),--MID(LEFT(SUBSTITUTE(SUBSTITUTE(SUBSTITUTE(SUBSTITUTE(TRIM($AR900),"-",""),".",""),"/","")," ",""),8),7,2)),"")))</f>
        <v/>
      </c>
      <c r="AT900" s="23">
        <f>IF($AS900="","",IF($F$6="",0,IF(ISNUMBER(INDEX($A:$AP,ROW(),$F$6)),INDEX($A:$AP,ROW(),$F$6),IFERROR(--SUBSTITUTE(SUBSTITUTE(TRIM(INDEX($A:$AP,ROW(),$F$6)),",",""),"원",""),0))))</f>
        <v/>
      </c>
      <c r="AU900" s="23">
        <f>IF($AS900="","",IF($G$6="",0,IF(ISNUMBER(INDEX($A:$AP,ROW(),$G$6)),INDEX($A:$AP,ROW(),$G$6),IFERROR(--SUBSTITUTE(SUBSTITUTE(TRIM(INDEX($A:$AP,ROW(),$G$6)),",",""),"원",""),0))))</f>
        <v/>
      </c>
      <c r="AV900" s="23">
        <f>IF($AS900="","",IF($H$6="",$AT900+$AU900,IF($H$6="",0,IF(ISNUMBER(INDEX($A:$AP,ROW(),$H$6)),INDEX($A:$AP,ROW(),$H$6),IFERROR(--SUBSTITUTE(SUBSTITUTE(TRIM(INDEX($A:$AP,ROW(),$H$6)),",",""),"원",""),0)))))</f>
        <v/>
      </c>
      <c r="AW900" s="2">
        <f>IF(OR($AS900="",$C$6=""),"",TRIM(INDEX($A:$AP,ROW(),$C$6)&amp;""))</f>
        <v/>
      </c>
      <c r="AX900" s="2">
        <f>IF($AS900="","",IF($AZ900&lt;&gt;"",SUBSTITUTE(SUBSTITUTE($AZ900,"-","")," ",""),$AY900))</f>
        <v/>
      </c>
      <c r="AY900" s="2">
        <f>IF(OR($AS900="",$E$6=""),"",TRIM(INDEX($A:$AP,ROW(),$E$6)&amp;""))</f>
        <v/>
      </c>
      <c r="AZ900" s="2">
        <f>IF(OR($AS900="",$D$6=""),"",TRIM(INDEX($A:$AP,ROW(),$D$6)&amp;""))</f>
        <v/>
      </c>
      <c r="BA900" s="2">
        <f>IF($AS900="","",IF(AND($AS900&gt;=설정!$B$10,$AS900&lt;=설정!$B$11),"포함","기간 밖"))</f>
        <v/>
      </c>
      <c r="BB900" s="2">
        <f>IF($AS900="","",IF(OR($AT900&lt;0,AND($I$6&lt;&gt;"",ISNUMBER(FIND("수정",INDEX($A:$AP,ROW(),IF($I$6="",1,$I$6))&amp;"")))),"수정","일반"))</f>
        <v/>
      </c>
      <c r="BC900" s="2">
        <f>IF($AS900="","",MID(IF($BA900="기간 밖"," / 기간 밖(신고기간 아님)","")&amp;IF(AND($AW900&lt;&gt;"",COUNTIF($AW$8:$AW$1007,$AW900)&gt;1)," / 승인번호 중복(두 번 붙여넣기?)","")&amp;IF(ABS($AU900-ROUND($AT900*0.1,0))&gt;설정!$B$8,IF($AU900=0," / 세액 0원(영세율·면세 여부 확인)"," / 세액이 공급가액 10%와 다름"),"")&amp;IF($BB900="수정"," / 수정세금계산서(합계에서 자동 가감)",""),4,200))</f>
        <v/>
      </c>
      <c r="BD900" s="2">
        <f>IF($BA900&lt;&gt;"포함","",IF(COUNTIFS($AX$8:$AX900,$AX900,$BA$8:$BA900,"포함")=1,MAX($BD$7:BD899)+1,""))</f>
        <v/>
      </c>
      <c r="BE900" s="2">
        <f>IF($BC900="","",MAX($BE$7:BE899)+1)</f>
        <v/>
      </c>
    </row>
    <row r="901">
      <c r="AR901" s="2">
        <f>IF(OR($A$5="",$B$6="",ROW()&lt;$A$5),"",IF(INDEX($A:$AP,ROW(),$B$6)="","",INDEX($A:$AP,ROW(),$B$6)))</f>
        <v/>
      </c>
      <c r="AS901" s="22">
        <f>IF($AR901="","",IF(ISNUMBER($AR901),IF($AR901&gt;=10000000,IFERROR(DATE(INT($AR901/10000),MOD(INT($AR901/100),100),MOD($AR901,100)),""),INT($AR901)),IFERROR(DATE(--LEFT(LEFT(SUBSTITUTE(SUBSTITUTE(SUBSTITUTE(SUBSTITUTE(TRIM($AR901),"-",""),".",""),"/","")," ",""),8),4),--MID(LEFT(SUBSTITUTE(SUBSTITUTE(SUBSTITUTE(SUBSTITUTE(TRIM($AR901),"-",""),".",""),"/","")," ",""),8),5,2),--MID(LEFT(SUBSTITUTE(SUBSTITUTE(SUBSTITUTE(SUBSTITUTE(TRIM($AR901),"-",""),".",""),"/","")," ",""),8),7,2)),"")))</f>
        <v/>
      </c>
      <c r="AT901" s="23">
        <f>IF($AS901="","",IF($F$6="",0,IF(ISNUMBER(INDEX($A:$AP,ROW(),$F$6)),INDEX($A:$AP,ROW(),$F$6),IFERROR(--SUBSTITUTE(SUBSTITUTE(TRIM(INDEX($A:$AP,ROW(),$F$6)),",",""),"원",""),0))))</f>
        <v/>
      </c>
      <c r="AU901" s="23">
        <f>IF($AS901="","",IF($G$6="",0,IF(ISNUMBER(INDEX($A:$AP,ROW(),$G$6)),INDEX($A:$AP,ROW(),$G$6),IFERROR(--SUBSTITUTE(SUBSTITUTE(TRIM(INDEX($A:$AP,ROW(),$G$6)),",",""),"원",""),0))))</f>
        <v/>
      </c>
      <c r="AV901" s="23">
        <f>IF($AS901="","",IF($H$6="",$AT901+$AU901,IF($H$6="",0,IF(ISNUMBER(INDEX($A:$AP,ROW(),$H$6)),INDEX($A:$AP,ROW(),$H$6),IFERROR(--SUBSTITUTE(SUBSTITUTE(TRIM(INDEX($A:$AP,ROW(),$H$6)),",",""),"원",""),0)))))</f>
        <v/>
      </c>
      <c r="AW901" s="2">
        <f>IF(OR($AS901="",$C$6=""),"",TRIM(INDEX($A:$AP,ROW(),$C$6)&amp;""))</f>
        <v/>
      </c>
      <c r="AX901" s="2">
        <f>IF($AS901="","",IF($AZ901&lt;&gt;"",SUBSTITUTE(SUBSTITUTE($AZ901,"-","")," ",""),$AY901))</f>
        <v/>
      </c>
      <c r="AY901" s="2">
        <f>IF(OR($AS901="",$E$6=""),"",TRIM(INDEX($A:$AP,ROW(),$E$6)&amp;""))</f>
        <v/>
      </c>
      <c r="AZ901" s="2">
        <f>IF(OR($AS901="",$D$6=""),"",TRIM(INDEX($A:$AP,ROW(),$D$6)&amp;""))</f>
        <v/>
      </c>
      <c r="BA901" s="2">
        <f>IF($AS901="","",IF(AND($AS901&gt;=설정!$B$10,$AS901&lt;=설정!$B$11),"포함","기간 밖"))</f>
        <v/>
      </c>
      <c r="BB901" s="2">
        <f>IF($AS901="","",IF(OR($AT901&lt;0,AND($I$6&lt;&gt;"",ISNUMBER(FIND("수정",INDEX($A:$AP,ROW(),IF($I$6="",1,$I$6))&amp;"")))),"수정","일반"))</f>
        <v/>
      </c>
      <c r="BC901" s="2">
        <f>IF($AS901="","",MID(IF($BA901="기간 밖"," / 기간 밖(신고기간 아님)","")&amp;IF(AND($AW901&lt;&gt;"",COUNTIF($AW$8:$AW$1007,$AW901)&gt;1)," / 승인번호 중복(두 번 붙여넣기?)","")&amp;IF(ABS($AU901-ROUND($AT901*0.1,0))&gt;설정!$B$8,IF($AU901=0," / 세액 0원(영세율·면세 여부 확인)"," / 세액이 공급가액 10%와 다름"),"")&amp;IF($BB901="수정"," / 수정세금계산서(합계에서 자동 가감)",""),4,200))</f>
        <v/>
      </c>
      <c r="BD901" s="2">
        <f>IF($BA901&lt;&gt;"포함","",IF(COUNTIFS($AX$8:$AX901,$AX901,$BA$8:$BA901,"포함")=1,MAX($BD$7:BD900)+1,""))</f>
        <v/>
      </c>
      <c r="BE901" s="2">
        <f>IF($BC901="","",MAX($BE$7:BE900)+1)</f>
        <v/>
      </c>
    </row>
    <row r="902">
      <c r="AR902" s="2">
        <f>IF(OR($A$5="",$B$6="",ROW()&lt;$A$5),"",IF(INDEX($A:$AP,ROW(),$B$6)="","",INDEX($A:$AP,ROW(),$B$6)))</f>
        <v/>
      </c>
      <c r="AS902" s="22">
        <f>IF($AR902="","",IF(ISNUMBER($AR902),IF($AR902&gt;=10000000,IFERROR(DATE(INT($AR902/10000),MOD(INT($AR902/100),100),MOD($AR902,100)),""),INT($AR902)),IFERROR(DATE(--LEFT(LEFT(SUBSTITUTE(SUBSTITUTE(SUBSTITUTE(SUBSTITUTE(TRIM($AR902),"-",""),".",""),"/","")," ",""),8),4),--MID(LEFT(SUBSTITUTE(SUBSTITUTE(SUBSTITUTE(SUBSTITUTE(TRIM($AR902),"-",""),".",""),"/","")," ",""),8),5,2),--MID(LEFT(SUBSTITUTE(SUBSTITUTE(SUBSTITUTE(SUBSTITUTE(TRIM($AR902),"-",""),".",""),"/","")," ",""),8),7,2)),"")))</f>
        <v/>
      </c>
      <c r="AT902" s="23">
        <f>IF($AS902="","",IF($F$6="",0,IF(ISNUMBER(INDEX($A:$AP,ROW(),$F$6)),INDEX($A:$AP,ROW(),$F$6),IFERROR(--SUBSTITUTE(SUBSTITUTE(TRIM(INDEX($A:$AP,ROW(),$F$6)),",",""),"원",""),0))))</f>
        <v/>
      </c>
      <c r="AU902" s="23">
        <f>IF($AS902="","",IF($G$6="",0,IF(ISNUMBER(INDEX($A:$AP,ROW(),$G$6)),INDEX($A:$AP,ROW(),$G$6),IFERROR(--SUBSTITUTE(SUBSTITUTE(TRIM(INDEX($A:$AP,ROW(),$G$6)),",",""),"원",""),0))))</f>
        <v/>
      </c>
      <c r="AV902" s="23">
        <f>IF($AS902="","",IF($H$6="",$AT902+$AU902,IF($H$6="",0,IF(ISNUMBER(INDEX($A:$AP,ROW(),$H$6)),INDEX($A:$AP,ROW(),$H$6),IFERROR(--SUBSTITUTE(SUBSTITUTE(TRIM(INDEX($A:$AP,ROW(),$H$6)),",",""),"원",""),0)))))</f>
        <v/>
      </c>
      <c r="AW902" s="2">
        <f>IF(OR($AS902="",$C$6=""),"",TRIM(INDEX($A:$AP,ROW(),$C$6)&amp;""))</f>
        <v/>
      </c>
      <c r="AX902" s="2">
        <f>IF($AS902="","",IF($AZ902&lt;&gt;"",SUBSTITUTE(SUBSTITUTE($AZ902,"-","")," ",""),$AY902))</f>
        <v/>
      </c>
      <c r="AY902" s="2">
        <f>IF(OR($AS902="",$E$6=""),"",TRIM(INDEX($A:$AP,ROW(),$E$6)&amp;""))</f>
        <v/>
      </c>
      <c r="AZ902" s="2">
        <f>IF(OR($AS902="",$D$6=""),"",TRIM(INDEX($A:$AP,ROW(),$D$6)&amp;""))</f>
        <v/>
      </c>
      <c r="BA902" s="2">
        <f>IF($AS902="","",IF(AND($AS902&gt;=설정!$B$10,$AS902&lt;=설정!$B$11),"포함","기간 밖"))</f>
        <v/>
      </c>
      <c r="BB902" s="2">
        <f>IF($AS902="","",IF(OR($AT902&lt;0,AND($I$6&lt;&gt;"",ISNUMBER(FIND("수정",INDEX($A:$AP,ROW(),IF($I$6="",1,$I$6))&amp;"")))),"수정","일반"))</f>
        <v/>
      </c>
      <c r="BC902" s="2">
        <f>IF($AS902="","",MID(IF($BA902="기간 밖"," / 기간 밖(신고기간 아님)","")&amp;IF(AND($AW902&lt;&gt;"",COUNTIF($AW$8:$AW$1007,$AW902)&gt;1)," / 승인번호 중복(두 번 붙여넣기?)","")&amp;IF(ABS($AU902-ROUND($AT902*0.1,0))&gt;설정!$B$8,IF($AU902=0," / 세액 0원(영세율·면세 여부 확인)"," / 세액이 공급가액 10%와 다름"),"")&amp;IF($BB902="수정"," / 수정세금계산서(합계에서 자동 가감)",""),4,200))</f>
        <v/>
      </c>
      <c r="BD902" s="2">
        <f>IF($BA902&lt;&gt;"포함","",IF(COUNTIFS($AX$8:$AX902,$AX902,$BA$8:$BA902,"포함")=1,MAX($BD$7:BD901)+1,""))</f>
        <v/>
      </c>
      <c r="BE902" s="2">
        <f>IF($BC902="","",MAX($BE$7:BE901)+1)</f>
        <v/>
      </c>
    </row>
    <row r="903">
      <c r="AR903" s="2">
        <f>IF(OR($A$5="",$B$6="",ROW()&lt;$A$5),"",IF(INDEX($A:$AP,ROW(),$B$6)="","",INDEX($A:$AP,ROW(),$B$6)))</f>
        <v/>
      </c>
      <c r="AS903" s="22">
        <f>IF($AR903="","",IF(ISNUMBER($AR903),IF($AR903&gt;=10000000,IFERROR(DATE(INT($AR903/10000),MOD(INT($AR903/100),100),MOD($AR903,100)),""),INT($AR903)),IFERROR(DATE(--LEFT(LEFT(SUBSTITUTE(SUBSTITUTE(SUBSTITUTE(SUBSTITUTE(TRIM($AR903),"-",""),".",""),"/","")," ",""),8),4),--MID(LEFT(SUBSTITUTE(SUBSTITUTE(SUBSTITUTE(SUBSTITUTE(TRIM($AR903),"-",""),".",""),"/","")," ",""),8),5,2),--MID(LEFT(SUBSTITUTE(SUBSTITUTE(SUBSTITUTE(SUBSTITUTE(TRIM($AR903),"-",""),".",""),"/","")," ",""),8),7,2)),"")))</f>
        <v/>
      </c>
      <c r="AT903" s="23">
        <f>IF($AS903="","",IF($F$6="",0,IF(ISNUMBER(INDEX($A:$AP,ROW(),$F$6)),INDEX($A:$AP,ROW(),$F$6),IFERROR(--SUBSTITUTE(SUBSTITUTE(TRIM(INDEX($A:$AP,ROW(),$F$6)),",",""),"원",""),0))))</f>
        <v/>
      </c>
      <c r="AU903" s="23">
        <f>IF($AS903="","",IF($G$6="",0,IF(ISNUMBER(INDEX($A:$AP,ROW(),$G$6)),INDEX($A:$AP,ROW(),$G$6),IFERROR(--SUBSTITUTE(SUBSTITUTE(TRIM(INDEX($A:$AP,ROW(),$G$6)),",",""),"원",""),0))))</f>
        <v/>
      </c>
      <c r="AV903" s="23">
        <f>IF($AS903="","",IF($H$6="",$AT903+$AU903,IF($H$6="",0,IF(ISNUMBER(INDEX($A:$AP,ROW(),$H$6)),INDEX($A:$AP,ROW(),$H$6),IFERROR(--SUBSTITUTE(SUBSTITUTE(TRIM(INDEX($A:$AP,ROW(),$H$6)),",",""),"원",""),0)))))</f>
        <v/>
      </c>
      <c r="AW903" s="2">
        <f>IF(OR($AS903="",$C$6=""),"",TRIM(INDEX($A:$AP,ROW(),$C$6)&amp;""))</f>
        <v/>
      </c>
      <c r="AX903" s="2">
        <f>IF($AS903="","",IF($AZ903&lt;&gt;"",SUBSTITUTE(SUBSTITUTE($AZ903,"-","")," ",""),$AY903))</f>
        <v/>
      </c>
      <c r="AY903" s="2">
        <f>IF(OR($AS903="",$E$6=""),"",TRIM(INDEX($A:$AP,ROW(),$E$6)&amp;""))</f>
        <v/>
      </c>
      <c r="AZ903" s="2">
        <f>IF(OR($AS903="",$D$6=""),"",TRIM(INDEX($A:$AP,ROW(),$D$6)&amp;""))</f>
        <v/>
      </c>
      <c r="BA903" s="2">
        <f>IF($AS903="","",IF(AND($AS903&gt;=설정!$B$10,$AS903&lt;=설정!$B$11),"포함","기간 밖"))</f>
        <v/>
      </c>
      <c r="BB903" s="2">
        <f>IF($AS903="","",IF(OR($AT903&lt;0,AND($I$6&lt;&gt;"",ISNUMBER(FIND("수정",INDEX($A:$AP,ROW(),IF($I$6="",1,$I$6))&amp;"")))),"수정","일반"))</f>
        <v/>
      </c>
      <c r="BC903" s="2">
        <f>IF($AS903="","",MID(IF($BA903="기간 밖"," / 기간 밖(신고기간 아님)","")&amp;IF(AND($AW903&lt;&gt;"",COUNTIF($AW$8:$AW$1007,$AW903)&gt;1)," / 승인번호 중복(두 번 붙여넣기?)","")&amp;IF(ABS($AU903-ROUND($AT903*0.1,0))&gt;설정!$B$8,IF($AU903=0," / 세액 0원(영세율·면세 여부 확인)"," / 세액이 공급가액 10%와 다름"),"")&amp;IF($BB903="수정"," / 수정세금계산서(합계에서 자동 가감)",""),4,200))</f>
        <v/>
      </c>
      <c r="BD903" s="2">
        <f>IF($BA903&lt;&gt;"포함","",IF(COUNTIFS($AX$8:$AX903,$AX903,$BA$8:$BA903,"포함")=1,MAX($BD$7:BD902)+1,""))</f>
        <v/>
      </c>
      <c r="BE903" s="2">
        <f>IF($BC903="","",MAX($BE$7:BE902)+1)</f>
        <v/>
      </c>
    </row>
    <row r="904">
      <c r="AR904" s="2">
        <f>IF(OR($A$5="",$B$6="",ROW()&lt;$A$5),"",IF(INDEX($A:$AP,ROW(),$B$6)="","",INDEX($A:$AP,ROW(),$B$6)))</f>
        <v/>
      </c>
      <c r="AS904" s="22">
        <f>IF($AR904="","",IF(ISNUMBER($AR904),IF($AR904&gt;=10000000,IFERROR(DATE(INT($AR904/10000),MOD(INT($AR904/100),100),MOD($AR904,100)),""),INT($AR904)),IFERROR(DATE(--LEFT(LEFT(SUBSTITUTE(SUBSTITUTE(SUBSTITUTE(SUBSTITUTE(TRIM($AR904),"-",""),".",""),"/","")," ",""),8),4),--MID(LEFT(SUBSTITUTE(SUBSTITUTE(SUBSTITUTE(SUBSTITUTE(TRIM($AR904),"-",""),".",""),"/","")," ",""),8),5,2),--MID(LEFT(SUBSTITUTE(SUBSTITUTE(SUBSTITUTE(SUBSTITUTE(TRIM($AR904),"-",""),".",""),"/","")," ",""),8),7,2)),"")))</f>
        <v/>
      </c>
      <c r="AT904" s="23">
        <f>IF($AS904="","",IF($F$6="",0,IF(ISNUMBER(INDEX($A:$AP,ROW(),$F$6)),INDEX($A:$AP,ROW(),$F$6),IFERROR(--SUBSTITUTE(SUBSTITUTE(TRIM(INDEX($A:$AP,ROW(),$F$6)),",",""),"원",""),0))))</f>
        <v/>
      </c>
      <c r="AU904" s="23">
        <f>IF($AS904="","",IF($G$6="",0,IF(ISNUMBER(INDEX($A:$AP,ROW(),$G$6)),INDEX($A:$AP,ROW(),$G$6),IFERROR(--SUBSTITUTE(SUBSTITUTE(TRIM(INDEX($A:$AP,ROW(),$G$6)),",",""),"원",""),0))))</f>
        <v/>
      </c>
      <c r="AV904" s="23">
        <f>IF($AS904="","",IF($H$6="",$AT904+$AU904,IF($H$6="",0,IF(ISNUMBER(INDEX($A:$AP,ROW(),$H$6)),INDEX($A:$AP,ROW(),$H$6),IFERROR(--SUBSTITUTE(SUBSTITUTE(TRIM(INDEX($A:$AP,ROW(),$H$6)),",",""),"원",""),0)))))</f>
        <v/>
      </c>
      <c r="AW904" s="2">
        <f>IF(OR($AS904="",$C$6=""),"",TRIM(INDEX($A:$AP,ROW(),$C$6)&amp;""))</f>
        <v/>
      </c>
      <c r="AX904" s="2">
        <f>IF($AS904="","",IF($AZ904&lt;&gt;"",SUBSTITUTE(SUBSTITUTE($AZ904,"-","")," ",""),$AY904))</f>
        <v/>
      </c>
      <c r="AY904" s="2">
        <f>IF(OR($AS904="",$E$6=""),"",TRIM(INDEX($A:$AP,ROW(),$E$6)&amp;""))</f>
        <v/>
      </c>
      <c r="AZ904" s="2">
        <f>IF(OR($AS904="",$D$6=""),"",TRIM(INDEX($A:$AP,ROW(),$D$6)&amp;""))</f>
        <v/>
      </c>
      <c r="BA904" s="2">
        <f>IF($AS904="","",IF(AND($AS904&gt;=설정!$B$10,$AS904&lt;=설정!$B$11),"포함","기간 밖"))</f>
        <v/>
      </c>
      <c r="BB904" s="2">
        <f>IF($AS904="","",IF(OR($AT904&lt;0,AND($I$6&lt;&gt;"",ISNUMBER(FIND("수정",INDEX($A:$AP,ROW(),IF($I$6="",1,$I$6))&amp;"")))),"수정","일반"))</f>
        <v/>
      </c>
      <c r="BC904" s="2">
        <f>IF($AS904="","",MID(IF($BA904="기간 밖"," / 기간 밖(신고기간 아님)","")&amp;IF(AND($AW904&lt;&gt;"",COUNTIF($AW$8:$AW$1007,$AW904)&gt;1)," / 승인번호 중복(두 번 붙여넣기?)","")&amp;IF(ABS($AU904-ROUND($AT904*0.1,0))&gt;설정!$B$8,IF($AU904=0," / 세액 0원(영세율·면세 여부 확인)"," / 세액이 공급가액 10%와 다름"),"")&amp;IF($BB904="수정"," / 수정세금계산서(합계에서 자동 가감)",""),4,200))</f>
        <v/>
      </c>
      <c r="BD904" s="2">
        <f>IF($BA904&lt;&gt;"포함","",IF(COUNTIFS($AX$8:$AX904,$AX904,$BA$8:$BA904,"포함")=1,MAX($BD$7:BD903)+1,""))</f>
        <v/>
      </c>
      <c r="BE904" s="2">
        <f>IF($BC904="","",MAX($BE$7:BE903)+1)</f>
        <v/>
      </c>
    </row>
    <row r="905">
      <c r="AR905" s="2">
        <f>IF(OR($A$5="",$B$6="",ROW()&lt;$A$5),"",IF(INDEX($A:$AP,ROW(),$B$6)="","",INDEX($A:$AP,ROW(),$B$6)))</f>
        <v/>
      </c>
      <c r="AS905" s="22">
        <f>IF($AR905="","",IF(ISNUMBER($AR905),IF($AR905&gt;=10000000,IFERROR(DATE(INT($AR905/10000),MOD(INT($AR905/100),100),MOD($AR905,100)),""),INT($AR905)),IFERROR(DATE(--LEFT(LEFT(SUBSTITUTE(SUBSTITUTE(SUBSTITUTE(SUBSTITUTE(TRIM($AR905),"-",""),".",""),"/","")," ",""),8),4),--MID(LEFT(SUBSTITUTE(SUBSTITUTE(SUBSTITUTE(SUBSTITUTE(TRIM($AR905),"-",""),".",""),"/","")," ",""),8),5,2),--MID(LEFT(SUBSTITUTE(SUBSTITUTE(SUBSTITUTE(SUBSTITUTE(TRIM($AR905),"-",""),".",""),"/","")," ",""),8),7,2)),"")))</f>
        <v/>
      </c>
      <c r="AT905" s="23">
        <f>IF($AS905="","",IF($F$6="",0,IF(ISNUMBER(INDEX($A:$AP,ROW(),$F$6)),INDEX($A:$AP,ROW(),$F$6),IFERROR(--SUBSTITUTE(SUBSTITUTE(TRIM(INDEX($A:$AP,ROW(),$F$6)),",",""),"원",""),0))))</f>
        <v/>
      </c>
      <c r="AU905" s="23">
        <f>IF($AS905="","",IF($G$6="",0,IF(ISNUMBER(INDEX($A:$AP,ROW(),$G$6)),INDEX($A:$AP,ROW(),$G$6),IFERROR(--SUBSTITUTE(SUBSTITUTE(TRIM(INDEX($A:$AP,ROW(),$G$6)),",",""),"원",""),0))))</f>
        <v/>
      </c>
      <c r="AV905" s="23">
        <f>IF($AS905="","",IF($H$6="",$AT905+$AU905,IF($H$6="",0,IF(ISNUMBER(INDEX($A:$AP,ROW(),$H$6)),INDEX($A:$AP,ROW(),$H$6),IFERROR(--SUBSTITUTE(SUBSTITUTE(TRIM(INDEX($A:$AP,ROW(),$H$6)),",",""),"원",""),0)))))</f>
        <v/>
      </c>
      <c r="AW905" s="2">
        <f>IF(OR($AS905="",$C$6=""),"",TRIM(INDEX($A:$AP,ROW(),$C$6)&amp;""))</f>
        <v/>
      </c>
      <c r="AX905" s="2">
        <f>IF($AS905="","",IF($AZ905&lt;&gt;"",SUBSTITUTE(SUBSTITUTE($AZ905,"-","")," ",""),$AY905))</f>
        <v/>
      </c>
      <c r="AY905" s="2">
        <f>IF(OR($AS905="",$E$6=""),"",TRIM(INDEX($A:$AP,ROW(),$E$6)&amp;""))</f>
        <v/>
      </c>
      <c r="AZ905" s="2">
        <f>IF(OR($AS905="",$D$6=""),"",TRIM(INDEX($A:$AP,ROW(),$D$6)&amp;""))</f>
        <v/>
      </c>
      <c r="BA905" s="2">
        <f>IF($AS905="","",IF(AND($AS905&gt;=설정!$B$10,$AS905&lt;=설정!$B$11),"포함","기간 밖"))</f>
        <v/>
      </c>
      <c r="BB905" s="2">
        <f>IF($AS905="","",IF(OR($AT905&lt;0,AND($I$6&lt;&gt;"",ISNUMBER(FIND("수정",INDEX($A:$AP,ROW(),IF($I$6="",1,$I$6))&amp;"")))),"수정","일반"))</f>
        <v/>
      </c>
      <c r="BC905" s="2">
        <f>IF($AS905="","",MID(IF($BA905="기간 밖"," / 기간 밖(신고기간 아님)","")&amp;IF(AND($AW905&lt;&gt;"",COUNTIF($AW$8:$AW$1007,$AW905)&gt;1)," / 승인번호 중복(두 번 붙여넣기?)","")&amp;IF(ABS($AU905-ROUND($AT905*0.1,0))&gt;설정!$B$8,IF($AU905=0," / 세액 0원(영세율·면세 여부 확인)"," / 세액이 공급가액 10%와 다름"),"")&amp;IF($BB905="수정"," / 수정세금계산서(합계에서 자동 가감)",""),4,200))</f>
        <v/>
      </c>
      <c r="BD905" s="2">
        <f>IF($BA905&lt;&gt;"포함","",IF(COUNTIFS($AX$8:$AX905,$AX905,$BA$8:$BA905,"포함")=1,MAX($BD$7:BD904)+1,""))</f>
        <v/>
      </c>
      <c r="BE905" s="2">
        <f>IF($BC905="","",MAX($BE$7:BE904)+1)</f>
        <v/>
      </c>
    </row>
    <row r="906">
      <c r="AR906" s="2">
        <f>IF(OR($A$5="",$B$6="",ROW()&lt;$A$5),"",IF(INDEX($A:$AP,ROW(),$B$6)="","",INDEX($A:$AP,ROW(),$B$6)))</f>
        <v/>
      </c>
      <c r="AS906" s="22">
        <f>IF($AR906="","",IF(ISNUMBER($AR906),IF($AR906&gt;=10000000,IFERROR(DATE(INT($AR906/10000),MOD(INT($AR906/100),100),MOD($AR906,100)),""),INT($AR906)),IFERROR(DATE(--LEFT(LEFT(SUBSTITUTE(SUBSTITUTE(SUBSTITUTE(SUBSTITUTE(TRIM($AR906),"-",""),".",""),"/","")," ",""),8),4),--MID(LEFT(SUBSTITUTE(SUBSTITUTE(SUBSTITUTE(SUBSTITUTE(TRIM($AR906),"-",""),".",""),"/","")," ",""),8),5,2),--MID(LEFT(SUBSTITUTE(SUBSTITUTE(SUBSTITUTE(SUBSTITUTE(TRIM($AR906),"-",""),".",""),"/","")," ",""),8),7,2)),"")))</f>
        <v/>
      </c>
      <c r="AT906" s="23">
        <f>IF($AS906="","",IF($F$6="",0,IF(ISNUMBER(INDEX($A:$AP,ROW(),$F$6)),INDEX($A:$AP,ROW(),$F$6),IFERROR(--SUBSTITUTE(SUBSTITUTE(TRIM(INDEX($A:$AP,ROW(),$F$6)),",",""),"원",""),0))))</f>
        <v/>
      </c>
      <c r="AU906" s="23">
        <f>IF($AS906="","",IF($G$6="",0,IF(ISNUMBER(INDEX($A:$AP,ROW(),$G$6)),INDEX($A:$AP,ROW(),$G$6),IFERROR(--SUBSTITUTE(SUBSTITUTE(TRIM(INDEX($A:$AP,ROW(),$G$6)),",",""),"원",""),0))))</f>
        <v/>
      </c>
      <c r="AV906" s="23">
        <f>IF($AS906="","",IF($H$6="",$AT906+$AU906,IF($H$6="",0,IF(ISNUMBER(INDEX($A:$AP,ROW(),$H$6)),INDEX($A:$AP,ROW(),$H$6),IFERROR(--SUBSTITUTE(SUBSTITUTE(TRIM(INDEX($A:$AP,ROW(),$H$6)),",",""),"원",""),0)))))</f>
        <v/>
      </c>
      <c r="AW906" s="2">
        <f>IF(OR($AS906="",$C$6=""),"",TRIM(INDEX($A:$AP,ROW(),$C$6)&amp;""))</f>
        <v/>
      </c>
      <c r="AX906" s="2">
        <f>IF($AS906="","",IF($AZ906&lt;&gt;"",SUBSTITUTE(SUBSTITUTE($AZ906,"-","")," ",""),$AY906))</f>
        <v/>
      </c>
      <c r="AY906" s="2">
        <f>IF(OR($AS906="",$E$6=""),"",TRIM(INDEX($A:$AP,ROW(),$E$6)&amp;""))</f>
        <v/>
      </c>
      <c r="AZ906" s="2">
        <f>IF(OR($AS906="",$D$6=""),"",TRIM(INDEX($A:$AP,ROW(),$D$6)&amp;""))</f>
        <v/>
      </c>
      <c r="BA906" s="2">
        <f>IF($AS906="","",IF(AND($AS906&gt;=설정!$B$10,$AS906&lt;=설정!$B$11),"포함","기간 밖"))</f>
        <v/>
      </c>
      <c r="BB906" s="2">
        <f>IF($AS906="","",IF(OR($AT906&lt;0,AND($I$6&lt;&gt;"",ISNUMBER(FIND("수정",INDEX($A:$AP,ROW(),IF($I$6="",1,$I$6))&amp;"")))),"수정","일반"))</f>
        <v/>
      </c>
      <c r="BC906" s="2">
        <f>IF($AS906="","",MID(IF($BA906="기간 밖"," / 기간 밖(신고기간 아님)","")&amp;IF(AND($AW906&lt;&gt;"",COUNTIF($AW$8:$AW$1007,$AW906)&gt;1)," / 승인번호 중복(두 번 붙여넣기?)","")&amp;IF(ABS($AU906-ROUND($AT906*0.1,0))&gt;설정!$B$8,IF($AU906=0," / 세액 0원(영세율·면세 여부 확인)"," / 세액이 공급가액 10%와 다름"),"")&amp;IF($BB906="수정"," / 수정세금계산서(합계에서 자동 가감)",""),4,200))</f>
        <v/>
      </c>
      <c r="BD906" s="2">
        <f>IF($BA906&lt;&gt;"포함","",IF(COUNTIFS($AX$8:$AX906,$AX906,$BA$8:$BA906,"포함")=1,MAX($BD$7:BD905)+1,""))</f>
        <v/>
      </c>
      <c r="BE906" s="2">
        <f>IF($BC906="","",MAX($BE$7:BE905)+1)</f>
        <v/>
      </c>
    </row>
    <row r="907">
      <c r="AR907" s="2">
        <f>IF(OR($A$5="",$B$6="",ROW()&lt;$A$5),"",IF(INDEX($A:$AP,ROW(),$B$6)="","",INDEX($A:$AP,ROW(),$B$6)))</f>
        <v/>
      </c>
      <c r="AS907" s="22">
        <f>IF($AR907="","",IF(ISNUMBER($AR907),IF($AR907&gt;=10000000,IFERROR(DATE(INT($AR907/10000),MOD(INT($AR907/100),100),MOD($AR907,100)),""),INT($AR907)),IFERROR(DATE(--LEFT(LEFT(SUBSTITUTE(SUBSTITUTE(SUBSTITUTE(SUBSTITUTE(TRIM($AR907),"-",""),".",""),"/","")," ",""),8),4),--MID(LEFT(SUBSTITUTE(SUBSTITUTE(SUBSTITUTE(SUBSTITUTE(TRIM($AR907),"-",""),".",""),"/","")," ",""),8),5,2),--MID(LEFT(SUBSTITUTE(SUBSTITUTE(SUBSTITUTE(SUBSTITUTE(TRIM($AR907),"-",""),".",""),"/","")," ",""),8),7,2)),"")))</f>
        <v/>
      </c>
      <c r="AT907" s="23">
        <f>IF($AS907="","",IF($F$6="",0,IF(ISNUMBER(INDEX($A:$AP,ROW(),$F$6)),INDEX($A:$AP,ROW(),$F$6),IFERROR(--SUBSTITUTE(SUBSTITUTE(TRIM(INDEX($A:$AP,ROW(),$F$6)),",",""),"원",""),0))))</f>
        <v/>
      </c>
      <c r="AU907" s="23">
        <f>IF($AS907="","",IF($G$6="",0,IF(ISNUMBER(INDEX($A:$AP,ROW(),$G$6)),INDEX($A:$AP,ROW(),$G$6),IFERROR(--SUBSTITUTE(SUBSTITUTE(TRIM(INDEX($A:$AP,ROW(),$G$6)),",",""),"원",""),0))))</f>
        <v/>
      </c>
      <c r="AV907" s="23">
        <f>IF($AS907="","",IF($H$6="",$AT907+$AU907,IF($H$6="",0,IF(ISNUMBER(INDEX($A:$AP,ROW(),$H$6)),INDEX($A:$AP,ROW(),$H$6),IFERROR(--SUBSTITUTE(SUBSTITUTE(TRIM(INDEX($A:$AP,ROW(),$H$6)),",",""),"원",""),0)))))</f>
        <v/>
      </c>
      <c r="AW907" s="2">
        <f>IF(OR($AS907="",$C$6=""),"",TRIM(INDEX($A:$AP,ROW(),$C$6)&amp;""))</f>
        <v/>
      </c>
      <c r="AX907" s="2">
        <f>IF($AS907="","",IF($AZ907&lt;&gt;"",SUBSTITUTE(SUBSTITUTE($AZ907,"-","")," ",""),$AY907))</f>
        <v/>
      </c>
      <c r="AY907" s="2">
        <f>IF(OR($AS907="",$E$6=""),"",TRIM(INDEX($A:$AP,ROW(),$E$6)&amp;""))</f>
        <v/>
      </c>
      <c r="AZ907" s="2">
        <f>IF(OR($AS907="",$D$6=""),"",TRIM(INDEX($A:$AP,ROW(),$D$6)&amp;""))</f>
        <v/>
      </c>
      <c r="BA907" s="2">
        <f>IF($AS907="","",IF(AND($AS907&gt;=설정!$B$10,$AS907&lt;=설정!$B$11),"포함","기간 밖"))</f>
        <v/>
      </c>
      <c r="BB907" s="2">
        <f>IF($AS907="","",IF(OR($AT907&lt;0,AND($I$6&lt;&gt;"",ISNUMBER(FIND("수정",INDEX($A:$AP,ROW(),IF($I$6="",1,$I$6))&amp;"")))),"수정","일반"))</f>
        <v/>
      </c>
      <c r="BC907" s="2">
        <f>IF($AS907="","",MID(IF($BA907="기간 밖"," / 기간 밖(신고기간 아님)","")&amp;IF(AND($AW907&lt;&gt;"",COUNTIF($AW$8:$AW$1007,$AW907)&gt;1)," / 승인번호 중복(두 번 붙여넣기?)","")&amp;IF(ABS($AU907-ROUND($AT907*0.1,0))&gt;설정!$B$8,IF($AU907=0," / 세액 0원(영세율·면세 여부 확인)"," / 세액이 공급가액 10%와 다름"),"")&amp;IF($BB907="수정"," / 수정세금계산서(합계에서 자동 가감)",""),4,200))</f>
        <v/>
      </c>
      <c r="BD907" s="2">
        <f>IF($BA907&lt;&gt;"포함","",IF(COUNTIFS($AX$8:$AX907,$AX907,$BA$8:$BA907,"포함")=1,MAX($BD$7:BD906)+1,""))</f>
        <v/>
      </c>
      <c r="BE907" s="2">
        <f>IF($BC907="","",MAX($BE$7:BE906)+1)</f>
        <v/>
      </c>
    </row>
    <row r="908">
      <c r="AR908" s="2">
        <f>IF(OR($A$5="",$B$6="",ROW()&lt;$A$5),"",IF(INDEX($A:$AP,ROW(),$B$6)="","",INDEX($A:$AP,ROW(),$B$6)))</f>
        <v/>
      </c>
      <c r="AS908" s="22">
        <f>IF($AR908="","",IF(ISNUMBER($AR908),IF($AR908&gt;=10000000,IFERROR(DATE(INT($AR908/10000),MOD(INT($AR908/100),100),MOD($AR908,100)),""),INT($AR908)),IFERROR(DATE(--LEFT(LEFT(SUBSTITUTE(SUBSTITUTE(SUBSTITUTE(SUBSTITUTE(TRIM($AR908),"-",""),".",""),"/","")," ",""),8),4),--MID(LEFT(SUBSTITUTE(SUBSTITUTE(SUBSTITUTE(SUBSTITUTE(TRIM($AR908),"-",""),".",""),"/","")," ",""),8),5,2),--MID(LEFT(SUBSTITUTE(SUBSTITUTE(SUBSTITUTE(SUBSTITUTE(TRIM($AR908),"-",""),".",""),"/","")," ",""),8),7,2)),"")))</f>
        <v/>
      </c>
      <c r="AT908" s="23">
        <f>IF($AS908="","",IF($F$6="",0,IF(ISNUMBER(INDEX($A:$AP,ROW(),$F$6)),INDEX($A:$AP,ROW(),$F$6),IFERROR(--SUBSTITUTE(SUBSTITUTE(TRIM(INDEX($A:$AP,ROW(),$F$6)),",",""),"원",""),0))))</f>
        <v/>
      </c>
      <c r="AU908" s="23">
        <f>IF($AS908="","",IF($G$6="",0,IF(ISNUMBER(INDEX($A:$AP,ROW(),$G$6)),INDEX($A:$AP,ROW(),$G$6),IFERROR(--SUBSTITUTE(SUBSTITUTE(TRIM(INDEX($A:$AP,ROW(),$G$6)),",",""),"원",""),0))))</f>
        <v/>
      </c>
      <c r="AV908" s="23">
        <f>IF($AS908="","",IF($H$6="",$AT908+$AU908,IF($H$6="",0,IF(ISNUMBER(INDEX($A:$AP,ROW(),$H$6)),INDEX($A:$AP,ROW(),$H$6),IFERROR(--SUBSTITUTE(SUBSTITUTE(TRIM(INDEX($A:$AP,ROW(),$H$6)),",",""),"원",""),0)))))</f>
        <v/>
      </c>
      <c r="AW908" s="2">
        <f>IF(OR($AS908="",$C$6=""),"",TRIM(INDEX($A:$AP,ROW(),$C$6)&amp;""))</f>
        <v/>
      </c>
      <c r="AX908" s="2">
        <f>IF($AS908="","",IF($AZ908&lt;&gt;"",SUBSTITUTE(SUBSTITUTE($AZ908,"-","")," ",""),$AY908))</f>
        <v/>
      </c>
      <c r="AY908" s="2">
        <f>IF(OR($AS908="",$E$6=""),"",TRIM(INDEX($A:$AP,ROW(),$E$6)&amp;""))</f>
        <v/>
      </c>
      <c r="AZ908" s="2">
        <f>IF(OR($AS908="",$D$6=""),"",TRIM(INDEX($A:$AP,ROW(),$D$6)&amp;""))</f>
        <v/>
      </c>
      <c r="BA908" s="2">
        <f>IF($AS908="","",IF(AND($AS908&gt;=설정!$B$10,$AS908&lt;=설정!$B$11),"포함","기간 밖"))</f>
        <v/>
      </c>
      <c r="BB908" s="2">
        <f>IF($AS908="","",IF(OR($AT908&lt;0,AND($I$6&lt;&gt;"",ISNUMBER(FIND("수정",INDEX($A:$AP,ROW(),IF($I$6="",1,$I$6))&amp;"")))),"수정","일반"))</f>
        <v/>
      </c>
      <c r="BC908" s="2">
        <f>IF($AS908="","",MID(IF($BA908="기간 밖"," / 기간 밖(신고기간 아님)","")&amp;IF(AND($AW908&lt;&gt;"",COUNTIF($AW$8:$AW$1007,$AW908)&gt;1)," / 승인번호 중복(두 번 붙여넣기?)","")&amp;IF(ABS($AU908-ROUND($AT908*0.1,0))&gt;설정!$B$8,IF($AU908=0," / 세액 0원(영세율·면세 여부 확인)"," / 세액이 공급가액 10%와 다름"),"")&amp;IF($BB908="수정"," / 수정세금계산서(합계에서 자동 가감)",""),4,200))</f>
        <v/>
      </c>
      <c r="BD908" s="2">
        <f>IF($BA908&lt;&gt;"포함","",IF(COUNTIFS($AX$8:$AX908,$AX908,$BA$8:$BA908,"포함")=1,MAX($BD$7:BD907)+1,""))</f>
        <v/>
      </c>
      <c r="BE908" s="2">
        <f>IF($BC908="","",MAX($BE$7:BE907)+1)</f>
        <v/>
      </c>
    </row>
    <row r="909">
      <c r="AR909" s="2">
        <f>IF(OR($A$5="",$B$6="",ROW()&lt;$A$5),"",IF(INDEX($A:$AP,ROW(),$B$6)="","",INDEX($A:$AP,ROW(),$B$6)))</f>
        <v/>
      </c>
      <c r="AS909" s="22">
        <f>IF($AR909="","",IF(ISNUMBER($AR909),IF($AR909&gt;=10000000,IFERROR(DATE(INT($AR909/10000),MOD(INT($AR909/100),100),MOD($AR909,100)),""),INT($AR909)),IFERROR(DATE(--LEFT(LEFT(SUBSTITUTE(SUBSTITUTE(SUBSTITUTE(SUBSTITUTE(TRIM($AR909),"-",""),".",""),"/","")," ",""),8),4),--MID(LEFT(SUBSTITUTE(SUBSTITUTE(SUBSTITUTE(SUBSTITUTE(TRIM($AR909),"-",""),".",""),"/","")," ",""),8),5,2),--MID(LEFT(SUBSTITUTE(SUBSTITUTE(SUBSTITUTE(SUBSTITUTE(TRIM($AR909),"-",""),".",""),"/","")," ",""),8),7,2)),"")))</f>
        <v/>
      </c>
      <c r="AT909" s="23">
        <f>IF($AS909="","",IF($F$6="",0,IF(ISNUMBER(INDEX($A:$AP,ROW(),$F$6)),INDEX($A:$AP,ROW(),$F$6),IFERROR(--SUBSTITUTE(SUBSTITUTE(TRIM(INDEX($A:$AP,ROW(),$F$6)),",",""),"원",""),0))))</f>
        <v/>
      </c>
      <c r="AU909" s="23">
        <f>IF($AS909="","",IF($G$6="",0,IF(ISNUMBER(INDEX($A:$AP,ROW(),$G$6)),INDEX($A:$AP,ROW(),$G$6),IFERROR(--SUBSTITUTE(SUBSTITUTE(TRIM(INDEX($A:$AP,ROW(),$G$6)),",",""),"원",""),0))))</f>
        <v/>
      </c>
      <c r="AV909" s="23">
        <f>IF($AS909="","",IF($H$6="",$AT909+$AU909,IF($H$6="",0,IF(ISNUMBER(INDEX($A:$AP,ROW(),$H$6)),INDEX($A:$AP,ROW(),$H$6),IFERROR(--SUBSTITUTE(SUBSTITUTE(TRIM(INDEX($A:$AP,ROW(),$H$6)),",",""),"원",""),0)))))</f>
        <v/>
      </c>
      <c r="AW909" s="2">
        <f>IF(OR($AS909="",$C$6=""),"",TRIM(INDEX($A:$AP,ROW(),$C$6)&amp;""))</f>
        <v/>
      </c>
      <c r="AX909" s="2">
        <f>IF($AS909="","",IF($AZ909&lt;&gt;"",SUBSTITUTE(SUBSTITUTE($AZ909,"-","")," ",""),$AY909))</f>
        <v/>
      </c>
      <c r="AY909" s="2">
        <f>IF(OR($AS909="",$E$6=""),"",TRIM(INDEX($A:$AP,ROW(),$E$6)&amp;""))</f>
        <v/>
      </c>
      <c r="AZ909" s="2">
        <f>IF(OR($AS909="",$D$6=""),"",TRIM(INDEX($A:$AP,ROW(),$D$6)&amp;""))</f>
        <v/>
      </c>
      <c r="BA909" s="2">
        <f>IF($AS909="","",IF(AND($AS909&gt;=설정!$B$10,$AS909&lt;=설정!$B$11),"포함","기간 밖"))</f>
        <v/>
      </c>
      <c r="BB909" s="2">
        <f>IF($AS909="","",IF(OR($AT909&lt;0,AND($I$6&lt;&gt;"",ISNUMBER(FIND("수정",INDEX($A:$AP,ROW(),IF($I$6="",1,$I$6))&amp;"")))),"수정","일반"))</f>
        <v/>
      </c>
      <c r="BC909" s="2">
        <f>IF($AS909="","",MID(IF($BA909="기간 밖"," / 기간 밖(신고기간 아님)","")&amp;IF(AND($AW909&lt;&gt;"",COUNTIF($AW$8:$AW$1007,$AW909)&gt;1)," / 승인번호 중복(두 번 붙여넣기?)","")&amp;IF(ABS($AU909-ROUND($AT909*0.1,0))&gt;설정!$B$8,IF($AU909=0," / 세액 0원(영세율·면세 여부 확인)"," / 세액이 공급가액 10%와 다름"),"")&amp;IF($BB909="수정"," / 수정세금계산서(합계에서 자동 가감)",""),4,200))</f>
        <v/>
      </c>
      <c r="BD909" s="2">
        <f>IF($BA909&lt;&gt;"포함","",IF(COUNTIFS($AX$8:$AX909,$AX909,$BA$8:$BA909,"포함")=1,MAX($BD$7:BD908)+1,""))</f>
        <v/>
      </c>
      <c r="BE909" s="2">
        <f>IF($BC909="","",MAX($BE$7:BE908)+1)</f>
        <v/>
      </c>
    </row>
    <row r="910">
      <c r="AR910" s="2">
        <f>IF(OR($A$5="",$B$6="",ROW()&lt;$A$5),"",IF(INDEX($A:$AP,ROW(),$B$6)="","",INDEX($A:$AP,ROW(),$B$6)))</f>
        <v/>
      </c>
      <c r="AS910" s="22">
        <f>IF($AR910="","",IF(ISNUMBER($AR910),IF($AR910&gt;=10000000,IFERROR(DATE(INT($AR910/10000),MOD(INT($AR910/100),100),MOD($AR910,100)),""),INT($AR910)),IFERROR(DATE(--LEFT(LEFT(SUBSTITUTE(SUBSTITUTE(SUBSTITUTE(SUBSTITUTE(TRIM($AR910),"-",""),".",""),"/","")," ",""),8),4),--MID(LEFT(SUBSTITUTE(SUBSTITUTE(SUBSTITUTE(SUBSTITUTE(TRIM($AR910),"-",""),".",""),"/","")," ",""),8),5,2),--MID(LEFT(SUBSTITUTE(SUBSTITUTE(SUBSTITUTE(SUBSTITUTE(TRIM($AR910),"-",""),".",""),"/","")," ",""),8),7,2)),"")))</f>
        <v/>
      </c>
      <c r="AT910" s="23">
        <f>IF($AS910="","",IF($F$6="",0,IF(ISNUMBER(INDEX($A:$AP,ROW(),$F$6)),INDEX($A:$AP,ROW(),$F$6),IFERROR(--SUBSTITUTE(SUBSTITUTE(TRIM(INDEX($A:$AP,ROW(),$F$6)),",",""),"원",""),0))))</f>
        <v/>
      </c>
      <c r="AU910" s="23">
        <f>IF($AS910="","",IF($G$6="",0,IF(ISNUMBER(INDEX($A:$AP,ROW(),$G$6)),INDEX($A:$AP,ROW(),$G$6),IFERROR(--SUBSTITUTE(SUBSTITUTE(TRIM(INDEX($A:$AP,ROW(),$G$6)),",",""),"원",""),0))))</f>
        <v/>
      </c>
      <c r="AV910" s="23">
        <f>IF($AS910="","",IF($H$6="",$AT910+$AU910,IF($H$6="",0,IF(ISNUMBER(INDEX($A:$AP,ROW(),$H$6)),INDEX($A:$AP,ROW(),$H$6),IFERROR(--SUBSTITUTE(SUBSTITUTE(TRIM(INDEX($A:$AP,ROW(),$H$6)),",",""),"원",""),0)))))</f>
        <v/>
      </c>
      <c r="AW910" s="2">
        <f>IF(OR($AS910="",$C$6=""),"",TRIM(INDEX($A:$AP,ROW(),$C$6)&amp;""))</f>
        <v/>
      </c>
      <c r="AX910" s="2">
        <f>IF($AS910="","",IF($AZ910&lt;&gt;"",SUBSTITUTE(SUBSTITUTE($AZ910,"-","")," ",""),$AY910))</f>
        <v/>
      </c>
      <c r="AY910" s="2">
        <f>IF(OR($AS910="",$E$6=""),"",TRIM(INDEX($A:$AP,ROW(),$E$6)&amp;""))</f>
        <v/>
      </c>
      <c r="AZ910" s="2">
        <f>IF(OR($AS910="",$D$6=""),"",TRIM(INDEX($A:$AP,ROW(),$D$6)&amp;""))</f>
        <v/>
      </c>
      <c r="BA910" s="2">
        <f>IF($AS910="","",IF(AND($AS910&gt;=설정!$B$10,$AS910&lt;=설정!$B$11),"포함","기간 밖"))</f>
        <v/>
      </c>
      <c r="BB910" s="2">
        <f>IF($AS910="","",IF(OR($AT910&lt;0,AND($I$6&lt;&gt;"",ISNUMBER(FIND("수정",INDEX($A:$AP,ROW(),IF($I$6="",1,$I$6))&amp;"")))),"수정","일반"))</f>
        <v/>
      </c>
      <c r="BC910" s="2">
        <f>IF($AS910="","",MID(IF($BA910="기간 밖"," / 기간 밖(신고기간 아님)","")&amp;IF(AND($AW910&lt;&gt;"",COUNTIF($AW$8:$AW$1007,$AW910)&gt;1)," / 승인번호 중복(두 번 붙여넣기?)","")&amp;IF(ABS($AU910-ROUND($AT910*0.1,0))&gt;설정!$B$8,IF($AU910=0," / 세액 0원(영세율·면세 여부 확인)"," / 세액이 공급가액 10%와 다름"),"")&amp;IF($BB910="수정"," / 수정세금계산서(합계에서 자동 가감)",""),4,200))</f>
        <v/>
      </c>
      <c r="BD910" s="2">
        <f>IF($BA910&lt;&gt;"포함","",IF(COUNTIFS($AX$8:$AX910,$AX910,$BA$8:$BA910,"포함")=1,MAX($BD$7:BD909)+1,""))</f>
        <v/>
      </c>
      <c r="BE910" s="2">
        <f>IF($BC910="","",MAX($BE$7:BE909)+1)</f>
        <v/>
      </c>
    </row>
    <row r="911">
      <c r="AR911" s="2">
        <f>IF(OR($A$5="",$B$6="",ROW()&lt;$A$5),"",IF(INDEX($A:$AP,ROW(),$B$6)="","",INDEX($A:$AP,ROW(),$B$6)))</f>
        <v/>
      </c>
      <c r="AS911" s="22">
        <f>IF($AR911="","",IF(ISNUMBER($AR911),IF($AR911&gt;=10000000,IFERROR(DATE(INT($AR911/10000),MOD(INT($AR911/100),100),MOD($AR911,100)),""),INT($AR911)),IFERROR(DATE(--LEFT(LEFT(SUBSTITUTE(SUBSTITUTE(SUBSTITUTE(SUBSTITUTE(TRIM($AR911),"-",""),".",""),"/","")," ",""),8),4),--MID(LEFT(SUBSTITUTE(SUBSTITUTE(SUBSTITUTE(SUBSTITUTE(TRIM($AR911),"-",""),".",""),"/","")," ",""),8),5,2),--MID(LEFT(SUBSTITUTE(SUBSTITUTE(SUBSTITUTE(SUBSTITUTE(TRIM($AR911),"-",""),".",""),"/","")," ",""),8),7,2)),"")))</f>
        <v/>
      </c>
      <c r="AT911" s="23">
        <f>IF($AS911="","",IF($F$6="",0,IF(ISNUMBER(INDEX($A:$AP,ROW(),$F$6)),INDEX($A:$AP,ROW(),$F$6),IFERROR(--SUBSTITUTE(SUBSTITUTE(TRIM(INDEX($A:$AP,ROW(),$F$6)),",",""),"원",""),0))))</f>
        <v/>
      </c>
      <c r="AU911" s="23">
        <f>IF($AS911="","",IF($G$6="",0,IF(ISNUMBER(INDEX($A:$AP,ROW(),$G$6)),INDEX($A:$AP,ROW(),$G$6),IFERROR(--SUBSTITUTE(SUBSTITUTE(TRIM(INDEX($A:$AP,ROW(),$G$6)),",",""),"원",""),0))))</f>
        <v/>
      </c>
      <c r="AV911" s="23">
        <f>IF($AS911="","",IF($H$6="",$AT911+$AU911,IF($H$6="",0,IF(ISNUMBER(INDEX($A:$AP,ROW(),$H$6)),INDEX($A:$AP,ROW(),$H$6),IFERROR(--SUBSTITUTE(SUBSTITUTE(TRIM(INDEX($A:$AP,ROW(),$H$6)),",",""),"원",""),0)))))</f>
        <v/>
      </c>
      <c r="AW911" s="2">
        <f>IF(OR($AS911="",$C$6=""),"",TRIM(INDEX($A:$AP,ROW(),$C$6)&amp;""))</f>
        <v/>
      </c>
      <c r="AX911" s="2">
        <f>IF($AS911="","",IF($AZ911&lt;&gt;"",SUBSTITUTE(SUBSTITUTE($AZ911,"-","")," ",""),$AY911))</f>
        <v/>
      </c>
      <c r="AY911" s="2">
        <f>IF(OR($AS911="",$E$6=""),"",TRIM(INDEX($A:$AP,ROW(),$E$6)&amp;""))</f>
        <v/>
      </c>
      <c r="AZ911" s="2">
        <f>IF(OR($AS911="",$D$6=""),"",TRIM(INDEX($A:$AP,ROW(),$D$6)&amp;""))</f>
        <v/>
      </c>
      <c r="BA911" s="2">
        <f>IF($AS911="","",IF(AND($AS911&gt;=설정!$B$10,$AS911&lt;=설정!$B$11),"포함","기간 밖"))</f>
        <v/>
      </c>
      <c r="BB911" s="2">
        <f>IF($AS911="","",IF(OR($AT911&lt;0,AND($I$6&lt;&gt;"",ISNUMBER(FIND("수정",INDEX($A:$AP,ROW(),IF($I$6="",1,$I$6))&amp;"")))),"수정","일반"))</f>
        <v/>
      </c>
      <c r="BC911" s="2">
        <f>IF($AS911="","",MID(IF($BA911="기간 밖"," / 기간 밖(신고기간 아님)","")&amp;IF(AND($AW911&lt;&gt;"",COUNTIF($AW$8:$AW$1007,$AW911)&gt;1)," / 승인번호 중복(두 번 붙여넣기?)","")&amp;IF(ABS($AU911-ROUND($AT911*0.1,0))&gt;설정!$B$8,IF($AU911=0," / 세액 0원(영세율·면세 여부 확인)"," / 세액이 공급가액 10%와 다름"),"")&amp;IF($BB911="수정"," / 수정세금계산서(합계에서 자동 가감)",""),4,200))</f>
        <v/>
      </c>
      <c r="BD911" s="2">
        <f>IF($BA911&lt;&gt;"포함","",IF(COUNTIFS($AX$8:$AX911,$AX911,$BA$8:$BA911,"포함")=1,MAX($BD$7:BD910)+1,""))</f>
        <v/>
      </c>
      <c r="BE911" s="2">
        <f>IF($BC911="","",MAX($BE$7:BE910)+1)</f>
        <v/>
      </c>
    </row>
    <row r="912">
      <c r="AR912" s="2">
        <f>IF(OR($A$5="",$B$6="",ROW()&lt;$A$5),"",IF(INDEX($A:$AP,ROW(),$B$6)="","",INDEX($A:$AP,ROW(),$B$6)))</f>
        <v/>
      </c>
      <c r="AS912" s="22">
        <f>IF($AR912="","",IF(ISNUMBER($AR912),IF($AR912&gt;=10000000,IFERROR(DATE(INT($AR912/10000),MOD(INT($AR912/100),100),MOD($AR912,100)),""),INT($AR912)),IFERROR(DATE(--LEFT(LEFT(SUBSTITUTE(SUBSTITUTE(SUBSTITUTE(SUBSTITUTE(TRIM($AR912),"-",""),".",""),"/","")," ",""),8),4),--MID(LEFT(SUBSTITUTE(SUBSTITUTE(SUBSTITUTE(SUBSTITUTE(TRIM($AR912),"-",""),".",""),"/","")," ",""),8),5,2),--MID(LEFT(SUBSTITUTE(SUBSTITUTE(SUBSTITUTE(SUBSTITUTE(TRIM($AR912),"-",""),".",""),"/","")," ",""),8),7,2)),"")))</f>
        <v/>
      </c>
      <c r="AT912" s="23">
        <f>IF($AS912="","",IF($F$6="",0,IF(ISNUMBER(INDEX($A:$AP,ROW(),$F$6)),INDEX($A:$AP,ROW(),$F$6),IFERROR(--SUBSTITUTE(SUBSTITUTE(TRIM(INDEX($A:$AP,ROW(),$F$6)),",",""),"원",""),0))))</f>
        <v/>
      </c>
      <c r="AU912" s="23">
        <f>IF($AS912="","",IF($G$6="",0,IF(ISNUMBER(INDEX($A:$AP,ROW(),$G$6)),INDEX($A:$AP,ROW(),$G$6),IFERROR(--SUBSTITUTE(SUBSTITUTE(TRIM(INDEX($A:$AP,ROW(),$G$6)),",",""),"원",""),0))))</f>
        <v/>
      </c>
      <c r="AV912" s="23">
        <f>IF($AS912="","",IF($H$6="",$AT912+$AU912,IF($H$6="",0,IF(ISNUMBER(INDEX($A:$AP,ROW(),$H$6)),INDEX($A:$AP,ROW(),$H$6),IFERROR(--SUBSTITUTE(SUBSTITUTE(TRIM(INDEX($A:$AP,ROW(),$H$6)),",",""),"원",""),0)))))</f>
        <v/>
      </c>
      <c r="AW912" s="2">
        <f>IF(OR($AS912="",$C$6=""),"",TRIM(INDEX($A:$AP,ROW(),$C$6)&amp;""))</f>
        <v/>
      </c>
      <c r="AX912" s="2">
        <f>IF($AS912="","",IF($AZ912&lt;&gt;"",SUBSTITUTE(SUBSTITUTE($AZ912,"-","")," ",""),$AY912))</f>
        <v/>
      </c>
      <c r="AY912" s="2">
        <f>IF(OR($AS912="",$E$6=""),"",TRIM(INDEX($A:$AP,ROW(),$E$6)&amp;""))</f>
        <v/>
      </c>
      <c r="AZ912" s="2">
        <f>IF(OR($AS912="",$D$6=""),"",TRIM(INDEX($A:$AP,ROW(),$D$6)&amp;""))</f>
        <v/>
      </c>
      <c r="BA912" s="2">
        <f>IF($AS912="","",IF(AND($AS912&gt;=설정!$B$10,$AS912&lt;=설정!$B$11),"포함","기간 밖"))</f>
        <v/>
      </c>
      <c r="BB912" s="2">
        <f>IF($AS912="","",IF(OR($AT912&lt;0,AND($I$6&lt;&gt;"",ISNUMBER(FIND("수정",INDEX($A:$AP,ROW(),IF($I$6="",1,$I$6))&amp;"")))),"수정","일반"))</f>
        <v/>
      </c>
      <c r="BC912" s="2">
        <f>IF($AS912="","",MID(IF($BA912="기간 밖"," / 기간 밖(신고기간 아님)","")&amp;IF(AND($AW912&lt;&gt;"",COUNTIF($AW$8:$AW$1007,$AW912)&gt;1)," / 승인번호 중복(두 번 붙여넣기?)","")&amp;IF(ABS($AU912-ROUND($AT912*0.1,0))&gt;설정!$B$8,IF($AU912=0," / 세액 0원(영세율·면세 여부 확인)"," / 세액이 공급가액 10%와 다름"),"")&amp;IF($BB912="수정"," / 수정세금계산서(합계에서 자동 가감)",""),4,200))</f>
        <v/>
      </c>
      <c r="BD912" s="2">
        <f>IF($BA912&lt;&gt;"포함","",IF(COUNTIFS($AX$8:$AX912,$AX912,$BA$8:$BA912,"포함")=1,MAX($BD$7:BD911)+1,""))</f>
        <v/>
      </c>
      <c r="BE912" s="2">
        <f>IF($BC912="","",MAX($BE$7:BE911)+1)</f>
        <v/>
      </c>
    </row>
    <row r="913">
      <c r="AR913" s="2">
        <f>IF(OR($A$5="",$B$6="",ROW()&lt;$A$5),"",IF(INDEX($A:$AP,ROW(),$B$6)="","",INDEX($A:$AP,ROW(),$B$6)))</f>
        <v/>
      </c>
      <c r="AS913" s="22">
        <f>IF($AR913="","",IF(ISNUMBER($AR913),IF($AR913&gt;=10000000,IFERROR(DATE(INT($AR913/10000),MOD(INT($AR913/100),100),MOD($AR913,100)),""),INT($AR913)),IFERROR(DATE(--LEFT(LEFT(SUBSTITUTE(SUBSTITUTE(SUBSTITUTE(SUBSTITUTE(TRIM($AR913),"-",""),".",""),"/","")," ",""),8),4),--MID(LEFT(SUBSTITUTE(SUBSTITUTE(SUBSTITUTE(SUBSTITUTE(TRIM($AR913),"-",""),".",""),"/","")," ",""),8),5,2),--MID(LEFT(SUBSTITUTE(SUBSTITUTE(SUBSTITUTE(SUBSTITUTE(TRIM($AR913),"-",""),".",""),"/","")," ",""),8),7,2)),"")))</f>
        <v/>
      </c>
      <c r="AT913" s="23">
        <f>IF($AS913="","",IF($F$6="",0,IF(ISNUMBER(INDEX($A:$AP,ROW(),$F$6)),INDEX($A:$AP,ROW(),$F$6),IFERROR(--SUBSTITUTE(SUBSTITUTE(TRIM(INDEX($A:$AP,ROW(),$F$6)),",",""),"원",""),0))))</f>
        <v/>
      </c>
      <c r="AU913" s="23">
        <f>IF($AS913="","",IF($G$6="",0,IF(ISNUMBER(INDEX($A:$AP,ROW(),$G$6)),INDEX($A:$AP,ROW(),$G$6),IFERROR(--SUBSTITUTE(SUBSTITUTE(TRIM(INDEX($A:$AP,ROW(),$G$6)),",",""),"원",""),0))))</f>
        <v/>
      </c>
      <c r="AV913" s="23">
        <f>IF($AS913="","",IF($H$6="",$AT913+$AU913,IF($H$6="",0,IF(ISNUMBER(INDEX($A:$AP,ROW(),$H$6)),INDEX($A:$AP,ROW(),$H$6),IFERROR(--SUBSTITUTE(SUBSTITUTE(TRIM(INDEX($A:$AP,ROW(),$H$6)),",",""),"원",""),0)))))</f>
        <v/>
      </c>
      <c r="AW913" s="2">
        <f>IF(OR($AS913="",$C$6=""),"",TRIM(INDEX($A:$AP,ROW(),$C$6)&amp;""))</f>
        <v/>
      </c>
      <c r="AX913" s="2">
        <f>IF($AS913="","",IF($AZ913&lt;&gt;"",SUBSTITUTE(SUBSTITUTE($AZ913,"-","")," ",""),$AY913))</f>
        <v/>
      </c>
      <c r="AY913" s="2">
        <f>IF(OR($AS913="",$E$6=""),"",TRIM(INDEX($A:$AP,ROW(),$E$6)&amp;""))</f>
        <v/>
      </c>
      <c r="AZ913" s="2">
        <f>IF(OR($AS913="",$D$6=""),"",TRIM(INDEX($A:$AP,ROW(),$D$6)&amp;""))</f>
        <v/>
      </c>
      <c r="BA913" s="2">
        <f>IF($AS913="","",IF(AND($AS913&gt;=설정!$B$10,$AS913&lt;=설정!$B$11),"포함","기간 밖"))</f>
        <v/>
      </c>
      <c r="BB913" s="2">
        <f>IF($AS913="","",IF(OR($AT913&lt;0,AND($I$6&lt;&gt;"",ISNUMBER(FIND("수정",INDEX($A:$AP,ROW(),IF($I$6="",1,$I$6))&amp;"")))),"수정","일반"))</f>
        <v/>
      </c>
      <c r="BC913" s="2">
        <f>IF($AS913="","",MID(IF($BA913="기간 밖"," / 기간 밖(신고기간 아님)","")&amp;IF(AND($AW913&lt;&gt;"",COUNTIF($AW$8:$AW$1007,$AW913)&gt;1)," / 승인번호 중복(두 번 붙여넣기?)","")&amp;IF(ABS($AU913-ROUND($AT913*0.1,0))&gt;설정!$B$8,IF($AU913=0," / 세액 0원(영세율·면세 여부 확인)"," / 세액이 공급가액 10%와 다름"),"")&amp;IF($BB913="수정"," / 수정세금계산서(합계에서 자동 가감)",""),4,200))</f>
        <v/>
      </c>
      <c r="BD913" s="2">
        <f>IF($BA913&lt;&gt;"포함","",IF(COUNTIFS($AX$8:$AX913,$AX913,$BA$8:$BA913,"포함")=1,MAX($BD$7:BD912)+1,""))</f>
        <v/>
      </c>
      <c r="BE913" s="2">
        <f>IF($BC913="","",MAX($BE$7:BE912)+1)</f>
        <v/>
      </c>
    </row>
    <row r="914">
      <c r="AR914" s="2">
        <f>IF(OR($A$5="",$B$6="",ROW()&lt;$A$5),"",IF(INDEX($A:$AP,ROW(),$B$6)="","",INDEX($A:$AP,ROW(),$B$6)))</f>
        <v/>
      </c>
      <c r="AS914" s="22">
        <f>IF($AR914="","",IF(ISNUMBER($AR914),IF($AR914&gt;=10000000,IFERROR(DATE(INT($AR914/10000),MOD(INT($AR914/100),100),MOD($AR914,100)),""),INT($AR914)),IFERROR(DATE(--LEFT(LEFT(SUBSTITUTE(SUBSTITUTE(SUBSTITUTE(SUBSTITUTE(TRIM($AR914),"-",""),".",""),"/","")," ",""),8),4),--MID(LEFT(SUBSTITUTE(SUBSTITUTE(SUBSTITUTE(SUBSTITUTE(TRIM($AR914),"-",""),".",""),"/","")," ",""),8),5,2),--MID(LEFT(SUBSTITUTE(SUBSTITUTE(SUBSTITUTE(SUBSTITUTE(TRIM($AR914),"-",""),".",""),"/","")," ",""),8),7,2)),"")))</f>
        <v/>
      </c>
      <c r="AT914" s="23">
        <f>IF($AS914="","",IF($F$6="",0,IF(ISNUMBER(INDEX($A:$AP,ROW(),$F$6)),INDEX($A:$AP,ROW(),$F$6),IFERROR(--SUBSTITUTE(SUBSTITUTE(TRIM(INDEX($A:$AP,ROW(),$F$6)),",",""),"원",""),0))))</f>
        <v/>
      </c>
      <c r="AU914" s="23">
        <f>IF($AS914="","",IF($G$6="",0,IF(ISNUMBER(INDEX($A:$AP,ROW(),$G$6)),INDEX($A:$AP,ROW(),$G$6),IFERROR(--SUBSTITUTE(SUBSTITUTE(TRIM(INDEX($A:$AP,ROW(),$G$6)),",",""),"원",""),0))))</f>
        <v/>
      </c>
      <c r="AV914" s="23">
        <f>IF($AS914="","",IF($H$6="",$AT914+$AU914,IF($H$6="",0,IF(ISNUMBER(INDEX($A:$AP,ROW(),$H$6)),INDEX($A:$AP,ROW(),$H$6),IFERROR(--SUBSTITUTE(SUBSTITUTE(TRIM(INDEX($A:$AP,ROW(),$H$6)),",",""),"원",""),0)))))</f>
        <v/>
      </c>
      <c r="AW914" s="2">
        <f>IF(OR($AS914="",$C$6=""),"",TRIM(INDEX($A:$AP,ROW(),$C$6)&amp;""))</f>
        <v/>
      </c>
      <c r="AX914" s="2">
        <f>IF($AS914="","",IF($AZ914&lt;&gt;"",SUBSTITUTE(SUBSTITUTE($AZ914,"-","")," ",""),$AY914))</f>
        <v/>
      </c>
      <c r="AY914" s="2">
        <f>IF(OR($AS914="",$E$6=""),"",TRIM(INDEX($A:$AP,ROW(),$E$6)&amp;""))</f>
        <v/>
      </c>
      <c r="AZ914" s="2">
        <f>IF(OR($AS914="",$D$6=""),"",TRIM(INDEX($A:$AP,ROW(),$D$6)&amp;""))</f>
        <v/>
      </c>
      <c r="BA914" s="2">
        <f>IF($AS914="","",IF(AND($AS914&gt;=설정!$B$10,$AS914&lt;=설정!$B$11),"포함","기간 밖"))</f>
        <v/>
      </c>
      <c r="BB914" s="2">
        <f>IF($AS914="","",IF(OR($AT914&lt;0,AND($I$6&lt;&gt;"",ISNUMBER(FIND("수정",INDEX($A:$AP,ROW(),IF($I$6="",1,$I$6))&amp;"")))),"수정","일반"))</f>
        <v/>
      </c>
      <c r="BC914" s="2">
        <f>IF($AS914="","",MID(IF($BA914="기간 밖"," / 기간 밖(신고기간 아님)","")&amp;IF(AND($AW914&lt;&gt;"",COUNTIF($AW$8:$AW$1007,$AW914)&gt;1)," / 승인번호 중복(두 번 붙여넣기?)","")&amp;IF(ABS($AU914-ROUND($AT914*0.1,0))&gt;설정!$B$8,IF($AU914=0," / 세액 0원(영세율·면세 여부 확인)"," / 세액이 공급가액 10%와 다름"),"")&amp;IF($BB914="수정"," / 수정세금계산서(합계에서 자동 가감)",""),4,200))</f>
        <v/>
      </c>
      <c r="BD914" s="2">
        <f>IF($BA914&lt;&gt;"포함","",IF(COUNTIFS($AX$8:$AX914,$AX914,$BA$8:$BA914,"포함")=1,MAX($BD$7:BD913)+1,""))</f>
        <v/>
      </c>
      <c r="BE914" s="2">
        <f>IF($BC914="","",MAX($BE$7:BE913)+1)</f>
        <v/>
      </c>
    </row>
    <row r="915">
      <c r="AR915" s="2">
        <f>IF(OR($A$5="",$B$6="",ROW()&lt;$A$5),"",IF(INDEX($A:$AP,ROW(),$B$6)="","",INDEX($A:$AP,ROW(),$B$6)))</f>
        <v/>
      </c>
      <c r="AS915" s="22">
        <f>IF($AR915="","",IF(ISNUMBER($AR915),IF($AR915&gt;=10000000,IFERROR(DATE(INT($AR915/10000),MOD(INT($AR915/100),100),MOD($AR915,100)),""),INT($AR915)),IFERROR(DATE(--LEFT(LEFT(SUBSTITUTE(SUBSTITUTE(SUBSTITUTE(SUBSTITUTE(TRIM($AR915),"-",""),".",""),"/","")," ",""),8),4),--MID(LEFT(SUBSTITUTE(SUBSTITUTE(SUBSTITUTE(SUBSTITUTE(TRIM($AR915),"-",""),".",""),"/","")," ",""),8),5,2),--MID(LEFT(SUBSTITUTE(SUBSTITUTE(SUBSTITUTE(SUBSTITUTE(TRIM($AR915),"-",""),".",""),"/","")," ",""),8),7,2)),"")))</f>
        <v/>
      </c>
      <c r="AT915" s="23">
        <f>IF($AS915="","",IF($F$6="",0,IF(ISNUMBER(INDEX($A:$AP,ROW(),$F$6)),INDEX($A:$AP,ROW(),$F$6),IFERROR(--SUBSTITUTE(SUBSTITUTE(TRIM(INDEX($A:$AP,ROW(),$F$6)),",",""),"원",""),0))))</f>
        <v/>
      </c>
      <c r="AU915" s="23">
        <f>IF($AS915="","",IF($G$6="",0,IF(ISNUMBER(INDEX($A:$AP,ROW(),$G$6)),INDEX($A:$AP,ROW(),$G$6),IFERROR(--SUBSTITUTE(SUBSTITUTE(TRIM(INDEX($A:$AP,ROW(),$G$6)),",",""),"원",""),0))))</f>
        <v/>
      </c>
      <c r="AV915" s="23">
        <f>IF($AS915="","",IF($H$6="",$AT915+$AU915,IF($H$6="",0,IF(ISNUMBER(INDEX($A:$AP,ROW(),$H$6)),INDEX($A:$AP,ROW(),$H$6),IFERROR(--SUBSTITUTE(SUBSTITUTE(TRIM(INDEX($A:$AP,ROW(),$H$6)),",",""),"원",""),0)))))</f>
        <v/>
      </c>
      <c r="AW915" s="2">
        <f>IF(OR($AS915="",$C$6=""),"",TRIM(INDEX($A:$AP,ROW(),$C$6)&amp;""))</f>
        <v/>
      </c>
      <c r="AX915" s="2">
        <f>IF($AS915="","",IF($AZ915&lt;&gt;"",SUBSTITUTE(SUBSTITUTE($AZ915,"-","")," ",""),$AY915))</f>
        <v/>
      </c>
      <c r="AY915" s="2">
        <f>IF(OR($AS915="",$E$6=""),"",TRIM(INDEX($A:$AP,ROW(),$E$6)&amp;""))</f>
        <v/>
      </c>
      <c r="AZ915" s="2">
        <f>IF(OR($AS915="",$D$6=""),"",TRIM(INDEX($A:$AP,ROW(),$D$6)&amp;""))</f>
        <v/>
      </c>
      <c r="BA915" s="2">
        <f>IF($AS915="","",IF(AND($AS915&gt;=설정!$B$10,$AS915&lt;=설정!$B$11),"포함","기간 밖"))</f>
        <v/>
      </c>
      <c r="BB915" s="2">
        <f>IF($AS915="","",IF(OR($AT915&lt;0,AND($I$6&lt;&gt;"",ISNUMBER(FIND("수정",INDEX($A:$AP,ROW(),IF($I$6="",1,$I$6))&amp;"")))),"수정","일반"))</f>
        <v/>
      </c>
      <c r="BC915" s="2">
        <f>IF($AS915="","",MID(IF($BA915="기간 밖"," / 기간 밖(신고기간 아님)","")&amp;IF(AND($AW915&lt;&gt;"",COUNTIF($AW$8:$AW$1007,$AW915)&gt;1)," / 승인번호 중복(두 번 붙여넣기?)","")&amp;IF(ABS($AU915-ROUND($AT915*0.1,0))&gt;설정!$B$8,IF($AU915=0," / 세액 0원(영세율·면세 여부 확인)"," / 세액이 공급가액 10%와 다름"),"")&amp;IF($BB915="수정"," / 수정세금계산서(합계에서 자동 가감)",""),4,200))</f>
        <v/>
      </c>
      <c r="BD915" s="2">
        <f>IF($BA915&lt;&gt;"포함","",IF(COUNTIFS($AX$8:$AX915,$AX915,$BA$8:$BA915,"포함")=1,MAX($BD$7:BD914)+1,""))</f>
        <v/>
      </c>
      <c r="BE915" s="2">
        <f>IF($BC915="","",MAX($BE$7:BE914)+1)</f>
        <v/>
      </c>
    </row>
    <row r="916">
      <c r="AR916" s="2">
        <f>IF(OR($A$5="",$B$6="",ROW()&lt;$A$5),"",IF(INDEX($A:$AP,ROW(),$B$6)="","",INDEX($A:$AP,ROW(),$B$6)))</f>
        <v/>
      </c>
      <c r="AS916" s="22">
        <f>IF($AR916="","",IF(ISNUMBER($AR916),IF($AR916&gt;=10000000,IFERROR(DATE(INT($AR916/10000),MOD(INT($AR916/100),100),MOD($AR916,100)),""),INT($AR916)),IFERROR(DATE(--LEFT(LEFT(SUBSTITUTE(SUBSTITUTE(SUBSTITUTE(SUBSTITUTE(TRIM($AR916),"-",""),".",""),"/","")," ",""),8),4),--MID(LEFT(SUBSTITUTE(SUBSTITUTE(SUBSTITUTE(SUBSTITUTE(TRIM($AR916),"-",""),".",""),"/","")," ",""),8),5,2),--MID(LEFT(SUBSTITUTE(SUBSTITUTE(SUBSTITUTE(SUBSTITUTE(TRIM($AR916),"-",""),".",""),"/","")," ",""),8),7,2)),"")))</f>
        <v/>
      </c>
      <c r="AT916" s="23">
        <f>IF($AS916="","",IF($F$6="",0,IF(ISNUMBER(INDEX($A:$AP,ROW(),$F$6)),INDEX($A:$AP,ROW(),$F$6),IFERROR(--SUBSTITUTE(SUBSTITUTE(TRIM(INDEX($A:$AP,ROW(),$F$6)),",",""),"원",""),0))))</f>
        <v/>
      </c>
      <c r="AU916" s="23">
        <f>IF($AS916="","",IF($G$6="",0,IF(ISNUMBER(INDEX($A:$AP,ROW(),$G$6)),INDEX($A:$AP,ROW(),$G$6),IFERROR(--SUBSTITUTE(SUBSTITUTE(TRIM(INDEX($A:$AP,ROW(),$G$6)),",",""),"원",""),0))))</f>
        <v/>
      </c>
      <c r="AV916" s="23">
        <f>IF($AS916="","",IF($H$6="",$AT916+$AU916,IF($H$6="",0,IF(ISNUMBER(INDEX($A:$AP,ROW(),$H$6)),INDEX($A:$AP,ROW(),$H$6),IFERROR(--SUBSTITUTE(SUBSTITUTE(TRIM(INDEX($A:$AP,ROW(),$H$6)),",",""),"원",""),0)))))</f>
        <v/>
      </c>
      <c r="AW916" s="2">
        <f>IF(OR($AS916="",$C$6=""),"",TRIM(INDEX($A:$AP,ROW(),$C$6)&amp;""))</f>
        <v/>
      </c>
      <c r="AX916" s="2">
        <f>IF($AS916="","",IF($AZ916&lt;&gt;"",SUBSTITUTE(SUBSTITUTE($AZ916,"-","")," ",""),$AY916))</f>
        <v/>
      </c>
      <c r="AY916" s="2">
        <f>IF(OR($AS916="",$E$6=""),"",TRIM(INDEX($A:$AP,ROW(),$E$6)&amp;""))</f>
        <v/>
      </c>
      <c r="AZ916" s="2">
        <f>IF(OR($AS916="",$D$6=""),"",TRIM(INDEX($A:$AP,ROW(),$D$6)&amp;""))</f>
        <v/>
      </c>
      <c r="BA916" s="2">
        <f>IF($AS916="","",IF(AND($AS916&gt;=설정!$B$10,$AS916&lt;=설정!$B$11),"포함","기간 밖"))</f>
        <v/>
      </c>
      <c r="BB916" s="2">
        <f>IF($AS916="","",IF(OR($AT916&lt;0,AND($I$6&lt;&gt;"",ISNUMBER(FIND("수정",INDEX($A:$AP,ROW(),IF($I$6="",1,$I$6))&amp;"")))),"수정","일반"))</f>
        <v/>
      </c>
      <c r="BC916" s="2">
        <f>IF($AS916="","",MID(IF($BA916="기간 밖"," / 기간 밖(신고기간 아님)","")&amp;IF(AND($AW916&lt;&gt;"",COUNTIF($AW$8:$AW$1007,$AW916)&gt;1)," / 승인번호 중복(두 번 붙여넣기?)","")&amp;IF(ABS($AU916-ROUND($AT916*0.1,0))&gt;설정!$B$8,IF($AU916=0," / 세액 0원(영세율·면세 여부 확인)"," / 세액이 공급가액 10%와 다름"),"")&amp;IF($BB916="수정"," / 수정세금계산서(합계에서 자동 가감)",""),4,200))</f>
        <v/>
      </c>
      <c r="BD916" s="2">
        <f>IF($BA916&lt;&gt;"포함","",IF(COUNTIFS($AX$8:$AX916,$AX916,$BA$8:$BA916,"포함")=1,MAX($BD$7:BD915)+1,""))</f>
        <v/>
      </c>
      <c r="BE916" s="2">
        <f>IF($BC916="","",MAX($BE$7:BE915)+1)</f>
        <v/>
      </c>
    </row>
    <row r="917">
      <c r="AR917" s="2">
        <f>IF(OR($A$5="",$B$6="",ROW()&lt;$A$5),"",IF(INDEX($A:$AP,ROW(),$B$6)="","",INDEX($A:$AP,ROW(),$B$6)))</f>
        <v/>
      </c>
      <c r="AS917" s="22">
        <f>IF($AR917="","",IF(ISNUMBER($AR917),IF($AR917&gt;=10000000,IFERROR(DATE(INT($AR917/10000),MOD(INT($AR917/100),100),MOD($AR917,100)),""),INT($AR917)),IFERROR(DATE(--LEFT(LEFT(SUBSTITUTE(SUBSTITUTE(SUBSTITUTE(SUBSTITUTE(TRIM($AR917),"-",""),".",""),"/","")," ",""),8),4),--MID(LEFT(SUBSTITUTE(SUBSTITUTE(SUBSTITUTE(SUBSTITUTE(TRIM($AR917),"-",""),".",""),"/","")," ",""),8),5,2),--MID(LEFT(SUBSTITUTE(SUBSTITUTE(SUBSTITUTE(SUBSTITUTE(TRIM($AR917),"-",""),".",""),"/","")," ",""),8),7,2)),"")))</f>
        <v/>
      </c>
      <c r="AT917" s="23">
        <f>IF($AS917="","",IF($F$6="",0,IF(ISNUMBER(INDEX($A:$AP,ROW(),$F$6)),INDEX($A:$AP,ROW(),$F$6),IFERROR(--SUBSTITUTE(SUBSTITUTE(TRIM(INDEX($A:$AP,ROW(),$F$6)),",",""),"원",""),0))))</f>
        <v/>
      </c>
      <c r="AU917" s="23">
        <f>IF($AS917="","",IF($G$6="",0,IF(ISNUMBER(INDEX($A:$AP,ROW(),$G$6)),INDEX($A:$AP,ROW(),$G$6),IFERROR(--SUBSTITUTE(SUBSTITUTE(TRIM(INDEX($A:$AP,ROW(),$G$6)),",",""),"원",""),0))))</f>
        <v/>
      </c>
      <c r="AV917" s="23">
        <f>IF($AS917="","",IF($H$6="",$AT917+$AU917,IF($H$6="",0,IF(ISNUMBER(INDEX($A:$AP,ROW(),$H$6)),INDEX($A:$AP,ROW(),$H$6),IFERROR(--SUBSTITUTE(SUBSTITUTE(TRIM(INDEX($A:$AP,ROW(),$H$6)),",",""),"원",""),0)))))</f>
        <v/>
      </c>
      <c r="AW917" s="2">
        <f>IF(OR($AS917="",$C$6=""),"",TRIM(INDEX($A:$AP,ROW(),$C$6)&amp;""))</f>
        <v/>
      </c>
      <c r="AX917" s="2">
        <f>IF($AS917="","",IF($AZ917&lt;&gt;"",SUBSTITUTE(SUBSTITUTE($AZ917,"-","")," ",""),$AY917))</f>
        <v/>
      </c>
      <c r="AY917" s="2">
        <f>IF(OR($AS917="",$E$6=""),"",TRIM(INDEX($A:$AP,ROW(),$E$6)&amp;""))</f>
        <v/>
      </c>
      <c r="AZ917" s="2">
        <f>IF(OR($AS917="",$D$6=""),"",TRIM(INDEX($A:$AP,ROW(),$D$6)&amp;""))</f>
        <v/>
      </c>
      <c r="BA917" s="2">
        <f>IF($AS917="","",IF(AND($AS917&gt;=설정!$B$10,$AS917&lt;=설정!$B$11),"포함","기간 밖"))</f>
        <v/>
      </c>
      <c r="BB917" s="2">
        <f>IF($AS917="","",IF(OR($AT917&lt;0,AND($I$6&lt;&gt;"",ISNUMBER(FIND("수정",INDEX($A:$AP,ROW(),IF($I$6="",1,$I$6))&amp;"")))),"수정","일반"))</f>
        <v/>
      </c>
      <c r="BC917" s="2">
        <f>IF($AS917="","",MID(IF($BA917="기간 밖"," / 기간 밖(신고기간 아님)","")&amp;IF(AND($AW917&lt;&gt;"",COUNTIF($AW$8:$AW$1007,$AW917)&gt;1)," / 승인번호 중복(두 번 붙여넣기?)","")&amp;IF(ABS($AU917-ROUND($AT917*0.1,0))&gt;설정!$B$8,IF($AU917=0," / 세액 0원(영세율·면세 여부 확인)"," / 세액이 공급가액 10%와 다름"),"")&amp;IF($BB917="수정"," / 수정세금계산서(합계에서 자동 가감)",""),4,200))</f>
        <v/>
      </c>
      <c r="BD917" s="2">
        <f>IF($BA917&lt;&gt;"포함","",IF(COUNTIFS($AX$8:$AX917,$AX917,$BA$8:$BA917,"포함")=1,MAX($BD$7:BD916)+1,""))</f>
        <v/>
      </c>
      <c r="BE917" s="2">
        <f>IF($BC917="","",MAX($BE$7:BE916)+1)</f>
        <v/>
      </c>
    </row>
    <row r="918">
      <c r="AR918" s="2">
        <f>IF(OR($A$5="",$B$6="",ROW()&lt;$A$5),"",IF(INDEX($A:$AP,ROW(),$B$6)="","",INDEX($A:$AP,ROW(),$B$6)))</f>
        <v/>
      </c>
      <c r="AS918" s="22">
        <f>IF($AR918="","",IF(ISNUMBER($AR918),IF($AR918&gt;=10000000,IFERROR(DATE(INT($AR918/10000),MOD(INT($AR918/100),100),MOD($AR918,100)),""),INT($AR918)),IFERROR(DATE(--LEFT(LEFT(SUBSTITUTE(SUBSTITUTE(SUBSTITUTE(SUBSTITUTE(TRIM($AR918),"-",""),".",""),"/","")," ",""),8),4),--MID(LEFT(SUBSTITUTE(SUBSTITUTE(SUBSTITUTE(SUBSTITUTE(TRIM($AR918),"-",""),".",""),"/","")," ",""),8),5,2),--MID(LEFT(SUBSTITUTE(SUBSTITUTE(SUBSTITUTE(SUBSTITUTE(TRIM($AR918),"-",""),".",""),"/","")," ",""),8),7,2)),"")))</f>
        <v/>
      </c>
      <c r="AT918" s="23">
        <f>IF($AS918="","",IF($F$6="",0,IF(ISNUMBER(INDEX($A:$AP,ROW(),$F$6)),INDEX($A:$AP,ROW(),$F$6),IFERROR(--SUBSTITUTE(SUBSTITUTE(TRIM(INDEX($A:$AP,ROW(),$F$6)),",",""),"원",""),0))))</f>
        <v/>
      </c>
      <c r="AU918" s="23">
        <f>IF($AS918="","",IF($G$6="",0,IF(ISNUMBER(INDEX($A:$AP,ROW(),$G$6)),INDEX($A:$AP,ROW(),$G$6),IFERROR(--SUBSTITUTE(SUBSTITUTE(TRIM(INDEX($A:$AP,ROW(),$G$6)),",",""),"원",""),0))))</f>
        <v/>
      </c>
      <c r="AV918" s="23">
        <f>IF($AS918="","",IF($H$6="",$AT918+$AU918,IF($H$6="",0,IF(ISNUMBER(INDEX($A:$AP,ROW(),$H$6)),INDEX($A:$AP,ROW(),$H$6),IFERROR(--SUBSTITUTE(SUBSTITUTE(TRIM(INDEX($A:$AP,ROW(),$H$6)),",",""),"원",""),0)))))</f>
        <v/>
      </c>
      <c r="AW918" s="2">
        <f>IF(OR($AS918="",$C$6=""),"",TRIM(INDEX($A:$AP,ROW(),$C$6)&amp;""))</f>
        <v/>
      </c>
      <c r="AX918" s="2">
        <f>IF($AS918="","",IF($AZ918&lt;&gt;"",SUBSTITUTE(SUBSTITUTE($AZ918,"-","")," ",""),$AY918))</f>
        <v/>
      </c>
      <c r="AY918" s="2">
        <f>IF(OR($AS918="",$E$6=""),"",TRIM(INDEX($A:$AP,ROW(),$E$6)&amp;""))</f>
        <v/>
      </c>
      <c r="AZ918" s="2">
        <f>IF(OR($AS918="",$D$6=""),"",TRIM(INDEX($A:$AP,ROW(),$D$6)&amp;""))</f>
        <v/>
      </c>
      <c r="BA918" s="2">
        <f>IF($AS918="","",IF(AND($AS918&gt;=설정!$B$10,$AS918&lt;=설정!$B$11),"포함","기간 밖"))</f>
        <v/>
      </c>
      <c r="BB918" s="2">
        <f>IF($AS918="","",IF(OR($AT918&lt;0,AND($I$6&lt;&gt;"",ISNUMBER(FIND("수정",INDEX($A:$AP,ROW(),IF($I$6="",1,$I$6))&amp;"")))),"수정","일반"))</f>
        <v/>
      </c>
      <c r="BC918" s="2">
        <f>IF($AS918="","",MID(IF($BA918="기간 밖"," / 기간 밖(신고기간 아님)","")&amp;IF(AND($AW918&lt;&gt;"",COUNTIF($AW$8:$AW$1007,$AW918)&gt;1)," / 승인번호 중복(두 번 붙여넣기?)","")&amp;IF(ABS($AU918-ROUND($AT918*0.1,0))&gt;설정!$B$8,IF($AU918=0," / 세액 0원(영세율·면세 여부 확인)"," / 세액이 공급가액 10%와 다름"),"")&amp;IF($BB918="수정"," / 수정세금계산서(합계에서 자동 가감)",""),4,200))</f>
        <v/>
      </c>
      <c r="BD918" s="2">
        <f>IF($BA918&lt;&gt;"포함","",IF(COUNTIFS($AX$8:$AX918,$AX918,$BA$8:$BA918,"포함")=1,MAX($BD$7:BD917)+1,""))</f>
        <v/>
      </c>
      <c r="BE918" s="2">
        <f>IF($BC918="","",MAX($BE$7:BE917)+1)</f>
        <v/>
      </c>
    </row>
    <row r="919">
      <c r="AR919" s="2">
        <f>IF(OR($A$5="",$B$6="",ROW()&lt;$A$5),"",IF(INDEX($A:$AP,ROW(),$B$6)="","",INDEX($A:$AP,ROW(),$B$6)))</f>
        <v/>
      </c>
      <c r="AS919" s="22">
        <f>IF($AR919="","",IF(ISNUMBER($AR919),IF($AR919&gt;=10000000,IFERROR(DATE(INT($AR919/10000),MOD(INT($AR919/100),100),MOD($AR919,100)),""),INT($AR919)),IFERROR(DATE(--LEFT(LEFT(SUBSTITUTE(SUBSTITUTE(SUBSTITUTE(SUBSTITUTE(TRIM($AR919),"-",""),".",""),"/","")," ",""),8),4),--MID(LEFT(SUBSTITUTE(SUBSTITUTE(SUBSTITUTE(SUBSTITUTE(TRIM($AR919),"-",""),".",""),"/","")," ",""),8),5,2),--MID(LEFT(SUBSTITUTE(SUBSTITUTE(SUBSTITUTE(SUBSTITUTE(TRIM($AR919),"-",""),".",""),"/","")," ",""),8),7,2)),"")))</f>
        <v/>
      </c>
      <c r="AT919" s="23">
        <f>IF($AS919="","",IF($F$6="",0,IF(ISNUMBER(INDEX($A:$AP,ROW(),$F$6)),INDEX($A:$AP,ROW(),$F$6),IFERROR(--SUBSTITUTE(SUBSTITUTE(TRIM(INDEX($A:$AP,ROW(),$F$6)),",",""),"원",""),0))))</f>
        <v/>
      </c>
      <c r="AU919" s="23">
        <f>IF($AS919="","",IF($G$6="",0,IF(ISNUMBER(INDEX($A:$AP,ROW(),$G$6)),INDEX($A:$AP,ROW(),$G$6),IFERROR(--SUBSTITUTE(SUBSTITUTE(TRIM(INDEX($A:$AP,ROW(),$G$6)),",",""),"원",""),0))))</f>
        <v/>
      </c>
      <c r="AV919" s="23">
        <f>IF($AS919="","",IF($H$6="",$AT919+$AU919,IF($H$6="",0,IF(ISNUMBER(INDEX($A:$AP,ROW(),$H$6)),INDEX($A:$AP,ROW(),$H$6),IFERROR(--SUBSTITUTE(SUBSTITUTE(TRIM(INDEX($A:$AP,ROW(),$H$6)),",",""),"원",""),0)))))</f>
        <v/>
      </c>
      <c r="AW919" s="2">
        <f>IF(OR($AS919="",$C$6=""),"",TRIM(INDEX($A:$AP,ROW(),$C$6)&amp;""))</f>
        <v/>
      </c>
      <c r="AX919" s="2">
        <f>IF($AS919="","",IF($AZ919&lt;&gt;"",SUBSTITUTE(SUBSTITUTE($AZ919,"-","")," ",""),$AY919))</f>
        <v/>
      </c>
      <c r="AY919" s="2">
        <f>IF(OR($AS919="",$E$6=""),"",TRIM(INDEX($A:$AP,ROW(),$E$6)&amp;""))</f>
        <v/>
      </c>
      <c r="AZ919" s="2">
        <f>IF(OR($AS919="",$D$6=""),"",TRIM(INDEX($A:$AP,ROW(),$D$6)&amp;""))</f>
        <v/>
      </c>
      <c r="BA919" s="2">
        <f>IF($AS919="","",IF(AND($AS919&gt;=설정!$B$10,$AS919&lt;=설정!$B$11),"포함","기간 밖"))</f>
        <v/>
      </c>
      <c r="BB919" s="2">
        <f>IF($AS919="","",IF(OR($AT919&lt;0,AND($I$6&lt;&gt;"",ISNUMBER(FIND("수정",INDEX($A:$AP,ROW(),IF($I$6="",1,$I$6))&amp;"")))),"수정","일반"))</f>
        <v/>
      </c>
      <c r="BC919" s="2">
        <f>IF($AS919="","",MID(IF($BA919="기간 밖"," / 기간 밖(신고기간 아님)","")&amp;IF(AND($AW919&lt;&gt;"",COUNTIF($AW$8:$AW$1007,$AW919)&gt;1)," / 승인번호 중복(두 번 붙여넣기?)","")&amp;IF(ABS($AU919-ROUND($AT919*0.1,0))&gt;설정!$B$8,IF($AU919=0," / 세액 0원(영세율·면세 여부 확인)"," / 세액이 공급가액 10%와 다름"),"")&amp;IF($BB919="수정"," / 수정세금계산서(합계에서 자동 가감)",""),4,200))</f>
        <v/>
      </c>
      <c r="BD919" s="2">
        <f>IF($BA919&lt;&gt;"포함","",IF(COUNTIFS($AX$8:$AX919,$AX919,$BA$8:$BA919,"포함")=1,MAX($BD$7:BD918)+1,""))</f>
        <v/>
      </c>
      <c r="BE919" s="2">
        <f>IF($BC919="","",MAX($BE$7:BE918)+1)</f>
        <v/>
      </c>
    </row>
    <row r="920">
      <c r="AR920" s="2">
        <f>IF(OR($A$5="",$B$6="",ROW()&lt;$A$5),"",IF(INDEX($A:$AP,ROW(),$B$6)="","",INDEX($A:$AP,ROW(),$B$6)))</f>
        <v/>
      </c>
      <c r="AS920" s="22">
        <f>IF($AR920="","",IF(ISNUMBER($AR920),IF($AR920&gt;=10000000,IFERROR(DATE(INT($AR920/10000),MOD(INT($AR920/100),100),MOD($AR920,100)),""),INT($AR920)),IFERROR(DATE(--LEFT(LEFT(SUBSTITUTE(SUBSTITUTE(SUBSTITUTE(SUBSTITUTE(TRIM($AR920),"-",""),".",""),"/","")," ",""),8),4),--MID(LEFT(SUBSTITUTE(SUBSTITUTE(SUBSTITUTE(SUBSTITUTE(TRIM($AR920),"-",""),".",""),"/","")," ",""),8),5,2),--MID(LEFT(SUBSTITUTE(SUBSTITUTE(SUBSTITUTE(SUBSTITUTE(TRIM($AR920),"-",""),".",""),"/","")," ",""),8),7,2)),"")))</f>
        <v/>
      </c>
      <c r="AT920" s="23">
        <f>IF($AS920="","",IF($F$6="",0,IF(ISNUMBER(INDEX($A:$AP,ROW(),$F$6)),INDEX($A:$AP,ROW(),$F$6),IFERROR(--SUBSTITUTE(SUBSTITUTE(TRIM(INDEX($A:$AP,ROW(),$F$6)),",",""),"원",""),0))))</f>
        <v/>
      </c>
      <c r="AU920" s="23">
        <f>IF($AS920="","",IF($G$6="",0,IF(ISNUMBER(INDEX($A:$AP,ROW(),$G$6)),INDEX($A:$AP,ROW(),$G$6),IFERROR(--SUBSTITUTE(SUBSTITUTE(TRIM(INDEX($A:$AP,ROW(),$G$6)),",",""),"원",""),0))))</f>
        <v/>
      </c>
      <c r="AV920" s="23">
        <f>IF($AS920="","",IF($H$6="",$AT920+$AU920,IF($H$6="",0,IF(ISNUMBER(INDEX($A:$AP,ROW(),$H$6)),INDEX($A:$AP,ROW(),$H$6),IFERROR(--SUBSTITUTE(SUBSTITUTE(TRIM(INDEX($A:$AP,ROW(),$H$6)),",",""),"원",""),0)))))</f>
        <v/>
      </c>
      <c r="AW920" s="2">
        <f>IF(OR($AS920="",$C$6=""),"",TRIM(INDEX($A:$AP,ROW(),$C$6)&amp;""))</f>
        <v/>
      </c>
      <c r="AX920" s="2">
        <f>IF($AS920="","",IF($AZ920&lt;&gt;"",SUBSTITUTE(SUBSTITUTE($AZ920,"-","")," ",""),$AY920))</f>
        <v/>
      </c>
      <c r="AY920" s="2">
        <f>IF(OR($AS920="",$E$6=""),"",TRIM(INDEX($A:$AP,ROW(),$E$6)&amp;""))</f>
        <v/>
      </c>
      <c r="AZ920" s="2">
        <f>IF(OR($AS920="",$D$6=""),"",TRIM(INDEX($A:$AP,ROW(),$D$6)&amp;""))</f>
        <v/>
      </c>
      <c r="BA920" s="2">
        <f>IF($AS920="","",IF(AND($AS920&gt;=설정!$B$10,$AS920&lt;=설정!$B$11),"포함","기간 밖"))</f>
        <v/>
      </c>
      <c r="BB920" s="2">
        <f>IF($AS920="","",IF(OR($AT920&lt;0,AND($I$6&lt;&gt;"",ISNUMBER(FIND("수정",INDEX($A:$AP,ROW(),IF($I$6="",1,$I$6))&amp;"")))),"수정","일반"))</f>
        <v/>
      </c>
      <c r="BC920" s="2">
        <f>IF($AS920="","",MID(IF($BA920="기간 밖"," / 기간 밖(신고기간 아님)","")&amp;IF(AND($AW920&lt;&gt;"",COUNTIF($AW$8:$AW$1007,$AW920)&gt;1)," / 승인번호 중복(두 번 붙여넣기?)","")&amp;IF(ABS($AU920-ROUND($AT920*0.1,0))&gt;설정!$B$8,IF($AU920=0," / 세액 0원(영세율·면세 여부 확인)"," / 세액이 공급가액 10%와 다름"),"")&amp;IF($BB920="수정"," / 수정세금계산서(합계에서 자동 가감)",""),4,200))</f>
        <v/>
      </c>
      <c r="BD920" s="2">
        <f>IF($BA920&lt;&gt;"포함","",IF(COUNTIFS($AX$8:$AX920,$AX920,$BA$8:$BA920,"포함")=1,MAX($BD$7:BD919)+1,""))</f>
        <v/>
      </c>
      <c r="BE920" s="2">
        <f>IF($BC920="","",MAX($BE$7:BE919)+1)</f>
        <v/>
      </c>
    </row>
    <row r="921">
      <c r="AR921" s="2">
        <f>IF(OR($A$5="",$B$6="",ROW()&lt;$A$5),"",IF(INDEX($A:$AP,ROW(),$B$6)="","",INDEX($A:$AP,ROW(),$B$6)))</f>
        <v/>
      </c>
      <c r="AS921" s="22">
        <f>IF($AR921="","",IF(ISNUMBER($AR921),IF($AR921&gt;=10000000,IFERROR(DATE(INT($AR921/10000),MOD(INT($AR921/100),100),MOD($AR921,100)),""),INT($AR921)),IFERROR(DATE(--LEFT(LEFT(SUBSTITUTE(SUBSTITUTE(SUBSTITUTE(SUBSTITUTE(TRIM($AR921),"-",""),".",""),"/","")," ",""),8),4),--MID(LEFT(SUBSTITUTE(SUBSTITUTE(SUBSTITUTE(SUBSTITUTE(TRIM($AR921),"-",""),".",""),"/","")," ",""),8),5,2),--MID(LEFT(SUBSTITUTE(SUBSTITUTE(SUBSTITUTE(SUBSTITUTE(TRIM($AR921),"-",""),".",""),"/","")," ",""),8),7,2)),"")))</f>
        <v/>
      </c>
      <c r="AT921" s="23">
        <f>IF($AS921="","",IF($F$6="",0,IF(ISNUMBER(INDEX($A:$AP,ROW(),$F$6)),INDEX($A:$AP,ROW(),$F$6),IFERROR(--SUBSTITUTE(SUBSTITUTE(TRIM(INDEX($A:$AP,ROW(),$F$6)),",",""),"원",""),0))))</f>
        <v/>
      </c>
      <c r="AU921" s="23">
        <f>IF($AS921="","",IF($G$6="",0,IF(ISNUMBER(INDEX($A:$AP,ROW(),$G$6)),INDEX($A:$AP,ROW(),$G$6),IFERROR(--SUBSTITUTE(SUBSTITUTE(TRIM(INDEX($A:$AP,ROW(),$G$6)),",",""),"원",""),0))))</f>
        <v/>
      </c>
      <c r="AV921" s="23">
        <f>IF($AS921="","",IF($H$6="",$AT921+$AU921,IF($H$6="",0,IF(ISNUMBER(INDEX($A:$AP,ROW(),$H$6)),INDEX($A:$AP,ROW(),$H$6),IFERROR(--SUBSTITUTE(SUBSTITUTE(TRIM(INDEX($A:$AP,ROW(),$H$6)),",",""),"원",""),0)))))</f>
        <v/>
      </c>
      <c r="AW921" s="2">
        <f>IF(OR($AS921="",$C$6=""),"",TRIM(INDEX($A:$AP,ROW(),$C$6)&amp;""))</f>
        <v/>
      </c>
      <c r="AX921" s="2">
        <f>IF($AS921="","",IF($AZ921&lt;&gt;"",SUBSTITUTE(SUBSTITUTE($AZ921,"-","")," ",""),$AY921))</f>
        <v/>
      </c>
      <c r="AY921" s="2">
        <f>IF(OR($AS921="",$E$6=""),"",TRIM(INDEX($A:$AP,ROW(),$E$6)&amp;""))</f>
        <v/>
      </c>
      <c r="AZ921" s="2">
        <f>IF(OR($AS921="",$D$6=""),"",TRIM(INDEX($A:$AP,ROW(),$D$6)&amp;""))</f>
        <v/>
      </c>
      <c r="BA921" s="2">
        <f>IF($AS921="","",IF(AND($AS921&gt;=설정!$B$10,$AS921&lt;=설정!$B$11),"포함","기간 밖"))</f>
        <v/>
      </c>
      <c r="BB921" s="2">
        <f>IF($AS921="","",IF(OR($AT921&lt;0,AND($I$6&lt;&gt;"",ISNUMBER(FIND("수정",INDEX($A:$AP,ROW(),IF($I$6="",1,$I$6))&amp;"")))),"수정","일반"))</f>
        <v/>
      </c>
      <c r="BC921" s="2">
        <f>IF($AS921="","",MID(IF($BA921="기간 밖"," / 기간 밖(신고기간 아님)","")&amp;IF(AND($AW921&lt;&gt;"",COUNTIF($AW$8:$AW$1007,$AW921)&gt;1)," / 승인번호 중복(두 번 붙여넣기?)","")&amp;IF(ABS($AU921-ROUND($AT921*0.1,0))&gt;설정!$B$8,IF($AU921=0," / 세액 0원(영세율·면세 여부 확인)"," / 세액이 공급가액 10%와 다름"),"")&amp;IF($BB921="수정"," / 수정세금계산서(합계에서 자동 가감)",""),4,200))</f>
        <v/>
      </c>
      <c r="BD921" s="2">
        <f>IF($BA921&lt;&gt;"포함","",IF(COUNTIFS($AX$8:$AX921,$AX921,$BA$8:$BA921,"포함")=1,MAX($BD$7:BD920)+1,""))</f>
        <v/>
      </c>
      <c r="BE921" s="2">
        <f>IF($BC921="","",MAX($BE$7:BE920)+1)</f>
        <v/>
      </c>
    </row>
    <row r="922">
      <c r="AR922" s="2">
        <f>IF(OR($A$5="",$B$6="",ROW()&lt;$A$5),"",IF(INDEX($A:$AP,ROW(),$B$6)="","",INDEX($A:$AP,ROW(),$B$6)))</f>
        <v/>
      </c>
      <c r="AS922" s="22">
        <f>IF($AR922="","",IF(ISNUMBER($AR922),IF($AR922&gt;=10000000,IFERROR(DATE(INT($AR922/10000),MOD(INT($AR922/100),100),MOD($AR922,100)),""),INT($AR922)),IFERROR(DATE(--LEFT(LEFT(SUBSTITUTE(SUBSTITUTE(SUBSTITUTE(SUBSTITUTE(TRIM($AR922),"-",""),".",""),"/","")," ",""),8),4),--MID(LEFT(SUBSTITUTE(SUBSTITUTE(SUBSTITUTE(SUBSTITUTE(TRIM($AR922),"-",""),".",""),"/","")," ",""),8),5,2),--MID(LEFT(SUBSTITUTE(SUBSTITUTE(SUBSTITUTE(SUBSTITUTE(TRIM($AR922),"-",""),".",""),"/","")," ",""),8),7,2)),"")))</f>
        <v/>
      </c>
      <c r="AT922" s="23">
        <f>IF($AS922="","",IF($F$6="",0,IF(ISNUMBER(INDEX($A:$AP,ROW(),$F$6)),INDEX($A:$AP,ROW(),$F$6),IFERROR(--SUBSTITUTE(SUBSTITUTE(TRIM(INDEX($A:$AP,ROW(),$F$6)),",",""),"원",""),0))))</f>
        <v/>
      </c>
      <c r="AU922" s="23">
        <f>IF($AS922="","",IF($G$6="",0,IF(ISNUMBER(INDEX($A:$AP,ROW(),$G$6)),INDEX($A:$AP,ROW(),$G$6),IFERROR(--SUBSTITUTE(SUBSTITUTE(TRIM(INDEX($A:$AP,ROW(),$G$6)),",",""),"원",""),0))))</f>
        <v/>
      </c>
      <c r="AV922" s="23">
        <f>IF($AS922="","",IF($H$6="",$AT922+$AU922,IF($H$6="",0,IF(ISNUMBER(INDEX($A:$AP,ROW(),$H$6)),INDEX($A:$AP,ROW(),$H$6),IFERROR(--SUBSTITUTE(SUBSTITUTE(TRIM(INDEX($A:$AP,ROW(),$H$6)),",",""),"원",""),0)))))</f>
        <v/>
      </c>
      <c r="AW922" s="2">
        <f>IF(OR($AS922="",$C$6=""),"",TRIM(INDEX($A:$AP,ROW(),$C$6)&amp;""))</f>
        <v/>
      </c>
      <c r="AX922" s="2">
        <f>IF($AS922="","",IF($AZ922&lt;&gt;"",SUBSTITUTE(SUBSTITUTE($AZ922,"-","")," ",""),$AY922))</f>
        <v/>
      </c>
      <c r="AY922" s="2">
        <f>IF(OR($AS922="",$E$6=""),"",TRIM(INDEX($A:$AP,ROW(),$E$6)&amp;""))</f>
        <v/>
      </c>
      <c r="AZ922" s="2">
        <f>IF(OR($AS922="",$D$6=""),"",TRIM(INDEX($A:$AP,ROW(),$D$6)&amp;""))</f>
        <v/>
      </c>
      <c r="BA922" s="2">
        <f>IF($AS922="","",IF(AND($AS922&gt;=설정!$B$10,$AS922&lt;=설정!$B$11),"포함","기간 밖"))</f>
        <v/>
      </c>
      <c r="BB922" s="2">
        <f>IF($AS922="","",IF(OR($AT922&lt;0,AND($I$6&lt;&gt;"",ISNUMBER(FIND("수정",INDEX($A:$AP,ROW(),IF($I$6="",1,$I$6))&amp;"")))),"수정","일반"))</f>
        <v/>
      </c>
      <c r="BC922" s="2">
        <f>IF($AS922="","",MID(IF($BA922="기간 밖"," / 기간 밖(신고기간 아님)","")&amp;IF(AND($AW922&lt;&gt;"",COUNTIF($AW$8:$AW$1007,$AW922)&gt;1)," / 승인번호 중복(두 번 붙여넣기?)","")&amp;IF(ABS($AU922-ROUND($AT922*0.1,0))&gt;설정!$B$8,IF($AU922=0," / 세액 0원(영세율·면세 여부 확인)"," / 세액이 공급가액 10%와 다름"),"")&amp;IF($BB922="수정"," / 수정세금계산서(합계에서 자동 가감)",""),4,200))</f>
        <v/>
      </c>
      <c r="BD922" s="2">
        <f>IF($BA922&lt;&gt;"포함","",IF(COUNTIFS($AX$8:$AX922,$AX922,$BA$8:$BA922,"포함")=1,MAX($BD$7:BD921)+1,""))</f>
        <v/>
      </c>
      <c r="BE922" s="2">
        <f>IF($BC922="","",MAX($BE$7:BE921)+1)</f>
        <v/>
      </c>
    </row>
    <row r="923">
      <c r="AR923" s="2">
        <f>IF(OR($A$5="",$B$6="",ROW()&lt;$A$5),"",IF(INDEX($A:$AP,ROW(),$B$6)="","",INDEX($A:$AP,ROW(),$B$6)))</f>
        <v/>
      </c>
      <c r="AS923" s="22">
        <f>IF($AR923="","",IF(ISNUMBER($AR923),IF($AR923&gt;=10000000,IFERROR(DATE(INT($AR923/10000),MOD(INT($AR923/100),100),MOD($AR923,100)),""),INT($AR923)),IFERROR(DATE(--LEFT(LEFT(SUBSTITUTE(SUBSTITUTE(SUBSTITUTE(SUBSTITUTE(TRIM($AR923),"-",""),".",""),"/","")," ",""),8),4),--MID(LEFT(SUBSTITUTE(SUBSTITUTE(SUBSTITUTE(SUBSTITUTE(TRIM($AR923),"-",""),".",""),"/","")," ",""),8),5,2),--MID(LEFT(SUBSTITUTE(SUBSTITUTE(SUBSTITUTE(SUBSTITUTE(TRIM($AR923),"-",""),".",""),"/","")," ",""),8),7,2)),"")))</f>
        <v/>
      </c>
      <c r="AT923" s="23">
        <f>IF($AS923="","",IF($F$6="",0,IF(ISNUMBER(INDEX($A:$AP,ROW(),$F$6)),INDEX($A:$AP,ROW(),$F$6),IFERROR(--SUBSTITUTE(SUBSTITUTE(TRIM(INDEX($A:$AP,ROW(),$F$6)),",",""),"원",""),0))))</f>
        <v/>
      </c>
      <c r="AU923" s="23">
        <f>IF($AS923="","",IF($G$6="",0,IF(ISNUMBER(INDEX($A:$AP,ROW(),$G$6)),INDEX($A:$AP,ROW(),$G$6),IFERROR(--SUBSTITUTE(SUBSTITUTE(TRIM(INDEX($A:$AP,ROW(),$G$6)),",",""),"원",""),0))))</f>
        <v/>
      </c>
      <c r="AV923" s="23">
        <f>IF($AS923="","",IF($H$6="",$AT923+$AU923,IF($H$6="",0,IF(ISNUMBER(INDEX($A:$AP,ROW(),$H$6)),INDEX($A:$AP,ROW(),$H$6),IFERROR(--SUBSTITUTE(SUBSTITUTE(TRIM(INDEX($A:$AP,ROW(),$H$6)),",",""),"원",""),0)))))</f>
        <v/>
      </c>
      <c r="AW923" s="2">
        <f>IF(OR($AS923="",$C$6=""),"",TRIM(INDEX($A:$AP,ROW(),$C$6)&amp;""))</f>
        <v/>
      </c>
      <c r="AX923" s="2">
        <f>IF($AS923="","",IF($AZ923&lt;&gt;"",SUBSTITUTE(SUBSTITUTE($AZ923,"-","")," ",""),$AY923))</f>
        <v/>
      </c>
      <c r="AY923" s="2">
        <f>IF(OR($AS923="",$E$6=""),"",TRIM(INDEX($A:$AP,ROW(),$E$6)&amp;""))</f>
        <v/>
      </c>
      <c r="AZ923" s="2">
        <f>IF(OR($AS923="",$D$6=""),"",TRIM(INDEX($A:$AP,ROW(),$D$6)&amp;""))</f>
        <v/>
      </c>
      <c r="BA923" s="2">
        <f>IF($AS923="","",IF(AND($AS923&gt;=설정!$B$10,$AS923&lt;=설정!$B$11),"포함","기간 밖"))</f>
        <v/>
      </c>
      <c r="BB923" s="2">
        <f>IF($AS923="","",IF(OR($AT923&lt;0,AND($I$6&lt;&gt;"",ISNUMBER(FIND("수정",INDEX($A:$AP,ROW(),IF($I$6="",1,$I$6))&amp;"")))),"수정","일반"))</f>
        <v/>
      </c>
      <c r="BC923" s="2">
        <f>IF($AS923="","",MID(IF($BA923="기간 밖"," / 기간 밖(신고기간 아님)","")&amp;IF(AND($AW923&lt;&gt;"",COUNTIF($AW$8:$AW$1007,$AW923)&gt;1)," / 승인번호 중복(두 번 붙여넣기?)","")&amp;IF(ABS($AU923-ROUND($AT923*0.1,0))&gt;설정!$B$8,IF($AU923=0," / 세액 0원(영세율·면세 여부 확인)"," / 세액이 공급가액 10%와 다름"),"")&amp;IF($BB923="수정"," / 수정세금계산서(합계에서 자동 가감)",""),4,200))</f>
        <v/>
      </c>
      <c r="BD923" s="2">
        <f>IF($BA923&lt;&gt;"포함","",IF(COUNTIFS($AX$8:$AX923,$AX923,$BA$8:$BA923,"포함")=1,MAX($BD$7:BD922)+1,""))</f>
        <v/>
      </c>
      <c r="BE923" s="2">
        <f>IF($BC923="","",MAX($BE$7:BE922)+1)</f>
        <v/>
      </c>
    </row>
    <row r="924">
      <c r="AR924" s="2">
        <f>IF(OR($A$5="",$B$6="",ROW()&lt;$A$5),"",IF(INDEX($A:$AP,ROW(),$B$6)="","",INDEX($A:$AP,ROW(),$B$6)))</f>
        <v/>
      </c>
      <c r="AS924" s="22">
        <f>IF($AR924="","",IF(ISNUMBER($AR924),IF($AR924&gt;=10000000,IFERROR(DATE(INT($AR924/10000),MOD(INT($AR924/100),100),MOD($AR924,100)),""),INT($AR924)),IFERROR(DATE(--LEFT(LEFT(SUBSTITUTE(SUBSTITUTE(SUBSTITUTE(SUBSTITUTE(TRIM($AR924),"-",""),".",""),"/","")," ",""),8),4),--MID(LEFT(SUBSTITUTE(SUBSTITUTE(SUBSTITUTE(SUBSTITUTE(TRIM($AR924),"-",""),".",""),"/","")," ",""),8),5,2),--MID(LEFT(SUBSTITUTE(SUBSTITUTE(SUBSTITUTE(SUBSTITUTE(TRIM($AR924),"-",""),".",""),"/","")," ",""),8),7,2)),"")))</f>
        <v/>
      </c>
      <c r="AT924" s="23">
        <f>IF($AS924="","",IF($F$6="",0,IF(ISNUMBER(INDEX($A:$AP,ROW(),$F$6)),INDEX($A:$AP,ROW(),$F$6),IFERROR(--SUBSTITUTE(SUBSTITUTE(TRIM(INDEX($A:$AP,ROW(),$F$6)),",",""),"원",""),0))))</f>
        <v/>
      </c>
      <c r="AU924" s="23">
        <f>IF($AS924="","",IF($G$6="",0,IF(ISNUMBER(INDEX($A:$AP,ROW(),$G$6)),INDEX($A:$AP,ROW(),$G$6),IFERROR(--SUBSTITUTE(SUBSTITUTE(TRIM(INDEX($A:$AP,ROW(),$G$6)),",",""),"원",""),0))))</f>
        <v/>
      </c>
      <c r="AV924" s="23">
        <f>IF($AS924="","",IF($H$6="",$AT924+$AU924,IF($H$6="",0,IF(ISNUMBER(INDEX($A:$AP,ROW(),$H$6)),INDEX($A:$AP,ROW(),$H$6),IFERROR(--SUBSTITUTE(SUBSTITUTE(TRIM(INDEX($A:$AP,ROW(),$H$6)),",",""),"원",""),0)))))</f>
        <v/>
      </c>
      <c r="AW924" s="2">
        <f>IF(OR($AS924="",$C$6=""),"",TRIM(INDEX($A:$AP,ROW(),$C$6)&amp;""))</f>
        <v/>
      </c>
      <c r="AX924" s="2">
        <f>IF($AS924="","",IF($AZ924&lt;&gt;"",SUBSTITUTE(SUBSTITUTE($AZ924,"-","")," ",""),$AY924))</f>
        <v/>
      </c>
      <c r="AY924" s="2">
        <f>IF(OR($AS924="",$E$6=""),"",TRIM(INDEX($A:$AP,ROW(),$E$6)&amp;""))</f>
        <v/>
      </c>
      <c r="AZ924" s="2">
        <f>IF(OR($AS924="",$D$6=""),"",TRIM(INDEX($A:$AP,ROW(),$D$6)&amp;""))</f>
        <v/>
      </c>
      <c r="BA924" s="2">
        <f>IF($AS924="","",IF(AND($AS924&gt;=설정!$B$10,$AS924&lt;=설정!$B$11),"포함","기간 밖"))</f>
        <v/>
      </c>
      <c r="BB924" s="2">
        <f>IF($AS924="","",IF(OR($AT924&lt;0,AND($I$6&lt;&gt;"",ISNUMBER(FIND("수정",INDEX($A:$AP,ROW(),IF($I$6="",1,$I$6))&amp;"")))),"수정","일반"))</f>
        <v/>
      </c>
      <c r="BC924" s="2">
        <f>IF($AS924="","",MID(IF($BA924="기간 밖"," / 기간 밖(신고기간 아님)","")&amp;IF(AND($AW924&lt;&gt;"",COUNTIF($AW$8:$AW$1007,$AW924)&gt;1)," / 승인번호 중복(두 번 붙여넣기?)","")&amp;IF(ABS($AU924-ROUND($AT924*0.1,0))&gt;설정!$B$8,IF($AU924=0," / 세액 0원(영세율·면세 여부 확인)"," / 세액이 공급가액 10%와 다름"),"")&amp;IF($BB924="수정"," / 수정세금계산서(합계에서 자동 가감)",""),4,200))</f>
        <v/>
      </c>
      <c r="BD924" s="2">
        <f>IF($BA924&lt;&gt;"포함","",IF(COUNTIFS($AX$8:$AX924,$AX924,$BA$8:$BA924,"포함")=1,MAX($BD$7:BD923)+1,""))</f>
        <v/>
      </c>
      <c r="BE924" s="2">
        <f>IF($BC924="","",MAX($BE$7:BE923)+1)</f>
        <v/>
      </c>
    </row>
    <row r="925">
      <c r="AR925" s="2">
        <f>IF(OR($A$5="",$B$6="",ROW()&lt;$A$5),"",IF(INDEX($A:$AP,ROW(),$B$6)="","",INDEX($A:$AP,ROW(),$B$6)))</f>
        <v/>
      </c>
      <c r="AS925" s="22">
        <f>IF($AR925="","",IF(ISNUMBER($AR925),IF($AR925&gt;=10000000,IFERROR(DATE(INT($AR925/10000),MOD(INT($AR925/100),100),MOD($AR925,100)),""),INT($AR925)),IFERROR(DATE(--LEFT(LEFT(SUBSTITUTE(SUBSTITUTE(SUBSTITUTE(SUBSTITUTE(TRIM($AR925),"-",""),".",""),"/","")," ",""),8),4),--MID(LEFT(SUBSTITUTE(SUBSTITUTE(SUBSTITUTE(SUBSTITUTE(TRIM($AR925),"-",""),".",""),"/","")," ",""),8),5,2),--MID(LEFT(SUBSTITUTE(SUBSTITUTE(SUBSTITUTE(SUBSTITUTE(TRIM($AR925),"-",""),".",""),"/","")," ",""),8),7,2)),"")))</f>
        <v/>
      </c>
      <c r="AT925" s="23">
        <f>IF($AS925="","",IF($F$6="",0,IF(ISNUMBER(INDEX($A:$AP,ROW(),$F$6)),INDEX($A:$AP,ROW(),$F$6),IFERROR(--SUBSTITUTE(SUBSTITUTE(TRIM(INDEX($A:$AP,ROW(),$F$6)),",",""),"원",""),0))))</f>
        <v/>
      </c>
      <c r="AU925" s="23">
        <f>IF($AS925="","",IF($G$6="",0,IF(ISNUMBER(INDEX($A:$AP,ROW(),$G$6)),INDEX($A:$AP,ROW(),$G$6),IFERROR(--SUBSTITUTE(SUBSTITUTE(TRIM(INDEX($A:$AP,ROW(),$G$6)),",",""),"원",""),0))))</f>
        <v/>
      </c>
      <c r="AV925" s="23">
        <f>IF($AS925="","",IF($H$6="",$AT925+$AU925,IF($H$6="",0,IF(ISNUMBER(INDEX($A:$AP,ROW(),$H$6)),INDEX($A:$AP,ROW(),$H$6),IFERROR(--SUBSTITUTE(SUBSTITUTE(TRIM(INDEX($A:$AP,ROW(),$H$6)),",",""),"원",""),0)))))</f>
        <v/>
      </c>
      <c r="AW925" s="2">
        <f>IF(OR($AS925="",$C$6=""),"",TRIM(INDEX($A:$AP,ROW(),$C$6)&amp;""))</f>
        <v/>
      </c>
      <c r="AX925" s="2">
        <f>IF($AS925="","",IF($AZ925&lt;&gt;"",SUBSTITUTE(SUBSTITUTE($AZ925,"-","")," ",""),$AY925))</f>
        <v/>
      </c>
      <c r="AY925" s="2">
        <f>IF(OR($AS925="",$E$6=""),"",TRIM(INDEX($A:$AP,ROW(),$E$6)&amp;""))</f>
        <v/>
      </c>
      <c r="AZ925" s="2">
        <f>IF(OR($AS925="",$D$6=""),"",TRIM(INDEX($A:$AP,ROW(),$D$6)&amp;""))</f>
        <v/>
      </c>
      <c r="BA925" s="2">
        <f>IF($AS925="","",IF(AND($AS925&gt;=설정!$B$10,$AS925&lt;=설정!$B$11),"포함","기간 밖"))</f>
        <v/>
      </c>
      <c r="BB925" s="2">
        <f>IF($AS925="","",IF(OR($AT925&lt;0,AND($I$6&lt;&gt;"",ISNUMBER(FIND("수정",INDEX($A:$AP,ROW(),IF($I$6="",1,$I$6))&amp;"")))),"수정","일반"))</f>
        <v/>
      </c>
      <c r="BC925" s="2">
        <f>IF($AS925="","",MID(IF($BA925="기간 밖"," / 기간 밖(신고기간 아님)","")&amp;IF(AND($AW925&lt;&gt;"",COUNTIF($AW$8:$AW$1007,$AW925)&gt;1)," / 승인번호 중복(두 번 붙여넣기?)","")&amp;IF(ABS($AU925-ROUND($AT925*0.1,0))&gt;설정!$B$8,IF($AU925=0," / 세액 0원(영세율·면세 여부 확인)"," / 세액이 공급가액 10%와 다름"),"")&amp;IF($BB925="수정"," / 수정세금계산서(합계에서 자동 가감)",""),4,200))</f>
        <v/>
      </c>
      <c r="BD925" s="2">
        <f>IF($BA925&lt;&gt;"포함","",IF(COUNTIFS($AX$8:$AX925,$AX925,$BA$8:$BA925,"포함")=1,MAX($BD$7:BD924)+1,""))</f>
        <v/>
      </c>
      <c r="BE925" s="2">
        <f>IF($BC925="","",MAX($BE$7:BE924)+1)</f>
        <v/>
      </c>
    </row>
    <row r="926">
      <c r="AR926" s="2">
        <f>IF(OR($A$5="",$B$6="",ROW()&lt;$A$5),"",IF(INDEX($A:$AP,ROW(),$B$6)="","",INDEX($A:$AP,ROW(),$B$6)))</f>
        <v/>
      </c>
      <c r="AS926" s="22">
        <f>IF($AR926="","",IF(ISNUMBER($AR926),IF($AR926&gt;=10000000,IFERROR(DATE(INT($AR926/10000),MOD(INT($AR926/100),100),MOD($AR926,100)),""),INT($AR926)),IFERROR(DATE(--LEFT(LEFT(SUBSTITUTE(SUBSTITUTE(SUBSTITUTE(SUBSTITUTE(TRIM($AR926),"-",""),".",""),"/","")," ",""),8),4),--MID(LEFT(SUBSTITUTE(SUBSTITUTE(SUBSTITUTE(SUBSTITUTE(TRIM($AR926),"-",""),".",""),"/","")," ",""),8),5,2),--MID(LEFT(SUBSTITUTE(SUBSTITUTE(SUBSTITUTE(SUBSTITUTE(TRIM($AR926),"-",""),".",""),"/","")," ",""),8),7,2)),"")))</f>
        <v/>
      </c>
      <c r="AT926" s="23">
        <f>IF($AS926="","",IF($F$6="",0,IF(ISNUMBER(INDEX($A:$AP,ROW(),$F$6)),INDEX($A:$AP,ROW(),$F$6),IFERROR(--SUBSTITUTE(SUBSTITUTE(TRIM(INDEX($A:$AP,ROW(),$F$6)),",",""),"원",""),0))))</f>
        <v/>
      </c>
      <c r="AU926" s="23">
        <f>IF($AS926="","",IF($G$6="",0,IF(ISNUMBER(INDEX($A:$AP,ROW(),$G$6)),INDEX($A:$AP,ROW(),$G$6),IFERROR(--SUBSTITUTE(SUBSTITUTE(TRIM(INDEX($A:$AP,ROW(),$G$6)),",",""),"원",""),0))))</f>
        <v/>
      </c>
      <c r="AV926" s="23">
        <f>IF($AS926="","",IF($H$6="",$AT926+$AU926,IF($H$6="",0,IF(ISNUMBER(INDEX($A:$AP,ROW(),$H$6)),INDEX($A:$AP,ROW(),$H$6),IFERROR(--SUBSTITUTE(SUBSTITUTE(TRIM(INDEX($A:$AP,ROW(),$H$6)),",",""),"원",""),0)))))</f>
        <v/>
      </c>
      <c r="AW926" s="2">
        <f>IF(OR($AS926="",$C$6=""),"",TRIM(INDEX($A:$AP,ROW(),$C$6)&amp;""))</f>
        <v/>
      </c>
      <c r="AX926" s="2">
        <f>IF($AS926="","",IF($AZ926&lt;&gt;"",SUBSTITUTE(SUBSTITUTE($AZ926,"-","")," ",""),$AY926))</f>
        <v/>
      </c>
      <c r="AY926" s="2">
        <f>IF(OR($AS926="",$E$6=""),"",TRIM(INDEX($A:$AP,ROW(),$E$6)&amp;""))</f>
        <v/>
      </c>
      <c r="AZ926" s="2">
        <f>IF(OR($AS926="",$D$6=""),"",TRIM(INDEX($A:$AP,ROW(),$D$6)&amp;""))</f>
        <v/>
      </c>
      <c r="BA926" s="2">
        <f>IF($AS926="","",IF(AND($AS926&gt;=설정!$B$10,$AS926&lt;=설정!$B$11),"포함","기간 밖"))</f>
        <v/>
      </c>
      <c r="BB926" s="2">
        <f>IF($AS926="","",IF(OR($AT926&lt;0,AND($I$6&lt;&gt;"",ISNUMBER(FIND("수정",INDEX($A:$AP,ROW(),IF($I$6="",1,$I$6))&amp;"")))),"수정","일반"))</f>
        <v/>
      </c>
      <c r="BC926" s="2">
        <f>IF($AS926="","",MID(IF($BA926="기간 밖"," / 기간 밖(신고기간 아님)","")&amp;IF(AND($AW926&lt;&gt;"",COUNTIF($AW$8:$AW$1007,$AW926)&gt;1)," / 승인번호 중복(두 번 붙여넣기?)","")&amp;IF(ABS($AU926-ROUND($AT926*0.1,0))&gt;설정!$B$8,IF($AU926=0," / 세액 0원(영세율·면세 여부 확인)"," / 세액이 공급가액 10%와 다름"),"")&amp;IF($BB926="수정"," / 수정세금계산서(합계에서 자동 가감)",""),4,200))</f>
        <v/>
      </c>
      <c r="BD926" s="2">
        <f>IF($BA926&lt;&gt;"포함","",IF(COUNTIFS($AX$8:$AX926,$AX926,$BA$8:$BA926,"포함")=1,MAX($BD$7:BD925)+1,""))</f>
        <v/>
      </c>
      <c r="BE926" s="2">
        <f>IF($BC926="","",MAX($BE$7:BE925)+1)</f>
        <v/>
      </c>
    </row>
    <row r="927">
      <c r="AR927" s="2">
        <f>IF(OR($A$5="",$B$6="",ROW()&lt;$A$5),"",IF(INDEX($A:$AP,ROW(),$B$6)="","",INDEX($A:$AP,ROW(),$B$6)))</f>
        <v/>
      </c>
      <c r="AS927" s="22">
        <f>IF($AR927="","",IF(ISNUMBER($AR927),IF($AR927&gt;=10000000,IFERROR(DATE(INT($AR927/10000),MOD(INT($AR927/100),100),MOD($AR927,100)),""),INT($AR927)),IFERROR(DATE(--LEFT(LEFT(SUBSTITUTE(SUBSTITUTE(SUBSTITUTE(SUBSTITUTE(TRIM($AR927),"-",""),".",""),"/","")," ",""),8),4),--MID(LEFT(SUBSTITUTE(SUBSTITUTE(SUBSTITUTE(SUBSTITUTE(TRIM($AR927),"-",""),".",""),"/","")," ",""),8),5,2),--MID(LEFT(SUBSTITUTE(SUBSTITUTE(SUBSTITUTE(SUBSTITUTE(TRIM($AR927),"-",""),".",""),"/","")," ",""),8),7,2)),"")))</f>
        <v/>
      </c>
      <c r="AT927" s="23">
        <f>IF($AS927="","",IF($F$6="",0,IF(ISNUMBER(INDEX($A:$AP,ROW(),$F$6)),INDEX($A:$AP,ROW(),$F$6),IFERROR(--SUBSTITUTE(SUBSTITUTE(TRIM(INDEX($A:$AP,ROW(),$F$6)),",",""),"원",""),0))))</f>
        <v/>
      </c>
      <c r="AU927" s="23">
        <f>IF($AS927="","",IF($G$6="",0,IF(ISNUMBER(INDEX($A:$AP,ROW(),$G$6)),INDEX($A:$AP,ROW(),$G$6),IFERROR(--SUBSTITUTE(SUBSTITUTE(TRIM(INDEX($A:$AP,ROW(),$G$6)),",",""),"원",""),0))))</f>
        <v/>
      </c>
      <c r="AV927" s="23">
        <f>IF($AS927="","",IF($H$6="",$AT927+$AU927,IF($H$6="",0,IF(ISNUMBER(INDEX($A:$AP,ROW(),$H$6)),INDEX($A:$AP,ROW(),$H$6),IFERROR(--SUBSTITUTE(SUBSTITUTE(TRIM(INDEX($A:$AP,ROW(),$H$6)),",",""),"원",""),0)))))</f>
        <v/>
      </c>
      <c r="AW927" s="2">
        <f>IF(OR($AS927="",$C$6=""),"",TRIM(INDEX($A:$AP,ROW(),$C$6)&amp;""))</f>
        <v/>
      </c>
      <c r="AX927" s="2">
        <f>IF($AS927="","",IF($AZ927&lt;&gt;"",SUBSTITUTE(SUBSTITUTE($AZ927,"-","")," ",""),$AY927))</f>
        <v/>
      </c>
      <c r="AY927" s="2">
        <f>IF(OR($AS927="",$E$6=""),"",TRIM(INDEX($A:$AP,ROW(),$E$6)&amp;""))</f>
        <v/>
      </c>
      <c r="AZ927" s="2">
        <f>IF(OR($AS927="",$D$6=""),"",TRIM(INDEX($A:$AP,ROW(),$D$6)&amp;""))</f>
        <v/>
      </c>
      <c r="BA927" s="2">
        <f>IF($AS927="","",IF(AND($AS927&gt;=설정!$B$10,$AS927&lt;=설정!$B$11),"포함","기간 밖"))</f>
        <v/>
      </c>
      <c r="BB927" s="2">
        <f>IF($AS927="","",IF(OR($AT927&lt;0,AND($I$6&lt;&gt;"",ISNUMBER(FIND("수정",INDEX($A:$AP,ROW(),IF($I$6="",1,$I$6))&amp;"")))),"수정","일반"))</f>
        <v/>
      </c>
      <c r="BC927" s="2">
        <f>IF($AS927="","",MID(IF($BA927="기간 밖"," / 기간 밖(신고기간 아님)","")&amp;IF(AND($AW927&lt;&gt;"",COUNTIF($AW$8:$AW$1007,$AW927)&gt;1)," / 승인번호 중복(두 번 붙여넣기?)","")&amp;IF(ABS($AU927-ROUND($AT927*0.1,0))&gt;설정!$B$8,IF($AU927=0," / 세액 0원(영세율·면세 여부 확인)"," / 세액이 공급가액 10%와 다름"),"")&amp;IF($BB927="수정"," / 수정세금계산서(합계에서 자동 가감)",""),4,200))</f>
        <v/>
      </c>
      <c r="BD927" s="2">
        <f>IF($BA927&lt;&gt;"포함","",IF(COUNTIFS($AX$8:$AX927,$AX927,$BA$8:$BA927,"포함")=1,MAX($BD$7:BD926)+1,""))</f>
        <v/>
      </c>
      <c r="BE927" s="2">
        <f>IF($BC927="","",MAX($BE$7:BE926)+1)</f>
        <v/>
      </c>
    </row>
    <row r="928">
      <c r="AR928" s="2">
        <f>IF(OR($A$5="",$B$6="",ROW()&lt;$A$5),"",IF(INDEX($A:$AP,ROW(),$B$6)="","",INDEX($A:$AP,ROW(),$B$6)))</f>
        <v/>
      </c>
      <c r="AS928" s="22">
        <f>IF($AR928="","",IF(ISNUMBER($AR928),IF($AR928&gt;=10000000,IFERROR(DATE(INT($AR928/10000),MOD(INT($AR928/100),100),MOD($AR928,100)),""),INT($AR928)),IFERROR(DATE(--LEFT(LEFT(SUBSTITUTE(SUBSTITUTE(SUBSTITUTE(SUBSTITUTE(TRIM($AR928),"-",""),".",""),"/","")," ",""),8),4),--MID(LEFT(SUBSTITUTE(SUBSTITUTE(SUBSTITUTE(SUBSTITUTE(TRIM($AR928),"-",""),".",""),"/","")," ",""),8),5,2),--MID(LEFT(SUBSTITUTE(SUBSTITUTE(SUBSTITUTE(SUBSTITUTE(TRIM($AR928),"-",""),".",""),"/","")," ",""),8),7,2)),"")))</f>
        <v/>
      </c>
      <c r="AT928" s="23">
        <f>IF($AS928="","",IF($F$6="",0,IF(ISNUMBER(INDEX($A:$AP,ROW(),$F$6)),INDEX($A:$AP,ROW(),$F$6),IFERROR(--SUBSTITUTE(SUBSTITUTE(TRIM(INDEX($A:$AP,ROW(),$F$6)),",",""),"원",""),0))))</f>
        <v/>
      </c>
      <c r="AU928" s="23">
        <f>IF($AS928="","",IF($G$6="",0,IF(ISNUMBER(INDEX($A:$AP,ROW(),$G$6)),INDEX($A:$AP,ROW(),$G$6),IFERROR(--SUBSTITUTE(SUBSTITUTE(TRIM(INDEX($A:$AP,ROW(),$G$6)),",",""),"원",""),0))))</f>
        <v/>
      </c>
      <c r="AV928" s="23">
        <f>IF($AS928="","",IF($H$6="",$AT928+$AU928,IF($H$6="",0,IF(ISNUMBER(INDEX($A:$AP,ROW(),$H$6)),INDEX($A:$AP,ROW(),$H$6),IFERROR(--SUBSTITUTE(SUBSTITUTE(TRIM(INDEX($A:$AP,ROW(),$H$6)),",",""),"원",""),0)))))</f>
        <v/>
      </c>
      <c r="AW928" s="2">
        <f>IF(OR($AS928="",$C$6=""),"",TRIM(INDEX($A:$AP,ROW(),$C$6)&amp;""))</f>
        <v/>
      </c>
      <c r="AX928" s="2">
        <f>IF($AS928="","",IF($AZ928&lt;&gt;"",SUBSTITUTE(SUBSTITUTE($AZ928,"-","")," ",""),$AY928))</f>
        <v/>
      </c>
      <c r="AY928" s="2">
        <f>IF(OR($AS928="",$E$6=""),"",TRIM(INDEX($A:$AP,ROW(),$E$6)&amp;""))</f>
        <v/>
      </c>
      <c r="AZ928" s="2">
        <f>IF(OR($AS928="",$D$6=""),"",TRIM(INDEX($A:$AP,ROW(),$D$6)&amp;""))</f>
        <v/>
      </c>
      <c r="BA928" s="2">
        <f>IF($AS928="","",IF(AND($AS928&gt;=설정!$B$10,$AS928&lt;=설정!$B$11),"포함","기간 밖"))</f>
        <v/>
      </c>
      <c r="BB928" s="2">
        <f>IF($AS928="","",IF(OR($AT928&lt;0,AND($I$6&lt;&gt;"",ISNUMBER(FIND("수정",INDEX($A:$AP,ROW(),IF($I$6="",1,$I$6))&amp;"")))),"수정","일반"))</f>
        <v/>
      </c>
      <c r="BC928" s="2">
        <f>IF($AS928="","",MID(IF($BA928="기간 밖"," / 기간 밖(신고기간 아님)","")&amp;IF(AND($AW928&lt;&gt;"",COUNTIF($AW$8:$AW$1007,$AW928)&gt;1)," / 승인번호 중복(두 번 붙여넣기?)","")&amp;IF(ABS($AU928-ROUND($AT928*0.1,0))&gt;설정!$B$8,IF($AU928=0," / 세액 0원(영세율·면세 여부 확인)"," / 세액이 공급가액 10%와 다름"),"")&amp;IF($BB928="수정"," / 수정세금계산서(합계에서 자동 가감)",""),4,200))</f>
        <v/>
      </c>
      <c r="BD928" s="2">
        <f>IF($BA928&lt;&gt;"포함","",IF(COUNTIFS($AX$8:$AX928,$AX928,$BA$8:$BA928,"포함")=1,MAX($BD$7:BD927)+1,""))</f>
        <v/>
      </c>
      <c r="BE928" s="2">
        <f>IF($BC928="","",MAX($BE$7:BE927)+1)</f>
        <v/>
      </c>
    </row>
    <row r="929">
      <c r="AR929" s="2">
        <f>IF(OR($A$5="",$B$6="",ROW()&lt;$A$5),"",IF(INDEX($A:$AP,ROW(),$B$6)="","",INDEX($A:$AP,ROW(),$B$6)))</f>
        <v/>
      </c>
      <c r="AS929" s="22">
        <f>IF($AR929="","",IF(ISNUMBER($AR929),IF($AR929&gt;=10000000,IFERROR(DATE(INT($AR929/10000),MOD(INT($AR929/100),100),MOD($AR929,100)),""),INT($AR929)),IFERROR(DATE(--LEFT(LEFT(SUBSTITUTE(SUBSTITUTE(SUBSTITUTE(SUBSTITUTE(TRIM($AR929),"-",""),".",""),"/","")," ",""),8),4),--MID(LEFT(SUBSTITUTE(SUBSTITUTE(SUBSTITUTE(SUBSTITUTE(TRIM($AR929),"-",""),".",""),"/","")," ",""),8),5,2),--MID(LEFT(SUBSTITUTE(SUBSTITUTE(SUBSTITUTE(SUBSTITUTE(TRIM($AR929),"-",""),".",""),"/","")," ",""),8),7,2)),"")))</f>
        <v/>
      </c>
      <c r="AT929" s="23">
        <f>IF($AS929="","",IF($F$6="",0,IF(ISNUMBER(INDEX($A:$AP,ROW(),$F$6)),INDEX($A:$AP,ROW(),$F$6),IFERROR(--SUBSTITUTE(SUBSTITUTE(TRIM(INDEX($A:$AP,ROW(),$F$6)),",",""),"원",""),0))))</f>
        <v/>
      </c>
      <c r="AU929" s="23">
        <f>IF($AS929="","",IF($G$6="",0,IF(ISNUMBER(INDEX($A:$AP,ROW(),$G$6)),INDEX($A:$AP,ROW(),$G$6),IFERROR(--SUBSTITUTE(SUBSTITUTE(TRIM(INDEX($A:$AP,ROW(),$G$6)),",",""),"원",""),0))))</f>
        <v/>
      </c>
      <c r="AV929" s="23">
        <f>IF($AS929="","",IF($H$6="",$AT929+$AU929,IF($H$6="",0,IF(ISNUMBER(INDEX($A:$AP,ROW(),$H$6)),INDEX($A:$AP,ROW(),$H$6),IFERROR(--SUBSTITUTE(SUBSTITUTE(TRIM(INDEX($A:$AP,ROW(),$H$6)),",",""),"원",""),0)))))</f>
        <v/>
      </c>
      <c r="AW929" s="2">
        <f>IF(OR($AS929="",$C$6=""),"",TRIM(INDEX($A:$AP,ROW(),$C$6)&amp;""))</f>
        <v/>
      </c>
      <c r="AX929" s="2">
        <f>IF($AS929="","",IF($AZ929&lt;&gt;"",SUBSTITUTE(SUBSTITUTE($AZ929,"-","")," ",""),$AY929))</f>
        <v/>
      </c>
      <c r="AY929" s="2">
        <f>IF(OR($AS929="",$E$6=""),"",TRIM(INDEX($A:$AP,ROW(),$E$6)&amp;""))</f>
        <v/>
      </c>
      <c r="AZ929" s="2">
        <f>IF(OR($AS929="",$D$6=""),"",TRIM(INDEX($A:$AP,ROW(),$D$6)&amp;""))</f>
        <v/>
      </c>
      <c r="BA929" s="2">
        <f>IF($AS929="","",IF(AND($AS929&gt;=설정!$B$10,$AS929&lt;=설정!$B$11),"포함","기간 밖"))</f>
        <v/>
      </c>
      <c r="BB929" s="2">
        <f>IF($AS929="","",IF(OR($AT929&lt;0,AND($I$6&lt;&gt;"",ISNUMBER(FIND("수정",INDEX($A:$AP,ROW(),IF($I$6="",1,$I$6))&amp;"")))),"수정","일반"))</f>
        <v/>
      </c>
      <c r="BC929" s="2">
        <f>IF($AS929="","",MID(IF($BA929="기간 밖"," / 기간 밖(신고기간 아님)","")&amp;IF(AND($AW929&lt;&gt;"",COUNTIF($AW$8:$AW$1007,$AW929)&gt;1)," / 승인번호 중복(두 번 붙여넣기?)","")&amp;IF(ABS($AU929-ROUND($AT929*0.1,0))&gt;설정!$B$8,IF($AU929=0," / 세액 0원(영세율·면세 여부 확인)"," / 세액이 공급가액 10%와 다름"),"")&amp;IF($BB929="수정"," / 수정세금계산서(합계에서 자동 가감)",""),4,200))</f>
        <v/>
      </c>
      <c r="BD929" s="2">
        <f>IF($BA929&lt;&gt;"포함","",IF(COUNTIFS($AX$8:$AX929,$AX929,$BA$8:$BA929,"포함")=1,MAX($BD$7:BD928)+1,""))</f>
        <v/>
      </c>
      <c r="BE929" s="2">
        <f>IF($BC929="","",MAX($BE$7:BE928)+1)</f>
        <v/>
      </c>
    </row>
    <row r="930">
      <c r="AR930" s="2">
        <f>IF(OR($A$5="",$B$6="",ROW()&lt;$A$5),"",IF(INDEX($A:$AP,ROW(),$B$6)="","",INDEX($A:$AP,ROW(),$B$6)))</f>
        <v/>
      </c>
      <c r="AS930" s="22">
        <f>IF($AR930="","",IF(ISNUMBER($AR930),IF($AR930&gt;=10000000,IFERROR(DATE(INT($AR930/10000),MOD(INT($AR930/100),100),MOD($AR930,100)),""),INT($AR930)),IFERROR(DATE(--LEFT(LEFT(SUBSTITUTE(SUBSTITUTE(SUBSTITUTE(SUBSTITUTE(TRIM($AR930),"-",""),".",""),"/","")," ",""),8),4),--MID(LEFT(SUBSTITUTE(SUBSTITUTE(SUBSTITUTE(SUBSTITUTE(TRIM($AR930),"-",""),".",""),"/","")," ",""),8),5,2),--MID(LEFT(SUBSTITUTE(SUBSTITUTE(SUBSTITUTE(SUBSTITUTE(TRIM($AR930),"-",""),".",""),"/","")," ",""),8),7,2)),"")))</f>
        <v/>
      </c>
      <c r="AT930" s="23">
        <f>IF($AS930="","",IF($F$6="",0,IF(ISNUMBER(INDEX($A:$AP,ROW(),$F$6)),INDEX($A:$AP,ROW(),$F$6),IFERROR(--SUBSTITUTE(SUBSTITUTE(TRIM(INDEX($A:$AP,ROW(),$F$6)),",",""),"원",""),0))))</f>
        <v/>
      </c>
      <c r="AU930" s="23">
        <f>IF($AS930="","",IF($G$6="",0,IF(ISNUMBER(INDEX($A:$AP,ROW(),$G$6)),INDEX($A:$AP,ROW(),$G$6),IFERROR(--SUBSTITUTE(SUBSTITUTE(TRIM(INDEX($A:$AP,ROW(),$G$6)),",",""),"원",""),0))))</f>
        <v/>
      </c>
      <c r="AV930" s="23">
        <f>IF($AS930="","",IF($H$6="",$AT930+$AU930,IF($H$6="",0,IF(ISNUMBER(INDEX($A:$AP,ROW(),$H$6)),INDEX($A:$AP,ROW(),$H$6),IFERROR(--SUBSTITUTE(SUBSTITUTE(TRIM(INDEX($A:$AP,ROW(),$H$6)),",",""),"원",""),0)))))</f>
        <v/>
      </c>
      <c r="AW930" s="2">
        <f>IF(OR($AS930="",$C$6=""),"",TRIM(INDEX($A:$AP,ROW(),$C$6)&amp;""))</f>
        <v/>
      </c>
      <c r="AX930" s="2">
        <f>IF($AS930="","",IF($AZ930&lt;&gt;"",SUBSTITUTE(SUBSTITUTE($AZ930,"-","")," ",""),$AY930))</f>
        <v/>
      </c>
      <c r="AY930" s="2">
        <f>IF(OR($AS930="",$E$6=""),"",TRIM(INDEX($A:$AP,ROW(),$E$6)&amp;""))</f>
        <v/>
      </c>
      <c r="AZ930" s="2">
        <f>IF(OR($AS930="",$D$6=""),"",TRIM(INDEX($A:$AP,ROW(),$D$6)&amp;""))</f>
        <v/>
      </c>
      <c r="BA930" s="2">
        <f>IF($AS930="","",IF(AND($AS930&gt;=설정!$B$10,$AS930&lt;=설정!$B$11),"포함","기간 밖"))</f>
        <v/>
      </c>
      <c r="BB930" s="2">
        <f>IF($AS930="","",IF(OR($AT930&lt;0,AND($I$6&lt;&gt;"",ISNUMBER(FIND("수정",INDEX($A:$AP,ROW(),IF($I$6="",1,$I$6))&amp;"")))),"수정","일반"))</f>
        <v/>
      </c>
      <c r="BC930" s="2">
        <f>IF($AS930="","",MID(IF($BA930="기간 밖"," / 기간 밖(신고기간 아님)","")&amp;IF(AND($AW930&lt;&gt;"",COUNTIF($AW$8:$AW$1007,$AW930)&gt;1)," / 승인번호 중복(두 번 붙여넣기?)","")&amp;IF(ABS($AU930-ROUND($AT930*0.1,0))&gt;설정!$B$8,IF($AU930=0," / 세액 0원(영세율·면세 여부 확인)"," / 세액이 공급가액 10%와 다름"),"")&amp;IF($BB930="수정"," / 수정세금계산서(합계에서 자동 가감)",""),4,200))</f>
        <v/>
      </c>
      <c r="BD930" s="2">
        <f>IF($BA930&lt;&gt;"포함","",IF(COUNTIFS($AX$8:$AX930,$AX930,$BA$8:$BA930,"포함")=1,MAX($BD$7:BD929)+1,""))</f>
        <v/>
      </c>
      <c r="BE930" s="2">
        <f>IF($BC930="","",MAX($BE$7:BE929)+1)</f>
        <v/>
      </c>
    </row>
    <row r="931">
      <c r="AR931" s="2">
        <f>IF(OR($A$5="",$B$6="",ROW()&lt;$A$5),"",IF(INDEX($A:$AP,ROW(),$B$6)="","",INDEX($A:$AP,ROW(),$B$6)))</f>
        <v/>
      </c>
      <c r="AS931" s="22">
        <f>IF($AR931="","",IF(ISNUMBER($AR931),IF($AR931&gt;=10000000,IFERROR(DATE(INT($AR931/10000),MOD(INT($AR931/100),100),MOD($AR931,100)),""),INT($AR931)),IFERROR(DATE(--LEFT(LEFT(SUBSTITUTE(SUBSTITUTE(SUBSTITUTE(SUBSTITUTE(TRIM($AR931),"-",""),".",""),"/","")," ",""),8),4),--MID(LEFT(SUBSTITUTE(SUBSTITUTE(SUBSTITUTE(SUBSTITUTE(TRIM($AR931),"-",""),".",""),"/","")," ",""),8),5,2),--MID(LEFT(SUBSTITUTE(SUBSTITUTE(SUBSTITUTE(SUBSTITUTE(TRIM($AR931),"-",""),".",""),"/","")," ",""),8),7,2)),"")))</f>
        <v/>
      </c>
      <c r="AT931" s="23">
        <f>IF($AS931="","",IF($F$6="",0,IF(ISNUMBER(INDEX($A:$AP,ROW(),$F$6)),INDEX($A:$AP,ROW(),$F$6),IFERROR(--SUBSTITUTE(SUBSTITUTE(TRIM(INDEX($A:$AP,ROW(),$F$6)),",",""),"원",""),0))))</f>
        <v/>
      </c>
      <c r="AU931" s="23">
        <f>IF($AS931="","",IF($G$6="",0,IF(ISNUMBER(INDEX($A:$AP,ROW(),$G$6)),INDEX($A:$AP,ROW(),$G$6),IFERROR(--SUBSTITUTE(SUBSTITUTE(TRIM(INDEX($A:$AP,ROW(),$G$6)),",",""),"원",""),0))))</f>
        <v/>
      </c>
      <c r="AV931" s="23">
        <f>IF($AS931="","",IF($H$6="",$AT931+$AU931,IF($H$6="",0,IF(ISNUMBER(INDEX($A:$AP,ROW(),$H$6)),INDEX($A:$AP,ROW(),$H$6),IFERROR(--SUBSTITUTE(SUBSTITUTE(TRIM(INDEX($A:$AP,ROW(),$H$6)),",",""),"원",""),0)))))</f>
        <v/>
      </c>
      <c r="AW931" s="2">
        <f>IF(OR($AS931="",$C$6=""),"",TRIM(INDEX($A:$AP,ROW(),$C$6)&amp;""))</f>
        <v/>
      </c>
      <c r="AX931" s="2">
        <f>IF($AS931="","",IF($AZ931&lt;&gt;"",SUBSTITUTE(SUBSTITUTE($AZ931,"-","")," ",""),$AY931))</f>
        <v/>
      </c>
      <c r="AY931" s="2">
        <f>IF(OR($AS931="",$E$6=""),"",TRIM(INDEX($A:$AP,ROW(),$E$6)&amp;""))</f>
        <v/>
      </c>
      <c r="AZ931" s="2">
        <f>IF(OR($AS931="",$D$6=""),"",TRIM(INDEX($A:$AP,ROW(),$D$6)&amp;""))</f>
        <v/>
      </c>
      <c r="BA931" s="2">
        <f>IF($AS931="","",IF(AND($AS931&gt;=설정!$B$10,$AS931&lt;=설정!$B$11),"포함","기간 밖"))</f>
        <v/>
      </c>
      <c r="BB931" s="2">
        <f>IF($AS931="","",IF(OR($AT931&lt;0,AND($I$6&lt;&gt;"",ISNUMBER(FIND("수정",INDEX($A:$AP,ROW(),IF($I$6="",1,$I$6))&amp;"")))),"수정","일반"))</f>
        <v/>
      </c>
      <c r="BC931" s="2">
        <f>IF($AS931="","",MID(IF($BA931="기간 밖"," / 기간 밖(신고기간 아님)","")&amp;IF(AND($AW931&lt;&gt;"",COUNTIF($AW$8:$AW$1007,$AW931)&gt;1)," / 승인번호 중복(두 번 붙여넣기?)","")&amp;IF(ABS($AU931-ROUND($AT931*0.1,0))&gt;설정!$B$8,IF($AU931=0," / 세액 0원(영세율·면세 여부 확인)"," / 세액이 공급가액 10%와 다름"),"")&amp;IF($BB931="수정"," / 수정세금계산서(합계에서 자동 가감)",""),4,200))</f>
        <v/>
      </c>
      <c r="BD931" s="2">
        <f>IF($BA931&lt;&gt;"포함","",IF(COUNTIFS($AX$8:$AX931,$AX931,$BA$8:$BA931,"포함")=1,MAX($BD$7:BD930)+1,""))</f>
        <v/>
      </c>
      <c r="BE931" s="2">
        <f>IF($BC931="","",MAX($BE$7:BE930)+1)</f>
        <v/>
      </c>
    </row>
    <row r="932">
      <c r="AR932" s="2">
        <f>IF(OR($A$5="",$B$6="",ROW()&lt;$A$5),"",IF(INDEX($A:$AP,ROW(),$B$6)="","",INDEX($A:$AP,ROW(),$B$6)))</f>
        <v/>
      </c>
      <c r="AS932" s="22">
        <f>IF($AR932="","",IF(ISNUMBER($AR932),IF($AR932&gt;=10000000,IFERROR(DATE(INT($AR932/10000),MOD(INT($AR932/100),100),MOD($AR932,100)),""),INT($AR932)),IFERROR(DATE(--LEFT(LEFT(SUBSTITUTE(SUBSTITUTE(SUBSTITUTE(SUBSTITUTE(TRIM($AR932),"-",""),".",""),"/","")," ",""),8),4),--MID(LEFT(SUBSTITUTE(SUBSTITUTE(SUBSTITUTE(SUBSTITUTE(TRIM($AR932),"-",""),".",""),"/","")," ",""),8),5,2),--MID(LEFT(SUBSTITUTE(SUBSTITUTE(SUBSTITUTE(SUBSTITUTE(TRIM($AR932),"-",""),".",""),"/","")," ",""),8),7,2)),"")))</f>
        <v/>
      </c>
      <c r="AT932" s="23">
        <f>IF($AS932="","",IF($F$6="",0,IF(ISNUMBER(INDEX($A:$AP,ROW(),$F$6)),INDEX($A:$AP,ROW(),$F$6),IFERROR(--SUBSTITUTE(SUBSTITUTE(TRIM(INDEX($A:$AP,ROW(),$F$6)),",",""),"원",""),0))))</f>
        <v/>
      </c>
      <c r="AU932" s="23">
        <f>IF($AS932="","",IF($G$6="",0,IF(ISNUMBER(INDEX($A:$AP,ROW(),$G$6)),INDEX($A:$AP,ROW(),$G$6),IFERROR(--SUBSTITUTE(SUBSTITUTE(TRIM(INDEX($A:$AP,ROW(),$G$6)),",",""),"원",""),0))))</f>
        <v/>
      </c>
      <c r="AV932" s="23">
        <f>IF($AS932="","",IF($H$6="",$AT932+$AU932,IF($H$6="",0,IF(ISNUMBER(INDEX($A:$AP,ROW(),$H$6)),INDEX($A:$AP,ROW(),$H$6),IFERROR(--SUBSTITUTE(SUBSTITUTE(TRIM(INDEX($A:$AP,ROW(),$H$6)),",",""),"원",""),0)))))</f>
        <v/>
      </c>
      <c r="AW932" s="2">
        <f>IF(OR($AS932="",$C$6=""),"",TRIM(INDEX($A:$AP,ROW(),$C$6)&amp;""))</f>
        <v/>
      </c>
      <c r="AX932" s="2">
        <f>IF($AS932="","",IF($AZ932&lt;&gt;"",SUBSTITUTE(SUBSTITUTE($AZ932,"-","")," ",""),$AY932))</f>
        <v/>
      </c>
      <c r="AY932" s="2">
        <f>IF(OR($AS932="",$E$6=""),"",TRIM(INDEX($A:$AP,ROW(),$E$6)&amp;""))</f>
        <v/>
      </c>
      <c r="AZ932" s="2">
        <f>IF(OR($AS932="",$D$6=""),"",TRIM(INDEX($A:$AP,ROW(),$D$6)&amp;""))</f>
        <v/>
      </c>
      <c r="BA932" s="2">
        <f>IF($AS932="","",IF(AND($AS932&gt;=설정!$B$10,$AS932&lt;=설정!$B$11),"포함","기간 밖"))</f>
        <v/>
      </c>
      <c r="BB932" s="2">
        <f>IF($AS932="","",IF(OR($AT932&lt;0,AND($I$6&lt;&gt;"",ISNUMBER(FIND("수정",INDEX($A:$AP,ROW(),IF($I$6="",1,$I$6))&amp;"")))),"수정","일반"))</f>
        <v/>
      </c>
      <c r="BC932" s="2">
        <f>IF($AS932="","",MID(IF($BA932="기간 밖"," / 기간 밖(신고기간 아님)","")&amp;IF(AND($AW932&lt;&gt;"",COUNTIF($AW$8:$AW$1007,$AW932)&gt;1)," / 승인번호 중복(두 번 붙여넣기?)","")&amp;IF(ABS($AU932-ROUND($AT932*0.1,0))&gt;설정!$B$8,IF($AU932=0," / 세액 0원(영세율·면세 여부 확인)"," / 세액이 공급가액 10%와 다름"),"")&amp;IF($BB932="수정"," / 수정세금계산서(합계에서 자동 가감)",""),4,200))</f>
        <v/>
      </c>
      <c r="BD932" s="2">
        <f>IF($BA932&lt;&gt;"포함","",IF(COUNTIFS($AX$8:$AX932,$AX932,$BA$8:$BA932,"포함")=1,MAX($BD$7:BD931)+1,""))</f>
        <v/>
      </c>
      <c r="BE932" s="2">
        <f>IF($BC932="","",MAX($BE$7:BE931)+1)</f>
        <v/>
      </c>
    </row>
    <row r="933">
      <c r="AR933" s="2">
        <f>IF(OR($A$5="",$B$6="",ROW()&lt;$A$5),"",IF(INDEX($A:$AP,ROW(),$B$6)="","",INDEX($A:$AP,ROW(),$B$6)))</f>
        <v/>
      </c>
      <c r="AS933" s="22">
        <f>IF($AR933="","",IF(ISNUMBER($AR933),IF($AR933&gt;=10000000,IFERROR(DATE(INT($AR933/10000),MOD(INT($AR933/100),100),MOD($AR933,100)),""),INT($AR933)),IFERROR(DATE(--LEFT(LEFT(SUBSTITUTE(SUBSTITUTE(SUBSTITUTE(SUBSTITUTE(TRIM($AR933),"-",""),".",""),"/","")," ",""),8),4),--MID(LEFT(SUBSTITUTE(SUBSTITUTE(SUBSTITUTE(SUBSTITUTE(TRIM($AR933),"-",""),".",""),"/","")," ",""),8),5,2),--MID(LEFT(SUBSTITUTE(SUBSTITUTE(SUBSTITUTE(SUBSTITUTE(TRIM($AR933),"-",""),".",""),"/","")," ",""),8),7,2)),"")))</f>
        <v/>
      </c>
      <c r="AT933" s="23">
        <f>IF($AS933="","",IF($F$6="",0,IF(ISNUMBER(INDEX($A:$AP,ROW(),$F$6)),INDEX($A:$AP,ROW(),$F$6),IFERROR(--SUBSTITUTE(SUBSTITUTE(TRIM(INDEX($A:$AP,ROW(),$F$6)),",",""),"원",""),0))))</f>
        <v/>
      </c>
      <c r="AU933" s="23">
        <f>IF($AS933="","",IF($G$6="",0,IF(ISNUMBER(INDEX($A:$AP,ROW(),$G$6)),INDEX($A:$AP,ROW(),$G$6),IFERROR(--SUBSTITUTE(SUBSTITUTE(TRIM(INDEX($A:$AP,ROW(),$G$6)),",",""),"원",""),0))))</f>
        <v/>
      </c>
      <c r="AV933" s="23">
        <f>IF($AS933="","",IF($H$6="",$AT933+$AU933,IF($H$6="",0,IF(ISNUMBER(INDEX($A:$AP,ROW(),$H$6)),INDEX($A:$AP,ROW(),$H$6),IFERROR(--SUBSTITUTE(SUBSTITUTE(TRIM(INDEX($A:$AP,ROW(),$H$6)),",",""),"원",""),0)))))</f>
        <v/>
      </c>
      <c r="AW933" s="2">
        <f>IF(OR($AS933="",$C$6=""),"",TRIM(INDEX($A:$AP,ROW(),$C$6)&amp;""))</f>
        <v/>
      </c>
      <c r="AX933" s="2">
        <f>IF($AS933="","",IF($AZ933&lt;&gt;"",SUBSTITUTE(SUBSTITUTE($AZ933,"-","")," ",""),$AY933))</f>
        <v/>
      </c>
      <c r="AY933" s="2">
        <f>IF(OR($AS933="",$E$6=""),"",TRIM(INDEX($A:$AP,ROW(),$E$6)&amp;""))</f>
        <v/>
      </c>
      <c r="AZ933" s="2">
        <f>IF(OR($AS933="",$D$6=""),"",TRIM(INDEX($A:$AP,ROW(),$D$6)&amp;""))</f>
        <v/>
      </c>
      <c r="BA933" s="2">
        <f>IF($AS933="","",IF(AND($AS933&gt;=설정!$B$10,$AS933&lt;=설정!$B$11),"포함","기간 밖"))</f>
        <v/>
      </c>
      <c r="BB933" s="2">
        <f>IF($AS933="","",IF(OR($AT933&lt;0,AND($I$6&lt;&gt;"",ISNUMBER(FIND("수정",INDEX($A:$AP,ROW(),IF($I$6="",1,$I$6))&amp;"")))),"수정","일반"))</f>
        <v/>
      </c>
      <c r="BC933" s="2">
        <f>IF($AS933="","",MID(IF($BA933="기간 밖"," / 기간 밖(신고기간 아님)","")&amp;IF(AND($AW933&lt;&gt;"",COUNTIF($AW$8:$AW$1007,$AW933)&gt;1)," / 승인번호 중복(두 번 붙여넣기?)","")&amp;IF(ABS($AU933-ROUND($AT933*0.1,0))&gt;설정!$B$8,IF($AU933=0," / 세액 0원(영세율·면세 여부 확인)"," / 세액이 공급가액 10%와 다름"),"")&amp;IF($BB933="수정"," / 수정세금계산서(합계에서 자동 가감)",""),4,200))</f>
        <v/>
      </c>
      <c r="BD933" s="2">
        <f>IF($BA933&lt;&gt;"포함","",IF(COUNTIFS($AX$8:$AX933,$AX933,$BA$8:$BA933,"포함")=1,MAX($BD$7:BD932)+1,""))</f>
        <v/>
      </c>
      <c r="BE933" s="2">
        <f>IF($BC933="","",MAX($BE$7:BE932)+1)</f>
        <v/>
      </c>
    </row>
    <row r="934">
      <c r="AR934" s="2">
        <f>IF(OR($A$5="",$B$6="",ROW()&lt;$A$5),"",IF(INDEX($A:$AP,ROW(),$B$6)="","",INDEX($A:$AP,ROW(),$B$6)))</f>
        <v/>
      </c>
      <c r="AS934" s="22">
        <f>IF($AR934="","",IF(ISNUMBER($AR934),IF($AR934&gt;=10000000,IFERROR(DATE(INT($AR934/10000),MOD(INT($AR934/100),100),MOD($AR934,100)),""),INT($AR934)),IFERROR(DATE(--LEFT(LEFT(SUBSTITUTE(SUBSTITUTE(SUBSTITUTE(SUBSTITUTE(TRIM($AR934),"-",""),".",""),"/","")," ",""),8),4),--MID(LEFT(SUBSTITUTE(SUBSTITUTE(SUBSTITUTE(SUBSTITUTE(TRIM($AR934),"-",""),".",""),"/","")," ",""),8),5,2),--MID(LEFT(SUBSTITUTE(SUBSTITUTE(SUBSTITUTE(SUBSTITUTE(TRIM($AR934),"-",""),".",""),"/","")," ",""),8),7,2)),"")))</f>
        <v/>
      </c>
      <c r="AT934" s="23">
        <f>IF($AS934="","",IF($F$6="",0,IF(ISNUMBER(INDEX($A:$AP,ROW(),$F$6)),INDEX($A:$AP,ROW(),$F$6),IFERROR(--SUBSTITUTE(SUBSTITUTE(TRIM(INDEX($A:$AP,ROW(),$F$6)),",",""),"원",""),0))))</f>
        <v/>
      </c>
      <c r="AU934" s="23">
        <f>IF($AS934="","",IF($G$6="",0,IF(ISNUMBER(INDEX($A:$AP,ROW(),$G$6)),INDEX($A:$AP,ROW(),$G$6),IFERROR(--SUBSTITUTE(SUBSTITUTE(TRIM(INDEX($A:$AP,ROW(),$G$6)),",",""),"원",""),0))))</f>
        <v/>
      </c>
      <c r="AV934" s="23">
        <f>IF($AS934="","",IF($H$6="",$AT934+$AU934,IF($H$6="",0,IF(ISNUMBER(INDEX($A:$AP,ROW(),$H$6)),INDEX($A:$AP,ROW(),$H$6),IFERROR(--SUBSTITUTE(SUBSTITUTE(TRIM(INDEX($A:$AP,ROW(),$H$6)),",",""),"원",""),0)))))</f>
        <v/>
      </c>
      <c r="AW934" s="2">
        <f>IF(OR($AS934="",$C$6=""),"",TRIM(INDEX($A:$AP,ROW(),$C$6)&amp;""))</f>
        <v/>
      </c>
      <c r="AX934" s="2">
        <f>IF($AS934="","",IF($AZ934&lt;&gt;"",SUBSTITUTE(SUBSTITUTE($AZ934,"-","")," ",""),$AY934))</f>
        <v/>
      </c>
      <c r="AY934" s="2">
        <f>IF(OR($AS934="",$E$6=""),"",TRIM(INDEX($A:$AP,ROW(),$E$6)&amp;""))</f>
        <v/>
      </c>
      <c r="AZ934" s="2">
        <f>IF(OR($AS934="",$D$6=""),"",TRIM(INDEX($A:$AP,ROW(),$D$6)&amp;""))</f>
        <v/>
      </c>
      <c r="BA934" s="2">
        <f>IF($AS934="","",IF(AND($AS934&gt;=설정!$B$10,$AS934&lt;=설정!$B$11),"포함","기간 밖"))</f>
        <v/>
      </c>
      <c r="BB934" s="2">
        <f>IF($AS934="","",IF(OR($AT934&lt;0,AND($I$6&lt;&gt;"",ISNUMBER(FIND("수정",INDEX($A:$AP,ROW(),IF($I$6="",1,$I$6))&amp;"")))),"수정","일반"))</f>
        <v/>
      </c>
      <c r="BC934" s="2">
        <f>IF($AS934="","",MID(IF($BA934="기간 밖"," / 기간 밖(신고기간 아님)","")&amp;IF(AND($AW934&lt;&gt;"",COUNTIF($AW$8:$AW$1007,$AW934)&gt;1)," / 승인번호 중복(두 번 붙여넣기?)","")&amp;IF(ABS($AU934-ROUND($AT934*0.1,0))&gt;설정!$B$8,IF($AU934=0," / 세액 0원(영세율·면세 여부 확인)"," / 세액이 공급가액 10%와 다름"),"")&amp;IF($BB934="수정"," / 수정세금계산서(합계에서 자동 가감)",""),4,200))</f>
        <v/>
      </c>
      <c r="BD934" s="2">
        <f>IF($BA934&lt;&gt;"포함","",IF(COUNTIFS($AX$8:$AX934,$AX934,$BA$8:$BA934,"포함")=1,MAX($BD$7:BD933)+1,""))</f>
        <v/>
      </c>
      <c r="BE934" s="2">
        <f>IF($BC934="","",MAX($BE$7:BE933)+1)</f>
        <v/>
      </c>
    </row>
    <row r="935">
      <c r="AR935" s="2">
        <f>IF(OR($A$5="",$B$6="",ROW()&lt;$A$5),"",IF(INDEX($A:$AP,ROW(),$B$6)="","",INDEX($A:$AP,ROW(),$B$6)))</f>
        <v/>
      </c>
      <c r="AS935" s="22">
        <f>IF($AR935="","",IF(ISNUMBER($AR935),IF($AR935&gt;=10000000,IFERROR(DATE(INT($AR935/10000),MOD(INT($AR935/100),100),MOD($AR935,100)),""),INT($AR935)),IFERROR(DATE(--LEFT(LEFT(SUBSTITUTE(SUBSTITUTE(SUBSTITUTE(SUBSTITUTE(TRIM($AR935),"-",""),".",""),"/","")," ",""),8),4),--MID(LEFT(SUBSTITUTE(SUBSTITUTE(SUBSTITUTE(SUBSTITUTE(TRIM($AR935),"-",""),".",""),"/","")," ",""),8),5,2),--MID(LEFT(SUBSTITUTE(SUBSTITUTE(SUBSTITUTE(SUBSTITUTE(TRIM($AR935),"-",""),".",""),"/","")," ",""),8),7,2)),"")))</f>
        <v/>
      </c>
      <c r="AT935" s="23">
        <f>IF($AS935="","",IF($F$6="",0,IF(ISNUMBER(INDEX($A:$AP,ROW(),$F$6)),INDEX($A:$AP,ROW(),$F$6),IFERROR(--SUBSTITUTE(SUBSTITUTE(TRIM(INDEX($A:$AP,ROW(),$F$6)),",",""),"원",""),0))))</f>
        <v/>
      </c>
      <c r="AU935" s="23">
        <f>IF($AS935="","",IF($G$6="",0,IF(ISNUMBER(INDEX($A:$AP,ROW(),$G$6)),INDEX($A:$AP,ROW(),$G$6),IFERROR(--SUBSTITUTE(SUBSTITUTE(TRIM(INDEX($A:$AP,ROW(),$G$6)),",",""),"원",""),0))))</f>
        <v/>
      </c>
      <c r="AV935" s="23">
        <f>IF($AS935="","",IF($H$6="",$AT935+$AU935,IF($H$6="",0,IF(ISNUMBER(INDEX($A:$AP,ROW(),$H$6)),INDEX($A:$AP,ROW(),$H$6),IFERROR(--SUBSTITUTE(SUBSTITUTE(TRIM(INDEX($A:$AP,ROW(),$H$6)),",",""),"원",""),0)))))</f>
        <v/>
      </c>
      <c r="AW935" s="2">
        <f>IF(OR($AS935="",$C$6=""),"",TRIM(INDEX($A:$AP,ROW(),$C$6)&amp;""))</f>
        <v/>
      </c>
      <c r="AX935" s="2">
        <f>IF($AS935="","",IF($AZ935&lt;&gt;"",SUBSTITUTE(SUBSTITUTE($AZ935,"-","")," ",""),$AY935))</f>
        <v/>
      </c>
      <c r="AY935" s="2">
        <f>IF(OR($AS935="",$E$6=""),"",TRIM(INDEX($A:$AP,ROW(),$E$6)&amp;""))</f>
        <v/>
      </c>
      <c r="AZ935" s="2">
        <f>IF(OR($AS935="",$D$6=""),"",TRIM(INDEX($A:$AP,ROW(),$D$6)&amp;""))</f>
        <v/>
      </c>
      <c r="BA935" s="2">
        <f>IF($AS935="","",IF(AND($AS935&gt;=설정!$B$10,$AS935&lt;=설정!$B$11),"포함","기간 밖"))</f>
        <v/>
      </c>
      <c r="BB935" s="2">
        <f>IF($AS935="","",IF(OR($AT935&lt;0,AND($I$6&lt;&gt;"",ISNUMBER(FIND("수정",INDEX($A:$AP,ROW(),IF($I$6="",1,$I$6))&amp;"")))),"수정","일반"))</f>
        <v/>
      </c>
      <c r="BC935" s="2">
        <f>IF($AS935="","",MID(IF($BA935="기간 밖"," / 기간 밖(신고기간 아님)","")&amp;IF(AND($AW935&lt;&gt;"",COUNTIF($AW$8:$AW$1007,$AW935)&gt;1)," / 승인번호 중복(두 번 붙여넣기?)","")&amp;IF(ABS($AU935-ROUND($AT935*0.1,0))&gt;설정!$B$8,IF($AU935=0," / 세액 0원(영세율·면세 여부 확인)"," / 세액이 공급가액 10%와 다름"),"")&amp;IF($BB935="수정"," / 수정세금계산서(합계에서 자동 가감)",""),4,200))</f>
        <v/>
      </c>
      <c r="BD935" s="2">
        <f>IF($BA935&lt;&gt;"포함","",IF(COUNTIFS($AX$8:$AX935,$AX935,$BA$8:$BA935,"포함")=1,MAX($BD$7:BD934)+1,""))</f>
        <v/>
      </c>
      <c r="BE935" s="2">
        <f>IF($BC935="","",MAX($BE$7:BE934)+1)</f>
        <v/>
      </c>
    </row>
    <row r="936">
      <c r="AR936" s="2">
        <f>IF(OR($A$5="",$B$6="",ROW()&lt;$A$5),"",IF(INDEX($A:$AP,ROW(),$B$6)="","",INDEX($A:$AP,ROW(),$B$6)))</f>
        <v/>
      </c>
      <c r="AS936" s="22">
        <f>IF($AR936="","",IF(ISNUMBER($AR936),IF($AR936&gt;=10000000,IFERROR(DATE(INT($AR936/10000),MOD(INT($AR936/100),100),MOD($AR936,100)),""),INT($AR936)),IFERROR(DATE(--LEFT(LEFT(SUBSTITUTE(SUBSTITUTE(SUBSTITUTE(SUBSTITUTE(TRIM($AR936),"-",""),".",""),"/","")," ",""),8),4),--MID(LEFT(SUBSTITUTE(SUBSTITUTE(SUBSTITUTE(SUBSTITUTE(TRIM($AR936),"-",""),".",""),"/","")," ",""),8),5,2),--MID(LEFT(SUBSTITUTE(SUBSTITUTE(SUBSTITUTE(SUBSTITUTE(TRIM($AR936),"-",""),".",""),"/","")," ",""),8),7,2)),"")))</f>
        <v/>
      </c>
      <c r="AT936" s="23">
        <f>IF($AS936="","",IF($F$6="",0,IF(ISNUMBER(INDEX($A:$AP,ROW(),$F$6)),INDEX($A:$AP,ROW(),$F$6),IFERROR(--SUBSTITUTE(SUBSTITUTE(TRIM(INDEX($A:$AP,ROW(),$F$6)),",",""),"원",""),0))))</f>
        <v/>
      </c>
      <c r="AU936" s="23">
        <f>IF($AS936="","",IF($G$6="",0,IF(ISNUMBER(INDEX($A:$AP,ROW(),$G$6)),INDEX($A:$AP,ROW(),$G$6),IFERROR(--SUBSTITUTE(SUBSTITUTE(TRIM(INDEX($A:$AP,ROW(),$G$6)),",",""),"원",""),0))))</f>
        <v/>
      </c>
      <c r="AV936" s="23">
        <f>IF($AS936="","",IF($H$6="",$AT936+$AU936,IF($H$6="",0,IF(ISNUMBER(INDEX($A:$AP,ROW(),$H$6)),INDEX($A:$AP,ROW(),$H$6),IFERROR(--SUBSTITUTE(SUBSTITUTE(TRIM(INDEX($A:$AP,ROW(),$H$6)),",",""),"원",""),0)))))</f>
        <v/>
      </c>
      <c r="AW936" s="2">
        <f>IF(OR($AS936="",$C$6=""),"",TRIM(INDEX($A:$AP,ROW(),$C$6)&amp;""))</f>
        <v/>
      </c>
      <c r="AX936" s="2">
        <f>IF($AS936="","",IF($AZ936&lt;&gt;"",SUBSTITUTE(SUBSTITUTE($AZ936,"-","")," ",""),$AY936))</f>
        <v/>
      </c>
      <c r="AY936" s="2">
        <f>IF(OR($AS936="",$E$6=""),"",TRIM(INDEX($A:$AP,ROW(),$E$6)&amp;""))</f>
        <v/>
      </c>
      <c r="AZ936" s="2">
        <f>IF(OR($AS936="",$D$6=""),"",TRIM(INDEX($A:$AP,ROW(),$D$6)&amp;""))</f>
        <v/>
      </c>
      <c r="BA936" s="2">
        <f>IF($AS936="","",IF(AND($AS936&gt;=설정!$B$10,$AS936&lt;=설정!$B$11),"포함","기간 밖"))</f>
        <v/>
      </c>
      <c r="BB936" s="2">
        <f>IF($AS936="","",IF(OR($AT936&lt;0,AND($I$6&lt;&gt;"",ISNUMBER(FIND("수정",INDEX($A:$AP,ROW(),IF($I$6="",1,$I$6))&amp;"")))),"수정","일반"))</f>
        <v/>
      </c>
      <c r="BC936" s="2">
        <f>IF($AS936="","",MID(IF($BA936="기간 밖"," / 기간 밖(신고기간 아님)","")&amp;IF(AND($AW936&lt;&gt;"",COUNTIF($AW$8:$AW$1007,$AW936)&gt;1)," / 승인번호 중복(두 번 붙여넣기?)","")&amp;IF(ABS($AU936-ROUND($AT936*0.1,0))&gt;설정!$B$8,IF($AU936=0," / 세액 0원(영세율·면세 여부 확인)"," / 세액이 공급가액 10%와 다름"),"")&amp;IF($BB936="수정"," / 수정세금계산서(합계에서 자동 가감)",""),4,200))</f>
        <v/>
      </c>
      <c r="BD936" s="2">
        <f>IF($BA936&lt;&gt;"포함","",IF(COUNTIFS($AX$8:$AX936,$AX936,$BA$8:$BA936,"포함")=1,MAX($BD$7:BD935)+1,""))</f>
        <v/>
      </c>
      <c r="BE936" s="2">
        <f>IF($BC936="","",MAX($BE$7:BE935)+1)</f>
        <v/>
      </c>
    </row>
    <row r="937">
      <c r="AR937" s="2">
        <f>IF(OR($A$5="",$B$6="",ROW()&lt;$A$5),"",IF(INDEX($A:$AP,ROW(),$B$6)="","",INDEX($A:$AP,ROW(),$B$6)))</f>
        <v/>
      </c>
      <c r="AS937" s="22">
        <f>IF($AR937="","",IF(ISNUMBER($AR937),IF($AR937&gt;=10000000,IFERROR(DATE(INT($AR937/10000),MOD(INT($AR937/100),100),MOD($AR937,100)),""),INT($AR937)),IFERROR(DATE(--LEFT(LEFT(SUBSTITUTE(SUBSTITUTE(SUBSTITUTE(SUBSTITUTE(TRIM($AR937),"-",""),".",""),"/","")," ",""),8),4),--MID(LEFT(SUBSTITUTE(SUBSTITUTE(SUBSTITUTE(SUBSTITUTE(TRIM($AR937),"-",""),".",""),"/","")," ",""),8),5,2),--MID(LEFT(SUBSTITUTE(SUBSTITUTE(SUBSTITUTE(SUBSTITUTE(TRIM($AR937),"-",""),".",""),"/","")," ",""),8),7,2)),"")))</f>
        <v/>
      </c>
      <c r="AT937" s="23">
        <f>IF($AS937="","",IF($F$6="",0,IF(ISNUMBER(INDEX($A:$AP,ROW(),$F$6)),INDEX($A:$AP,ROW(),$F$6),IFERROR(--SUBSTITUTE(SUBSTITUTE(TRIM(INDEX($A:$AP,ROW(),$F$6)),",",""),"원",""),0))))</f>
        <v/>
      </c>
      <c r="AU937" s="23">
        <f>IF($AS937="","",IF($G$6="",0,IF(ISNUMBER(INDEX($A:$AP,ROW(),$G$6)),INDEX($A:$AP,ROW(),$G$6),IFERROR(--SUBSTITUTE(SUBSTITUTE(TRIM(INDEX($A:$AP,ROW(),$G$6)),",",""),"원",""),0))))</f>
        <v/>
      </c>
      <c r="AV937" s="23">
        <f>IF($AS937="","",IF($H$6="",$AT937+$AU937,IF($H$6="",0,IF(ISNUMBER(INDEX($A:$AP,ROW(),$H$6)),INDEX($A:$AP,ROW(),$H$6),IFERROR(--SUBSTITUTE(SUBSTITUTE(TRIM(INDEX($A:$AP,ROW(),$H$6)),",",""),"원",""),0)))))</f>
        <v/>
      </c>
      <c r="AW937" s="2">
        <f>IF(OR($AS937="",$C$6=""),"",TRIM(INDEX($A:$AP,ROW(),$C$6)&amp;""))</f>
        <v/>
      </c>
      <c r="AX937" s="2">
        <f>IF($AS937="","",IF($AZ937&lt;&gt;"",SUBSTITUTE(SUBSTITUTE($AZ937,"-","")," ",""),$AY937))</f>
        <v/>
      </c>
      <c r="AY937" s="2">
        <f>IF(OR($AS937="",$E$6=""),"",TRIM(INDEX($A:$AP,ROW(),$E$6)&amp;""))</f>
        <v/>
      </c>
      <c r="AZ937" s="2">
        <f>IF(OR($AS937="",$D$6=""),"",TRIM(INDEX($A:$AP,ROW(),$D$6)&amp;""))</f>
        <v/>
      </c>
      <c r="BA937" s="2">
        <f>IF($AS937="","",IF(AND($AS937&gt;=설정!$B$10,$AS937&lt;=설정!$B$11),"포함","기간 밖"))</f>
        <v/>
      </c>
      <c r="BB937" s="2">
        <f>IF($AS937="","",IF(OR($AT937&lt;0,AND($I$6&lt;&gt;"",ISNUMBER(FIND("수정",INDEX($A:$AP,ROW(),IF($I$6="",1,$I$6))&amp;"")))),"수정","일반"))</f>
        <v/>
      </c>
      <c r="BC937" s="2">
        <f>IF($AS937="","",MID(IF($BA937="기간 밖"," / 기간 밖(신고기간 아님)","")&amp;IF(AND($AW937&lt;&gt;"",COUNTIF($AW$8:$AW$1007,$AW937)&gt;1)," / 승인번호 중복(두 번 붙여넣기?)","")&amp;IF(ABS($AU937-ROUND($AT937*0.1,0))&gt;설정!$B$8,IF($AU937=0," / 세액 0원(영세율·면세 여부 확인)"," / 세액이 공급가액 10%와 다름"),"")&amp;IF($BB937="수정"," / 수정세금계산서(합계에서 자동 가감)",""),4,200))</f>
        <v/>
      </c>
      <c r="BD937" s="2">
        <f>IF($BA937&lt;&gt;"포함","",IF(COUNTIFS($AX$8:$AX937,$AX937,$BA$8:$BA937,"포함")=1,MAX($BD$7:BD936)+1,""))</f>
        <v/>
      </c>
      <c r="BE937" s="2">
        <f>IF($BC937="","",MAX($BE$7:BE936)+1)</f>
        <v/>
      </c>
    </row>
    <row r="938">
      <c r="AR938" s="2">
        <f>IF(OR($A$5="",$B$6="",ROW()&lt;$A$5),"",IF(INDEX($A:$AP,ROW(),$B$6)="","",INDEX($A:$AP,ROW(),$B$6)))</f>
        <v/>
      </c>
      <c r="AS938" s="22">
        <f>IF($AR938="","",IF(ISNUMBER($AR938),IF($AR938&gt;=10000000,IFERROR(DATE(INT($AR938/10000),MOD(INT($AR938/100),100),MOD($AR938,100)),""),INT($AR938)),IFERROR(DATE(--LEFT(LEFT(SUBSTITUTE(SUBSTITUTE(SUBSTITUTE(SUBSTITUTE(TRIM($AR938),"-",""),".",""),"/","")," ",""),8),4),--MID(LEFT(SUBSTITUTE(SUBSTITUTE(SUBSTITUTE(SUBSTITUTE(TRIM($AR938),"-",""),".",""),"/","")," ",""),8),5,2),--MID(LEFT(SUBSTITUTE(SUBSTITUTE(SUBSTITUTE(SUBSTITUTE(TRIM($AR938),"-",""),".",""),"/","")," ",""),8),7,2)),"")))</f>
        <v/>
      </c>
      <c r="AT938" s="23">
        <f>IF($AS938="","",IF($F$6="",0,IF(ISNUMBER(INDEX($A:$AP,ROW(),$F$6)),INDEX($A:$AP,ROW(),$F$6),IFERROR(--SUBSTITUTE(SUBSTITUTE(TRIM(INDEX($A:$AP,ROW(),$F$6)),",",""),"원",""),0))))</f>
        <v/>
      </c>
      <c r="AU938" s="23">
        <f>IF($AS938="","",IF($G$6="",0,IF(ISNUMBER(INDEX($A:$AP,ROW(),$G$6)),INDEX($A:$AP,ROW(),$G$6),IFERROR(--SUBSTITUTE(SUBSTITUTE(TRIM(INDEX($A:$AP,ROW(),$G$6)),",",""),"원",""),0))))</f>
        <v/>
      </c>
      <c r="AV938" s="23">
        <f>IF($AS938="","",IF($H$6="",$AT938+$AU938,IF($H$6="",0,IF(ISNUMBER(INDEX($A:$AP,ROW(),$H$6)),INDEX($A:$AP,ROW(),$H$6),IFERROR(--SUBSTITUTE(SUBSTITUTE(TRIM(INDEX($A:$AP,ROW(),$H$6)),",",""),"원",""),0)))))</f>
        <v/>
      </c>
      <c r="AW938" s="2">
        <f>IF(OR($AS938="",$C$6=""),"",TRIM(INDEX($A:$AP,ROW(),$C$6)&amp;""))</f>
        <v/>
      </c>
      <c r="AX938" s="2">
        <f>IF($AS938="","",IF($AZ938&lt;&gt;"",SUBSTITUTE(SUBSTITUTE($AZ938,"-","")," ",""),$AY938))</f>
        <v/>
      </c>
      <c r="AY938" s="2">
        <f>IF(OR($AS938="",$E$6=""),"",TRIM(INDEX($A:$AP,ROW(),$E$6)&amp;""))</f>
        <v/>
      </c>
      <c r="AZ938" s="2">
        <f>IF(OR($AS938="",$D$6=""),"",TRIM(INDEX($A:$AP,ROW(),$D$6)&amp;""))</f>
        <v/>
      </c>
      <c r="BA938" s="2">
        <f>IF($AS938="","",IF(AND($AS938&gt;=설정!$B$10,$AS938&lt;=설정!$B$11),"포함","기간 밖"))</f>
        <v/>
      </c>
      <c r="BB938" s="2">
        <f>IF($AS938="","",IF(OR($AT938&lt;0,AND($I$6&lt;&gt;"",ISNUMBER(FIND("수정",INDEX($A:$AP,ROW(),IF($I$6="",1,$I$6))&amp;"")))),"수정","일반"))</f>
        <v/>
      </c>
      <c r="BC938" s="2">
        <f>IF($AS938="","",MID(IF($BA938="기간 밖"," / 기간 밖(신고기간 아님)","")&amp;IF(AND($AW938&lt;&gt;"",COUNTIF($AW$8:$AW$1007,$AW938)&gt;1)," / 승인번호 중복(두 번 붙여넣기?)","")&amp;IF(ABS($AU938-ROUND($AT938*0.1,0))&gt;설정!$B$8,IF($AU938=0," / 세액 0원(영세율·면세 여부 확인)"," / 세액이 공급가액 10%와 다름"),"")&amp;IF($BB938="수정"," / 수정세금계산서(합계에서 자동 가감)",""),4,200))</f>
        <v/>
      </c>
      <c r="BD938" s="2">
        <f>IF($BA938&lt;&gt;"포함","",IF(COUNTIFS($AX$8:$AX938,$AX938,$BA$8:$BA938,"포함")=1,MAX($BD$7:BD937)+1,""))</f>
        <v/>
      </c>
      <c r="BE938" s="2">
        <f>IF($BC938="","",MAX($BE$7:BE937)+1)</f>
        <v/>
      </c>
    </row>
    <row r="939">
      <c r="AR939" s="2">
        <f>IF(OR($A$5="",$B$6="",ROW()&lt;$A$5),"",IF(INDEX($A:$AP,ROW(),$B$6)="","",INDEX($A:$AP,ROW(),$B$6)))</f>
        <v/>
      </c>
      <c r="AS939" s="22">
        <f>IF($AR939="","",IF(ISNUMBER($AR939),IF($AR939&gt;=10000000,IFERROR(DATE(INT($AR939/10000),MOD(INT($AR939/100),100),MOD($AR939,100)),""),INT($AR939)),IFERROR(DATE(--LEFT(LEFT(SUBSTITUTE(SUBSTITUTE(SUBSTITUTE(SUBSTITUTE(TRIM($AR939),"-",""),".",""),"/","")," ",""),8),4),--MID(LEFT(SUBSTITUTE(SUBSTITUTE(SUBSTITUTE(SUBSTITUTE(TRIM($AR939),"-",""),".",""),"/","")," ",""),8),5,2),--MID(LEFT(SUBSTITUTE(SUBSTITUTE(SUBSTITUTE(SUBSTITUTE(TRIM($AR939),"-",""),".",""),"/","")," ",""),8),7,2)),"")))</f>
        <v/>
      </c>
      <c r="AT939" s="23">
        <f>IF($AS939="","",IF($F$6="",0,IF(ISNUMBER(INDEX($A:$AP,ROW(),$F$6)),INDEX($A:$AP,ROW(),$F$6),IFERROR(--SUBSTITUTE(SUBSTITUTE(TRIM(INDEX($A:$AP,ROW(),$F$6)),",",""),"원",""),0))))</f>
        <v/>
      </c>
      <c r="AU939" s="23">
        <f>IF($AS939="","",IF($G$6="",0,IF(ISNUMBER(INDEX($A:$AP,ROW(),$G$6)),INDEX($A:$AP,ROW(),$G$6),IFERROR(--SUBSTITUTE(SUBSTITUTE(TRIM(INDEX($A:$AP,ROW(),$G$6)),",",""),"원",""),0))))</f>
        <v/>
      </c>
      <c r="AV939" s="23">
        <f>IF($AS939="","",IF($H$6="",$AT939+$AU939,IF($H$6="",0,IF(ISNUMBER(INDEX($A:$AP,ROW(),$H$6)),INDEX($A:$AP,ROW(),$H$6),IFERROR(--SUBSTITUTE(SUBSTITUTE(TRIM(INDEX($A:$AP,ROW(),$H$6)),",",""),"원",""),0)))))</f>
        <v/>
      </c>
      <c r="AW939" s="2">
        <f>IF(OR($AS939="",$C$6=""),"",TRIM(INDEX($A:$AP,ROW(),$C$6)&amp;""))</f>
        <v/>
      </c>
      <c r="AX939" s="2">
        <f>IF($AS939="","",IF($AZ939&lt;&gt;"",SUBSTITUTE(SUBSTITUTE($AZ939,"-","")," ",""),$AY939))</f>
        <v/>
      </c>
      <c r="AY939" s="2">
        <f>IF(OR($AS939="",$E$6=""),"",TRIM(INDEX($A:$AP,ROW(),$E$6)&amp;""))</f>
        <v/>
      </c>
      <c r="AZ939" s="2">
        <f>IF(OR($AS939="",$D$6=""),"",TRIM(INDEX($A:$AP,ROW(),$D$6)&amp;""))</f>
        <v/>
      </c>
      <c r="BA939" s="2">
        <f>IF($AS939="","",IF(AND($AS939&gt;=설정!$B$10,$AS939&lt;=설정!$B$11),"포함","기간 밖"))</f>
        <v/>
      </c>
      <c r="BB939" s="2">
        <f>IF($AS939="","",IF(OR($AT939&lt;0,AND($I$6&lt;&gt;"",ISNUMBER(FIND("수정",INDEX($A:$AP,ROW(),IF($I$6="",1,$I$6))&amp;"")))),"수정","일반"))</f>
        <v/>
      </c>
      <c r="BC939" s="2">
        <f>IF($AS939="","",MID(IF($BA939="기간 밖"," / 기간 밖(신고기간 아님)","")&amp;IF(AND($AW939&lt;&gt;"",COUNTIF($AW$8:$AW$1007,$AW939)&gt;1)," / 승인번호 중복(두 번 붙여넣기?)","")&amp;IF(ABS($AU939-ROUND($AT939*0.1,0))&gt;설정!$B$8,IF($AU939=0," / 세액 0원(영세율·면세 여부 확인)"," / 세액이 공급가액 10%와 다름"),"")&amp;IF($BB939="수정"," / 수정세금계산서(합계에서 자동 가감)",""),4,200))</f>
        <v/>
      </c>
      <c r="BD939" s="2">
        <f>IF($BA939&lt;&gt;"포함","",IF(COUNTIFS($AX$8:$AX939,$AX939,$BA$8:$BA939,"포함")=1,MAX($BD$7:BD938)+1,""))</f>
        <v/>
      </c>
      <c r="BE939" s="2">
        <f>IF($BC939="","",MAX($BE$7:BE938)+1)</f>
        <v/>
      </c>
    </row>
    <row r="940">
      <c r="AR940" s="2">
        <f>IF(OR($A$5="",$B$6="",ROW()&lt;$A$5),"",IF(INDEX($A:$AP,ROW(),$B$6)="","",INDEX($A:$AP,ROW(),$B$6)))</f>
        <v/>
      </c>
      <c r="AS940" s="22">
        <f>IF($AR940="","",IF(ISNUMBER($AR940),IF($AR940&gt;=10000000,IFERROR(DATE(INT($AR940/10000),MOD(INT($AR940/100),100),MOD($AR940,100)),""),INT($AR940)),IFERROR(DATE(--LEFT(LEFT(SUBSTITUTE(SUBSTITUTE(SUBSTITUTE(SUBSTITUTE(TRIM($AR940),"-",""),".",""),"/","")," ",""),8),4),--MID(LEFT(SUBSTITUTE(SUBSTITUTE(SUBSTITUTE(SUBSTITUTE(TRIM($AR940),"-",""),".",""),"/","")," ",""),8),5,2),--MID(LEFT(SUBSTITUTE(SUBSTITUTE(SUBSTITUTE(SUBSTITUTE(TRIM($AR940),"-",""),".",""),"/","")," ",""),8),7,2)),"")))</f>
        <v/>
      </c>
      <c r="AT940" s="23">
        <f>IF($AS940="","",IF($F$6="",0,IF(ISNUMBER(INDEX($A:$AP,ROW(),$F$6)),INDEX($A:$AP,ROW(),$F$6),IFERROR(--SUBSTITUTE(SUBSTITUTE(TRIM(INDEX($A:$AP,ROW(),$F$6)),",",""),"원",""),0))))</f>
        <v/>
      </c>
      <c r="AU940" s="23">
        <f>IF($AS940="","",IF($G$6="",0,IF(ISNUMBER(INDEX($A:$AP,ROW(),$G$6)),INDEX($A:$AP,ROW(),$G$6),IFERROR(--SUBSTITUTE(SUBSTITUTE(TRIM(INDEX($A:$AP,ROW(),$G$6)),",",""),"원",""),0))))</f>
        <v/>
      </c>
      <c r="AV940" s="23">
        <f>IF($AS940="","",IF($H$6="",$AT940+$AU940,IF($H$6="",0,IF(ISNUMBER(INDEX($A:$AP,ROW(),$H$6)),INDEX($A:$AP,ROW(),$H$6),IFERROR(--SUBSTITUTE(SUBSTITUTE(TRIM(INDEX($A:$AP,ROW(),$H$6)),",",""),"원",""),0)))))</f>
        <v/>
      </c>
      <c r="AW940" s="2">
        <f>IF(OR($AS940="",$C$6=""),"",TRIM(INDEX($A:$AP,ROW(),$C$6)&amp;""))</f>
        <v/>
      </c>
      <c r="AX940" s="2">
        <f>IF($AS940="","",IF($AZ940&lt;&gt;"",SUBSTITUTE(SUBSTITUTE($AZ940,"-","")," ",""),$AY940))</f>
        <v/>
      </c>
      <c r="AY940" s="2">
        <f>IF(OR($AS940="",$E$6=""),"",TRIM(INDEX($A:$AP,ROW(),$E$6)&amp;""))</f>
        <v/>
      </c>
      <c r="AZ940" s="2">
        <f>IF(OR($AS940="",$D$6=""),"",TRIM(INDEX($A:$AP,ROW(),$D$6)&amp;""))</f>
        <v/>
      </c>
      <c r="BA940" s="2">
        <f>IF($AS940="","",IF(AND($AS940&gt;=설정!$B$10,$AS940&lt;=설정!$B$11),"포함","기간 밖"))</f>
        <v/>
      </c>
      <c r="BB940" s="2">
        <f>IF($AS940="","",IF(OR($AT940&lt;0,AND($I$6&lt;&gt;"",ISNUMBER(FIND("수정",INDEX($A:$AP,ROW(),IF($I$6="",1,$I$6))&amp;"")))),"수정","일반"))</f>
        <v/>
      </c>
      <c r="BC940" s="2">
        <f>IF($AS940="","",MID(IF($BA940="기간 밖"," / 기간 밖(신고기간 아님)","")&amp;IF(AND($AW940&lt;&gt;"",COUNTIF($AW$8:$AW$1007,$AW940)&gt;1)," / 승인번호 중복(두 번 붙여넣기?)","")&amp;IF(ABS($AU940-ROUND($AT940*0.1,0))&gt;설정!$B$8,IF($AU940=0," / 세액 0원(영세율·면세 여부 확인)"," / 세액이 공급가액 10%와 다름"),"")&amp;IF($BB940="수정"," / 수정세금계산서(합계에서 자동 가감)",""),4,200))</f>
        <v/>
      </c>
      <c r="BD940" s="2">
        <f>IF($BA940&lt;&gt;"포함","",IF(COUNTIFS($AX$8:$AX940,$AX940,$BA$8:$BA940,"포함")=1,MAX($BD$7:BD939)+1,""))</f>
        <v/>
      </c>
      <c r="BE940" s="2">
        <f>IF($BC940="","",MAX($BE$7:BE939)+1)</f>
        <v/>
      </c>
    </row>
    <row r="941">
      <c r="AR941" s="2">
        <f>IF(OR($A$5="",$B$6="",ROW()&lt;$A$5),"",IF(INDEX($A:$AP,ROW(),$B$6)="","",INDEX($A:$AP,ROW(),$B$6)))</f>
        <v/>
      </c>
      <c r="AS941" s="22">
        <f>IF($AR941="","",IF(ISNUMBER($AR941),IF($AR941&gt;=10000000,IFERROR(DATE(INT($AR941/10000),MOD(INT($AR941/100),100),MOD($AR941,100)),""),INT($AR941)),IFERROR(DATE(--LEFT(LEFT(SUBSTITUTE(SUBSTITUTE(SUBSTITUTE(SUBSTITUTE(TRIM($AR941),"-",""),".",""),"/","")," ",""),8),4),--MID(LEFT(SUBSTITUTE(SUBSTITUTE(SUBSTITUTE(SUBSTITUTE(TRIM($AR941),"-",""),".",""),"/","")," ",""),8),5,2),--MID(LEFT(SUBSTITUTE(SUBSTITUTE(SUBSTITUTE(SUBSTITUTE(TRIM($AR941),"-",""),".",""),"/","")," ",""),8),7,2)),"")))</f>
        <v/>
      </c>
      <c r="AT941" s="23">
        <f>IF($AS941="","",IF($F$6="",0,IF(ISNUMBER(INDEX($A:$AP,ROW(),$F$6)),INDEX($A:$AP,ROW(),$F$6),IFERROR(--SUBSTITUTE(SUBSTITUTE(TRIM(INDEX($A:$AP,ROW(),$F$6)),",",""),"원",""),0))))</f>
        <v/>
      </c>
      <c r="AU941" s="23">
        <f>IF($AS941="","",IF($G$6="",0,IF(ISNUMBER(INDEX($A:$AP,ROW(),$G$6)),INDEX($A:$AP,ROW(),$G$6),IFERROR(--SUBSTITUTE(SUBSTITUTE(TRIM(INDEX($A:$AP,ROW(),$G$6)),",",""),"원",""),0))))</f>
        <v/>
      </c>
      <c r="AV941" s="23">
        <f>IF($AS941="","",IF($H$6="",$AT941+$AU941,IF($H$6="",0,IF(ISNUMBER(INDEX($A:$AP,ROW(),$H$6)),INDEX($A:$AP,ROW(),$H$6),IFERROR(--SUBSTITUTE(SUBSTITUTE(TRIM(INDEX($A:$AP,ROW(),$H$6)),",",""),"원",""),0)))))</f>
        <v/>
      </c>
      <c r="AW941" s="2">
        <f>IF(OR($AS941="",$C$6=""),"",TRIM(INDEX($A:$AP,ROW(),$C$6)&amp;""))</f>
        <v/>
      </c>
      <c r="AX941" s="2">
        <f>IF($AS941="","",IF($AZ941&lt;&gt;"",SUBSTITUTE(SUBSTITUTE($AZ941,"-","")," ",""),$AY941))</f>
        <v/>
      </c>
      <c r="AY941" s="2">
        <f>IF(OR($AS941="",$E$6=""),"",TRIM(INDEX($A:$AP,ROW(),$E$6)&amp;""))</f>
        <v/>
      </c>
      <c r="AZ941" s="2">
        <f>IF(OR($AS941="",$D$6=""),"",TRIM(INDEX($A:$AP,ROW(),$D$6)&amp;""))</f>
        <v/>
      </c>
      <c r="BA941" s="2">
        <f>IF($AS941="","",IF(AND($AS941&gt;=설정!$B$10,$AS941&lt;=설정!$B$11),"포함","기간 밖"))</f>
        <v/>
      </c>
      <c r="BB941" s="2">
        <f>IF($AS941="","",IF(OR($AT941&lt;0,AND($I$6&lt;&gt;"",ISNUMBER(FIND("수정",INDEX($A:$AP,ROW(),IF($I$6="",1,$I$6))&amp;"")))),"수정","일반"))</f>
        <v/>
      </c>
      <c r="BC941" s="2">
        <f>IF($AS941="","",MID(IF($BA941="기간 밖"," / 기간 밖(신고기간 아님)","")&amp;IF(AND($AW941&lt;&gt;"",COUNTIF($AW$8:$AW$1007,$AW941)&gt;1)," / 승인번호 중복(두 번 붙여넣기?)","")&amp;IF(ABS($AU941-ROUND($AT941*0.1,0))&gt;설정!$B$8,IF($AU941=0," / 세액 0원(영세율·면세 여부 확인)"," / 세액이 공급가액 10%와 다름"),"")&amp;IF($BB941="수정"," / 수정세금계산서(합계에서 자동 가감)",""),4,200))</f>
        <v/>
      </c>
      <c r="BD941" s="2">
        <f>IF($BA941&lt;&gt;"포함","",IF(COUNTIFS($AX$8:$AX941,$AX941,$BA$8:$BA941,"포함")=1,MAX($BD$7:BD940)+1,""))</f>
        <v/>
      </c>
      <c r="BE941" s="2">
        <f>IF($BC941="","",MAX($BE$7:BE940)+1)</f>
        <v/>
      </c>
    </row>
    <row r="942">
      <c r="AR942" s="2">
        <f>IF(OR($A$5="",$B$6="",ROW()&lt;$A$5),"",IF(INDEX($A:$AP,ROW(),$B$6)="","",INDEX($A:$AP,ROW(),$B$6)))</f>
        <v/>
      </c>
      <c r="AS942" s="22">
        <f>IF($AR942="","",IF(ISNUMBER($AR942),IF($AR942&gt;=10000000,IFERROR(DATE(INT($AR942/10000),MOD(INT($AR942/100),100),MOD($AR942,100)),""),INT($AR942)),IFERROR(DATE(--LEFT(LEFT(SUBSTITUTE(SUBSTITUTE(SUBSTITUTE(SUBSTITUTE(TRIM($AR942),"-",""),".",""),"/","")," ",""),8),4),--MID(LEFT(SUBSTITUTE(SUBSTITUTE(SUBSTITUTE(SUBSTITUTE(TRIM($AR942),"-",""),".",""),"/","")," ",""),8),5,2),--MID(LEFT(SUBSTITUTE(SUBSTITUTE(SUBSTITUTE(SUBSTITUTE(TRIM($AR942),"-",""),".",""),"/","")," ",""),8),7,2)),"")))</f>
        <v/>
      </c>
      <c r="AT942" s="23">
        <f>IF($AS942="","",IF($F$6="",0,IF(ISNUMBER(INDEX($A:$AP,ROW(),$F$6)),INDEX($A:$AP,ROW(),$F$6),IFERROR(--SUBSTITUTE(SUBSTITUTE(TRIM(INDEX($A:$AP,ROW(),$F$6)),",",""),"원",""),0))))</f>
        <v/>
      </c>
      <c r="AU942" s="23">
        <f>IF($AS942="","",IF($G$6="",0,IF(ISNUMBER(INDEX($A:$AP,ROW(),$G$6)),INDEX($A:$AP,ROW(),$G$6),IFERROR(--SUBSTITUTE(SUBSTITUTE(TRIM(INDEX($A:$AP,ROW(),$G$6)),",",""),"원",""),0))))</f>
        <v/>
      </c>
      <c r="AV942" s="23">
        <f>IF($AS942="","",IF($H$6="",$AT942+$AU942,IF($H$6="",0,IF(ISNUMBER(INDEX($A:$AP,ROW(),$H$6)),INDEX($A:$AP,ROW(),$H$6),IFERROR(--SUBSTITUTE(SUBSTITUTE(TRIM(INDEX($A:$AP,ROW(),$H$6)),",",""),"원",""),0)))))</f>
        <v/>
      </c>
      <c r="AW942" s="2">
        <f>IF(OR($AS942="",$C$6=""),"",TRIM(INDEX($A:$AP,ROW(),$C$6)&amp;""))</f>
        <v/>
      </c>
      <c r="AX942" s="2">
        <f>IF($AS942="","",IF($AZ942&lt;&gt;"",SUBSTITUTE(SUBSTITUTE($AZ942,"-","")," ",""),$AY942))</f>
        <v/>
      </c>
      <c r="AY942" s="2">
        <f>IF(OR($AS942="",$E$6=""),"",TRIM(INDEX($A:$AP,ROW(),$E$6)&amp;""))</f>
        <v/>
      </c>
      <c r="AZ942" s="2">
        <f>IF(OR($AS942="",$D$6=""),"",TRIM(INDEX($A:$AP,ROW(),$D$6)&amp;""))</f>
        <v/>
      </c>
      <c r="BA942" s="2">
        <f>IF($AS942="","",IF(AND($AS942&gt;=설정!$B$10,$AS942&lt;=설정!$B$11),"포함","기간 밖"))</f>
        <v/>
      </c>
      <c r="BB942" s="2">
        <f>IF($AS942="","",IF(OR($AT942&lt;0,AND($I$6&lt;&gt;"",ISNUMBER(FIND("수정",INDEX($A:$AP,ROW(),IF($I$6="",1,$I$6))&amp;"")))),"수정","일반"))</f>
        <v/>
      </c>
      <c r="BC942" s="2">
        <f>IF($AS942="","",MID(IF($BA942="기간 밖"," / 기간 밖(신고기간 아님)","")&amp;IF(AND($AW942&lt;&gt;"",COUNTIF($AW$8:$AW$1007,$AW942)&gt;1)," / 승인번호 중복(두 번 붙여넣기?)","")&amp;IF(ABS($AU942-ROUND($AT942*0.1,0))&gt;설정!$B$8,IF($AU942=0," / 세액 0원(영세율·면세 여부 확인)"," / 세액이 공급가액 10%와 다름"),"")&amp;IF($BB942="수정"," / 수정세금계산서(합계에서 자동 가감)",""),4,200))</f>
        <v/>
      </c>
      <c r="BD942" s="2">
        <f>IF($BA942&lt;&gt;"포함","",IF(COUNTIFS($AX$8:$AX942,$AX942,$BA$8:$BA942,"포함")=1,MAX($BD$7:BD941)+1,""))</f>
        <v/>
      </c>
      <c r="BE942" s="2">
        <f>IF($BC942="","",MAX($BE$7:BE941)+1)</f>
        <v/>
      </c>
    </row>
    <row r="943">
      <c r="AR943" s="2">
        <f>IF(OR($A$5="",$B$6="",ROW()&lt;$A$5),"",IF(INDEX($A:$AP,ROW(),$B$6)="","",INDEX($A:$AP,ROW(),$B$6)))</f>
        <v/>
      </c>
      <c r="AS943" s="22">
        <f>IF($AR943="","",IF(ISNUMBER($AR943),IF($AR943&gt;=10000000,IFERROR(DATE(INT($AR943/10000),MOD(INT($AR943/100),100),MOD($AR943,100)),""),INT($AR943)),IFERROR(DATE(--LEFT(LEFT(SUBSTITUTE(SUBSTITUTE(SUBSTITUTE(SUBSTITUTE(TRIM($AR943),"-",""),".",""),"/","")," ",""),8),4),--MID(LEFT(SUBSTITUTE(SUBSTITUTE(SUBSTITUTE(SUBSTITUTE(TRIM($AR943),"-",""),".",""),"/","")," ",""),8),5,2),--MID(LEFT(SUBSTITUTE(SUBSTITUTE(SUBSTITUTE(SUBSTITUTE(TRIM($AR943),"-",""),".",""),"/","")," ",""),8),7,2)),"")))</f>
        <v/>
      </c>
      <c r="AT943" s="23">
        <f>IF($AS943="","",IF($F$6="",0,IF(ISNUMBER(INDEX($A:$AP,ROW(),$F$6)),INDEX($A:$AP,ROW(),$F$6),IFERROR(--SUBSTITUTE(SUBSTITUTE(TRIM(INDEX($A:$AP,ROW(),$F$6)),",",""),"원",""),0))))</f>
        <v/>
      </c>
      <c r="AU943" s="23">
        <f>IF($AS943="","",IF($G$6="",0,IF(ISNUMBER(INDEX($A:$AP,ROW(),$G$6)),INDEX($A:$AP,ROW(),$G$6),IFERROR(--SUBSTITUTE(SUBSTITUTE(TRIM(INDEX($A:$AP,ROW(),$G$6)),",",""),"원",""),0))))</f>
        <v/>
      </c>
      <c r="AV943" s="23">
        <f>IF($AS943="","",IF($H$6="",$AT943+$AU943,IF($H$6="",0,IF(ISNUMBER(INDEX($A:$AP,ROW(),$H$6)),INDEX($A:$AP,ROW(),$H$6),IFERROR(--SUBSTITUTE(SUBSTITUTE(TRIM(INDEX($A:$AP,ROW(),$H$6)),",",""),"원",""),0)))))</f>
        <v/>
      </c>
      <c r="AW943" s="2">
        <f>IF(OR($AS943="",$C$6=""),"",TRIM(INDEX($A:$AP,ROW(),$C$6)&amp;""))</f>
        <v/>
      </c>
      <c r="AX943" s="2">
        <f>IF($AS943="","",IF($AZ943&lt;&gt;"",SUBSTITUTE(SUBSTITUTE($AZ943,"-","")," ",""),$AY943))</f>
        <v/>
      </c>
      <c r="AY943" s="2">
        <f>IF(OR($AS943="",$E$6=""),"",TRIM(INDEX($A:$AP,ROW(),$E$6)&amp;""))</f>
        <v/>
      </c>
      <c r="AZ943" s="2">
        <f>IF(OR($AS943="",$D$6=""),"",TRIM(INDEX($A:$AP,ROW(),$D$6)&amp;""))</f>
        <v/>
      </c>
      <c r="BA943" s="2">
        <f>IF($AS943="","",IF(AND($AS943&gt;=설정!$B$10,$AS943&lt;=설정!$B$11),"포함","기간 밖"))</f>
        <v/>
      </c>
      <c r="BB943" s="2">
        <f>IF($AS943="","",IF(OR($AT943&lt;0,AND($I$6&lt;&gt;"",ISNUMBER(FIND("수정",INDEX($A:$AP,ROW(),IF($I$6="",1,$I$6))&amp;"")))),"수정","일반"))</f>
        <v/>
      </c>
      <c r="BC943" s="2">
        <f>IF($AS943="","",MID(IF($BA943="기간 밖"," / 기간 밖(신고기간 아님)","")&amp;IF(AND($AW943&lt;&gt;"",COUNTIF($AW$8:$AW$1007,$AW943)&gt;1)," / 승인번호 중복(두 번 붙여넣기?)","")&amp;IF(ABS($AU943-ROUND($AT943*0.1,0))&gt;설정!$B$8,IF($AU943=0," / 세액 0원(영세율·면세 여부 확인)"," / 세액이 공급가액 10%와 다름"),"")&amp;IF($BB943="수정"," / 수정세금계산서(합계에서 자동 가감)",""),4,200))</f>
        <v/>
      </c>
      <c r="BD943" s="2">
        <f>IF($BA943&lt;&gt;"포함","",IF(COUNTIFS($AX$8:$AX943,$AX943,$BA$8:$BA943,"포함")=1,MAX($BD$7:BD942)+1,""))</f>
        <v/>
      </c>
      <c r="BE943" s="2">
        <f>IF($BC943="","",MAX($BE$7:BE942)+1)</f>
        <v/>
      </c>
    </row>
    <row r="944">
      <c r="AR944" s="2">
        <f>IF(OR($A$5="",$B$6="",ROW()&lt;$A$5),"",IF(INDEX($A:$AP,ROW(),$B$6)="","",INDEX($A:$AP,ROW(),$B$6)))</f>
        <v/>
      </c>
      <c r="AS944" s="22">
        <f>IF($AR944="","",IF(ISNUMBER($AR944),IF($AR944&gt;=10000000,IFERROR(DATE(INT($AR944/10000),MOD(INT($AR944/100),100),MOD($AR944,100)),""),INT($AR944)),IFERROR(DATE(--LEFT(LEFT(SUBSTITUTE(SUBSTITUTE(SUBSTITUTE(SUBSTITUTE(TRIM($AR944),"-",""),".",""),"/","")," ",""),8),4),--MID(LEFT(SUBSTITUTE(SUBSTITUTE(SUBSTITUTE(SUBSTITUTE(TRIM($AR944),"-",""),".",""),"/","")," ",""),8),5,2),--MID(LEFT(SUBSTITUTE(SUBSTITUTE(SUBSTITUTE(SUBSTITUTE(TRIM($AR944),"-",""),".",""),"/","")," ",""),8),7,2)),"")))</f>
        <v/>
      </c>
      <c r="AT944" s="23">
        <f>IF($AS944="","",IF($F$6="",0,IF(ISNUMBER(INDEX($A:$AP,ROW(),$F$6)),INDEX($A:$AP,ROW(),$F$6),IFERROR(--SUBSTITUTE(SUBSTITUTE(TRIM(INDEX($A:$AP,ROW(),$F$6)),",",""),"원",""),0))))</f>
        <v/>
      </c>
      <c r="AU944" s="23">
        <f>IF($AS944="","",IF($G$6="",0,IF(ISNUMBER(INDEX($A:$AP,ROW(),$G$6)),INDEX($A:$AP,ROW(),$G$6),IFERROR(--SUBSTITUTE(SUBSTITUTE(TRIM(INDEX($A:$AP,ROW(),$G$6)),",",""),"원",""),0))))</f>
        <v/>
      </c>
      <c r="AV944" s="23">
        <f>IF($AS944="","",IF($H$6="",$AT944+$AU944,IF($H$6="",0,IF(ISNUMBER(INDEX($A:$AP,ROW(),$H$6)),INDEX($A:$AP,ROW(),$H$6),IFERROR(--SUBSTITUTE(SUBSTITUTE(TRIM(INDEX($A:$AP,ROW(),$H$6)),",",""),"원",""),0)))))</f>
        <v/>
      </c>
      <c r="AW944" s="2">
        <f>IF(OR($AS944="",$C$6=""),"",TRIM(INDEX($A:$AP,ROW(),$C$6)&amp;""))</f>
        <v/>
      </c>
      <c r="AX944" s="2">
        <f>IF($AS944="","",IF($AZ944&lt;&gt;"",SUBSTITUTE(SUBSTITUTE($AZ944,"-","")," ",""),$AY944))</f>
        <v/>
      </c>
      <c r="AY944" s="2">
        <f>IF(OR($AS944="",$E$6=""),"",TRIM(INDEX($A:$AP,ROW(),$E$6)&amp;""))</f>
        <v/>
      </c>
      <c r="AZ944" s="2">
        <f>IF(OR($AS944="",$D$6=""),"",TRIM(INDEX($A:$AP,ROW(),$D$6)&amp;""))</f>
        <v/>
      </c>
      <c r="BA944" s="2">
        <f>IF($AS944="","",IF(AND($AS944&gt;=설정!$B$10,$AS944&lt;=설정!$B$11),"포함","기간 밖"))</f>
        <v/>
      </c>
      <c r="BB944" s="2">
        <f>IF($AS944="","",IF(OR($AT944&lt;0,AND($I$6&lt;&gt;"",ISNUMBER(FIND("수정",INDEX($A:$AP,ROW(),IF($I$6="",1,$I$6))&amp;"")))),"수정","일반"))</f>
        <v/>
      </c>
      <c r="BC944" s="2">
        <f>IF($AS944="","",MID(IF($BA944="기간 밖"," / 기간 밖(신고기간 아님)","")&amp;IF(AND($AW944&lt;&gt;"",COUNTIF($AW$8:$AW$1007,$AW944)&gt;1)," / 승인번호 중복(두 번 붙여넣기?)","")&amp;IF(ABS($AU944-ROUND($AT944*0.1,0))&gt;설정!$B$8,IF($AU944=0," / 세액 0원(영세율·면세 여부 확인)"," / 세액이 공급가액 10%와 다름"),"")&amp;IF($BB944="수정"," / 수정세금계산서(합계에서 자동 가감)",""),4,200))</f>
        <v/>
      </c>
      <c r="BD944" s="2">
        <f>IF($BA944&lt;&gt;"포함","",IF(COUNTIFS($AX$8:$AX944,$AX944,$BA$8:$BA944,"포함")=1,MAX($BD$7:BD943)+1,""))</f>
        <v/>
      </c>
      <c r="BE944" s="2">
        <f>IF($BC944="","",MAX($BE$7:BE943)+1)</f>
        <v/>
      </c>
    </row>
    <row r="945">
      <c r="AR945" s="2">
        <f>IF(OR($A$5="",$B$6="",ROW()&lt;$A$5),"",IF(INDEX($A:$AP,ROW(),$B$6)="","",INDEX($A:$AP,ROW(),$B$6)))</f>
        <v/>
      </c>
      <c r="AS945" s="22">
        <f>IF($AR945="","",IF(ISNUMBER($AR945),IF($AR945&gt;=10000000,IFERROR(DATE(INT($AR945/10000),MOD(INT($AR945/100),100),MOD($AR945,100)),""),INT($AR945)),IFERROR(DATE(--LEFT(LEFT(SUBSTITUTE(SUBSTITUTE(SUBSTITUTE(SUBSTITUTE(TRIM($AR945),"-",""),".",""),"/","")," ",""),8),4),--MID(LEFT(SUBSTITUTE(SUBSTITUTE(SUBSTITUTE(SUBSTITUTE(TRIM($AR945),"-",""),".",""),"/","")," ",""),8),5,2),--MID(LEFT(SUBSTITUTE(SUBSTITUTE(SUBSTITUTE(SUBSTITUTE(TRIM($AR945),"-",""),".",""),"/","")," ",""),8),7,2)),"")))</f>
        <v/>
      </c>
      <c r="AT945" s="23">
        <f>IF($AS945="","",IF($F$6="",0,IF(ISNUMBER(INDEX($A:$AP,ROW(),$F$6)),INDEX($A:$AP,ROW(),$F$6),IFERROR(--SUBSTITUTE(SUBSTITUTE(TRIM(INDEX($A:$AP,ROW(),$F$6)),",",""),"원",""),0))))</f>
        <v/>
      </c>
      <c r="AU945" s="23">
        <f>IF($AS945="","",IF($G$6="",0,IF(ISNUMBER(INDEX($A:$AP,ROW(),$G$6)),INDEX($A:$AP,ROW(),$G$6),IFERROR(--SUBSTITUTE(SUBSTITUTE(TRIM(INDEX($A:$AP,ROW(),$G$6)),",",""),"원",""),0))))</f>
        <v/>
      </c>
      <c r="AV945" s="23">
        <f>IF($AS945="","",IF($H$6="",$AT945+$AU945,IF($H$6="",0,IF(ISNUMBER(INDEX($A:$AP,ROW(),$H$6)),INDEX($A:$AP,ROW(),$H$6),IFERROR(--SUBSTITUTE(SUBSTITUTE(TRIM(INDEX($A:$AP,ROW(),$H$6)),",",""),"원",""),0)))))</f>
        <v/>
      </c>
      <c r="AW945" s="2">
        <f>IF(OR($AS945="",$C$6=""),"",TRIM(INDEX($A:$AP,ROW(),$C$6)&amp;""))</f>
        <v/>
      </c>
      <c r="AX945" s="2">
        <f>IF($AS945="","",IF($AZ945&lt;&gt;"",SUBSTITUTE(SUBSTITUTE($AZ945,"-","")," ",""),$AY945))</f>
        <v/>
      </c>
      <c r="AY945" s="2">
        <f>IF(OR($AS945="",$E$6=""),"",TRIM(INDEX($A:$AP,ROW(),$E$6)&amp;""))</f>
        <v/>
      </c>
      <c r="AZ945" s="2">
        <f>IF(OR($AS945="",$D$6=""),"",TRIM(INDEX($A:$AP,ROW(),$D$6)&amp;""))</f>
        <v/>
      </c>
      <c r="BA945" s="2">
        <f>IF($AS945="","",IF(AND($AS945&gt;=설정!$B$10,$AS945&lt;=설정!$B$11),"포함","기간 밖"))</f>
        <v/>
      </c>
      <c r="BB945" s="2">
        <f>IF($AS945="","",IF(OR($AT945&lt;0,AND($I$6&lt;&gt;"",ISNUMBER(FIND("수정",INDEX($A:$AP,ROW(),IF($I$6="",1,$I$6))&amp;"")))),"수정","일반"))</f>
        <v/>
      </c>
      <c r="BC945" s="2">
        <f>IF($AS945="","",MID(IF($BA945="기간 밖"," / 기간 밖(신고기간 아님)","")&amp;IF(AND($AW945&lt;&gt;"",COUNTIF($AW$8:$AW$1007,$AW945)&gt;1)," / 승인번호 중복(두 번 붙여넣기?)","")&amp;IF(ABS($AU945-ROUND($AT945*0.1,0))&gt;설정!$B$8,IF($AU945=0," / 세액 0원(영세율·면세 여부 확인)"," / 세액이 공급가액 10%와 다름"),"")&amp;IF($BB945="수정"," / 수정세금계산서(합계에서 자동 가감)",""),4,200))</f>
        <v/>
      </c>
      <c r="BD945" s="2">
        <f>IF($BA945&lt;&gt;"포함","",IF(COUNTIFS($AX$8:$AX945,$AX945,$BA$8:$BA945,"포함")=1,MAX($BD$7:BD944)+1,""))</f>
        <v/>
      </c>
      <c r="BE945" s="2">
        <f>IF($BC945="","",MAX($BE$7:BE944)+1)</f>
        <v/>
      </c>
    </row>
    <row r="946">
      <c r="AR946" s="2">
        <f>IF(OR($A$5="",$B$6="",ROW()&lt;$A$5),"",IF(INDEX($A:$AP,ROW(),$B$6)="","",INDEX($A:$AP,ROW(),$B$6)))</f>
        <v/>
      </c>
      <c r="AS946" s="22">
        <f>IF($AR946="","",IF(ISNUMBER($AR946),IF($AR946&gt;=10000000,IFERROR(DATE(INT($AR946/10000),MOD(INT($AR946/100),100),MOD($AR946,100)),""),INT($AR946)),IFERROR(DATE(--LEFT(LEFT(SUBSTITUTE(SUBSTITUTE(SUBSTITUTE(SUBSTITUTE(TRIM($AR946),"-",""),".",""),"/","")," ",""),8),4),--MID(LEFT(SUBSTITUTE(SUBSTITUTE(SUBSTITUTE(SUBSTITUTE(TRIM($AR946),"-",""),".",""),"/","")," ",""),8),5,2),--MID(LEFT(SUBSTITUTE(SUBSTITUTE(SUBSTITUTE(SUBSTITUTE(TRIM($AR946),"-",""),".",""),"/","")," ",""),8),7,2)),"")))</f>
        <v/>
      </c>
      <c r="AT946" s="23">
        <f>IF($AS946="","",IF($F$6="",0,IF(ISNUMBER(INDEX($A:$AP,ROW(),$F$6)),INDEX($A:$AP,ROW(),$F$6),IFERROR(--SUBSTITUTE(SUBSTITUTE(TRIM(INDEX($A:$AP,ROW(),$F$6)),",",""),"원",""),0))))</f>
        <v/>
      </c>
      <c r="AU946" s="23">
        <f>IF($AS946="","",IF($G$6="",0,IF(ISNUMBER(INDEX($A:$AP,ROW(),$G$6)),INDEX($A:$AP,ROW(),$G$6),IFERROR(--SUBSTITUTE(SUBSTITUTE(TRIM(INDEX($A:$AP,ROW(),$G$6)),",",""),"원",""),0))))</f>
        <v/>
      </c>
      <c r="AV946" s="23">
        <f>IF($AS946="","",IF($H$6="",$AT946+$AU946,IF($H$6="",0,IF(ISNUMBER(INDEX($A:$AP,ROW(),$H$6)),INDEX($A:$AP,ROW(),$H$6),IFERROR(--SUBSTITUTE(SUBSTITUTE(TRIM(INDEX($A:$AP,ROW(),$H$6)),",",""),"원",""),0)))))</f>
        <v/>
      </c>
      <c r="AW946" s="2">
        <f>IF(OR($AS946="",$C$6=""),"",TRIM(INDEX($A:$AP,ROW(),$C$6)&amp;""))</f>
        <v/>
      </c>
      <c r="AX946" s="2">
        <f>IF($AS946="","",IF($AZ946&lt;&gt;"",SUBSTITUTE(SUBSTITUTE($AZ946,"-","")," ",""),$AY946))</f>
        <v/>
      </c>
      <c r="AY946" s="2">
        <f>IF(OR($AS946="",$E$6=""),"",TRIM(INDEX($A:$AP,ROW(),$E$6)&amp;""))</f>
        <v/>
      </c>
      <c r="AZ946" s="2">
        <f>IF(OR($AS946="",$D$6=""),"",TRIM(INDEX($A:$AP,ROW(),$D$6)&amp;""))</f>
        <v/>
      </c>
      <c r="BA946" s="2">
        <f>IF($AS946="","",IF(AND($AS946&gt;=설정!$B$10,$AS946&lt;=설정!$B$11),"포함","기간 밖"))</f>
        <v/>
      </c>
      <c r="BB946" s="2">
        <f>IF($AS946="","",IF(OR($AT946&lt;0,AND($I$6&lt;&gt;"",ISNUMBER(FIND("수정",INDEX($A:$AP,ROW(),IF($I$6="",1,$I$6))&amp;"")))),"수정","일반"))</f>
        <v/>
      </c>
      <c r="BC946" s="2">
        <f>IF($AS946="","",MID(IF($BA946="기간 밖"," / 기간 밖(신고기간 아님)","")&amp;IF(AND($AW946&lt;&gt;"",COUNTIF($AW$8:$AW$1007,$AW946)&gt;1)," / 승인번호 중복(두 번 붙여넣기?)","")&amp;IF(ABS($AU946-ROUND($AT946*0.1,0))&gt;설정!$B$8,IF($AU946=0," / 세액 0원(영세율·면세 여부 확인)"," / 세액이 공급가액 10%와 다름"),"")&amp;IF($BB946="수정"," / 수정세금계산서(합계에서 자동 가감)",""),4,200))</f>
        <v/>
      </c>
      <c r="BD946" s="2">
        <f>IF($BA946&lt;&gt;"포함","",IF(COUNTIFS($AX$8:$AX946,$AX946,$BA$8:$BA946,"포함")=1,MAX($BD$7:BD945)+1,""))</f>
        <v/>
      </c>
      <c r="BE946" s="2">
        <f>IF($BC946="","",MAX($BE$7:BE945)+1)</f>
        <v/>
      </c>
    </row>
    <row r="947">
      <c r="AR947" s="2">
        <f>IF(OR($A$5="",$B$6="",ROW()&lt;$A$5),"",IF(INDEX($A:$AP,ROW(),$B$6)="","",INDEX($A:$AP,ROW(),$B$6)))</f>
        <v/>
      </c>
      <c r="AS947" s="22">
        <f>IF($AR947="","",IF(ISNUMBER($AR947),IF($AR947&gt;=10000000,IFERROR(DATE(INT($AR947/10000),MOD(INT($AR947/100),100),MOD($AR947,100)),""),INT($AR947)),IFERROR(DATE(--LEFT(LEFT(SUBSTITUTE(SUBSTITUTE(SUBSTITUTE(SUBSTITUTE(TRIM($AR947),"-",""),".",""),"/","")," ",""),8),4),--MID(LEFT(SUBSTITUTE(SUBSTITUTE(SUBSTITUTE(SUBSTITUTE(TRIM($AR947),"-",""),".",""),"/","")," ",""),8),5,2),--MID(LEFT(SUBSTITUTE(SUBSTITUTE(SUBSTITUTE(SUBSTITUTE(TRIM($AR947),"-",""),".",""),"/","")," ",""),8),7,2)),"")))</f>
        <v/>
      </c>
      <c r="AT947" s="23">
        <f>IF($AS947="","",IF($F$6="",0,IF(ISNUMBER(INDEX($A:$AP,ROW(),$F$6)),INDEX($A:$AP,ROW(),$F$6),IFERROR(--SUBSTITUTE(SUBSTITUTE(TRIM(INDEX($A:$AP,ROW(),$F$6)),",",""),"원",""),0))))</f>
        <v/>
      </c>
      <c r="AU947" s="23">
        <f>IF($AS947="","",IF($G$6="",0,IF(ISNUMBER(INDEX($A:$AP,ROW(),$G$6)),INDEX($A:$AP,ROW(),$G$6),IFERROR(--SUBSTITUTE(SUBSTITUTE(TRIM(INDEX($A:$AP,ROW(),$G$6)),",",""),"원",""),0))))</f>
        <v/>
      </c>
      <c r="AV947" s="23">
        <f>IF($AS947="","",IF($H$6="",$AT947+$AU947,IF($H$6="",0,IF(ISNUMBER(INDEX($A:$AP,ROW(),$H$6)),INDEX($A:$AP,ROW(),$H$6),IFERROR(--SUBSTITUTE(SUBSTITUTE(TRIM(INDEX($A:$AP,ROW(),$H$6)),",",""),"원",""),0)))))</f>
        <v/>
      </c>
      <c r="AW947" s="2">
        <f>IF(OR($AS947="",$C$6=""),"",TRIM(INDEX($A:$AP,ROW(),$C$6)&amp;""))</f>
        <v/>
      </c>
      <c r="AX947" s="2">
        <f>IF($AS947="","",IF($AZ947&lt;&gt;"",SUBSTITUTE(SUBSTITUTE($AZ947,"-","")," ",""),$AY947))</f>
        <v/>
      </c>
      <c r="AY947" s="2">
        <f>IF(OR($AS947="",$E$6=""),"",TRIM(INDEX($A:$AP,ROW(),$E$6)&amp;""))</f>
        <v/>
      </c>
      <c r="AZ947" s="2">
        <f>IF(OR($AS947="",$D$6=""),"",TRIM(INDEX($A:$AP,ROW(),$D$6)&amp;""))</f>
        <v/>
      </c>
      <c r="BA947" s="2">
        <f>IF($AS947="","",IF(AND($AS947&gt;=설정!$B$10,$AS947&lt;=설정!$B$11),"포함","기간 밖"))</f>
        <v/>
      </c>
      <c r="BB947" s="2">
        <f>IF($AS947="","",IF(OR($AT947&lt;0,AND($I$6&lt;&gt;"",ISNUMBER(FIND("수정",INDEX($A:$AP,ROW(),IF($I$6="",1,$I$6))&amp;"")))),"수정","일반"))</f>
        <v/>
      </c>
      <c r="BC947" s="2">
        <f>IF($AS947="","",MID(IF($BA947="기간 밖"," / 기간 밖(신고기간 아님)","")&amp;IF(AND($AW947&lt;&gt;"",COUNTIF($AW$8:$AW$1007,$AW947)&gt;1)," / 승인번호 중복(두 번 붙여넣기?)","")&amp;IF(ABS($AU947-ROUND($AT947*0.1,0))&gt;설정!$B$8,IF($AU947=0," / 세액 0원(영세율·면세 여부 확인)"," / 세액이 공급가액 10%와 다름"),"")&amp;IF($BB947="수정"," / 수정세금계산서(합계에서 자동 가감)",""),4,200))</f>
        <v/>
      </c>
      <c r="BD947" s="2">
        <f>IF($BA947&lt;&gt;"포함","",IF(COUNTIFS($AX$8:$AX947,$AX947,$BA$8:$BA947,"포함")=1,MAX($BD$7:BD946)+1,""))</f>
        <v/>
      </c>
      <c r="BE947" s="2">
        <f>IF($BC947="","",MAX($BE$7:BE946)+1)</f>
        <v/>
      </c>
    </row>
    <row r="948">
      <c r="AR948" s="2">
        <f>IF(OR($A$5="",$B$6="",ROW()&lt;$A$5),"",IF(INDEX($A:$AP,ROW(),$B$6)="","",INDEX($A:$AP,ROW(),$B$6)))</f>
        <v/>
      </c>
      <c r="AS948" s="22">
        <f>IF($AR948="","",IF(ISNUMBER($AR948),IF($AR948&gt;=10000000,IFERROR(DATE(INT($AR948/10000),MOD(INT($AR948/100),100),MOD($AR948,100)),""),INT($AR948)),IFERROR(DATE(--LEFT(LEFT(SUBSTITUTE(SUBSTITUTE(SUBSTITUTE(SUBSTITUTE(TRIM($AR948),"-",""),".",""),"/","")," ",""),8),4),--MID(LEFT(SUBSTITUTE(SUBSTITUTE(SUBSTITUTE(SUBSTITUTE(TRIM($AR948),"-",""),".",""),"/","")," ",""),8),5,2),--MID(LEFT(SUBSTITUTE(SUBSTITUTE(SUBSTITUTE(SUBSTITUTE(TRIM($AR948),"-",""),".",""),"/","")," ",""),8),7,2)),"")))</f>
        <v/>
      </c>
      <c r="AT948" s="23">
        <f>IF($AS948="","",IF($F$6="",0,IF(ISNUMBER(INDEX($A:$AP,ROW(),$F$6)),INDEX($A:$AP,ROW(),$F$6),IFERROR(--SUBSTITUTE(SUBSTITUTE(TRIM(INDEX($A:$AP,ROW(),$F$6)),",",""),"원",""),0))))</f>
        <v/>
      </c>
      <c r="AU948" s="23">
        <f>IF($AS948="","",IF($G$6="",0,IF(ISNUMBER(INDEX($A:$AP,ROW(),$G$6)),INDEX($A:$AP,ROW(),$G$6),IFERROR(--SUBSTITUTE(SUBSTITUTE(TRIM(INDEX($A:$AP,ROW(),$G$6)),",",""),"원",""),0))))</f>
        <v/>
      </c>
      <c r="AV948" s="23">
        <f>IF($AS948="","",IF($H$6="",$AT948+$AU948,IF($H$6="",0,IF(ISNUMBER(INDEX($A:$AP,ROW(),$H$6)),INDEX($A:$AP,ROW(),$H$6),IFERROR(--SUBSTITUTE(SUBSTITUTE(TRIM(INDEX($A:$AP,ROW(),$H$6)),",",""),"원",""),0)))))</f>
        <v/>
      </c>
      <c r="AW948" s="2">
        <f>IF(OR($AS948="",$C$6=""),"",TRIM(INDEX($A:$AP,ROW(),$C$6)&amp;""))</f>
        <v/>
      </c>
      <c r="AX948" s="2">
        <f>IF($AS948="","",IF($AZ948&lt;&gt;"",SUBSTITUTE(SUBSTITUTE($AZ948,"-","")," ",""),$AY948))</f>
        <v/>
      </c>
      <c r="AY948" s="2">
        <f>IF(OR($AS948="",$E$6=""),"",TRIM(INDEX($A:$AP,ROW(),$E$6)&amp;""))</f>
        <v/>
      </c>
      <c r="AZ948" s="2">
        <f>IF(OR($AS948="",$D$6=""),"",TRIM(INDEX($A:$AP,ROW(),$D$6)&amp;""))</f>
        <v/>
      </c>
      <c r="BA948" s="2">
        <f>IF($AS948="","",IF(AND($AS948&gt;=설정!$B$10,$AS948&lt;=설정!$B$11),"포함","기간 밖"))</f>
        <v/>
      </c>
      <c r="BB948" s="2">
        <f>IF($AS948="","",IF(OR($AT948&lt;0,AND($I$6&lt;&gt;"",ISNUMBER(FIND("수정",INDEX($A:$AP,ROW(),IF($I$6="",1,$I$6))&amp;"")))),"수정","일반"))</f>
        <v/>
      </c>
      <c r="BC948" s="2">
        <f>IF($AS948="","",MID(IF($BA948="기간 밖"," / 기간 밖(신고기간 아님)","")&amp;IF(AND($AW948&lt;&gt;"",COUNTIF($AW$8:$AW$1007,$AW948)&gt;1)," / 승인번호 중복(두 번 붙여넣기?)","")&amp;IF(ABS($AU948-ROUND($AT948*0.1,0))&gt;설정!$B$8,IF($AU948=0," / 세액 0원(영세율·면세 여부 확인)"," / 세액이 공급가액 10%와 다름"),"")&amp;IF($BB948="수정"," / 수정세금계산서(합계에서 자동 가감)",""),4,200))</f>
        <v/>
      </c>
      <c r="BD948" s="2">
        <f>IF($BA948&lt;&gt;"포함","",IF(COUNTIFS($AX$8:$AX948,$AX948,$BA$8:$BA948,"포함")=1,MAX($BD$7:BD947)+1,""))</f>
        <v/>
      </c>
      <c r="BE948" s="2">
        <f>IF($BC948="","",MAX($BE$7:BE947)+1)</f>
        <v/>
      </c>
    </row>
    <row r="949">
      <c r="AR949" s="2">
        <f>IF(OR($A$5="",$B$6="",ROW()&lt;$A$5),"",IF(INDEX($A:$AP,ROW(),$B$6)="","",INDEX($A:$AP,ROW(),$B$6)))</f>
        <v/>
      </c>
      <c r="AS949" s="22">
        <f>IF($AR949="","",IF(ISNUMBER($AR949),IF($AR949&gt;=10000000,IFERROR(DATE(INT($AR949/10000),MOD(INT($AR949/100),100),MOD($AR949,100)),""),INT($AR949)),IFERROR(DATE(--LEFT(LEFT(SUBSTITUTE(SUBSTITUTE(SUBSTITUTE(SUBSTITUTE(TRIM($AR949),"-",""),".",""),"/","")," ",""),8),4),--MID(LEFT(SUBSTITUTE(SUBSTITUTE(SUBSTITUTE(SUBSTITUTE(TRIM($AR949),"-",""),".",""),"/","")," ",""),8),5,2),--MID(LEFT(SUBSTITUTE(SUBSTITUTE(SUBSTITUTE(SUBSTITUTE(TRIM($AR949),"-",""),".",""),"/","")," ",""),8),7,2)),"")))</f>
        <v/>
      </c>
      <c r="AT949" s="23">
        <f>IF($AS949="","",IF($F$6="",0,IF(ISNUMBER(INDEX($A:$AP,ROW(),$F$6)),INDEX($A:$AP,ROW(),$F$6),IFERROR(--SUBSTITUTE(SUBSTITUTE(TRIM(INDEX($A:$AP,ROW(),$F$6)),",",""),"원",""),0))))</f>
        <v/>
      </c>
      <c r="AU949" s="23">
        <f>IF($AS949="","",IF($G$6="",0,IF(ISNUMBER(INDEX($A:$AP,ROW(),$G$6)),INDEX($A:$AP,ROW(),$G$6),IFERROR(--SUBSTITUTE(SUBSTITUTE(TRIM(INDEX($A:$AP,ROW(),$G$6)),",",""),"원",""),0))))</f>
        <v/>
      </c>
      <c r="AV949" s="23">
        <f>IF($AS949="","",IF($H$6="",$AT949+$AU949,IF($H$6="",0,IF(ISNUMBER(INDEX($A:$AP,ROW(),$H$6)),INDEX($A:$AP,ROW(),$H$6),IFERROR(--SUBSTITUTE(SUBSTITUTE(TRIM(INDEX($A:$AP,ROW(),$H$6)),",",""),"원",""),0)))))</f>
        <v/>
      </c>
      <c r="AW949" s="2">
        <f>IF(OR($AS949="",$C$6=""),"",TRIM(INDEX($A:$AP,ROW(),$C$6)&amp;""))</f>
        <v/>
      </c>
      <c r="AX949" s="2">
        <f>IF($AS949="","",IF($AZ949&lt;&gt;"",SUBSTITUTE(SUBSTITUTE($AZ949,"-","")," ",""),$AY949))</f>
        <v/>
      </c>
      <c r="AY949" s="2">
        <f>IF(OR($AS949="",$E$6=""),"",TRIM(INDEX($A:$AP,ROW(),$E$6)&amp;""))</f>
        <v/>
      </c>
      <c r="AZ949" s="2">
        <f>IF(OR($AS949="",$D$6=""),"",TRIM(INDEX($A:$AP,ROW(),$D$6)&amp;""))</f>
        <v/>
      </c>
      <c r="BA949" s="2">
        <f>IF($AS949="","",IF(AND($AS949&gt;=설정!$B$10,$AS949&lt;=설정!$B$11),"포함","기간 밖"))</f>
        <v/>
      </c>
      <c r="BB949" s="2">
        <f>IF($AS949="","",IF(OR($AT949&lt;0,AND($I$6&lt;&gt;"",ISNUMBER(FIND("수정",INDEX($A:$AP,ROW(),IF($I$6="",1,$I$6))&amp;"")))),"수정","일반"))</f>
        <v/>
      </c>
      <c r="BC949" s="2">
        <f>IF($AS949="","",MID(IF($BA949="기간 밖"," / 기간 밖(신고기간 아님)","")&amp;IF(AND($AW949&lt;&gt;"",COUNTIF($AW$8:$AW$1007,$AW949)&gt;1)," / 승인번호 중복(두 번 붙여넣기?)","")&amp;IF(ABS($AU949-ROUND($AT949*0.1,0))&gt;설정!$B$8,IF($AU949=0," / 세액 0원(영세율·면세 여부 확인)"," / 세액이 공급가액 10%와 다름"),"")&amp;IF($BB949="수정"," / 수정세금계산서(합계에서 자동 가감)",""),4,200))</f>
        <v/>
      </c>
      <c r="BD949" s="2">
        <f>IF($BA949&lt;&gt;"포함","",IF(COUNTIFS($AX$8:$AX949,$AX949,$BA$8:$BA949,"포함")=1,MAX($BD$7:BD948)+1,""))</f>
        <v/>
      </c>
      <c r="BE949" s="2">
        <f>IF($BC949="","",MAX($BE$7:BE948)+1)</f>
        <v/>
      </c>
    </row>
    <row r="950">
      <c r="AR950" s="2">
        <f>IF(OR($A$5="",$B$6="",ROW()&lt;$A$5),"",IF(INDEX($A:$AP,ROW(),$B$6)="","",INDEX($A:$AP,ROW(),$B$6)))</f>
        <v/>
      </c>
      <c r="AS950" s="22">
        <f>IF($AR950="","",IF(ISNUMBER($AR950),IF($AR950&gt;=10000000,IFERROR(DATE(INT($AR950/10000),MOD(INT($AR950/100),100),MOD($AR950,100)),""),INT($AR950)),IFERROR(DATE(--LEFT(LEFT(SUBSTITUTE(SUBSTITUTE(SUBSTITUTE(SUBSTITUTE(TRIM($AR950),"-",""),".",""),"/","")," ",""),8),4),--MID(LEFT(SUBSTITUTE(SUBSTITUTE(SUBSTITUTE(SUBSTITUTE(TRIM($AR950),"-",""),".",""),"/","")," ",""),8),5,2),--MID(LEFT(SUBSTITUTE(SUBSTITUTE(SUBSTITUTE(SUBSTITUTE(TRIM($AR950),"-",""),".",""),"/","")," ",""),8),7,2)),"")))</f>
        <v/>
      </c>
      <c r="AT950" s="23">
        <f>IF($AS950="","",IF($F$6="",0,IF(ISNUMBER(INDEX($A:$AP,ROW(),$F$6)),INDEX($A:$AP,ROW(),$F$6),IFERROR(--SUBSTITUTE(SUBSTITUTE(TRIM(INDEX($A:$AP,ROW(),$F$6)),",",""),"원",""),0))))</f>
        <v/>
      </c>
      <c r="AU950" s="23">
        <f>IF($AS950="","",IF($G$6="",0,IF(ISNUMBER(INDEX($A:$AP,ROW(),$G$6)),INDEX($A:$AP,ROW(),$G$6),IFERROR(--SUBSTITUTE(SUBSTITUTE(TRIM(INDEX($A:$AP,ROW(),$G$6)),",",""),"원",""),0))))</f>
        <v/>
      </c>
      <c r="AV950" s="23">
        <f>IF($AS950="","",IF($H$6="",$AT950+$AU950,IF($H$6="",0,IF(ISNUMBER(INDEX($A:$AP,ROW(),$H$6)),INDEX($A:$AP,ROW(),$H$6),IFERROR(--SUBSTITUTE(SUBSTITUTE(TRIM(INDEX($A:$AP,ROW(),$H$6)),",",""),"원",""),0)))))</f>
        <v/>
      </c>
      <c r="AW950" s="2">
        <f>IF(OR($AS950="",$C$6=""),"",TRIM(INDEX($A:$AP,ROW(),$C$6)&amp;""))</f>
        <v/>
      </c>
      <c r="AX950" s="2">
        <f>IF($AS950="","",IF($AZ950&lt;&gt;"",SUBSTITUTE(SUBSTITUTE($AZ950,"-","")," ",""),$AY950))</f>
        <v/>
      </c>
      <c r="AY950" s="2">
        <f>IF(OR($AS950="",$E$6=""),"",TRIM(INDEX($A:$AP,ROW(),$E$6)&amp;""))</f>
        <v/>
      </c>
      <c r="AZ950" s="2">
        <f>IF(OR($AS950="",$D$6=""),"",TRIM(INDEX($A:$AP,ROW(),$D$6)&amp;""))</f>
        <v/>
      </c>
      <c r="BA950" s="2">
        <f>IF($AS950="","",IF(AND($AS950&gt;=설정!$B$10,$AS950&lt;=설정!$B$11),"포함","기간 밖"))</f>
        <v/>
      </c>
      <c r="BB950" s="2">
        <f>IF($AS950="","",IF(OR($AT950&lt;0,AND($I$6&lt;&gt;"",ISNUMBER(FIND("수정",INDEX($A:$AP,ROW(),IF($I$6="",1,$I$6))&amp;"")))),"수정","일반"))</f>
        <v/>
      </c>
      <c r="BC950" s="2">
        <f>IF($AS950="","",MID(IF($BA950="기간 밖"," / 기간 밖(신고기간 아님)","")&amp;IF(AND($AW950&lt;&gt;"",COUNTIF($AW$8:$AW$1007,$AW950)&gt;1)," / 승인번호 중복(두 번 붙여넣기?)","")&amp;IF(ABS($AU950-ROUND($AT950*0.1,0))&gt;설정!$B$8,IF($AU950=0," / 세액 0원(영세율·면세 여부 확인)"," / 세액이 공급가액 10%와 다름"),"")&amp;IF($BB950="수정"," / 수정세금계산서(합계에서 자동 가감)",""),4,200))</f>
        <v/>
      </c>
      <c r="BD950" s="2">
        <f>IF($BA950&lt;&gt;"포함","",IF(COUNTIFS($AX$8:$AX950,$AX950,$BA$8:$BA950,"포함")=1,MAX($BD$7:BD949)+1,""))</f>
        <v/>
      </c>
      <c r="BE950" s="2">
        <f>IF($BC950="","",MAX($BE$7:BE949)+1)</f>
        <v/>
      </c>
    </row>
    <row r="951">
      <c r="AR951" s="2">
        <f>IF(OR($A$5="",$B$6="",ROW()&lt;$A$5),"",IF(INDEX($A:$AP,ROW(),$B$6)="","",INDEX($A:$AP,ROW(),$B$6)))</f>
        <v/>
      </c>
      <c r="AS951" s="22">
        <f>IF($AR951="","",IF(ISNUMBER($AR951),IF($AR951&gt;=10000000,IFERROR(DATE(INT($AR951/10000),MOD(INT($AR951/100),100),MOD($AR951,100)),""),INT($AR951)),IFERROR(DATE(--LEFT(LEFT(SUBSTITUTE(SUBSTITUTE(SUBSTITUTE(SUBSTITUTE(TRIM($AR951),"-",""),".",""),"/","")," ",""),8),4),--MID(LEFT(SUBSTITUTE(SUBSTITUTE(SUBSTITUTE(SUBSTITUTE(TRIM($AR951),"-",""),".",""),"/","")," ",""),8),5,2),--MID(LEFT(SUBSTITUTE(SUBSTITUTE(SUBSTITUTE(SUBSTITUTE(TRIM($AR951),"-",""),".",""),"/","")," ",""),8),7,2)),"")))</f>
        <v/>
      </c>
      <c r="AT951" s="23">
        <f>IF($AS951="","",IF($F$6="",0,IF(ISNUMBER(INDEX($A:$AP,ROW(),$F$6)),INDEX($A:$AP,ROW(),$F$6),IFERROR(--SUBSTITUTE(SUBSTITUTE(TRIM(INDEX($A:$AP,ROW(),$F$6)),",",""),"원",""),0))))</f>
        <v/>
      </c>
      <c r="AU951" s="23">
        <f>IF($AS951="","",IF($G$6="",0,IF(ISNUMBER(INDEX($A:$AP,ROW(),$G$6)),INDEX($A:$AP,ROW(),$G$6),IFERROR(--SUBSTITUTE(SUBSTITUTE(TRIM(INDEX($A:$AP,ROW(),$G$6)),",",""),"원",""),0))))</f>
        <v/>
      </c>
      <c r="AV951" s="23">
        <f>IF($AS951="","",IF($H$6="",$AT951+$AU951,IF($H$6="",0,IF(ISNUMBER(INDEX($A:$AP,ROW(),$H$6)),INDEX($A:$AP,ROW(),$H$6),IFERROR(--SUBSTITUTE(SUBSTITUTE(TRIM(INDEX($A:$AP,ROW(),$H$6)),",",""),"원",""),0)))))</f>
        <v/>
      </c>
      <c r="AW951" s="2">
        <f>IF(OR($AS951="",$C$6=""),"",TRIM(INDEX($A:$AP,ROW(),$C$6)&amp;""))</f>
        <v/>
      </c>
      <c r="AX951" s="2">
        <f>IF($AS951="","",IF($AZ951&lt;&gt;"",SUBSTITUTE(SUBSTITUTE($AZ951,"-","")," ",""),$AY951))</f>
        <v/>
      </c>
      <c r="AY951" s="2">
        <f>IF(OR($AS951="",$E$6=""),"",TRIM(INDEX($A:$AP,ROW(),$E$6)&amp;""))</f>
        <v/>
      </c>
      <c r="AZ951" s="2">
        <f>IF(OR($AS951="",$D$6=""),"",TRIM(INDEX($A:$AP,ROW(),$D$6)&amp;""))</f>
        <v/>
      </c>
      <c r="BA951" s="2">
        <f>IF($AS951="","",IF(AND($AS951&gt;=설정!$B$10,$AS951&lt;=설정!$B$11),"포함","기간 밖"))</f>
        <v/>
      </c>
      <c r="BB951" s="2">
        <f>IF($AS951="","",IF(OR($AT951&lt;0,AND($I$6&lt;&gt;"",ISNUMBER(FIND("수정",INDEX($A:$AP,ROW(),IF($I$6="",1,$I$6))&amp;"")))),"수정","일반"))</f>
        <v/>
      </c>
      <c r="BC951" s="2">
        <f>IF($AS951="","",MID(IF($BA951="기간 밖"," / 기간 밖(신고기간 아님)","")&amp;IF(AND($AW951&lt;&gt;"",COUNTIF($AW$8:$AW$1007,$AW951)&gt;1)," / 승인번호 중복(두 번 붙여넣기?)","")&amp;IF(ABS($AU951-ROUND($AT951*0.1,0))&gt;설정!$B$8,IF($AU951=0," / 세액 0원(영세율·면세 여부 확인)"," / 세액이 공급가액 10%와 다름"),"")&amp;IF($BB951="수정"," / 수정세금계산서(합계에서 자동 가감)",""),4,200))</f>
        <v/>
      </c>
      <c r="BD951" s="2">
        <f>IF($BA951&lt;&gt;"포함","",IF(COUNTIFS($AX$8:$AX951,$AX951,$BA$8:$BA951,"포함")=1,MAX($BD$7:BD950)+1,""))</f>
        <v/>
      </c>
      <c r="BE951" s="2">
        <f>IF($BC951="","",MAX($BE$7:BE950)+1)</f>
        <v/>
      </c>
    </row>
    <row r="952">
      <c r="AR952" s="2">
        <f>IF(OR($A$5="",$B$6="",ROW()&lt;$A$5),"",IF(INDEX($A:$AP,ROW(),$B$6)="","",INDEX($A:$AP,ROW(),$B$6)))</f>
        <v/>
      </c>
      <c r="AS952" s="22">
        <f>IF($AR952="","",IF(ISNUMBER($AR952),IF($AR952&gt;=10000000,IFERROR(DATE(INT($AR952/10000),MOD(INT($AR952/100),100),MOD($AR952,100)),""),INT($AR952)),IFERROR(DATE(--LEFT(LEFT(SUBSTITUTE(SUBSTITUTE(SUBSTITUTE(SUBSTITUTE(TRIM($AR952),"-",""),".",""),"/","")," ",""),8),4),--MID(LEFT(SUBSTITUTE(SUBSTITUTE(SUBSTITUTE(SUBSTITUTE(TRIM($AR952),"-",""),".",""),"/","")," ",""),8),5,2),--MID(LEFT(SUBSTITUTE(SUBSTITUTE(SUBSTITUTE(SUBSTITUTE(TRIM($AR952),"-",""),".",""),"/","")," ",""),8),7,2)),"")))</f>
        <v/>
      </c>
      <c r="AT952" s="23">
        <f>IF($AS952="","",IF($F$6="",0,IF(ISNUMBER(INDEX($A:$AP,ROW(),$F$6)),INDEX($A:$AP,ROW(),$F$6),IFERROR(--SUBSTITUTE(SUBSTITUTE(TRIM(INDEX($A:$AP,ROW(),$F$6)),",",""),"원",""),0))))</f>
        <v/>
      </c>
      <c r="AU952" s="23">
        <f>IF($AS952="","",IF($G$6="",0,IF(ISNUMBER(INDEX($A:$AP,ROW(),$G$6)),INDEX($A:$AP,ROW(),$G$6),IFERROR(--SUBSTITUTE(SUBSTITUTE(TRIM(INDEX($A:$AP,ROW(),$G$6)),",",""),"원",""),0))))</f>
        <v/>
      </c>
      <c r="AV952" s="23">
        <f>IF($AS952="","",IF($H$6="",$AT952+$AU952,IF($H$6="",0,IF(ISNUMBER(INDEX($A:$AP,ROW(),$H$6)),INDEX($A:$AP,ROW(),$H$6),IFERROR(--SUBSTITUTE(SUBSTITUTE(TRIM(INDEX($A:$AP,ROW(),$H$6)),",",""),"원",""),0)))))</f>
        <v/>
      </c>
      <c r="AW952" s="2">
        <f>IF(OR($AS952="",$C$6=""),"",TRIM(INDEX($A:$AP,ROW(),$C$6)&amp;""))</f>
        <v/>
      </c>
      <c r="AX952" s="2">
        <f>IF($AS952="","",IF($AZ952&lt;&gt;"",SUBSTITUTE(SUBSTITUTE($AZ952,"-","")," ",""),$AY952))</f>
        <v/>
      </c>
      <c r="AY952" s="2">
        <f>IF(OR($AS952="",$E$6=""),"",TRIM(INDEX($A:$AP,ROW(),$E$6)&amp;""))</f>
        <v/>
      </c>
      <c r="AZ952" s="2">
        <f>IF(OR($AS952="",$D$6=""),"",TRIM(INDEX($A:$AP,ROW(),$D$6)&amp;""))</f>
        <v/>
      </c>
      <c r="BA952" s="2">
        <f>IF($AS952="","",IF(AND($AS952&gt;=설정!$B$10,$AS952&lt;=설정!$B$11),"포함","기간 밖"))</f>
        <v/>
      </c>
      <c r="BB952" s="2">
        <f>IF($AS952="","",IF(OR($AT952&lt;0,AND($I$6&lt;&gt;"",ISNUMBER(FIND("수정",INDEX($A:$AP,ROW(),IF($I$6="",1,$I$6))&amp;"")))),"수정","일반"))</f>
        <v/>
      </c>
      <c r="BC952" s="2">
        <f>IF($AS952="","",MID(IF($BA952="기간 밖"," / 기간 밖(신고기간 아님)","")&amp;IF(AND($AW952&lt;&gt;"",COUNTIF($AW$8:$AW$1007,$AW952)&gt;1)," / 승인번호 중복(두 번 붙여넣기?)","")&amp;IF(ABS($AU952-ROUND($AT952*0.1,0))&gt;설정!$B$8,IF($AU952=0," / 세액 0원(영세율·면세 여부 확인)"," / 세액이 공급가액 10%와 다름"),"")&amp;IF($BB952="수정"," / 수정세금계산서(합계에서 자동 가감)",""),4,200))</f>
        <v/>
      </c>
      <c r="BD952" s="2">
        <f>IF($BA952&lt;&gt;"포함","",IF(COUNTIFS($AX$8:$AX952,$AX952,$BA$8:$BA952,"포함")=1,MAX($BD$7:BD951)+1,""))</f>
        <v/>
      </c>
      <c r="BE952" s="2">
        <f>IF($BC952="","",MAX($BE$7:BE951)+1)</f>
        <v/>
      </c>
    </row>
    <row r="953">
      <c r="AR953" s="2">
        <f>IF(OR($A$5="",$B$6="",ROW()&lt;$A$5),"",IF(INDEX($A:$AP,ROW(),$B$6)="","",INDEX($A:$AP,ROW(),$B$6)))</f>
        <v/>
      </c>
      <c r="AS953" s="22">
        <f>IF($AR953="","",IF(ISNUMBER($AR953),IF($AR953&gt;=10000000,IFERROR(DATE(INT($AR953/10000),MOD(INT($AR953/100),100),MOD($AR953,100)),""),INT($AR953)),IFERROR(DATE(--LEFT(LEFT(SUBSTITUTE(SUBSTITUTE(SUBSTITUTE(SUBSTITUTE(TRIM($AR953),"-",""),".",""),"/","")," ",""),8),4),--MID(LEFT(SUBSTITUTE(SUBSTITUTE(SUBSTITUTE(SUBSTITUTE(TRIM($AR953),"-",""),".",""),"/","")," ",""),8),5,2),--MID(LEFT(SUBSTITUTE(SUBSTITUTE(SUBSTITUTE(SUBSTITUTE(TRIM($AR953),"-",""),".",""),"/","")," ",""),8),7,2)),"")))</f>
        <v/>
      </c>
      <c r="AT953" s="23">
        <f>IF($AS953="","",IF($F$6="",0,IF(ISNUMBER(INDEX($A:$AP,ROW(),$F$6)),INDEX($A:$AP,ROW(),$F$6),IFERROR(--SUBSTITUTE(SUBSTITUTE(TRIM(INDEX($A:$AP,ROW(),$F$6)),",",""),"원",""),0))))</f>
        <v/>
      </c>
      <c r="AU953" s="23">
        <f>IF($AS953="","",IF($G$6="",0,IF(ISNUMBER(INDEX($A:$AP,ROW(),$G$6)),INDEX($A:$AP,ROW(),$G$6),IFERROR(--SUBSTITUTE(SUBSTITUTE(TRIM(INDEX($A:$AP,ROW(),$G$6)),",",""),"원",""),0))))</f>
        <v/>
      </c>
      <c r="AV953" s="23">
        <f>IF($AS953="","",IF($H$6="",$AT953+$AU953,IF($H$6="",0,IF(ISNUMBER(INDEX($A:$AP,ROW(),$H$6)),INDEX($A:$AP,ROW(),$H$6),IFERROR(--SUBSTITUTE(SUBSTITUTE(TRIM(INDEX($A:$AP,ROW(),$H$6)),",",""),"원",""),0)))))</f>
        <v/>
      </c>
      <c r="AW953" s="2">
        <f>IF(OR($AS953="",$C$6=""),"",TRIM(INDEX($A:$AP,ROW(),$C$6)&amp;""))</f>
        <v/>
      </c>
      <c r="AX953" s="2">
        <f>IF($AS953="","",IF($AZ953&lt;&gt;"",SUBSTITUTE(SUBSTITUTE($AZ953,"-","")," ",""),$AY953))</f>
        <v/>
      </c>
      <c r="AY953" s="2">
        <f>IF(OR($AS953="",$E$6=""),"",TRIM(INDEX($A:$AP,ROW(),$E$6)&amp;""))</f>
        <v/>
      </c>
      <c r="AZ953" s="2">
        <f>IF(OR($AS953="",$D$6=""),"",TRIM(INDEX($A:$AP,ROW(),$D$6)&amp;""))</f>
        <v/>
      </c>
      <c r="BA953" s="2">
        <f>IF($AS953="","",IF(AND($AS953&gt;=설정!$B$10,$AS953&lt;=설정!$B$11),"포함","기간 밖"))</f>
        <v/>
      </c>
      <c r="BB953" s="2">
        <f>IF($AS953="","",IF(OR($AT953&lt;0,AND($I$6&lt;&gt;"",ISNUMBER(FIND("수정",INDEX($A:$AP,ROW(),IF($I$6="",1,$I$6))&amp;"")))),"수정","일반"))</f>
        <v/>
      </c>
      <c r="BC953" s="2">
        <f>IF($AS953="","",MID(IF($BA953="기간 밖"," / 기간 밖(신고기간 아님)","")&amp;IF(AND($AW953&lt;&gt;"",COUNTIF($AW$8:$AW$1007,$AW953)&gt;1)," / 승인번호 중복(두 번 붙여넣기?)","")&amp;IF(ABS($AU953-ROUND($AT953*0.1,0))&gt;설정!$B$8,IF($AU953=0," / 세액 0원(영세율·면세 여부 확인)"," / 세액이 공급가액 10%와 다름"),"")&amp;IF($BB953="수정"," / 수정세금계산서(합계에서 자동 가감)",""),4,200))</f>
        <v/>
      </c>
      <c r="BD953" s="2">
        <f>IF($BA953&lt;&gt;"포함","",IF(COUNTIFS($AX$8:$AX953,$AX953,$BA$8:$BA953,"포함")=1,MAX($BD$7:BD952)+1,""))</f>
        <v/>
      </c>
      <c r="BE953" s="2">
        <f>IF($BC953="","",MAX($BE$7:BE952)+1)</f>
        <v/>
      </c>
    </row>
    <row r="954">
      <c r="AR954" s="2">
        <f>IF(OR($A$5="",$B$6="",ROW()&lt;$A$5),"",IF(INDEX($A:$AP,ROW(),$B$6)="","",INDEX($A:$AP,ROW(),$B$6)))</f>
        <v/>
      </c>
      <c r="AS954" s="22">
        <f>IF($AR954="","",IF(ISNUMBER($AR954),IF($AR954&gt;=10000000,IFERROR(DATE(INT($AR954/10000),MOD(INT($AR954/100),100),MOD($AR954,100)),""),INT($AR954)),IFERROR(DATE(--LEFT(LEFT(SUBSTITUTE(SUBSTITUTE(SUBSTITUTE(SUBSTITUTE(TRIM($AR954),"-",""),".",""),"/","")," ",""),8),4),--MID(LEFT(SUBSTITUTE(SUBSTITUTE(SUBSTITUTE(SUBSTITUTE(TRIM($AR954),"-",""),".",""),"/","")," ",""),8),5,2),--MID(LEFT(SUBSTITUTE(SUBSTITUTE(SUBSTITUTE(SUBSTITUTE(TRIM($AR954),"-",""),".",""),"/","")," ",""),8),7,2)),"")))</f>
        <v/>
      </c>
      <c r="AT954" s="23">
        <f>IF($AS954="","",IF($F$6="",0,IF(ISNUMBER(INDEX($A:$AP,ROW(),$F$6)),INDEX($A:$AP,ROW(),$F$6),IFERROR(--SUBSTITUTE(SUBSTITUTE(TRIM(INDEX($A:$AP,ROW(),$F$6)),",",""),"원",""),0))))</f>
        <v/>
      </c>
      <c r="AU954" s="23">
        <f>IF($AS954="","",IF($G$6="",0,IF(ISNUMBER(INDEX($A:$AP,ROW(),$G$6)),INDEX($A:$AP,ROW(),$G$6),IFERROR(--SUBSTITUTE(SUBSTITUTE(TRIM(INDEX($A:$AP,ROW(),$G$6)),",",""),"원",""),0))))</f>
        <v/>
      </c>
      <c r="AV954" s="23">
        <f>IF($AS954="","",IF($H$6="",$AT954+$AU954,IF($H$6="",0,IF(ISNUMBER(INDEX($A:$AP,ROW(),$H$6)),INDEX($A:$AP,ROW(),$H$6),IFERROR(--SUBSTITUTE(SUBSTITUTE(TRIM(INDEX($A:$AP,ROW(),$H$6)),",",""),"원",""),0)))))</f>
        <v/>
      </c>
      <c r="AW954" s="2">
        <f>IF(OR($AS954="",$C$6=""),"",TRIM(INDEX($A:$AP,ROW(),$C$6)&amp;""))</f>
        <v/>
      </c>
      <c r="AX954" s="2">
        <f>IF($AS954="","",IF($AZ954&lt;&gt;"",SUBSTITUTE(SUBSTITUTE($AZ954,"-","")," ",""),$AY954))</f>
        <v/>
      </c>
      <c r="AY954" s="2">
        <f>IF(OR($AS954="",$E$6=""),"",TRIM(INDEX($A:$AP,ROW(),$E$6)&amp;""))</f>
        <v/>
      </c>
      <c r="AZ954" s="2">
        <f>IF(OR($AS954="",$D$6=""),"",TRIM(INDEX($A:$AP,ROW(),$D$6)&amp;""))</f>
        <v/>
      </c>
      <c r="BA954" s="2">
        <f>IF($AS954="","",IF(AND($AS954&gt;=설정!$B$10,$AS954&lt;=설정!$B$11),"포함","기간 밖"))</f>
        <v/>
      </c>
      <c r="BB954" s="2">
        <f>IF($AS954="","",IF(OR($AT954&lt;0,AND($I$6&lt;&gt;"",ISNUMBER(FIND("수정",INDEX($A:$AP,ROW(),IF($I$6="",1,$I$6))&amp;"")))),"수정","일반"))</f>
        <v/>
      </c>
      <c r="BC954" s="2">
        <f>IF($AS954="","",MID(IF($BA954="기간 밖"," / 기간 밖(신고기간 아님)","")&amp;IF(AND($AW954&lt;&gt;"",COUNTIF($AW$8:$AW$1007,$AW954)&gt;1)," / 승인번호 중복(두 번 붙여넣기?)","")&amp;IF(ABS($AU954-ROUND($AT954*0.1,0))&gt;설정!$B$8,IF($AU954=0," / 세액 0원(영세율·면세 여부 확인)"," / 세액이 공급가액 10%와 다름"),"")&amp;IF($BB954="수정"," / 수정세금계산서(합계에서 자동 가감)",""),4,200))</f>
        <v/>
      </c>
      <c r="BD954" s="2">
        <f>IF($BA954&lt;&gt;"포함","",IF(COUNTIFS($AX$8:$AX954,$AX954,$BA$8:$BA954,"포함")=1,MAX($BD$7:BD953)+1,""))</f>
        <v/>
      </c>
      <c r="BE954" s="2">
        <f>IF($BC954="","",MAX($BE$7:BE953)+1)</f>
        <v/>
      </c>
    </row>
    <row r="955">
      <c r="AR955" s="2">
        <f>IF(OR($A$5="",$B$6="",ROW()&lt;$A$5),"",IF(INDEX($A:$AP,ROW(),$B$6)="","",INDEX($A:$AP,ROW(),$B$6)))</f>
        <v/>
      </c>
      <c r="AS955" s="22">
        <f>IF($AR955="","",IF(ISNUMBER($AR955),IF($AR955&gt;=10000000,IFERROR(DATE(INT($AR955/10000),MOD(INT($AR955/100),100),MOD($AR955,100)),""),INT($AR955)),IFERROR(DATE(--LEFT(LEFT(SUBSTITUTE(SUBSTITUTE(SUBSTITUTE(SUBSTITUTE(TRIM($AR955),"-",""),".",""),"/","")," ",""),8),4),--MID(LEFT(SUBSTITUTE(SUBSTITUTE(SUBSTITUTE(SUBSTITUTE(TRIM($AR955),"-",""),".",""),"/","")," ",""),8),5,2),--MID(LEFT(SUBSTITUTE(SUBSTITUTE(SUBSTITUTE(SUBSTITUTE(TRIM($AR955),"-",""),".",""),"/","")," ",""),8),7,2)),"")))</f>
        <v/>
      </c>
      <c r="AT955" s="23">
        <f>IF($AS955="","",IF($F$6="",0,IF(ISNUMBER(INDEX($A:$AP,ROW(),$F$6)),INDEX($A:$AP,ROW(),$F$6),IFERROR(--SUBSTITUTE(SUBSTITUTE(TRIM(INDEX($A:$AP,ROW(),$F$6)),",",""),"원",""),0))))</f>
        <v/>
      </c>
      <c r="AU955" s="23">
        <f>IF($AS955="","",IF($G$6="",0,IF(ISNUMBER(INDEX($A:$AP,ROW(),$G$6)),INDEX($A:$AP,ROW(),$G$6),IFERROR(--SUBSTITUTE(SUBSTITUTE(TRIM(INDEX($A:$AP,ROW(),$G$6)),",",""),"원",""),0))))</f>
        <v/>
      </c>
      <c r="AV955" s="23">
        <f>IF($AS955="","",IF($H$6="",$AT955+$AU955,IF($H$6="",0,IF(ISNUMBER(INDEX($A:$AP,ROW(),$H$6)),INDEX($A:$AP,ROW(),$H$6),IFERROR(--SUBSTITUTE(SUBSTITUTE(TRIM(INDEX($A:$AP,ROW(),$H$6)),",",""),"원",""),0)))))</f>
        <v/>
      </c>
      <c r="AW955" s="2">
        <f>IF(OR($AS955="",$C$6=""),"",TRIM(INDEX($A:$AP,ROW(),$C$6)&amp;""))</f>
        <v/>
      </c>
      <c r="AX955" s="2">
        <f>IF($AS955="","",IF($AZ955&lt;&gt;"",SUBSTITUTE(SUBSTITUTE($AZ955,"-","")," ",""),$AY955))</f>
        <v/>
      </c>
      <c r="AY955" s="2">
        <f>IF(OR($AS955="",$E$6=""),"",TRIM(INDEX($A:$AP,ROW(),$E$6)&amp;""))</f>
        <v/>
      </c>
      <c r="AZ955" s="2">
        <f>IF(OR($AS955="",$D$6=""),"",TRIM(INDEX($A:$AP,ROW(),$D$6)&amp;""))</f>
        <v/>
      </c>
      <c r="BA955" s="2">
        <f>IF($AS955="","",IF(AND($AS955&gt;=설정!$B$10,$AS955&lt;=설정!$B$11),"포함","기간 밖"))</f>
        <v/>
      </c>
      <c r="BB955" s="2">
        <f>IF($AS955="","",IF(OR($AT955&lt;0,AND($I$6&lt;&gt;"",ISNUMBER(FIND("수정",INDEX($A:$AP,ROW(),IF($I$6="",1,$I$6))&amp;"")))),"수정","일반"))</f>
        <v/>
      </c>
      <c r="BC955" s="2">
        <f>IF($AS955="","",MID(IF($BA955="기간 밖"," / 기간 밖(신고기간 아님)","")&amp;IF(AND($AW955&lt;&gt;"",COUNTIF($AW$8:$AW$1007,$AW955)&gt;1)," / 승인번호 중복(두 번 붙여넣기?)","")&amp;IF(ABS($AU955-ROUND($AT955*0.1,0))&gt;설정!$B$8,IF($AU955=0," / 세액 0원(영세율·면세 여부 확인)"," / 세액이 공급가액 10%와 다름"),"")&amp;IF($BB955="수정"," / 수정세금계산서(합계에서 자동 가감)",""),4,200))</f>
        <v/>
      </c>
      <c r="BD955" s="2">
        <f>IF($BA955&lt;&gt;"포함","",IF(COUNTIFS($AX$8:$AX955,$AX955,$BA$8:$BA955,"포함")=1,MAX($BD$7:BD954)+1,""))</f>
        <v/>
      </c>
      <c r="BE955" s="2">
        <f>IF($BC955="","",MAX($BE$7:BE954)+1)</f>
        <v/>
      </c>
    </row>
    <row r="956">
      <c r="AR956" s="2">
        <f>IF(OR($A$5="",$B$6="",ROW()&lt;$A$5),"",IF(INDEX($A:$AP,ROW(),$B$6)="","",INDEX($A:$AP,ROW(),$B$6)))</f>
        <v/>
      </c>
      <c r="AS956" s="22">
        <f>IF($AR956="","",IF(ISNUMBER($AR956),IF($AR956&gt;=10000000,IFERROR(DATE(INT($AR956/10000),MOD(INT($AR956/100),100),MOD($AR956,100)),""),INT($AR956)),IFERROR(DATE(--LEFT(LEFT(SUBSTITUTE(SUBSTITUTE(SUBSTITUTE(SUBSTITUTE(TRIM($AR956),"-",""),".",""),"/","")," ",""),8),4),--MID(LEFT(SUBSTITUTE(SUBSTITUTE(SUBSTITUTE(SUBSTITUTE(TRIM($AR956),"-",""),".",""),"/","")," ",""),8),5,2),--MID(LEFT(SUBSTITUTE(SUBSTITUTE(SUBSTITUTE(SUBSTITUTE(TRIM($AR956),"-",""),".",""),"/","")," ",""),8),7,2)),"")))</f>
        <v/>
      </c>
      <c r="AT956" s="23">
        <f>IF($AS956="","",IF($F$6="",0,IF(ISNUMBER(INDEX($A:$AP,ROW(),$F$6)),INDEX($A:$AP,ROW(),$F$6),IFERROR(--SUBSTITUTE(SUBSTITUTE(TRIM(INDEX($A:$AP,ROW(),$F$6)),",",""),"원",""),0))))</f>
        <v/>
      </c>
      <c r="AU956" s="23">
        <f>IF($AS956="","",IF($G$6="",0,IF(ISNUMBER(INDEX($A:$AP,ROW(),$G$6)),INDEX($A:$AP,ROW(),$G$6),IFERROR(--SUBSTITUTE(SUBSTITUTE(TRIM(INDEX($A:$AP,ROW(),$G$6)),",",""),"원",""),0))))</f>
        <v/>
      </c>
      <c r="AV956" s="23">
        <f>IF($AS956="","",IF($H$6="",$AT956+$AU956,IF($H$6="",0,IF(ISNUMBER(INDEX($A:$AP,ROW(),$H$6)),INDEX($A:$AP,ROW(),$H$6),IFERROR(--SUBSTITUTE(SUBSTITUTE(TRIM(INDEX($A:$AP,ROW(),$H$6)),",",""),"원",""),0)))))</f>
        <v/>
      </c>
      <c r="AW956" s="2">
        <f>IF(OR($AS956="",$C$6=""),"",TRIM(INDEX($A:$AP,ROW(),$C$6)&amp;""))</f>
        <v/>
      </c>
      <c r="AX956" s="2">
        <f>IF($AS956="","",IF($AZ956&lt;&gt;"",SUBSTITUTE(SUBSTITUTE($AZ956,"-","")," ",""),$AY956))</f>
        <v/>
      </c>
      <c r="AY956" s="2">
        <f>IF(OR($AS956="",$E$6=""),"",TRIM(INDEX($A:$AP,ROW(),$E$6)&amp;""))</f>
        <v/>
      </c>
      <c r="AZ956" s="2">
        <f>IF(OR($AS956="",$D$6=""),"",TRIM(INDEX($A:$AP,ROW(),$D$6)&amp;""))</f>
        <v/>
      </c>
      <c r="BA956" s="2">
        <f>IF($AS956="","",IF(AND($AS956&gt;=설정!$B$10,$AS956&lt;=설정!$B$11),"포함","기간 밖"))</f>
        <v/>
      </c>
      <c r="BB956" s="2">
        <f>IF($AS956="","",IF(OR($AT956&lt;0,AND($I$6&lt;&gt;"",ISNUMBER(FIND("수정",INDEX($A:$AP,ROW(),IF($I$6="",1,$I$6))&amp;"")))),"수정","일반"))</f>
        <v/>
      </c>
      <c r="BC956" s="2">
        <f>IF($AS956="","",MID(IF($BA956="기간 밖"," / 기간 밖(신고기간 아님)","")&amp;IF(AND($AW956&lt;&gt;"",COUNTIF($AW$8:$AW$1007,$AW956)&gt;1)," / 승인번호 중복(두 번 붙여넣기?)","")&amp;IF(ABS($AU956-ROUND($AT956*0.1,0))&gt;설정!$B$8,IF($AU956=0," / 세액 0원(영세율·면세 여부 확인)"," / 세액이 공급가액 10%와 다름"),"")&amp;IF($BB956="수정"," / 수정세금계산서(합계에서 자동 가감)",""),4,200))</f>
        <v/>
      </c>
      <c r="BD956" s="2">
        <f>IF($BA956&lt;&gt;"포함","",IF(COUNTIFS($AX$8:$AX956,$AX956,$BA$8:$BA956,"포함")=1,MAX($BD$7:BD955)+1,""))</f>
        <v/>
      </c>
      <c r="BE956" s="2">
        <f>IF($BC956="","",MAX($BE$7:BE955)+1)</f>
        <v/>
      </c>
    </row>
    <row r="957">
      <c r="AR957" s="2">
        <f>IF(OR($A$5="",$B$6="",ROW()&lt;$A$5),"",IF(INDEX($A:$AP,ROW(),$B$6)="","",INDEX($A:$AP,ROW(),$B$6)))</f>
        <v/>
      </c>
      <c r="AS957" s="22">
        <f>IF($AR957="","",IF(ISNUMBER($AR957),IF($AR957&gt;=10000000,IFERROR(DATE(INT($AR957/10000),MOD(INT($AR957/100),100),MOD($AR957,100)),""),INT($AR957)),IFERROR(DATE(--LEFT(LEFT(SUBSTITUTE(SUBSTITUTE(SUBSTITUTE(SUBSTITUTE(TRIM($AR957),"-",""),".",""),"/","")," ",""),8),4),--MID(LEFT(SUBSTITUTE(SUBSTITUTE(SUBSTITUTE(SUBSTITUTE(TRIM($AR957),"-",""),".",""),"/","")," ",""),8),5,2),--MID(LEFT(SUBSTITUTE(SUBSTITUTE(SUBSTITUTE(SUBSTITUTE(TRIM($AR957),"-",""),".",""),"/","")," ",""),8),7,2)),"")))</f>
        <v/>
      </c>
      <c r="AT957" s="23">
        <f>IF($AS957="","",IF($F$6="",0,IF(ISNUMBER(INDEX($A:$AP,ROW(),$F$6)),INDEX($A:$AP,ROW(),$F$6),IFERROR(--SUBSTITUTE(SUBSTITUTE(TRIM(INDEX($A:$AP,ROW(),$F$6)),",",""),"원",""),0))))</f>
        <v/>
      </c>
      <c r="AU957" s="23">
        <f>IF($AS957="","",IF($G$6="",0,IF(ISNUMBER(INDEX($A:$AP,ROW(),$G$6)),INDEX($A:$AP,ROW(),$G$6),IFERROR(--SUBSTITUTE(SUBSTITUTE(TRIM(INDEX($A:$AP,ROW(),$G$6)),",",""),"원",""),0))))</f>
        <v/>
      </c>
      <c r="AV957" s="23">
        <f>IF($AS957="","",IF($H$6="",$AT957+$AU957,IF($H$6="",0,IF(ISNUMBER(INDEX($A:$AP,ROW(),$H$6)),INDEX($A:$AP,ROW(),$H$6),IFERROR(--SUBSTITUTE(SUBSTITUTE(TRIM(INDEX($A:$AP,ROW(),$H$6)),",",""),"원",""),0)))))</f>
        <v/>
      </c>
      <c r="AW957" s="2">
        <f>IF(OR($AS957="",$C$6=""),"",TRIM(INDEX($A:$AP,ROW(),$C$6)&amp;""))</f>
        <v/>
      </c>
      <c r="AX957" s="2">
        <f>IF($AS957="","",IF($AZ957&lt;&gt;"",SUBSTITUTE(SUBSTITUTE($AZ957,"-","")," ",""),$AY957))</f>
        <v/>
      </c>
      <c r="AY957" s="2">
        <f>IF(OR($AS957="",$E$6=""),"",TRIM(INDEX($A:$AP,ROW(),$E$6)&amp;""))</f>
        <v/>
      </c>
      <c r="AZ957" s="2">
        <f>IF(OR($AS957="",$D$6=""),"",TRIM(INDEX($A:$AP,ROW(),$D$6)&amp;""))</f>
        <v/>
      </c>
      <c r="BA957" s="2">
        <f>IF($AS957="","",IF(AND($AS957&gt;=설정!$B$10,$AS957&lt;=설정!$B$11),"포함","기간 밖"))</f>
        <v/>
      </c>
      <c r="BB957" s="2">
        <f>IF($AS957="","",IF(OR($AT957&lt;0,AND($I$6&lt;&gt;"",ISNUMBER(FIND("수정",INDEX($A:$AP,ROW(),IF($I$6="",1,$I$6))&amp;"")))),"수정","일반"))</f>
        <v/>
      </c>
      <c r="BC957" s="2">
        <f>IF($AS957="","",MID(IF($BA957="기간 밖"," / 기간 밖(신고기간 아님)","")&amp;IF(AND($AW957&lt;&gt;"",COUNTIF($AW$8:$AW$1007,$AW957)&gt;1)," / 승인번호 중복(두 번 붙여넣기?)","")&amp;IF(ABS($AU957-ROUND($AT957*0.1,0))&gt;설정!$B$8,IF($AU957=0," / 세액 0원(영세율·면세 여부 확인)"," / 세액이 공급가액 10%와 다름"),"")&amp;IF($BB957="수정"," / 수정세금계산서(합계에서 자동 가감)",""),4,200))</f>
        <v/>
      </c>
      <c r="BD957" s="2">
        <f>IF($BA957&lt;&gt;"포함","",IF(COUNTIFS($AX$8:$AX957,$AX957,$BA$8:$BA957,"포함")=1,MAX($BD$7:BD956)+1,""))</f>
        <v/>
      </c>
      <c r="BE957" s="2">
        <f>IF($BC957="","",MAX($BE$7:BE956)+1)</f>
        <v/>
      </c>
    </row>
    <row r="958">
      <c r="AR958" s="2">
        <f>IF(OR($A$5="",$B$6="",ROW()&lt;$A$5),"",IF(INDEX($A:$AP,ROW(),$B$6)="","",INDEX($A:$AP,ROW(),$B$6)))</f>
        <v/>
      </c>
      <c r="AS958" s="22">
        <f>IF($AR958="","",IF(ISNUMBER($AR958),IF($AR958&gt;=10000000,IFERROR(DATE(INT($AR958/10000),MOD(INT($AR958/100),100),MOD($AR958,100)),""),INT($AR958)),IFERROR(DATE(--LEFT(LEFT(SUBSTITUTE(SUBSTITUTE(SUBSTITUTE(SUBSTITUTE(TRIM($AR958),"-",""),".",""),"/","")," ",""),8),4),--MID(LEFT(SUBSTITUTE(SUBSTITUTE(SUBSTITUTE(SUBSTITUTE(TRIM($AR958),"-",""),".",""),"/","")," ",""),8),5,2),--MID(LEFT(SUBSTITUTE(SUBSTITUTE(SUBSTITUTE(SUBSTITUTE(TRIM($AR958),"-",""),".",""),"/","")," ",""),8),7,2)),"")))</f>
        <v/>
      </c>
      <c r="AT958" s="23">
        <f>IF($AS958="","",IF($F$6="",0,IF(ISNUMBER(INDEX($A:$AP,ROW(),$F$6)),INDEX($A:$AP,ROW(),$F$6),IFERROR(--SUBSTITUTE(SUBSTITUTE(TRIM(INDEX($A:$AP,ROW(),$F$6)),",",""),"원",""),0))))</f>
        <v/>
      </c>
      <c r="AU958" s="23">
        <f>IF($AS958="","",IF($G$6="",0,IF(ISNUMBER(INDEX($A:$AP,ROW(),$G$6)),INDEX($A:$AP,ROW(),$G$6),IFERROR(--SUBSTITUTE(SUBSTITUTE(TRIM(INDEX($A:$AP,ROW(),$G$6)),",",""),"원",""),0))))</f>
        <v/>
      </c>
      <c r="AV958" s="23">
        <f>IF($AS958="","",IF($H$6="",$AT958+$AU958,IF($H$6="",0,IF(ISNUMBER(INDEX($A:$AP,ROW(),$H$6)),INDEX($A:$AP,ROW(),$H$6),IFERROR(--SUBSTITUTE(SUBSTITUTE(TRIM(INDEX($A:$AP,ROW(),$H$6)),",",""),"원",""),0)))))</f>
        <v/>
      </c>
      <c r="AW958" s="2">
        <f>IF(OR($AS958="",$C$6=""),"",TRIM(INDEX($A:$AP,ROW(),$C$6)&amp;""))</f>
        <v/>
      </c>
      <c r="AX958" s="2">
        <f>IF($AS958="","",IF($AZ958&lt;&gt;"",SUBSTITUTE(SUBSTITUTE($AZ958,"-","")," ",""),$AY958))</f>
        <v/>
      </c>
      <c r="AY958" s="2">
        <f>IF(OR($AS958="",$E$6=""),"",TRIM(INDEX($A:$AP,ROW(),$E$6)&amp;""))</f>
        <v/>
      </c>
      <c r="AZ958" s="2">
        <f>IF(OR($AS958="",$D$6=""),"",TRIM(INDEX($A:$AP,ROW(),$D$6)&amp;""))</f>
        <v/>
      </c>
      <c r="BA958" s="2">
        <f>IF($AS958="","",IF(AND($AS958&gt;=설정!$B$10,$AS958&lt;=설정!$B$11),"포함","기간 밖"))</f>
        <v/>
      </c>
      <c r="BB958" s="2">
        <f>IF($AS958="","",IF(OR($AT958&lt;0,AND($I$6&lt;&gt;"",ISNUMBER(FIND("수정",INDEX($A:$AP,ROW(),IF($I$6="",1,$I$6))&amp;"")))),"수정","일반"))</f>
        <v/>
      </c>
      <c r="BC958" s="2">
        <f>IF($AS958="","",MID(IF($BA958="기간 밖"," / 기간 밖(신고기간 아님)","")&amp;IF(AND($AW958&lt;&gt;"",COUNTIF($AW$8:$AW$1007,$AW958)&gt;1)," / 승인번호 중복(두 번 붙여넣기?)","")&amp;IF(ABS($AU958-ROUND($AT958*0.1,0))&gt;설정!$B$8,IF($AU958=0," / 세액 0원(영세율·면세 여부 확인)"," / 세액이 공급가액 10%와 다름"),"")&amp;IF($BB958="수정"," / 수정세금계산서(합계에서 자동 가감)",""),4,200))</f>
        <v/>
      </c>
      <c r="BD958" s="2">
        <f>IF($BA958&lt;&gt;"포함","",IF(COUNTIFS($AX$8:$AX958,$AX958,$BA$8:$BA958,"포함")=1,MAX($BD$7:BD957)+1,""))</f>
        <v/>
      </c>
      <c r="BE958" s="2">
        <f>IF($BC958="","",MAX($BE$7:BE957)+1)</f>
        <v/>
      </c>
    </row>
    <row r="959">
      <c r="AR959" s="2">
        <f>IF(OR($A$5="",$B$6="",ROW()&lt;$A$5),"",IF(INDEX($A:$AP,ROW(),$B$6)="","",INDEX($A:$AP,ROW(),$B$6)))</f>
        <v/>
      </c>
      <c r="AS959" s="22">
        <f>IF($AR959="","",IF(ISNUMBER($AR959),IF($AR959&gt;=10000000,IFERROR(DATE(INT($AR959/10000),MOD(INT($AR959/100),100),MOD($AR959,100)),""),INT($AR959)),IFERROR(DATE(--LEFT(LEFT(SUBSTITUTE(SUBSTITUTE(SUBSTITUTE(SUBSTITUTE(TRIM($AR959),"-",""),".",""),"/","")," ",""),8),4),--MID(LEFT(SUBSTITUTE(SUBSTITUTE(SUBSTITUTE(SUBSTITUTE(TRIM($AR959),"-",""),".",""),"/","")," ",""),8),5,2),--MID(LEFT(SUBSTITUTE(SUBSTITUTE(SUBSTITUTE(SUBSTITUTE(TRIM($AR959),"-",""),".",""),"/","")," ",""),8),7,2)),"")))</f>
        <v/>
      </c>
      <c r="AT959" s="23">
        <f>IF($AS959="","",IF($F$6="",0,IF(ISNUMBER(INDEX($A:$AP,ROW(),$F$6)),INDEX($A:$AP,ROW(),$F$6),IFERROR(--SUBSTITUTE(SUBSTITUTE(TRIM(INDEX($A:$AP,ROW(),$F$6)),",",""),"원",""),0))))</f>
        <v/>
      </c>
      <c r="AU959" s="23">
        <f>IF($AS959="","",IF($G$6="",0,IF(ISNUMBER(INDEX($A:$AP,ROW(),$G$6)),INDEX($A:$AP,ROW(),$G$6),IFERROR(--SUBSTITUTE(SUBSTITUTE(TRIM(INDEX($A:$AP,ROW(),$G$6)),",",""),"원",""),0))))</f>
        <v/>
      </c>
      <c r="AV959" s="23">
        <f>IF($AS959="","",IF($H$6="",$AT959+$AU959,IF($H$6="",0,IF(ISNUMBER(INDEX($A:$AP,ROW(),$H$6)),INDEX($A:$AP,ROW(),$H$6),IFERROR(--SUBSTITUTE(SUBSTITUTE(TRIM(INDEX($A:$AP,ROW(),$H$6)),",",""),"원",""),0)))))</f>
        <v/>
      </c>
      <c r="AW959" s="2">
        <f>IF(OR($AS959="",$C$6=""),"",TRIM(INDEX($A:$AP,ROW(),$C$6)&amp;""))</f>
        <v/>
      </c>
      <c r="AX959" s="2">
        <f>IF($AS959="","",IF($AZ959&lt;&gt;"",SUBSTITUTE(SUBSTITUTE($AZ959,"-","")," ",""),$AY959))</f>
        <v/>
      </c>
      <c r="AY959" s="2">
        <f>IF(OR($AS959="",$E$6=""),"",TRIM(INDEX($A:$AP,ROW(),$E$6)&amp;""))</f>
        <v/>
      </c>
      <c r="AZ959" s="2">
        <f>IF(OR($AS959="",$D$6=""),"",TRIM(INDEX($A:$AP,ROW(),$D$6)&amp;""))</f>
        <v/>
      </c>
      <c r="BA959" s="2">
        <f>IF($AS959="","",IF(AND($AS959&gt;=설정!$B$10,$AS959&lt;=설정!$B$11),"포함","기간 밖"))</f>
        <v/>
      </c>
      <c r="BB959" s="2">
        <f>IF($AS959="","",IF(OR($AT959&lt;0,AND($I$6&lt;&gt;"",ISNUMBER(FIND("수정",INDEX($A:$AP,ROW(),IF($I$6="",1,$I$6))&amp;"")))),"수정","일반"))</f>
        <v/>
      </c>
      <c r="BC959" s="2">
        <f>IF($AS959="","",MID(IF($BA959="기간 밖"," / 기간 밖(신고기간 아님)","")&amp;IF(AND($AW959&lt;&gt;"",COUNTIF($AW$8:$AW$1007,$AW959)&gt;1)," / 승인번호 중복(두 번 붙여넣기?)","")&amp;IF(ABS($AU959-ROUND($AT959*0.1,0))&gt;설정!$B$8,IF($AU959=0," / 세액 0원(영세율·면세 여부 확인)"," / 세액이 공급가액 10%와 다름"),"")&amp;IF($BB959="수정"," / 수정세금계산서(합계에서 자동 가감)",""),4,200))</f>
        <v/>
      </c>
      <c r="BD959" s="2">
        <f>IF($BA959&lt;&gt;"포함","",IF(COUNTIFS($AX$8:$AX959,$AX959,$BA$8:$BA959,"포함")=1,MAX($BD$7:BD958)+1,""))</f>
        <v/>
      </c>
      <c r="BE959" s="2">
        <f>IF($BC959="","",MAX($BE$7:BE958)+1)</f>
        <v/>
      </c>
    </row>
    <row r="960">
      <c r="AR960" s="2">
        <f>IF(OR($A$5="",$B$6="",ROW()&lt;$A$5),"",IF(INDEX($A:$AP,ROW(),$B$6)="","",INDEX($A:$AP,ROW(),$B$6)))</f>
        <v/>
      </c>
      <c r="AS960" s="22">
        <f>IF($AR960="","",IF(ISNUMBER($AR960),IF($AR960&gt;=10000000,IFERROR(DATE(INT($AR960/10000),MOD(INT($AR960/100),100),MOD($AR960,100)),""),INT($AR960)),IFERROR(DATE(--LEFT(LEFT(SUBSTITUTE(SUBSTITUTE(SUBSTITUTE(SUBSTITUTE(TRIM($AR960),"-",""),".",""),"/","")," ",""),8),4),--MID(LEFT(SUBSTITUTE(SUBSTITUTE(SUBSTITUTE(SUBSTITUTE(TRIM($AR960),"-",""),".",""),"/","")," ",""),8),5,2),--MID(LEFT(SUBSTITUTE(SUBSTITUTE(SUBSTITUTE(SUBSTITUTE(TRIM($AR960),"-",""),".",""),"/","")," ",""),8),7,2)),"")))</f>
        <v/>
      </c>
      <c r="AT960" s="23">
        <f>IF($AS960="","",IF($F$6="",0,IF(ISNUMBER(INDEX($A:$AP,ROW(),$F$6)),INDEX($A:$AP,ROW(),$F$6),IFERROR(--SUBSTITUTE(SUBSTITUTE(TRIM(INDEX($A:$AP,ROW(),$F$6)),",",""),"원",""),0))))</f>
        <v/>
      </c>
      <c r="AU960" s="23">
        <f>IF($AS960="","",IF($G$6="",0,IF(ISNUMBER(INDEX($A:$AP,ROW(),$G$6)),INDEX($A:$AP,ROW(),$G$6),IFERROR(--SUBSTITUTE(SUBSTITUTE(TRIM(INDEX($A:$AP,ROW(),$G$6)),",",""),"원",""),0))))</f>
        <v/>
      </c>
      <c r="AV960" s="23">
        <f>IF($AS960="","",IF($H$6="",$AT960+$AU960,IF($H$6="",0,IF(ISNUMBER(INDEX($A:$AP,ROW(),$H$6)),INDEX($A:$AP,ROW(),$H$6),IFERROR(--SUBSTITUTE(SUBSTITUTE(TRIM(INDEX($A:$AP,ROW(),$H$6)),",",""),"원",""),0)))))</f>
        <v/>
      </c>
      <c r="AW960" s="2">
        <f>IF(OR($AS960="",$C$6=""),"",TRIM(INDEX($A:$AP,ROW(),$C$6)&amp;""))</f>
        <v/>
      </c>
      <c r="AX960" s="2">
        <f>IF($AS960="","",IF($AZ960&lt;&gt;"",SUBSTITUTE(SUBSTITUTE($AZ960,"-","")," ",""),$AY960))</f>
        <v/>
      </c>
      <c r="AY960" s="2">
        <f>IF(OR($AS960="",$E$6=""),"",TRIM(INDEX($A:$AP,ROW(),$E$6)&amp;""))</f>
        <v/>
      </c>
      <c r="AZ960" s="2">
        <f>IF(OR($AS960="",$D$6=""),"",TRIM(INDEX($A:$AP,ROW(),$D$6)&amp;""))</f>
        <v/>
      </c>
      <c r="BA960" s="2">
        <f>IF($AS960="","",IF(AND($AS960&gt;=설정!$B$10,$AS960&lt;=설정!$B$11),"포함","기간 밖"))</f>
        <v/>
      </c>
      <c r="BB960" s="2">
        <f>IF($AS960="","",IF(OR($AT960&lt;0,AND($I$6&lt;&gt;"",ISNUMBER(FIND("수정",INDEX($A:$AP,ROW(),IF($I$6="",1,$I$6))&amp;"")))),"수정","일반"))</f>
        <v/>
      </c>
      <c r="BC960" s="2">
        <f>IF($AS960="","",MID(IF($BA960="기간 밖"," / 기간 밖(신고기간 아님)","")&amp;IF(AND($AW960&lt;&gt;"",COUNTIF($AW$8:$AW$1007,$AW960)&gt;1)," / 승인번호 중복(두 번 붙여넣기?)","")&amp;IF(ABS($AU960-ROUND($AT960*0.1,0))&gt;설정!$B$8,IF($AU960=0," / 세액 0원(영세율·면세 여부 확인)"," / 세액이 공급가액 10%와 다름"),"")&amp;IF($BB960="수정"," / 수정세금계산서(합계에서 자동 가감)",""),4,200))</f>
        <v/>
      </c>
      <c r="BD960" s="2">
        <f>IF($BA960&lt;&gt;"포함","",IF(COUNTIFS($AX$8:$AX960,$AX960,$BA$8:$BA960,"포함")=1,MAX($BD$7:BD959)+1,""))</f>
        <v/>
      </c>
      <c r="BE960" s="2">
        <f>IF($BC960="","",MAX($BE$7:BE959)+1)</f>
        <v/>
      </c>
    </row>
    <row r="961">
      <c r="AR961" s="2">
        <f>IF(OR($A$5="",$B$6="",ROW()&lt;$A$5),"",IF(INDEX($A:$AP,ROW(),$B$6)="","",INDEX($A:$AP,ROW(),$B$6)))</f>
        <v/>
      </c>
      <c r="AS961" s="22">
        <f>IF($AR961="","",IF(ISNUMBER($AR961),IF($AR961&gt;=10000000,IFERROR(DATE(INT($AR961/10000),MOD(INT($AR961/100),100),MOD($AR961,100)),""),INT($AR961)),IFERROR(DATE(--LEFT(LEFT(SUBSTITUTE(SUBSTITUTE(SUBSTITUTE(SUBSTITUTE(TRIM($AR961),"-",""),".",""),"/","")," ",""),8),4),--MID(LEFT(SUBSTITUTE(SUBSTITUTE(SUBSTITUTE(SUBSTITUTE(TRIM($AR961),"-",""),".",""),"/","")," ",""),8),5,2),--MID(LEFT(SUBSTITUTE(SUBSTITUTE(SUBSTITUTE(SUBSTITUTE(TRIM($AR961),"-",""),".",""),"/","")," ",""),8),7,2)),"")))</f>
        <v/>
      </c>
      <c r="AT961" s="23">
        <f>IF($AS961="","",IF($F$6="",0,IF(ISNUMBER(INDEX($A:$AP,ROW(),$F$6)),INDEX($A:$AP,ROW(),$F$6),IFERROR(--SUBSTITUTE(SUBSTITUTE(TRIM(INDEX($A:$AP,ROW(),$F$6)),",",""),"원",""),0))))</f>
        <v/>
      </c>
      <c r="AU961" s="23">
        <f>IF($AS961="","",IF($G$6="",0,IF(ISNUMBER(INDEX($A:$AP,ROW(),$G$6)),INDEX($A:$AP,ROW(),$G$6),IFERROR(--SUBSTITUTE(SUBSTITUTE(TRIM(INDEX($A:$AP,ROW(),$G$6)),",",""),"원",""),0))))</f>
        <v/>
      </c>
      <c r="AV961" s="23">
        <f>IF($AS961="","",IF($H$6="",$AT961+$AU961,IF($H$6="",0,IF(ISNUMBER(INDEX($A:$AP,ROW(),$H$6)),INDEX($A:$AP,ROW(),$H$6),IFERROR(--SUBSTITUTE(SUBSTITUTE(TRIM(INDEX($A:$AP,ROW(),$H$6)),",",""),"원",""),0)))))</f>
        <v/>
      </c>
      <c r="AW961" s="2">
        <f>IF(OR($AS961="",$C$6=""),"",TRIM(INDEX($A:$AP,ROW(),$C$6)&amp;""))</f>
        <v/>
      </c>
      <c r="AX961" s="2">
        <f>IF($AS961="","",IF($AZ961&lt;&gt;"",SUBSTITUTE(SUBSTITUTE($AZ961,"-","")," ",""),$AY961))</f>
        <v/>
      </c>
      <c r="AY961" s="2">
        <f>IF(OR($AS961="",$E$6=""),"",TRIM(INDEX($A:$AP,ROW(),$E$6)&amp;""))</f>
        <v/>
      </c>
      <c r="AZ961" s="2">
        <f>IF(OR($AS961="",$D$6=""),"",TRIM(INDEX($A:$AP,ROW(),$D$6)&amp;""))</f>
        <v/>
      </c>
      <c r="BA961" s="2">
        <f>IF($AS961="","",IF(AND($AS961&gt;=설정!$B$10,$AS961&lt;=설정!$B$11),"포함","기간 밖"))</f>
        <v/>
      </c>
      <c r="BB961" s="2">
        <f>IF($AS961="","",IF(OR($AT961&lt;0,AND($I$6&lt;&gt;"",ISNUMBER(FIND("수정",INDEX($A:$AP,ROW(),IF($I$6="",1,$I$6))&amp;"")))),"수정","일반"))</f>
        <v/>
      </c>
      <c r="BC961" s="2">
        <f>IF($AS961="","",MID(IF($BA961="기간 밖"," / 기간 밖(신고기간 아님)","")&amp;IF(AND($AW961&lt;&gt;"",COUNTIF($AW$8:$AW$1007,$AW961)&gt;1)," / 승인번호 중복(두 번 붙여넣기?)","")&amp;IF(ABS($AU961-ROUND($AT961*0.1,0))&gt;설정!$B$8,IF($AU961=0," / 세액 0원(영세율·면세 여부 확인)"," / 세액이 공급가액 10%와 다름"),"")&amp;IF($BB961="수정"," / 수정세금계산서(합계에서 자동 가감)",""),4,200))</f>
        <v/>
      </c>
      <c r="BD961" s="2">
        <f>IF($BA961&lt;&gt;"포함","",IF(COUNTIFS($AX$8:$AX961,$AX961,$BA$8:$BA961,"포함")=1,MAX($BD$7:BD960)+1,""))</f>
        <v/>
      </c>
      <c r="BE961" s="2">
        <f>IF($BC961="","",MAX($BE$7:BE960)+1)</f>
        <v/>
      </c>
    </row>
    <row r="962">
      <c r="AR962" s="2">
        <f>IF(OR($A$5="",$B$6="",ROW()&lt;$A$5),"",IF(INDEX($A:$AP,ROW(),$B$6)="","",INDEX($A:$AP,ROW(),$B$6)))</f>
        <v/>
      </c>
      <c r="AS962" s="22">
        <f>IF($AR962="","",IF(ISNUMBER($AR962),IF($AR962&gt;=10000000,IFERROR(DATE(INT($AR962/10000),MOD(INT($AR962/100),100),MOD($AR962,100)),""),INT($AR962)),IFERROR(DATE(--LEFT(LEFT(SUBSTITUTE(SUBSTITUTE(SUBSTITUTE(SUBSTITUTE(TRIM($AR962),"-",""),".",""),"/","")," ",""),8),4),--MID(LEFT(SUBSTITUTE(SUBSTITUTE(SUBSTITUTE(SUBSTITUTE(TRIM($AR962),"-",""),".",""),"/","")," ",""),8),5,2),--MID(LEFT(SUBSTITUTE(SUBSTITUTE(SUBSTITUTE(SUBSTITUTE(TRIM($AR962),"-",""),".",""),"/","")," ",""),8),7,2)),"")))</f>
        <v/>
      </c>
      <c r="AT962" s="23">
        <f>IF($AS962="","",IF($F$6="",0,IF(ISNUMBER(INDEX($A:$AP,ROW(),$F$6)),INDEX($A:$AP,ROW(),$F$6),IFERROR(--SUBSTITUTE(SUBSTITUTE(TRIM(INDEX($A:$AP,ROW(),$F$6)),",",""),"원",""),0))))</f>
        <v/>
      </c>
      <c r="AU962" s="23">
        <f>IF($AS962="","",IF($G$6="",0,IF(ISNUMBER(INDEX($A:$AP,ROW(),$G$6)),INDEX($A:$AP,ROW(),$G$6),IFERROR(--SUBSTITUTE(SUBSTITUTE(TRIM(INDEX($A:$AP,ROW(),$G$6)),",",""),"원",""),0))))</f>
        <v/>
      </c>
      <c r="AV962" s="23">
        <f>IF($AS962="","",IF($H$6="",$AT962+$AU962,IF($H$6="",0,IF(ISNUMBER(INDEX($A:$AP,ROW(),$H$6)),INDEX($A:$AP,ROW(),$H$6),IFERROR(--SUBSTITUTE(SUBSTITUTE(TRIM(INDEX($A:$AP,ROW(),$H$6)),",",""),"원",""),0)))))</f>
        <v/>
      </c>
      <c r="AW962" s="2">
        <f>IF(OR($AS962="",$C$6=""),"",TRIM(INDEX($A:$AP,ROW(),$C$6)&amp;""))</f>
        <v/>
      </c>
      <c r="AX962" s="2">
        <f>IF($AS962="","",IF($AZ962&lt;&gt;"",SUBSTITUTE(SUBSTITUTE($AZ962,"-","")," ",""),$AY962))</f>
        <v/>
      </c>
      <c r="AY962" s="2">
        <f>IF(OR($AS962="",$E$6=""),"",TRIM(INDEX($A:$AP,ROW(),$E$6)&amp;""))</f>
        <v/>
      </c>
      <c r="AZ962" s="2">
        <f>IF(OR($AS962="",$D$6=""),"",TRIM(INDEX($A:$AP,ROW(),$D$6)&amp;""))</f>
        <v/>
      </c>
      <c r="BA962" s="2">
        <f>IF($AS962="","",IF(AND($AS962&gt;=설정!$B$10,$AS962&lt;=설정!$B$11),"포함","기간 밖"))</f>
        <v/>
      </c>
      <c r="BB962" s="2">
        <f>IF($AS962="","",IF(OR($AT962&lt;0,AND($I$6&lt;&gt;"",ISNUMBER(FIND("수정",INDEX($A:$AP,ROW(),IF($I$6="",1,$I$6))&amp;"")))),"수정","일반"))</f>
        <v/>
      </c>
      <c r="BC962" s="2">
        <f>IF($AS962="","",MID(IF($BA962="기간 밖"," / 기간 밖(신고기간 아님)","")&amp;IF(AND($AW962&lt;&gt;"",COUNTIF($AW$8:$AW$1007,$AW962)&gt;1)," / 승인번호 중복(두 번 붙여넣기?)","")&amp;IF(ABS($AU962-ROUND($AT962*0.1,0))&gt;설정!$B$8,IF($AU962=0," / 세액 0원(영세율·면세 여부 확인)"," / 세액이 공급가액 10%와 다름"),"")&amp;IF($BB962="수정"," / 수정세금계산서(합계에서 자동 가감)",""),4,200))</f>
        <v/>
      </c>
      <c r="BD962" s="2">
        <f>IF($BA962&lt;&gt;"포함","",IF(COUNTIFS($AX$8:$AX962,$AX962,$BA$8:$BA962,"포함")=1,MAX($BD$7:BD961)+1,""))</f>
        <v/>
      </c>
      <c r="BE962" s="2">
        <f>IF($BC962="","",MAX($BE$7:BE961)+1)</f>
        <v/>
      </c>
    </row>
    <row r="963">
      <c r="AR963" s="2">
        <f>IF(OR($A$5="",$B$6="",ROW()&lt;$A$5),"",IF(INDEX($A:$AP,ROW(),$B$6)="","",INDEX($A:$AP,ROW(),$B$6)))</f>
        <v/>
      </c>
      <c r="AS963" s="22">
        <f>IF($AR963="","",IF(ISNUMBER($AR963),IF($AR963&gt;=10000000,IFERROR(DATE(INT($AR963/10000),MOD(INT($AR963/100),100),MOD($AR963,100)),""),INT($AR963)),IFERROR(DATE(--LEFT(LEFT(SUBSTITUTE(SUBSTITUTE(SUBSTITUTE(SUBSTITUTE(TRIM($AR963),"-",""),".",""),"/","")," ",""),8),4),--MID(LEFT(SUBSTITUTE(SUBSTITUTE(SUBSTITUTE(SUBSTITUTE(TRIM($AR963),"-",""),".",""),"/","")," ",""),8),5,2),--MID(LEFT(SUBSTITUTE(SUBSTITUTE(SUBSTITUTE(SUBSTITUTE(TRIM($AR963),"-",""),".",""),"/","")," ",""),8),7,2)),"")))</f>
        <v/>
      </c>
      <c r="AT963" s="23">
        <f>IF($AS963="","",IF($F$6="",0,IF(ISNUMBER(INDEX($A:$AP,ROW(),$F$6)),INDEX($A:$AP,ROW(),$F$6),IFERROR(--SUBSTITUTE(SUBSTITUTE(TRIM(INDEX($A:$AP,ROW(),$F$6)),",",""),"원",""),0))))</f>
        <v/>
      </c>
      <c r="AU963" s="23">
        <f>IF($AS963="","",IF($G$6="",0,IF(ISNUMBER(INDEX($A:$AP,ROW(),$G$6)),INDEX($A:$AP,ROW(),$G$6),IFERROR(--SUBSTITUTE(SUBSTITUTE(TRIM(INDEX($A:$AP,ROW(),$G$6)),",",""),"원",""),0))))</f>
        <v/>
      </c>
      <c r="AV963" s="23">
        <f>IF($AS963="","",IF($H$6="",$AT963+$AU963,IF($H$6="",0,IF(ISNUMBER(INDEX($A:$AP,ROW(),$H$6)),INDEX($A:$AP,ROW(),$H$6),IFERROR(--SUBSTITUTE(SUBSTITUTE(TRIM(INDEX($A:$AP,ROW(),$H$6)),",",""),"원",""),0)))))</f>
        <v/>
      </c>
      <c r="AW963" s="2">
        <f>IF(OR($AS963="",$C$6=""),"",TRIM(INDEX($A:$AP,ROW(),$C$6)&amp;""))</f>
        <v/>
      </c>
      <c r="AX963" s="2">
        <f>IF($AS963="","",IF($AZ963&lt;&gt;"",SUBSTITUTE(SUBSTITUTE($AZ963,"-","")," ",""),$AY963))</f>
        <v/>
      </c>
      <c r="AY963" s="2">
        <f>IF(OR($AS963="",$E$6=""),"",TRIM(INDEX($A:$AP,ROW(),$E$6)&amp;""))</f>
        <v/>
      </c>
      <c r="AZ963" s="2">
        <f>IF(OR($AS963="",$D$6=""),"",TRIM(INDEX($A:$AP,ROW(),$D$6)&amp;""))</f>
        <v/>
      </c>
      <c r="BA963" s="2">
        <f>IF($AS963="","",IF(AND($AS963&gt;=설정!$B$10,$AS963&lt;=설정!$B$11),"포함","기간 밖"))</f>
        <v/>
      </c>
      <c r="BB963" s="2">
        <f>IF($AS963="","",IF(OR($AT963&lt;0,AND($I$6&lt;&gt;"",ISNUMBER(FIND("수정",INDEX($A:$AP,ROW(),IF($I$6="",1,$I$6))&amp;"")))),"수정","일반"))</f>
        <v/>
      </c>
      <c r="BC963" s="2">
        <f>IF($AS963="","",MID(IF($BA963="기간 밖"," / 기간 밖(신고기간 아님)","")&amp;IF(AND($AW963&lt;&gt;"",COUNTIF($AW$8:$AW$1007,$AW963)&gt;1)," / 승인번호 중복(두 번 붙여넣기?)","")&amp;IF(ABS($AU963-ROUND($AT963*0.1,0))&gt;설정!$B$8,IF($AU963=0," / 세액 0원(영세율·면세 여부 확인)"," / 세액이 공급가액 10%와 다름"),"")&amp;IF($BB963="수정"," / 수정세금계산서(합계에서 자동 가감)",""),4,200))</f>
        <v/>
      </c>
      <c r="BD963" s="2">
        <f>IF($BA963&lt;&gt;"포함","",IF(COUNTIFS($AX$8:$AX963,$AX963,$BA$8:$BA963,"포함")=1,MAX($BD$7:BD962)+1,""))</f>
        <v/>
      </c>
      <c r="BE963" s="2">
        <f>IF($BC963="","",MAX($BE$7:BE962)+1)</f>
        <v/>
      </c>
    </row>
    <row r="964">
      <c r="AR964" s="2">
        <f>IF(OR($A$5="",$B$6="",ROW()&lt;$A$5),"",IF(INDEX($A:$AP,ROW(),$B$6)="","",INDEX($A:$AP,ROW(),$B$6)))</f>
        <v/>
      </c>
      <c r="AS964" s="22">
        <f>IF($AR964="","",IF(ISNUMBER($AR964),IF($AR964&gt;=10000000,IFERROR(DATE(INT($AR964/10000),MOD(INT($AR964/100),100),MOD($AR964,100)),""),INT($AR964)),IFERROR(DATE(--LEFT(LEFT(SUBSTITUTE(SUBSTITUTE(SUBSTITUTE(SUBSTITUTE(TRIM($AR964),"-",""),".",""),"/","")," ",""),8),4),--MID(LEFT(SUBSTITUTE(SUBSTITUTE(SUBSTITUTE(SUBSTITUTE(TRIM($AR964),"-",""),".",""),"/","")," ",""),8),5,2),--MID(LEFT(SUBSTITUTE(SUBSTITUTE(SUBSTITUTE(SUBSTITUTE(TRIM($AR964),"-",""),".",""),"/","")," ",""),8),7,2)),"")))</f>
        <v/>
      </c>
      <c r="AT964" s="23">
        <f>IF($AS964="","",IF($F$6="",0,IF(ISNUMBER(INDEX($A:$AP,ROW(),$F$6)),INDEX($A:$AP,ROW(),$F$6),IFERROR(--SUBSTITUTE(SUBSTITUTE(TRIM(INDEX($A:$AP,ROW(),$F$6)),",",""),"원",""),0))))</f>
        <v/>
      </c>
      <c r="AU964" s="23">
        <f>IF($AS964="","",IF($G$6="",0,IF(ISNUMBER(INDEX($A:$AP,ROW(),$G$6)),INDEX($A:$AP,ROW(),$G$6),IFERROR(--SUBSTITUTE(SUBSTITUTE(TRIM(INDEX($A:$AP,ROW(),$G$6)),",",""),"원",""),0))))</f>
        <v/>
      </c>
      <c r="AV964" s="23">
        <f>IF($AS964="","",IF($H$6="",$AT964+$AU964,IF($H$6="",0,IF(ISNUMBER(INDEX($A:$AP,ROW(),$H$6)),INDEX($A:$AP,ROW(),$H$6),IFERROR(--SUBSTITUTE(SUBSTITUTE(TRIM(INDEX($A:$AP,ROW(),$H$6)),",",""),"원",""),0)))))</f>
        <v/>
      </c>
      <c r="AW964" s="2">
        <f>IF(OR($AS964="",$C$6=""),"",TRIM(INDEX($A:$AP,ROW(),$C$6)&amp;""))</f>
        <v/>
      </c>
      <c r="AX964" s="2">
        <f>IF($AS964="","",IF($AZ964&lt;&gt;"",SUBSTITUTE(SUBSTITUTE($AZ964,"-","")," ",""),$AY964))</f>
        <v/>
      </c>
      <c r="AY964" s="2">
        <f>IF(OR($AS964="",$E$6=""),"",TRIM(INDEX($A:$AP,ROW(),$E$6)&amp;""))</f>
        <v/>
      </c>
      <c r="AZ964" s="2">
        <f>IF(OR($AS964="",$D$6=""),"",TRIM(INDEX($A:$AP,ROW(),$D$6)&amp;""))</f>
        <v/>
      </c>
      <c r="BA964" s="2">
        <f>IF($AS964="","",IF(AND($AS964&gt;=설정!$B$10,$AS964&lt;=설정!$B$11),"포함","기간 밖"))</f>
        <v/>
      </c>
      <c r="BB964" s="2">
        <f>IF($AS964="","",IF(OR($AT964&lt;0,AND($I$6&lt;&gt;"",ISNUMBER(FIND("수정",INDEX($A:$AP,ROW(),IF($I$6="",1,$I$6))&amp;"")))),"수정","일반"))</f>
        <v/>
      </c>
      <c r="BC964" s="2">
        <f>IF($AS964="","",MID(IF($BA964="기간 밖"," / 기간 밖(신고기간 아님)","")&amp;IF(AND($AW964&lt;&gt;"",COUNTIF($AW$8:$AW$1007,$AW964)&gt;1)," / 승인번호 중복(두 번 붙여넣기?)","")&amp;IF(ABS($AU964-ROUND($AT964*0.1,0))&gt;설정!$B$8,IF($AU964=0," / 세액 0원(영세율·면세 여부 확인)"," / 세액이 공급가액 10%와 다름"),"")&amp;IF($BB964="수정"," / 수정세금계산서(합계에서 자동 가감)",""),4,200))</f>
        <v/>
      </c>
      <c r="BD964" s="2">
        <f>IF($BA964&lt;&gt;"포함","",IF(COUNTIFS($AX$8:$AX964,$AX964,$BA$8:$BA964,"포함")=1,MAX($BD$7:BD963)+1,""))</f>
        <v/>
      </c>
      <c r="BE964" s="2">
        <f>IF($BC964="","",MAX($BE$7:BE963)+1)</f>
        <v/>
      </c>
    </row>
    <row r="965">
      <c r="AR965" s="2">
        <f>IF(OR($A$5="",$B$6="",ROW()&lt;$A$5),"",IF(INDEX($A:$AP,ROW(),$B$6)="","",INDEX($A:$AP,ROW(),$B$6)))</f>
        <v/>
      </c>
      <c r="AS965" s="22">
        <f>IF($AR965="","",IF(ISNUMBER($AR965),IF($AR965&gt;=10000000,IFERROR(DATE(INT($AR965/10000),MOD(INT($AR965/100),100),MOD($AR965,100)),""),INT($AR965)),IFERROR(DATE(--LEFT(LEFT(SUBSTITUTE(SUBSTITUTE(SUBSTITUTE(SUBSTITUTE(TRIM($AR965),"-",""),".",""),"/","")," ",""),8),4),--MID(LEFT(SUBSTITUTE(SUBSTITUTE(SUBSTITUTE(SUBSTITUTE(TRIM($AR965),"-",""),".",""),"/","")," ",""),8),5,2),--MID(LEFT(SUBSTITUTE(SUBSTITUTE(SUBSTITUTE(SUBSTITUTE(TRIM($AR965),"-",""),".",""),"/","")," ",""),8),7,2)),"")))</f>
        <v/>
      </c>
      <c r="AT965" s="23">
        <f>IF($AS965="","",IF($F$6="",0,IF(ISNUMBER(INDEX($A:$AP,ROW(),$F$6)),INDEX($A:$AP,ROW(),$F$6),IFERROR(--SUBSTITUTE(SUBSTITUTE(TRIM(INDEX($A:$AP,ROW(),$F$6)),",",""),"원",""),0))))</f>
        <v/>
      </c>
      <c r="AU965" s="23">
        <f>IF($AS965="","",IF($G$6="",0,IF(ISNUMBER(INDEX($A:$AP,ROW(),$G$6)),INDEX($A:$AP,ROW(),$G$6),IFERROR(--SUBSTITUTE(SUBSTITUTE(TRIM(INDEX($A:$AP,ROW(),$G$6)),",",""),"원",""),0))))</f>
        <v/>
      </c>
      <c r="AV965" s="23">
        <f>IF($AS965="","",IF($H$6="",$AT965+$AU965,IF($H$6="",0,IF(ISNUMBER(INDEX($A:$AP,ROW(),$H$6)),INDEX($A:$AP,ROW(),$H$6),IFERROR(--SUBSTITUTE(SUBSTITUTE(TRIM(INDEX($A:$AP,ROW(),$H$6)),",",""),"원",""),0)))))</f>
        <v/>
      </c>
      <c r="AW965" s="2">
        <f>IF(OR($AS965="",$C$6=""),"",TRIM(INDEX($A:$AP,ROW(),$C$6)&amp;""))</f>
        <v/>
      </c>
      <c r="AX965" s="2">
        <f>IF($AS965="","",IF($AZ965&lt;&gt;"",SUBSTITUTE(SUBSTITUTE($AZ965,"-","")," ",""),$AY965))</f>
        <v/>
      </c>
      <c r="AY965" s="2">
        <f>IF(OR($AS965="",$E$6=""),"",TRIM(INDEX($A:$AP,ROW(),$E$6)&amp;""))</f>
        <v/>
      </c>
      <c r="AZ965" s="2">
        <f>IF(OR($AS965="",$D$6=""),"",TRIM(INDEX($A:$AP,ROW(),$D$6)&amp;""))</f>
        <v/>
      </c>
      <c r="BA965" s="2">
        <f>IF($AS965="","",IF(AND($AS965&gt;=설정!$B$10,$AS965&lt;=설정!$B$11),"포함","기간 밖"))</f>
        <v/>
      </c>
      <c r="BB965" s="2">
        <f>IF($AS965="","",IF(OR($AT965&lt;0,AND($I$6&lt;&gt;"",ISNUMBER(FIND("수정",INDEX($A:$AP,ROW(),IF($I$6="",1,$I$6))&amp;"")))),"수정","일반"))</f>
        <v/>
      </c>
      <c r="BC965" s="2">
        <f>IF($AS965="","",MID(IF($BA965="기간 밖"," / 기간 밖(신고기간 아님)","")&amp;IF(AND($AW965&lt;&gt;"",COUNTIF($AW$8:$AW$1007,$AW965)&gt;1)," / 승인번호 중복(두 번 붙여넣기?)","")&amp;IF(ABS($AU965-ROUND($AT965*0.1,0))&gt;설정!$B$8,IF($AU965=0," / 세액 0원(영세율·면세 여부 확인)"," / 세액이 공급가액 10%와 다름"),"")&amp;IF($BB965="수정"," / 수정세금계산서(합계에서 자동 가감)",""),4,200))</f>
        <v/>
      </c>
      <c r="BD965" s="2">
        <f>IF($BA965&lt;&gt;"포함","",IF(COUNTIFS($AX$8:$AX965,$AX965,$BA$8:$BA965,"포함")=1,MAX($BD$7:BD964)+1,""))</f>
        <v/>
      </c>
      <c r="BE965" s="2">
        <f>IF($BC965="","",MAX($BE$7:BE964)+1)</f>
        <v/>
      </c>
    </row>
    <row r="966">
      <c r="AR966" s="2">
        <f>IF(OR($A$5="",$B$6="",ROW()&lt;$A$5),"",IF(INDEX($A:$AP,ROW(),$B$6)="","",INDEX($A:$AP,ROW(),$B$6)))</f>
        <v/>
      </c>
      <c r="AS966" s="22">
        <f>IF($AR966="","",IF(ISNUMBER($AR966),IF($AR966&gt;=10000000,IFERROR(DATE(INT($AR966/10000),MOD(INT($AR966/100),100),MOD($AR966,100)),""),INT($AR966)),IFERROR(DATE(--LEFT(LEFT(SUBSTITUTE(SUBSTITUTE(SUBSTITUTE(SUBSTITUTE(TRIM($AR966),"-",""),".",""),"/","")," ",""),8),4),--MID(LEFT(SUBSTITUTE(SUBSTITUTE(SUBSTITUTE(SUBSTITUTE(TRIM($AR966),"-",""),".",""),"/","")," ",""),8),5,2),--MID(LEFT(SUBSTITUTE(SUBSTITUTE(SUBSTITUTE(SUBSTITUTE(TRIM($AR966),"-",""),".",""),"/","")," ",""),8),7,2)),"")))</f>
        <v/>
      </c>
      <c r="AT966" s="23">
        <f>IF($AS966="","",IF($F$6="",0,IF(ISNUMBER(INDEX($A:$AP,ROW(),$F$6)),INDEX($A:$AP,ROW(),$F$6),IFERROR(--SUBSTITUTE(SUBSTITUTE(TRIM(INDEX($A:$AP,ROW(),$F$6)),",",""),"원",""),0))))</f>
        <v/>
      </c>
      <c r="AU966" s="23">
        <f>IF($AS966="","",IF($G$6="",0,IF(ISNUMBER(INDEX($A:$AP,ROW(),$G$6)),INDEX($A:$AP,ROW(),$G$6),IFERROR(--SUBSTITUTE(SUBSTITUTE(TRIM(INDEX($A:$AP,ROW(),$G$6)),",",""),"원",""),0))))</f>
        <v/>
      </c>
      <c r="AV966" s="23">
        <f>IF($AS966="","",IF($H$6="",$AT966+$AU966,IF($H$6="",0,IF(ISNUMBER(INDEX($A:$AP,ROW(),$H$6)),INDEX($A:$AP,ROW(),$H$6),IFERROR(--SUBSTITUTE(SUBSTITUTE(TRIM(INDEX($A:$AP,ROW(),$H$6)),",",""),"원",""),0)))))</f>
        <v/>
      </c>
      <c r="AW966" s="2">
        <f>IF(OR($AS966="",$C$6=""),"",TRIM(INDEX($A:$AP,ROW(),$C$6)&amp;""))</f>
        <v/>
      </c>
      <c r="AX966" s="2">
        <f>IF($AS966="","",IF($AZ966&lt;&gt;"",SUBSTITUTE(SUBSTITUTE($AZ966,"-","")," ",""),$AY966))</f>
        <v/>
      </c>
      <c r="AY966" s="2">
        <f>IF(OR($AS966="",$E$6=""),"",TRIM(INDEX($A:$AP,ROW(),$E$6)&amp;""))</f>
        <v/>
      </c>
      <c r="AZ966" s="2">
        <f>IF(OR($AS966="",$D$6=""),"",TRIM(INDEX($A:$AP,ROW(),$D$6)&amp;""))</f>
        <v/>
      </c>
      <c r="BA966" s="2">
        <f>IF($AS966="","",IF(AND($AS966&gt;=설정!$B$10,$AS966&lt;=설정!$B$11),"포함","기간 밖"))</f>
        <v/>
      </c>
      <c r="BB966" s="2">
        <f>IF($AS966="","",IF(OR($AT966&lt;0,AND($I$6&lt;&gt;"",ISNUMBER(FIND("수정",INDEX($A:$AP,ROW(),IF($I$6="",1,$I$6))&amp;"")))),"수정","일반"))</f>
        <v/>
      </c>
      <c r="BC966" s="2">
        <f>IF($AS966="","",MID(IF($BA966="기간 밖"," / 기간 밖(신고기간 아님)","")&amp;IF(AND($AW966&lt;&gt;"",COUNTIF($AW$8:$AW$1007,$AW966)&gt;1)," / 승인번호 중복(두 번 붙여넣기?)","")&amp;IF(ABS($AU966-ROUND($AT966*0.1,0))&gt;설정!$B$8,IF($AU966=0," / 세액 0원(영세율·면세 여부 확인)"," / 세액이 공급가액 10%와 다름"),"")&amp;IF($BB966="수정"," / 수정세금계산서(합계에서 자동 가감)",""),4,200))</f>
        <v/>
      </c>
      <c r="BD966" s="2">
        <f>IF($BA966&lt;&gt;"포함","",IF(COUNTIFS($AX$8:$AX966,$AX966,$BA$8:$BA966,"포함")=1,MAX($BD$7:BD965)+1,""))</f>
        <v/>
      </c>
      <c r="BE966" s="2">
        <f>IF($BC966="","",MAX($BE$7:BE965)+1)</f>
        <v/>
      </c>
    </row>
    <row r="967">
      <c r="AR967" s="2">
        <f>IF(OR($A$5="",$B$6="",ROW()&lt;$A$5),"",IF(INDEX($A:$AP,ROW(),$B$6)="","",INDEX($A:$AP,ROW(),$B$6)))</f>
        <v/>
      </c>
      <c r="AS967" s="22">
        <f>IF($AR967="","",IF(ISNUMBER($AR967),IF($AR967&gt;=10000000,IFERROR(DATE(INT($AR967/10000),MOD(INT($AR967/100),100),MOD($AR967,100)),""),INT($AR967)),IFERROR(DATE(--LEFT(LEFT(SUBSTITUTE(SUBSTITUTE(SUBSTITUTE(SUBSTITUTE(TRIM($AR967),"-",""),".",""),"/","")," ",""),8),4),--MID(LEFT(SUBSTITUTE(SUBSTITUTE(SUBSTITUTE(SUBSTITUTE(TRIM($AR967),"-",""),".",""),"/","")," ",""),8),5,2),--MID(LEFT(SUBSTITUTE(SUBSTITUTE(SUBSTITUTE(SUBSTITUTE(TRIM($AR967),"-",""),".",""),"/","")," ",""),8),7,2)),"")))</f>
        <v/>
      </c>
      <c r="AT967" s="23">
        <f>IF($AS967="","",IF($F$6="",0,IF(ISNUMBER(INDEX($A:$AP,ROW(),$F$6)),INDEX($A:$AP,ROW(),$F$6),IFERROR(--SUBSTITUTE(SUBSTITUTE(TRIM(INDEX($A:$AP,ROW(),$F$6)),",",""),"원",""),0))))</f>
        <v/>
      </c>
      <c r="AU967" s="23">
        <f>IF($AS967="","",IF($G$6="",0,IF(ISNUMBER(INDEX($A:$AP,ROW(),$G$6)),INDEX($A:$AP,ROW(),$G$6),IFERROR(--SUBSTITUTE(SUBSTITUTE(TRIM(INDEX($A:$AP,ROW(),$G$6)),",",""),"원",""),0))))</f>
        <v/>
      </c>
      <c r="AV967" s="23">
        <f>IF($AS967="","",IF($H$6="",$AT967+$AU967,IF($H$6="",0,IF(ISNUMBER(INDEX($A:$AP,ROW(),$H$6)),INDEX($A:$AP,ROW(),$H$6),IFERROR(--SUBSTITUTE(SUBSTITUTE(TRIM(INDEX($A:$AP,ROW(),$H$6)),",",""),"원",""),0)))))</f>
        <v/>
      </c>
      <c r="AW967" s="2">
        <f>IF(OR($AS967="",$C$6=""),"",TRIM(INDEX($A:$AP,ROW(),$C$6)&amp;""))</f>
        <v/>
      </c>
      <c r="AX967" s="2">
        <f>IF($AS967="","",IF($AZ967&lt;&gt;"",SUBSTITUTE(SUBSTITUTE($AZ967,"-","")," ",""),$AY967))</f>
        <v/>
      </c>
      <c r="AY967" s="2">
        <f>IF(OR($AS967="",$E$6=""),"",TRIM(INDEX($A:$AP,ROW(),$E$6)&amp;""))</f>
        <v/>
      </c>
      <c r="AZ967" s="2">
        <f>IF(OR($AS967="",$D$6=""),"",TRIM(INDEX($A:$AP,ROW(),$D$6)&amp;""))</f>
        <v/>
      </c>
      <c r="BA967" s="2">
        <f>IF($AS967="","",IF(AND($AS967&gt;=설정!$B$10,$AS967&lt;=설정!$B$11),"포함","기간 밖"))</f>
        <v/>
      </c>
      <c r="BB967" s="2">
        <f>IF($AS967="","",IF(OR($AT967&lt;0,AND($I$6&lt;&gt;"",ISNUMBER(FIND("수정",INDEX($A:$AP,ROW(),IF($I$6="",1,$I$6))&amp;"")))),"수정","일반"))</f>
        <v/>
      </c>
      <c r="BC967" s="2">
        <f>IF($AS967="","",MID(IF($BA967="기간 밖"," / 기간 밖(신고기간 아님)","")&amp;IF(AND($AW967&lt;&gt;"",COUNTIF($AW$8:$AW$1007,$AW967)&gt;1)," / 승인번호 중복(두 번 붙여넣기?)","")&amp;IF(ABS($AU967-ROUND($AT967*0.1,0))&gt;설정!$B$8,IF($AU967=0," / 세액 0원(영세율·면세 여부 확인)"," / 세액이 공급가액 10%와 다름"),"")&amp;IF($BB967="수정"," / 수정세금계산서(합계에서 자동 가감)",""),4,200))</f>
        <v/>
      </c>
      <c r="BD967" s="2">
        <f>IF($BA967&lt;&gt;"포함","",IF(COUNTIFS($AX$8:$AX967,$AX967,$BA$8:$BA967,"포함")=1,MAX($BD$7:BD966)+1,""))</f>
        <v/>
      </c>
      <c r="BE967" s="2">
        <f>IF($BC967="","",MAX($BE$7:BE966)+1)</f>
        <v/>
      </c>
    </row>
    <row r="968">
      <c r="AR968" s="2">
        <f>IF(OR($A$5="",$B$6="",ROW()&lt;$A$5),"",IF(INDEX($A:$AP,ROW(),$B$6)="","",INDEX($A:$AP,ROW(),$B$6)))</f>
        <v/>
      </c>
      <c r="AS968" s="22">
        <f>IF($AR968="","",IF(ISNUMBER($AR968),IF($AR968&gt;=10000000,IFERROR(DATE(INT($AR968/10000),MOD(INT($AR968/100),100),MOD($AR968,100)),""),INT($AR968)),IFERROR(DATE(--LEFT(LEFT(SUBSTITUTE(SUBSTITUTE(SUBSTITUTE(SUBSTITUTE(TRIM($AR968),"-",""),".",""),"/","")," ",""),8),4),--MID(LEFT(SUBSTITUTE(SUBSTITUTE(SUBSTITUTE(SUBSTITUTE(TRIM($AR968),"-",""),".",""),"/","")," ",""),8),5,2),--MID(LEFT(SUBSTITUTE(SUBSTITUTE(SUBSTITUTE(SUBSTITUTE(TRIM($AR968),"-",""),".",""),"/","")," ",""),8),7,2)),"")))</f>
        <v/>
      </c>
      <c r="AT968" s="23">
        <f>IF($AS968="","",IF($F$6="",0,IF(ISNUMBER(INDEX($A:$AP,ROW(),$F$6)),INDEX($A:$AP,ROW(),$F$6),IFERROR(--SUBSTITUTE(SUBSTITUTE(TRIM(INDEX($A:$AP,ROW(),$F$6)),",",""),"원",""),0))))</f>
        <v/>
      </c>
      <c r="AU968" s="23">
        <f>IF($AS968="","",IF($G$6="",0,IF(ISNUMBER(INDEX($A:$AP,ROW(),$G$6)),INDEX($A:$AP,ROW(),$G$6),IFERROR(--SUBSTITUTE(SUBSTITUTE(TRIM(INDEX($A:$AP,ROW(),$G$6)),",",""),"원",""),0))))</f>
        <v/>
      </c>
      <c r="AV968" s="23">
        <f>IF($AS968="","",IF($H$6="",$AT968+$AU968,IF($H$6="",0,IF(ISNUMBER(INDEX($A:$AP,ROW(),$H$6)),INDEX($A:$AP,ROW(),$H$6),IFERROR(--SUBSTITUTE(SUBSTITUTE(TRIM(INDEX($A:$AP,ROW(),$H$6)),",",""),"원",""),0)))))</f>
        <v/>
      </c>
      <c r="AW968" s="2">
        <f>IF(OR($AS968="",$C$6=""),"",TRIM(INDEX($A:$AP,ROW(),$C$6)&amp;""))</f>
        <v/>
      </c>
      <c r="AX968" s="2">
        <f>IF($AS968="","",IF($AZ968&lt;&gt;"",SUBSTITUTE(SUBSTITUTE($AZ968,"-","")," ",""),$AY968))</f>
        <v/>
      </c>
      <c r="AY968" s="2">
        <f>IF(OR($AS968="",$E$6=""),"",TRIM(INDEX($A:$AP,ROW(),$E$6)&amp;""))</f>
        <v/>
      </c>
      <c r="AZ968" s="2">
        <f>IF(OR($AS968="",$D$6=""),"",TRIM(INDEX($A:$AP,ROW(),$D$6)&amp;""))</f>
        <v/>
      </c>
      <c r="BA968" s="2">
        <f>IF($AS968="","",IF(AND($AS968&gt;=설정!$B$10,$AS968&lt;=설정!$B$11),"포함","기간 밖"))</f>
        <v/>
      </c>
      <c r="BB968" s="2">
        <f>IF($AS968="","",IF(OR($AT968&lt;0,AND($I$6&lt;&gt;"",ISNUMBER(FIND("수정",INDEX($A:$AP,ROW(),IF($I$6="",1,$I$6))&amp;"")))),"수정","일반"))</f>
        <v/>
      </c>
      <c r="BC968" s="2">
        <f>IF($AS968="","",MID(IF($BA968="기간 밖"," / 기간 밖(신고기간 아님)","")&amp;IF(AND($AW968&lt;&gt;"",COUNTIF($AW$8:$AW$1007,$AW968)&gt;1)," / 승인번호 중복(두 번 붙여넣기?)","")&amp;IF(ABS($AU968-ROUND($AT968*0.1,0))&gt;설정!$B$8,IF($AU968=0," / 세액 0원(영세율·면세 여부 확인)"," / 세액이 공급가액 10%와 다름"),"")&amp;IF($BB968="수정"," / 수정세금계산서(합계에서 자동 가감)",""),4,200))</f>
        <v/>
      </c>
      <c r="BD968" s="2">
        <f>IF($BA968&lt;&gt;"포함","",IF(COUNTIFS($AX$8:$AX968,$AX968,$BA$8:$BA968,"포함")=1,MAX($BD$7:BD967)+1,""))</f>
        <v/>
      </c>
      <c r="BE968" s="2">
        <f>IF($BC968="","",MAX($BE$7:BE967)+1)</f>
        <v/>
      </c>
    </row>
    <row r="969">
      <c r="AR969" s="2">
        <f>IF(OR($A$5="",$B$6="",ROW()&lt;$A$5),"",IF(INDEX($A:$AP,ROW(),$B$6)="","",INDEX($A:$AP,ROW(),$B$6)))</f>
        <v/>
      </c>
      <c r="AS969" s="22">
        <f>IF($AR969="","",IF(ISNUMBER($AR969),IF($AR969&gt;=10000000,IFERROR(DATE(INT($AR969/10000),MOD(INT($AR969/100),100),MOD($AR969,100)),""),INT($AR969)),IFERROR(DATE(--LEFT(LEFT(SUBSTITUTE(SUBSTITUTE(SUBSTITUTE(SUBSTITUTE(TRIM($AR969),"-",""),".",""),"/","")," ",""),8),4),--MID(LEFT(SUBSTITUTE(SUBSTITUTE(SUBSTITUTE(SUBSTITUTE(TRIM($AR969),"-",""),".",""),"/","")," ",""),8),5,2),--MID(LEFT(SUBSTITUTE(SUBSTITUTE(SUBSTITUTE(SUBSTITUTE(TRIM($AR969),"-",""),".",""),"/","")," ",""),8),7,2)),"")))</f>
        <v/>
      </c>
      <c r="AT969" s="23">
        <f>IF($AS969="","",IF($F$6="",0,IF(ISNUMBER(INDEX($A:$AP,ROW(),$F$6)),INDEX($A:$AP,ROW(),$F$6),IFERROR(--SUBSTITUTE(SUBSTITUTE(TRIM(INDEX($A:$AP,ROW(),$F$6)),",",""),"원",""),0))))</f>
        <v/>
      </c>
      <c r="AU969" s="23">
        <f>IF($AS969="","",IF($G$6="",0,IF(ISNUMBER(INDEX($A:$AP,ROW(),$G$6)),INDEX($A:$AP,ROW(),$G$6),IFERROR(--SUBSTITUTE(SUBSTITUTE(TRIM(INDEX($A:$AP,ROW(),$G$6)),",",""),"원",""),0))))</f>
        <v/>
      </c>
      <c r="AV969" s="23">
        <f>IF($AS969="","",IF($H$6="",$AT969+$AU969,IF($H$6="",0,IF(ISNUMBER(INDEX($A:$AP,ROW(),$H$6)),INDEX($A:$AP,ROW(),$H$6),IFERROR(--SUBSTITUTE(SUBSTITUTE(TRIM(INDEX($A:$AP,ROW(),$H$6)),",",""),"원",""),0)))))</f>
        <v/>
      </c>
      <c r="AW969" s="2">
        <f>IF(OR($AS969="",$C$6=""),"",TRIM(INDEX($A:$AP,ROW(),$C$6)&amp;""))</f>
        <v/>
      </c>
      <c r="AX969" s="2">
        <f>IF($AS969="","",IF($AZ969&lt;&gt;"",SUBSTITUTE(SUBSTITUTE($AZ969,"-","")," ",""),$AY969))</f>
        <v/>
      </c>
      <c r="AY969" s="2">
        <f>IF(OR($AS969="",$E$6=""),"",TRIM(INDEX($A:$AP,ROW(),$E$6)&amp;""))</f>
        <v/>
      </c>
      <c r="AZ969" s="2">
        <f>IF(OR($AS969="",$D$6=""),"",TRIM(INDEX($A:$AP,ROW(),$D$6)&amp;""))</f>
        <v/>
      </c>
      <c r="BA969" s="2">
        <f>IF($AS969="","",IF(AND($AS969&gt;=설정!$B$10,$AS969&lt;=설정!$B$11),"포함","기간 밖"))</f>
        <v/>
      </c>
      <c r="BB969" s="2">
        <f>IF($AS969="","",IF(OR($AT969&lt;0,AND($I$6&lt;&gt;"",ISNUMBER(FIND("수정",INDEX($A:$AP,ROW(),IF($I$6="",1,$I$6))&amp;"")))),"수정","일반"))</f>
        <v/>
      </c>
      <c r="BC969" s="2">
        <f>IF($AS969="","",MID(IF($BA969="기간 밖"," / 기간 밖(신고기간 아님)","")&amp;IF(AND($AW969&lt;&gt;"",COUNTIF($AW$8:$AW$1007,$AW969)&gt;1)," / 승인번호 중복(두 번 붙여넣기?)","")&amp;IF(ABS($AU969-ROUND($AT969*0.1,0))&gt;설정!$B$8,IF($AU969=0," / 세액 0원(영세율·면세 여부 확인)"," / 세액이 공급가액 10%와 다름"),"")&amp;IF($BB969="수정"," / 수정세금계산서(합계에서 자동 가감)",""),4,200))</f>
        <v/>
      </c>
      <c r="BD969" s="2">
        <f>IF($BA969&lt;&gt;"포함","",IF(COUNTIFS($AX$8:$AX969,$AX969,$BA$8:$BA969,"포함")=1,MAX($BD$7:BD968)+1,""))</f>
        <v/>
      </c>
      <c r="BE969" s="2">
        <f>IF($BC969="","",MAX($BE$7:BE968)+1)</f>
        <v/>
      </c>
    </row>
    <row r="970">
      <c r="AR970" s="2">
        <f>IF(OR($A$5="",$B$6="",ROW()&lt;$A$5),"",IF(INDEX($A:$AP,ROW(),$B$6)="","",INDEX($A:$AP,ROW(),$B$6)))</f>
        <v/>
      </c>
      <c r="AS970" s="22">
        <f>IF($AR970="","",IF(ISNUMBER($AR970),IF($AR970&gt;=10000000,IFERROR(DATE(INT($AR970/10000),MOD(INT($AR970/100),100),MOD($AR970,100)),""),INT($AR970)),IFERROR(DATE(--LEFT(LEFT(SUBSTITUTE(SUBSTITUTE(SUBSTITUTE(SUBSTITUTE(TRIM($AR970),"-",""),".",""),"/","")," ",""),8),4),--MID(LEFT(SUBSTITUTE(SUBSTITUTE(SUBSTITUTE(SUBSTITUTE(TRIM($AR970),"-",""),".",""),"/","")," ",""),8),5,2),--MID(LEFT(SUBSTITUTE(SUBSTITUTE(SUBSTITUTE(SUBSTITUTE(TRIM($AR970),"-",""),".",""),"/","")," ",""),8),7,2)),"")))</f>
        <v/>
      </c>
      <c r="AT970" s="23">
        <f>IF($AS970="","",IF($F$6="",0,IF(ISNUMBER(INDEX($A:$AP,ROW(),$F$6)),INDEX($A:$AP,ROW(),$F$6),IFERROR(--SUBSTITUTE(SUBSTITUTE(TRIM(INDEX($A:$AP,ROW(),$F$6)),",",""),"원",""),0))))</f>
        <v/>
      </c>
      <c r="AU970" s="23">
        <f>IF($AS970="","",IF($G$6="",0,IF(ISNUMBER(INDEX($A:$AP,ROW(),$G$6)),INDEX($A:$AP,ROW(),$G$6),IFERROR(--SUBSTITUTE(SUBSTITUTE(TRIM(INDEX($A:$AP,ROW(),$G$6)),",",""),"원",""),0))))</f>
        <v/>
      </c>
      <c r="AV970" s="23">
        <f>IF($AS970="","",IF($H$6="",$AT970+$AU970,IF($H$6="",0,IF(ISNUMBER(INDEX($A:$AP,ROW(),$H$6)),INDEX($A:$AP,ROW(),$H$6),IFERROR(--SUBSTITUTE(SUBSTITUTE(TRIM(INDEX($A:$AP,ROW(),$H$6)),",",""),"원",""),0)))))</f>
        <v/>
      </c>
      <c r="AW970" s="2">
        <f>IF(OR($AS970="",$C$6=""),"",TRIM(INDEX($A:$AP,ROW(),$C$6)&amp;""))</f>
        <v/>
      </c>
      <c r="AX970" s="2">
        <f>IF($AS970="","",IF($AZ970&lt;&gt;"",SUBSTITUTE(SUBSTITUTE($AZ970,"-","")," ",""),$AY970))</f>
        <v/>
      </c>
      <c r="AY970" s="2">
        <f>IF(OR($AS970="",$E$6=""),"",TRIM(INDEX($A:$AP,ROW(),$E$6)&amp;""))</f>
        <v/>
      </c>
      <c r="AZ970" s="2">
        <f>IF(OR($AS970="",$D$6=""),"",TRIM(INDEX($A:$AP,ROW(),$D$6)&amp;""))</f>
        <v/>
      </c>
      <c r="BA970" s="2">
        <f>IF($AS970="","",IF(AND($AS970&gt;=설정!$B$10,$AS970&lt;=설정!$B$11),"포함","기간 밖"))</f>
        <v/>
      </c>
      <c r="BB970" s="2">
        <f>IF($AS970="","",IF(OR($AT970&lt;0,AND($I$6&lt;&gt;"",ISNUMBER(FIND("수정",INDEX($A:$AP,ROW(),IF($I$6="",1,$I$6))&amp;"")))),"수정","일반"))</f>
        <v/>
      </c>
      <c r="BC970" s="2">
        <f>IF($AS970="","",MID(IF($BA970="기간 밖"," / 기간 밖(신고기간 아님)","")&amp;IF(AND($AW970&lt;&gt;"",COUNTIF($AW$8:$AW$1007,$AW970)&gt;1)," / 승인번호 중복(두 번 붙여넣기?)","")&amp;IF(ABS($AU970-ROUND($AT970*0.1,0))&gt;설정!$B$8,IF($AU970=0," / 세액 0원(영세율·면세 여부 확인)"," / 세액이 공급가액 10%와 다름"),"")&amp;IF($BB970="수정"," / 수정세금계산서(합계에서 자동 가감)",""),4,200))</f>
        <v/>
      </c>
      <c r="BD970" s="2">
        <f>IF($BA970&lt;&gt;"포함","",IF(COUNTIFS($AX$8:$AX970,$AX970,$BA$8:$BA970,"포함")=1,MAX($BD$7:BD969)+1,""))</f>
        <v/>
      </c>
      <c r="BE970" s="2">
        <f>IF($BC970="","",MAX($BE$7:BE969)+1)</f>
        <v/>
      </c>
    </row>
    <row r="971">
      <c r="AR971" s="2">
        <f>IF(OR($A$5="",$B$6="",ROW()&lt;$A$5),"",IF(INDEX($A:$AP,ROW(),$B$6)="","",INDEX($A:$AP,ROW(),$B$6)))</f>
        <v/>
      </c>
      <c r="AS971" s="22">
        <f>IF($AR971="","",IF(ISNUMBER($AR971),IF($AR971&gt;=10000000,IFERROR(DATE(INT($AR971/10000),MOD(INT($AR971/100),100),MOD($AR971,100)),""),INT($AR971)),IFERROR(DATE(--LEFT(LEFT(SUBSTITUTE(SUBSTITUTE(SUBSTITUTE(SUBSTITUTE(TRIM($AR971),"-",""),".",""),"/","")," ",""),8),4),--MID(LEFT(SUBSTITUTE(SUBSTITUTE(SUBSTITUTE(SUBSTITUTE(TRIM($AR971),"-",""),".",""),"/","")," ",""),8),5,2),--MID(LEFT(SUBSTITUTE(SUBSTITUTE(SUBSTITUTE(SUBSTITUTE(TRIM($AR971),"-",""),".",""),"/","")," ",""),8),7,2)),"")))</f>
        <v/>
      </c>
      <c r="AT971" s="23">
        <f>IF($AS971="","",IF($F$6="",0,IF(ISNUMBER(INDEX($A:$AP,ROW(),$F$6)),INDEX($A:$AP,ROW(),$F$6),IFERROR(--SUBSTITUTE(SUBSTITUTE(TRIM(INDEX($A:$AP,ROW(),$F$6)),",",""),"원",""),0))))</f>
        <v/>
      </c>
      <c r="AU971" s="23">
        <f>IF($AS971="","",IF($G$6="",0,IF(ISNUMBER(INDEX($A:$AP,ROW(),$G$6)),INDEX($A:$AP,ROW(),$G$6),IFERROR(--SUBSTITUTE(SUBSTITUTE(TRIM(INDEX($A:$AP,ROW(),$G$6)),",",""),"원",""),0))))</f>
        <v/>
      </c>
      <c r="AV971" s="23">
        <f>IF($AS971="","",IF($H$6="",$AT971+$AU971,IF($H$6="",0,IF(ISNUMBER(INDEX($A:$AP,ROW(),$H$6)),INDEX($A:$AP,ROW(),$H$6),IFERROR(--SUBSTITUTE(SUBSTITUTE(TRIM(INDEX($A:$AP,ROW(),$H$6)),",",""),"원",""),0)))))</f>
        <v/>
      </c>
      <c r="AW971" s="2">
        <f>IF(OR($AS971="",$C$6=""),"",TRIM(INDEX($A:$AP,ROW(),$C$6)&amp;""))</f>
        <v/>
      </c>
      <c r="AX971" s="2">
        <f>IF($AS971="","",IF($AZ971&lt;&gt;"",SUBSTITUTE(SUBSTITUTE($AZ971,"-","")," ",""),$AY971))</f>
        <v/>
      </c>
      <c r="AY971" s="2">
        <f>IF(OR($AS971="",$E$6=""),"",TRIM(INDEX($A:$AP,ROW(),$E$6)&amp;""))</f>
        <v/>
      </c>
      <c r="AZ971" s="2">
        <f>IF(OR($AS971="",$D$6=""),"",TRIM(INDEX($A:$AP,ROW(),$D$6)&amp;""))</f>
        <v/>
      </c>
      <c r="BA971" s="2">
        <f>IF($AS971="","",IF(AND($AS971&gt;=설정!$B$10,$AS971&lt;=설정!$B$11),"포함","기간 밖"))</f>
        <v/>
      </c>
      <c r="BB971" s="2">
        <f>IF($AS971="","",IF(OR($AT971&lt;0,AND($I$6&lt;&gt;"",ISNUMBER(FIND("수정",INDEX($A:$AP,ROW(),IF($I$6="",1,$I$6))&amp;"")))),"수정","일반"))</f>
        <v/>
      </c>
      <c r="BC971" s="2">
        <f>IF($AS971="","",MID(IF($BA971="기간 밖"," / 기간 밖(신고기간 아님)","")&amp;IF(AND($AW971&lt;&gt;"",COUNTIF($AW$8:$AW$1007,$AW971)&gt;1)," / 승인번호 중복(두 번 붙여넣기?)","")&amp;IF(ABS($AU971-ROUND($AT971*0.1,0))&gt;설정!$B$8,IF($AU971=0," / 세액 0원(영세율·면세 여부 확인)"," / 세액이 공급가액 10%와 다름"),"")&amp;IF($BB971="수정"," / 수정세금계산서(합계에서 자동 가감)",""),4,200))</f>
        <v/>
      </c>
      <c r="BD971" s="2">
        <f>IF($BA971&lt;&gt;"포함","",IF(COUNTIFS($AX$8:$AX971,$AX971,$BA$8:$BA971,"포함")=1,MAX($BD$7:BD970)+1,""))</f>
        <v/>
      </c>
      <c r="BE971" s="2">
        <f>IF($BC971="","",MAX($BE$7:BE970)+1)</f>
        <v/>
      </c>
    </row>
    <row r="972">
      <c r="AR972" s="2">
        <f>IF(OR($A$5="",$B$6="",ROW()&lt;$A$5),"",IF(INDEX($A:$AP,ROW(),$B$6)="","",INDEX($A:$AP,ROW(),$B$6)))</f>
        <v/>
      </c>
      <c r="AS972" s="22">
        <f>IF($AR972="","",IF(ISNUMBER($AR972),IF($AR972&gt;=10000000,IFERROR(DATE(INT($AR972/10000),MOD(INT($AR972/100),100),MOD($AR972,100)),""),INT($AR972)),IFERROR(DATE(--LEFT(LEFT(SUBSTITUTE(SUBSTITUTE(SUBSTITUTE(SUBSTITUTE(TRIM($AR972),"-",""),".",""),"/","")," ",""),8),4),--MID(LEFT(SUBSTITUTE(SUBSTITUTE(SUBSTITUTE(SUBSTITUTE(TRIM($AR972),"-",""),".",""),"/","")," ",""),8),5,2),--MID(LEFT(SUBSTITUTE(SUBSTITUTE(SUBSTITUTE(SUBSTITUTE(TRIM($AR972),"-",""),".",""),"/","")," ",""),8),7,2)),"")))</f>
        <v/>
      </c>
      <c r="AT972" s="23">
        <f>IF($AS972="","",IF($F$6="",0,IF(ISNUMBER(INDEX($A:$AP,ROW(),$F$6)),INDEX($A:$AP,ROW(),$F$6),IFERROR(--SUBSTITUTE(SUBSTITUTE(TRIM(INDEX($A:$AP,ROW(),$F$6)),",",""),"원",""),0))))</f>
        <v/>
      </c>
      <c r="AU972" s="23">
        <f>IF($AS972="","",IF($G$6="",0,IF(ISNUMBER(INDEX($A:$AP,ROW(),$G$6)),INDEX($A:$AP,ROW(),$G$6),IFERROR(--SUBSTITUTE(SUBSTITUTE(TRIM(INDEX($A:$AP,ROW(),$G$6)),",",""),"원",""),0))))</f>
        <v/>
      </c>
      <c r="AV972" s="23">
        <f>IF($AS972="","",IF($H$6="",$AT972+$AU972,IF($H$6="",0,IF(ISNUMBER(INDEX($A:$AP,ROW(),$H$6)),INDEX($A:$AP,ROW(),$H$6),IFERROR(--SUBSTITUTE(SUBSTITUTE(TRIM(INDEX($A:$AP,ROW(),$H$6)),",",""),"원",""),0)))))</f>
        <v/>
      </c>
      <c r="AW972" s="2">
        <f>IF(OR($AS972="",$C$6=""),"",TRIM(INDEX($A:$AP,ROW(),$C$6)&amp;""))</f>
        <v/>
      </c>
      <c r="AX972" s="2">
        <f>IF($AS972="","",IF($AZ972&lt;&gt;"",SUBSTITUTE(SUBSTITUTE($AZ972,"-","")," ",""),$AY972))</f>
        <v/>
      </c>
      <c r="AY972" s="2">
        <f>IF(OR($AS972="",$E$6=""),"",TRIM(INDEX($A:$AP,ROW(),$E$6)&amp;""))</f>
        <v/>
      </c>
      <c r="AZ972" s="2">
        <f>IF(OR($AS972="",$D$6=""),"",TRIM(INDEX($A:$AP,ROW(),$D$6)&amp;""))</f>
        <v/>
      </c>
      <c r="BA972" s="2">
        <f>IF($AS972="","",IF(AND($AS972&gt;=설정!$B$10,$AS972&lt;=설정!$B$11),"포함","기간 밖"))</f>
        <v/>
      </c>
      <c r="BB972" s="2">
        <f>IF($AS972="","",IF(OR($AT972&lt;0,AND($I$6&lt;&gt;"",ISNUMBER(FIND("수정",INDEX($A:$AP,ROW(),IF($I$6="",1,$I$6))&amp;"")))),"수정","일반"))</f>
        <v/>
      </c>
      <c r="BC972" s="2">
        <f>IF($AS972="","",MID(IF($BA972="기간 밖"," / 기간 밖(신고기간 아님)","")&amp;IF(AND($AW972&lt;&gt;"",COUNTIF($AW$8:$AW$1007,$AW972)&gt;1)," / 승인번호 중복(두 번 붙여넣기?)","")&amp;IF(ABS($AU972-ROUND($AT972*0.1,0))&gt;설정!$B$8,IF($AU972=0," / 세액 0원(영세율·면세 여부 확인)"," / 세액이 공급가액 10%와 다름"),"")&amp;IF($BB972="수정"," / 수정세금계산서(합계에서 자동 가감)",""),4,200))</f>
        <v/>
      </c>
      <c r="BD972" s="2">
        <f>IF($BA972&lt;&gt;"포함","",IF(COUNTIFS($AX$8:$AX972,$AX972,$BA$8:$BA972,"포함")=1,MAX($BD$7:BD971)+1,""))</f>
        <v/>
      </c>
      <c r="BE972" s="2">
        <f>IF($BC972="","",MAX($BE$7:BE971)+1)</f>
        <v/>
      </c>
    </row>
    <row r="973">
      <c r="AR973" s="2">
        <f>IF(OR($A$5="",$B$6="",ROW()&lt;$A$5),"",IF(INDEX($A:$AP,ROW(),$B$6)="","",INDEX($A:$AP,ROW(),$B$6)))</f>
        <v/>
      </c>
      <c r="AS973" s="22">
        <f>IF($AR973="","",IF(ISNUMBER($AR973),IF($AR973&gt;=10000000,IFERROR(DATE(INT($AR973/10000),MOD(INT($AR973/100),100),MOD($AR973,100)),""),INT($AR973)),IFERROR(DATE(--LEFT(LEFT(SUBSTITUTE(SUBSTITUTE(SUBSTITUTE(SUBSTITUTE(TRIM($AR973),"-",""),".",""),"/","")," ",""),8),4),--MID(LEFT(SUBSTITUTE(SUBSTITUTE(SUBSTITUTE(SUBSTITUTE(TRIM($AR973),"-",""),".",""),"/","")," ",""),8),5,2),--MID(LEFT(SUBSTITUTE(SUBSTITUTE(SUBSTITUTE(SUBSTITUTE(TRIM($AR973),"-",""),".",""),"/","")," ",""),8),7,2)),"")))</f>
        <v/>
      </c>
      <c r="AT973" s="23">
        <f>IF($AS973="","",IF($F$6="",0,IF(ISNUMBER(INDEX($A:$AP,ROW(),$F$6)),INDEX($A:$AP,ROW(),$F$6),IFERROR(--SUBSTITUTE(SUBSTITUTE(TRIM(INDEX($A:$AP,ROW(),$F$6)),",",""),"원",""),0))))</f>
        <v/>
      </c>
      <c r="AU973" s="23">
        <f>IF($AS973="","",IF($G$6="",0,IF(ISNUMBER(INDEX($A:$AP,ROW(),$G$6)),INDEX($A:$AP,ROW(),$G$6),IFERROR(--SUBSTITUTE(SUBSTITUTE(TRIM(INDEX($A:$AP,ROW(),$G$6)),",",""),"원",""),0))))</f>
        <v/>
      </c>
      <c r="AV973" s="23">
        <f>IF($AS973="","",IF($H$6="",$AT973+$AU973,IF($H$6="",0,IF(ISNUMBER(INDEX($A:$AP,ROW(),$H$6)),INDEX($A:$AP,ROW(),$H$6),IFERROR(--SUBSTITUTE(SUBSTITUTE(TRIM(INDEX($A:$AP,ROW(),$H$6)),",",""),"원",""),0)))))</f>
        <v/>
      </c>
      <c r="AW973" s="2">
        <f>IF(OR($AS973="",$C$6=""),"",TRIM(INDEX($A:$AP,ROW(),$C$6)&amp;""))</f>
        <v/>
      </c>
      <c r="AX973" s="2">
        <f>IF($AS973="","",IF($AZ973&lt;&gt;"",SUBSTITUTE(SUBSTITUTE($AZ973,"-","")," ",""),$AY973))</f>
        <v/>
      </c>
      <c r="AY973" s="2">
        <f>IF(OR($AS973="",$E$6=""),"",TRIM(INDEX($A:$AP,ROW(),$E$6)&amp;""))</f>
        <v/>
      </c>
      <c r="AZ973" s="2">
        <f>IF(OR($AS973="",$D$6=""),"",TRIM(INDEX($A:$AP,ROW(),$D$6)&amp;""))</f>
        <v/>
      </c>
      <c r="BA973" s="2">
        <f>IF($AS973="","",IF(AND($AS973&gt;=설정!$B$10,$AS973&lt;=설정!$B$11),"포함","기간 밖"))</f>
        <v/>
      </c>
      <c r="BB973" s="2">
        <f>IF($AS973="","",IF(OR($AT973&lt;0,AND($I$6&lt;&gt;"",ISNUMBER(FIND("수정",INDEX($A:$AP,ROW(),IF($I$6="",1,$I$6))&amp;"")))),"수정","일반"))</f>
        <v/>
      </c>
      <c r="BC973" s="2">
        <f>IF($AS973="","",MID(IF($BA973="기간 밖"," / 기간 밖(신고기간 아님)","")&amp;IF(AND($AW973&lt;&gt;"",COUNTIF($AW$8:$AW$1007,$AW973)&gt;1)," / 승인번호 중복(두 번 붙여넣기?)","")&amp;IF(ABS($AU973-ROUND($AT973*0.1,0))&gt;설정!$B$8,IF($AU973=0," / 세액 0원(영세율·면세 여부 확인)"," / 세액이 공급가액 10%와 다름"),"")&amp;IF($BB973="수정"," / 수정세금계산서(합계에서 자동 가감)",""),4,200))</f>
        <v/>
      </c>
      <c r="BD973" s="2">
        <f>IF($BA973&lt;&gt;"포함","",IF(COUNTIFS($AX$8:$AX973,$AX973,$BA$8:$BA973,"포함")=1,MAX($BD$7:BD972)+1,""))</f>
        <v/>
      </c>
      <c r="BE973" s="2">
        <f>IF($BC973="","",MAX($BE$7:BE972)+1)</f>
        <v/>
      </c>
    </row>
    <row r="974">
      <c r="AR974" s="2">
        <f>IF(OR($A$5="",$B$6="",ROW()&lt;$A$5),"",IF(INDEX($A:$AP,ROW(),$B$6)="","",INDEX($A:$AP,ROW(),$B$6)))</f>
        <v/>
      </c>
      <c r="AS974" s="22">
        <f>IF($AR974="","",IF(ISNUMBER($AR974),IF($AR974&gt;=10000000,IFERROR(DATE(INT($AR974/10000),MOD(INT($AR974/100),100),MOD($AR974,100)),""),INT($AR974)),IFERROR(DATE(--LEFT(LEFT(SUBSTITUTE(SUBSTITUTE(SUBSTITUTE(SUBSTITUTE(TRIM($AR974),"-",""),".",""),"/","")," ",""),8),4),--MID(LEFT(SUBSTITUTE(SUBSTITUTE(SUBSTITUTE(SUBSTITUTE(TRIM($AR974),"-",""),".",""),"/","")," ",""),8),5,2),--MID(LEFT(SUBSTITUTE(SUBSTITUTE(SUBSTITUTE(SUBSTITUTE(TRIM($AR974),"-",""),".",""),"/","")," ",""),8),7,2)),"")))</f>
        <v/>
      </c>
      <c r="AT974" s="23">
        <f>IF($AS974="","",IF($F$6="",0,IF(ISNUMBER(INDEX($A:$AP,ROW(),$F$6)),INDEX($A:$AP,ROW(),$F$6),IFERROR(--SUBSTITUTE(SUBSTITUTE(TRIM(INDEX($A:$AP,ROW(),$F$6)),",",""),"원",""),0))))</f>
        <v/>
      </c>
      <c r="AU974" s="23">
        <f>IF($AS974="","",IF($G$6="",0,IF(ISNUMBER(INDEX($A:$AP,ROW(),$G$6)),INDEX($A:$AP,ROW(),$G$6),IFERROR(--SUBSTITUTE(SUBSTITUTE(TRIM(INDEX($A:$AP,ROW(),$G$6)),",",""),"원",""),0))))</f>
        <v/>
      </c>
      <c r="AV974" s="23">
        <f>IF($AS974="","",IF($H$6="",$AT974+$AU974,IF($H$6="",0,IF(ISNUMBER(INDEX($A:$AP,ROW(),$H$6)),INDEX($A:$AP,ROW(),$H$6),IFERROR(--SUBSTITUTE(SUBSTITUTE(TRIM(INDEX($A:$AP,ROW(),$H$6)),",",""),"원",""),0)))))</f>
        <v/>
      </c>
      <c r="AW974" s="2">
        <f>IF(OR($AS974="",$C$6=""),"",TRIM(INDEX($A:$AP,ROW(),$C$6)&amp;""))</f>
        <v/>
      </c>
      <c r="AX974" s="2">
        <f>IF($AS974="","",IF($AZ974&lt;&gt;"",SUBSTITUTE(SUBSTITUTE($AZ974,"-","")," ",""),$AY974))</f>
        <v/>
      </c>
      <c r="AY974" s="2">
        <f>IF(OR($AS974="",$E$6=""),"",TRIM(INDEX($A:$AP,ROW(),$E$6)&amp;""))</f>
        <v/>
      </c>
      <c r="AZ974" s="2">
        <f>IF(OR($AS974="",$D$6=""),"",TRIM(INDEX($A:$AP,ROW(),$D$6)&amp;""))</f>
        <v/>
      </c>
      <c r="BA974" s="2">
        <f>IF($AS974="","",IF(AND($AS974&gt;=설정!$B$10,$AS974&lt;=설정!$B$11),"포함","기간 밖"))</f>
        <v/>
      </c>
      <c r="BB974" s="2">
        <f>IF($AS974="","",IF(OR($AT974&lt;0,AND($I$6&lt;&gt;"",ISNUMBER(FIND("수정",INDEX($A:$AP,ROW(),IF($I$6="",1,$I$6))&amp;"")))),"수정","일반"))</f>
        <v/>
      </c>
      <c r="BC974" s="2">
        <f>IF($AS974="","",MID(IF($BA974="기간 밖"," / 기간 밖(신고기간 아님)","")&amp;IF(AND($AW974&lt;&gt;"",COUNTIF($AW$8:$AW$1007,$AW974)&gt;1)," / 승인번호 중복(두 번 붙여넣기?)","")&amp;IF(ABS($AU974-ROUND($AT974*0.1,0))&gt;설정!$B$8,IF($AU974=0," / 세액 0원(영세율·면세 여부 확인)"," / 세액이 공급가액 10%와 다름"),"")&amp;IF($BB974="수정"," / 수정세금계산서(합계에서 자동 가감)",""),4,200))</f>
        <v/>
      </c>
      <c r="BD974" s="2">
        <f>IF($BA974&lt;&gt;"포함","",IF(COUNTIFS($AX$8:$AX974,$AX974,$BA$8:$BA974,"포함")=1,MAX($BD$7:BD973)+1,""))</f>
        <v/>
      </c>
      <c r="BE974" s="2">
        <f>IF($BC974="","",MAX($BE$7:BE973)+1)</f>
        <v/>
      </c>
    </row>
    <row r="975">
      <c r="AR975" s="2">
        <f>IF(OR($A$5="",$B$6="",ROW()&lt;$A$5),"",IF(INDEX($A:$AP,ROW(),$B$6)="","",INDEX($A:$AP,ROW(),$B$6)))</f>
        <v/>
      </c>
      <c r="AS975" s="22">
        <f>IF($AR975="","",IF(ISNUMBER($AR975),IF($AR975&gt;=10000000,IFERROR(DATE(INT($AR975/10000),MOD(INT($AR975/100),100),MOD($AR975,100)),""),INT($AR975)),IFERROR(DATE(--LEFT(LEFT(SUBSTITUTE(SUBSTITUTE(SUBSTITUTE(SUBSTITUTE(TRIM($AR975),"-",""),".",""),"/","")," ",""),8),4),--MID(LEFT(SUBSTITUTE(SUBSTITUTE(SUBSTITUTE(SUBSTITUTE(TRIM($AR975),"-",""),".",""),"/","")," ",""),8),5,2),--MID(LEFT(SUBSTITUTE(SUBSTITUTE(SUBSTITUTE(SUBSTITUTE(TRIM($AR975),"-",""),".",""),"/","")," ",""),8),7,2)),"")))</f>
        <v/>
      </c>
      <c r="AT975" s="23">
        <f>IF($AS975="","",IF($F$6="",0,IF(ISNUMBER(INDEX($A:$AP,ROW(),$F$6)),INDEX($A:$AP,ROW(),$F$6),IFERROR(--SUBSTITUTE(SUBSTITUTE(TRIM(INDEX($A:$AP,ROW(),$F$6)),",",""),"원",""),0))))</f>
        <v/>
      </c>
      <c r="AU975" s="23">
        <f>IF($AS975="","",IF($G$6="",0,IF(ISNUMBER(INDEX($A:$AP,ROW(),$G$6)),INDEX($A:$AP,ROW(),$G$6),IFERROR(--SUBSTITUTE(SUBSTITUTE(TRIM(INDEX($A:$AP,ROW(),$G$6)),",",""),"원",""),0))))</f>
        <v/>
      </c>
      <c r="AV975" s="23">
        <f>IF($AS975="","",IF($H$6="",$AT975+$AU975,IF($H$6="",0,IF(ISNUMBER(INDEX($A:$AP,ROW(),$H$6)),INDEX($A:$AP,ROW(),$H$6),IFERROR(--SUBSTITUTE(SUBSTITUTE(TRIM(INDEX($A:$AP,ROW(),$H$6)),",",""),"원",""),0)))))</f>
        <v/>
      </c>
      <c r="AW975" s="2">
        <f>IF(OR($AS975="",$C$6=""),"",TRIM(INDEX($A:$AP,ROW(),$C$6)&amp;""))</f>
        <v/>
      </c>
      <c r="AX975" s="2">
        <f>IF($AS975="","",IF($AZ975&lt;&gt;"",SUBSTITUTE(SUBSTITUTE($AZ975,"-","")," ",""),$AY975))</f>
        <v/>
      </c>
      <c r="AY975" s="2">
        <f>IF(OR($AS975="",$E$6=""),"",TRIM(INDEX($A:$AP,ROW(),$E$6)&amp;""))</f>
        <v/>
      </c>
      <c r="AZ975" s="2">
        <f>IF(OR($AS975="",$D$6=""),"",TRIM(INDEX($A:$AP,ROW(),$D$6)&amp;""))</f>
        <v/>
      </c>
      <c r="BA975" s="2">
        <f>IF($AS975="","",IF(AND($AS975&gt;=설정!$B$10,$AS975&lt;=설정!$B$11),"포함","기간 밖"))</f>
        <v/>
      </c>
      <c r="BB975" s="2">
        <f>IF($AS975="","",IF(OR($AT975&lt;0,AND($I$6&lt;&gt;"",ISNUMBER(FIND("수정",INDEX($A:$AP,ROW(),IF($I$6="",1,$I$6))&amp;"")))),"수정","일반"))</f>
        <v/>
      </c>
      <c r="BC975" s="2">
        <f>IF($AS975="","",MID(IF($BA975="기간 밖"," / 기간 밖(신고기간 아님)","")&amp;IF(AND($AW975&lt;&gt;"",COUNTIF($AW$8:$AW$1007,$AW975)&gt;1)," / 승인번호 중복(두 번 붙여넣기?)","")&amp;IF(ABS($AU975-ROUND($AT975*0.1,0))&gt;설정!$B$8,IF($AU975=0," / 세액 0원(영세율·면세 여부 확인)"," / 세액이 공급가액 10%와 다름"),"")&amp;IF($BB975="수정"," / 수정세금계산서(합계에서 자동 가감)",""),4,200))</f>
        <v/>
      </c>
      <c r="BD975" s="2">
        <f>IF($BA975&lt;&gt;"포함","",IF(COUNTIFS($AX$8:$AX975,$AX975,$BA$8:$BA975,"포함")=1,MAX($BD$7:BD974)+1,""))</f>
        <v/>
      </c>
      <c r="BE975" s="2">
        <f>IF($BC975="","",MAX($BE$7:BE974)+1)</f>
        <v/>
      </c>
    </row>
    <row r="976">
      <c r="AR976" s="2">
        <f>IF(OR($A$5="",$B$6="",ROW()&lt;$A$5),"",IF(INDEX($A:$AP,ROW(),$B$6)="","",INDEX($A:$AP,ROW(),$B$6)))</f>
        <v/>
      </c>
      <c r="AS976" s="22">
        <f>IF($AR976="","",IF(ISNUMBER($AR976),IF($AR976&gt;=10000000,IFERROR(DATE(INT($AR976/10000),MOD(INT($AR976/100),100),MOD($AR976,100)),""),INT($AR976)),IFERROR(DATE(--LEFT(LEFT(SUBSTITUTE(SUBSTITUTE(SUBSTITUTE(SUBSTITUTE(TRIM($AR976),"-",""),".",""),"/","")," ",""),8),4),--MID(LEFT(SUBSTITUTE(SUBSTITUTE(SUBSTITUTE(SUBSTITUTE(TRIM($AR976),"-",""),".",""),"/","")," ",""),8),5,2),--MID(LEFT(SUBSTITUTE(SUBSTITUTE(SUBSTITUTE(SUBSTITUTE(TRIM($AR976),"-",""),".",""),"/","")," ",""),8),7,2)),"")))</f>
        <v/>
      </c>
      <c r="AT976" s="23">
        <f>IF($AS976="","",IF($F$6="",0,IF(ISNUMBER(INDEX($A:$AP,ROW(),$F$6)),INDEX($A:$AP,ROW(),$F$6),IFERROR(--SUBSTITUTE(SUBSTITUTE(TRIM(INDEX($A:$AP,ROW(),$F$6)),",",""),"원",""),0))))</f>
        <v/>
      </c>
      <c r="AU976" s="23">
        <f>IF($AS976="","",IF($G$6="",0,IF(ISNUMBER(INDEX($A:$AP,ROW(),$G$6)),INDEX($A:$AP,ROW(),$G$6),IFERROR(--SUBSTITUTE(SUBSTITUTE(TRIM(INDEX($A:$AP,ROW(),$G$6)),",",""),"원",""),0))))</f>
        <v/>
      </c>
      <c r="AV976" s="23">
        <f>IF($AS976="","",IF($H$6="",$AT976+$AU976,IF($H$6="",0,IF(ISNUMBER(INDEX($A:$AP,ROW(),$H$6)),INDEX($A:$AP,ROW(),$H$6),IFERROR(--SUBSTITUTE(SUBSTITUTE(TRIM(INDEX($A:$AP,ROW(),$H$6)),",",""),"원",""),0)))))</f>
        <v/>
      </c>
      <c r="AW976" s="2">
        <f>IF(OR($AS976="",$C$6=""),"",TRIM(INDEX($A:$AP,ROW(),$C$6)&amp;""))</f>
        <v/>
      </c>
      <c r="AX976" s="2">
        <f>IF($AS976="","",IF($AZ976&lt;&gt;"",SUBSTITUTE(SUBSTITUTE($AZ976,"-","")," ",""),$AY976))</f>
        <v/>
      </c>
      <c r="AY976" s="2">
        <f>IF(OR($AS976="",$E$6=""),"",TRIM(INDEX($A:$AP,ROW(),$E$6)&amp;""))</f>
        <v/>
      </c>
      <c r="AZ976" s="2">
        <f>IF(OR($AS976="",$D$6=""),"",TRIM(INDEX($A:$AP,ROW(),$D$6)&amp;""))</f>
        <v/>
      </c>
      <c r="BA976" s="2">
        <f>IF($AS976="","",IF(AND($AS976&gt;=설정!$B$10,$AS976&lt;=설정!$B$11),"포함","기간 밖"))</f>
        <v/>
      </c>
      <c r="BB976" s="2">
        <f>IF($AS976="","",IF(OR($AT976&lt;0,AND($I$6&lt;&gt;"",ISNUMBER(FIND("수정",INDEX($A:$AP,ROW(),IF($I$6="",1,$I$6))&amp;"")))),"수정","일반"))</f>
        <v/>
      </c>
      <c r="BC976" s="2">
        <f>IF($AS976="","",MID(IF($BA976="기간 밖"," / 기간 밖(신고기간 아님)","")&amp;IF(AND($AW976&lt;&gt;"",COUNTIF($AW$8:$AW$1007,$AW976)&gt;1)," / 승인번호 중복(두 번 붙여넣기?)","")&amp;IF(ABS($AU976-ROUND($AT976*0.1,0))&gt;설정!$B$8,IF($AU976=0," / 세액 0원(영세율·면세 여부 확인)"," / 세액이 공급가액 10%와 다름"),"")&amp;IF($BB976="수정"," / 수정세금계산서(합계에서 자동 가감)",""),4,200))</f>
        <v/>
      </c>
      <c r="BD976" s="2">
        <f>IF($BA976&lt;&gt;"포함","",IF(COUNTIFS($AX$8:$AX976,$AX976,$BA$8:$BA976,"포함")=1,MAX($BD$7:BD975)+1,""))</f>
        <v/>
      </c>
      <c r="BE976" s="2">
        <f>IF($BC976="","",MAX($BE$7:BE975)+1)</f>
        <v/>
      </c>
    </row>
    <row r="977">
      <c r="AR977" s="2">
        <f>IF(OR($A$5="",$B$6="",ROW()&lt;$A$5),"",IF(INDEX($A:$AP,ROW(),$B$6)="","",INDEX($A:$AP,ROW(),$B$6)))</f>
        <v/>
      </c>
      <c r="AS977" s="22">
        <f>IF($AR977="","",IF(ISNUMBER($AR977),IF($AR977&gt;=10000000,IFERROR(DATE(INT($AR977/10000),MOD(INT($AR977/100),100),MOD($AR977,100)),""),INT($AR977)),IFERROR(DATE(--LEFT(LEFT(SUBSTITUTE(SUBSTITUTE(SUBSTITUTE(SUBSTITUTE(TRIM($AR977),"-",""),".",""),"/","")," ",""),8),4),--MID(LEFT(SUBSTITUTE(SUBSTITUTE(SUBSTITUTE(SUBSTITUTE(TRIM($AR977),"-",""),".",""),"/","")," ",""),8),5,2),--MID(LEFT(SUBSTITUTE(SUBSTITUTE(SUBSTITUTE(SUBSTITUTE(TRIM($AR977),"-",""),".",""),"/","")," ",""),8),7,2)),"")))</f>
        <v/>
      </c>
      <c r="AT977" s="23">
        <f>IF($AS977="","",IF($F$6="",0,IF(ISNUMBER(INDEX($A:$AP,ROW(),$F$6)),INDEX($A:$AP,ROW(),$F$6),IFERROR(--SUBSTITUTE(SUBSTITUTE(TRIM(INDEX($A:$AP,ROW(),$F$6)),",",""),"원",""),0))))</f>
        <v/>
      </c>
      <c r="AU977" s="23">
        <f>IF($AS977="","",IF($G$6="",0,IF(ISNUMBER(INDEX($A:$AP,ROW(),$G$6)),INDEX($A:$AP,ROW(),$G$6),IFERROR(--SUBSTITUTE(SUBSTITUTE(TRIM(INDEX($A:$AP,ROW(),$G$6)),",",""),"원",""),0))))</f>
        <v/>
      </c>
      <c r="AV977" s="23">
        <f>IF($AS977="","",IF($H$6="",$AT977+$AU977,IF($H$6="",0,IF(ISNUMBER(INDEX($A:$AP,ROW(),$H$6)),INDEX($A:$AP,ROW(),$H$6),IFERROR(--SUBSTITUTE(SUBSTITUTE(TRIM(INDEX($A:$AP,ROW(),$H$6)),",",""),"원",""),0)))))</f>
        <v/>
      </c>
      <c r="AW977" s="2">
        <f>IF(OR($AS977="",$C$6=""),"",TRIM(INDEX($A:$AP,ROW(),$C$6)&amp;""))</f>
        <v/>
      </c>
      <c r="AX977" s="2">
        <f>IF($AS977="","",IF($AZ977&lt;&gt;"",SUBSTITUTE(SUBSTITUTE($AZ977,"-","")," ",""),$AY977))</f>
        <v/>
      </c>
      <c r="AY977" s="2">
        <f>IF(OR($AS977="",$E$6=""),"",TRIM(INDEX($A:$AP,ROW(),$E$6)&amp;""))</f>
        <v/>
      </c>
      <c r="AZ977" s="2">
        <f>IF(OR($AS977="",$D$6=""),"",TRIM(INDEX($A:$AP,ROW(),$D$6)&amp;""))</f>
        <v/>
      </c>
      <c r="BA977" s="2">
        <f>IF($AS977="","",IF(AND($AS977&gt;=설정!$B$10,$AS977&lt;=설정!$B$11),"포함","기간 밖"))</f>
        <v/>
      </c>
      <c r="BB977" s="2">
        <f>IF($AS977="","",IF(OR($AT977&lt;0,AND($I$6&lt;&gt;"",ISNUMBER(FIND("수정",INDEX($A:$AP,ROW(),IF($I$6="",1,$I$6))&amp;"")))),"수정","일반"))</f>
        <v/>
      </c>
      <c r="BC977" s="2">
        <f>IF($AS977="","",MID(IF($BA977="기간 밖"," / 기간 밖(신고기간 아님)","")&amp;IF(AND($AW977&lt;&gt;"",COUNTIF($AW$8:$AW$1007,$AW977)&gt;1)," / 승인번호 중복(두 번 붙여넣기?)","")&amp;IF(ABS($AU977-ROUND($AT977*0.1,0))&gt;설정!$B$8,IF($AU977=0," / 세액 0원(영세율·면세 여부 확인)"," / 세액이 공급가액 10%와 다름"),"")&amp;IF($BB977="수정"," / 수정세금계산서(합계에서 자동 가감)",""),4,200))</f>
        <v/>
      </c>
      <c r="BD977" s="2">
        <f>IF($BA977&lt;&gt;"포함","",IF(COUNTIFS($AX$8:$AX977,$AX977,$BA$8:$BA977,"포함")=1,MAX($BD$7:BD976)+1,""))</f>
        <v/>
      </c>
      <c r="BE977" s="2">
        <f>IF($BC977="","",MAX($BE$7:BE976)+1)</f>
        <v/>
      </c>
    </row>
    <row r="978">
      <c r="AR978" s="2">
        <f>IF(OR($A$5="",$B$6="",ROW()&lt;$A$5),"",IF(INDEX($A:$AP,ROW(),$B$6)="","",INDEX($A:$AP,ROW(),$B$6)))</f>
        <v/>
      </c>
      <c r="AS978" s="22">
        <f>IF($AR978="","",IF(ISNUMBER($AR978),IF($AR978&gt;=10000000,IFERROR(DATE(INT($AR978/10000),MOD(INT($AR978/100),100),MOD($AR978,100)),""),INT($AR978)),IFERROR(DATE(--LEFT(LEFT(SUBSTITUTE(SUBSTITUTE(SUBSTITUTE(SUBSTITUTE(TRIM($AR978),"-",""),".",""),"/","")," ",""),8),4),--MID(LEFT(SUBSTITUTE(SUBSTITUTE(SUBSTITUTE(SUBSTITUTE(TRIM($AR978),"-",""),".",""),"/","")," ",""),8),5,2),--MID(LEFT(SUBSTITUTE(SUBSTITUTE(SUBSTITUTE(SUBSTITUTE(TRIM($AR978),"-",""),".",""),"/","")," ",""),8),7,2)),"")))</f>
        <v/>
      </c>
      <c r="AT978" s="23">
        <f>IF($AS978="","",IF($F$6="",0,IF(ISNUMBER(INDEX($A:$AP,ROW(),$F$6)),INDEX($A:$AP,ROW(),$F$6),IFERROR(--SUBSTITUTE(SUBSTITUTE(TRIM(INDEX($A:$AP,ROW(),$F$6)),",",""),"원",""),0))))</f>
        <v/>
      </c>
      <c r="AU978" s="23">
        <f>IF($AS978="","",IF($G$6="",0,IF(ISNUMBER(INDEX($A:$AP,ROW(),$G$6)),INDEX($A:$AP,ROW(),$G$6),IFERROR(--SUBSTITUTE(SUBSTITUTE(TRIM(INDEX($A:$AP,ROW(),$G$6)),",",""),"원",""),0))))</f>
        <v/>
      </c>
      <c r="AV978" s="23">
        <f>IF($AS978="","",IF($H$6="",$AT978+$AU978,IF($H$6="",0,IF(ISNUMBER(INDEX($A:$AP,ROW(),$H$6)),INDEX($A:$AP,ROW(),$H$6),IFERROR(--SUBSTITUTE(SUBSTITUTE(TRIM(INDEX($A:$AP,ROW(),$H$6)),",",""),"원",""),0)))))</f>
        <v/>
      </c>
      <c r="AW978" s="2">
        <f>IF(OR($AS978="",$C$6=""),"",TRIM(INDEX($A:$AP,ROW(),$C$6)&amp;""))</f>
        <v/>
      </c>
      <c r="AX978" s="2">
        <f>IF($AS978="","",IF($AZ978&lt;&gt;"",SUBSTITUTE(SUBSTITUTE($AZ978,"-","")," ",""),$AY978))</f>
        <v/>
      </c>
      <c r="AY978" s="2">
        <f>IF(OR($AS978="",$E$6=""),"",TRIM(INDEX($A:$AP,ROW(),$E$6)&amp;""))</f>
        <v/>
      </c>
      <c r="AZ978" s="2">
        <f>IF(OR($AS978="",$D$6=""),"",TRIM(INDEX($A:$AP,ROW(),$D$6)&amp;""))</f>
        <v/>
      </c>
      <c r="BA978" s="2">
        <f>IF($AS978="","",IF(AND($AS978&gt;=설정!$B$10,$AS978&lt;=설정!$B$11),"포함","기간 밖"))</f>
        <v/>
      </c>
      <c r="BB978" s="2">
        <f>IF($AS978="","",IF(OR($AT978&lt;0,AND($I$6&lt;&gt;"",ISNUMBER(FIND("수정",INDEX($A:$AP,ROW(),IF($I$6="",1,$I$6))&amp;"")))),"수정","일반"))</f>
        <v/>
      </c>
      <c r="BC978" s="2">
        <f>IF($AS978="","",MID(IF($BA978="기간 밖"," / 기간 밖(신고기간 아님)","")&amp;IF(AND($AW978&lt;&gt;"",COUNTIF($AW$8:$AW$1007,$AW978)&gt;1)," / 승인번호 중복(두 번 붙여넣기?)","")&amp;IF(ABS($AU978-ROUND($AT978*0.1,0))&gt;설정!$B$8,IF($AU978=0," / 세액 0원(영세율·면세 여부 확인)"," / 세액이 공급가액 10%와 다름"),"")&amp;IF($BB978="수정"," / 수정세금계산서(합계에서 자동 가감)",""),4,200))</f>
        <v/>
      </c>
      <c r="BD978" s="2">
        <f>IF($BA978&lt;&gt;"포함","",IF(COUNTIFS($AX$8:$AX978,$AX978,$BA$8:$BA978,"포함")=1,MAX($BD$7:BD977)+1,""))</f>
        <v/>
      </c>
      <c r="BE978" s="2">
        <f>IF($BC978="","",MAX($BE$7:BE977)+1)</f>
        <v/>
      </c>
    </row>
    <row r="979">
      <c r="AR979" s="2">
        <f>IF(OR($A$5="",$B$6="",ROW()&lt;$A$5),"",IF(INDEX($A:$AP,ROW(),$B$6)="","",INDEX($A:$AP,ROW(),$B$6)))</f>
        <v/>
      </c>
      <c r="AS979" s="22">
        <f>IF($AR979="","",IF(ISNUMBER($AR979),IF($AR979&gt;=10000000,IFERROR(DATE(INT($AR979/10000),MOD(INT($AR979/100),100),MOD($AR979,100)),""),INT($AR979)),IFERROR(DATE(--LEFT(LEFT(SUBSTITUTE(SUBSTITUTE(SUBSTITUTE(SUBSTITUTE(TRIM($AR979),"-",""),".",""),"/","")," ",""),8),4),--MID(LEFT(SUBSTITUTE(SUBSTITUTE(SUBSTITUTE(SUBSTITUTE(TRIM($AR979),"-",""),".",""),"/","")," ",""),8),5,2),--MID(LEFT(SUBSTITUTE(SUBSTITUTE(SUBSTITUTE(SUBSTITUTE(TRIM($AR979),"-",""),".",""),"/","")," ",""),8),7,2)),"")))</f>
        <v/>
      </c>
      <c r="AT979" s="23">
        <f>IF($AS979="","",IF($F$6="",0,IF(ISNUMBER(INDEX($A:$AP,ROW(),$F$6)),INDEX($A:$AP,ROW(),$F$6),IFERROR(--SUBSTITUTE(SUBSTITUTE(TRIM(INDEX($A:$AP,ROW(),$F$6)),",",""),"원",""),0))))</f>
        <v/>
      </c>
      <c r="AU979" s="23">
        <f>IF($AS979="","",IF($G$6="",0,IF(ISNUMBER(INDEX($A:$AP,ROW(),$G$6)),INDEX($A:$AP,ROW(),$G$6),IFERROR(--SUBSTITUTE(SUBSTITUTE(TRIM(INDEX($A:$AP,ROW(),$G$6)),",",""),"원",""),0))))</f>
        <v/>
      </c>
      <c r="AV979" s="23">
        <f>IF($AS979="","",IF($H$6="",$AT979+$AU979,IF($H$6="",0,IF(ISNUMBER(INDEX($A:$AP,ROW(),$H$6)),INDEX($A:$AP,ROW(),$H$6),IFERROR(--SUBSTITUTE(SUBSTITUTE(TRIM(INDEX($A:$AP,ROW(),$H$6)),",",""),"원",""),0)))))</f>
        <v/>
      </c>
      <c r="AW979" s="2">
        <f>IF(OR($AS979="",$C$6=""),"",TRIM(INDEX($A:$AP,ROW(),$C$6)&amp;""))</f>
        <v/>
      </c>
      <c r="AX979" s="2">
        <f>IF($AS979="","",IF($AZ979&lt;&gt;"",SUBSTITUTE(SUBSTITUTE($AZ979,"-","")," ",""),$AY979))</f>
        <v/>
      </c>
      <c r="AY979" s="2">
        <f>IF(OR($AS979="",$E$6=""),"",TRIM(INDEX($A:$AP,ROW(),$E$6)&amp;""))</f>
        <v/>
      </c>
      <c r="AZ979" s="2">
        <f>IF(OR($AS979="",$D$6=""),"",TRIM(INDEX($A:$AP,ROW(),$D$6)&amp;""))</f>
        <v/>
      </c>
      <c r="BA979" s="2">
        <f>IF($AS979="","",IF(AND($AS979&gt;=설정!$B$10,$AS979&lt;=설정!$B$11),"포함","기간 밖"))</f>
        <v/>
      </c>
      <c r="BB979" s="2">
        <f>IF($AS979="","",IF(OR($AT979&lt;0,AND($I$6&lt;&gt;"",ISNUMBER(FIND("수정",INDEX($A:$AP,ROW(),IF($I$6="",1,$I$6))&amp;"")))),"수정","일반"))</f>
        <v/>
      </c>
      <c r="BC979" s="2">
        <f>IF($AS979="","",MID(IF($BA979="기간 밖"," / 기간 밖(신고기간 아님)","")&amp;IF(AND($AW979&lt;&gt;"",COUNTIF($AW$8:$AW$1007,$AW979)&gt;1)," / 승인번호 중복(두 번 붙여넣기?)","")&amp;IF(ABS($AU979-ROUND($AT979*0.1,0))&gt;설정!$B$8,IF($AU979=0," / 세액 0원(영세율·면세 여부 확인)"," / 세액이 공급가액 10%와 다름"),"")&amp;IF($BB979="수정"," / 수정세금계산서(합계에서 자동 가감)",""),4,200))</f>
        <v/>
      </c>
      <c r="BD979" s="2">
        <f>IF($BA979&lt;&gt;"포함","",IF(COUNTIFS($AX$8:$AX979,$AX979,$BA$8:$BA979,"포함")=1,MAX($BD$7:BD978)+1,""))</f>
        <v/>
      </c>
      <c r="BE979" s="2">
        <f>IF($BC979="","",MAX($BE$7:BE978)+1)</f>
        <v/>
      </c>
    </row>
    <row r="980">
      <c r="AR980" s="2">
        <f>IF(OR($A$5="",$B$6="",ROW()&lt;$A$5),"",IF(INDEX($A:$AP,ROW(),$B$6)="","",INDEX($A:$AP,ROW(),$B$6)))</f>
        <v/>
      </c>
      <c r="AS980" s="22">
        <f>IF($AR980="","",IF(ISNUMBER($AR980),IF($AR980&gt;=10000000,IFERROR(DATE(INT($AR980/10000),MOD(INT($AR980/100),100),MOD($AR980,100)),""),INT($AR980)),IFERROR(DATE(--LEFT(LEFT(SUBSTITUTE(SUBSTITUTE(SUBSTITUTE(SUBSTITUTE(TRIM($AR980),"-",""),".",""),"/","")," ",""),8),4),--MID(LEFT(SUBSTITUTE(SUBSTITUTE(SUBSTITUTE(SUBSTITUTE(TRIM($AR980),"-",""),".",""),"/","")," ",""),8),5,2),--MID(LEFT(SUBSTITUTE(SUBSTITUTE(SUBSTITUTE(SUBSTITUTE(TRIM($AR980),"-",""),".",""),"/","")," ",""),8),7,2)),"")))</f>
        <v/>
      </c>
      <c r="AT980" s="23">
        <f>IF($AS980="","",IF($F$6="",0,IF(ISNUMBER(INDEX($A:$AP,ROW(),$F$6)),INDEX($A:$AP,ROW(),$F$6),IFERROR(--SUBSTITUTE(SUBSTITUTE(TRIM(INDEX($A:$AP,ROW(),$F$6)),",",""),"원",""),0))))</f>
        <v/>
      </c>
      <c r="AU980" s="23">
        <f>IF($AS980="","",IF($G$6="",0,IF(ISNUMBER(INDEX($A:$AP,ROW(),$G$6)),INDEX($A:$AP,ROW(),$G$6),IFERROR(--SUBSTITUTE(SUBSTITUTE(TRIM(INDEX($A:$AP,ROW(),$G$6)),",",""),"원",""),0))))</f>
        <v/>
      </c>
      <c r="AV980" s="23">
        <f>IF($AS980="","",IF($H$6="",$AT980+$AU980,IF($H$6="",0,IF(ISNUMBER(INDEX($A:$AP,ROW(),$H$6)),INDEX($A:$AP,ROW(),$H$6),IFERROR(--SUBSTITUTE(SUBSTITUTE(TRIM(INDEX($A:$AP,ROW(),$H$6)),",",""),"원",""),0)))))</f>
        <v/>
      </c>
      <c r="AW980" s="2">
        <f>IF(OR($AS980="",$C$6=""),"",TRIM(INDEX($A:$AP,ROW(),$C$6)&amp;""))</f>
        <v/>
      </c>
      <c r="AX980" s="2">
        <f>IF($AS980="","",IF($AZ980&lt;&gt;"",SUBSTITUTE(SUBSTITUTE($AZ980,"-","")," ",""),$AY980))</f>
        <v/>
      </c>
      <c r="AY980" s="2">
        <f>IF(OR($AS980="",$E$6=""),"",TRIM(INDEX($A:$AP,ROW(),$E$6)&amp;""))</f>
        <v/>
      </c>
      <c r="AZ980" s="2">
        <f>IF(OR($AS980="",$D$6=""),"",TRIM(INDEX($A:$AP,ROW(),$D$6)&amp;""))</f>
        <v/>
      </c>
      <c r="BA980" s="2">
        <f>IF($AS980="","",IF(AND($AS980&gt;=설정!$B$10,$AS980&lt;=설정!$B$11),"포함","기간 밖"))</f>
        <v/>
      </c>
      <c r="BB980" s="2">
        <f>IF($AS980="","",IF(OR($AT980&lt;0,AND($I$6&lt;&gt;"",ISNUMBER(FIND("수정",INDEX($A:$AP,ROW(),IF($I$6="",1,$I$6))&amp;"")))),"수정","일반"))</f>
        <v/>
      </c>
      <c r="BC980" s="2">
        <f>IF($AS980="","",MID(IF($BA980="기간 밖"," / 기간 밖(신고기간 아님)","")&amp;IF(AND($AW980&lt;&gt;"",COUNTIF($AW$8:$AW$1007,$AW980)&gt;1)," / 승인번호 중복(두 번 붙여넣기?)","")&amp;IF(ABS($AU980-ROUND($AT980*0.1,0))&gt;설정!$B$8,IF($AU980=0," / 세액 0원(영세율·면세 여부 확인)"," / 세액이 공급가액 10%와 다름"),"")&amp;IF($BB980="수정"," / 수정세금계산서(합계에서 자동 가감)",""),4,200))</f>
        <v/>
      </c>
      <c r="BD980" s="2">
        <f>IF($BA980&lt;&gt;"포함","",IF(COUNTIFS($AX$8:$AX980,$AX980,$BA$8:$BA980,"포함")=1,MAX($BD$7:BD979)+1,""))</f>
        <v/>
      </c>
      <c r="BE980" s="2">
        <f>IF($BC980="","",MAX($BE$7:BE979)+1)</f>
        <v/>
      </c>
    </row>
    <row r="981">
      <c r="AR981" s="2">
        <f>IF(OR($A$5="",$B$6="",ROW()&lt;$A$5),"",IF(INDEX($A:$AP,ROW(),$B$6)="","",INDEX($A:$AP,ROW(),$B$6)))</f>
        <v/>
      </c>
      <c r="AS981" s="22">
        <f>IF($AR981="","",IF(ISNUMBER($AR981),IF($AR981&gt;=10000000,IFERROR(DATE(INT($AR981/10000),MOD(INT($AR981/100),100),MOD($AR981,100)),""),INT($AR981)),IFERROR(DATE(--LEFT(LEFT(SUBSTITUTE(SUBSTITUTE(SUBSTITUTE(SUBSTITUTE(TRIM($AR981),"-",""),".",""),"/","")," ",""),8),4),--MID(LEFT(SUBSTITUTE(SUBSTITUTE(SUBSTITUTE(SUBSTITUTE(TRIM($AR981),"-",""),".",""),"/","")," ",""),8),5,2),--MID(LEFT(SUBSTITUTE(SUBSTITUTE(SUBSTITUTE(SUBSTITUTE(TRIM($AR981),"-",""),".",""),"/","")," ",""),8),7,2)),"")))</f>
        <v/>
      </c>
      <c r="AT981" s="23">
        <f>IF($AS981="","",IF($F$6="",0,IF(ISNUMBER(INDEX($A:$AP,ROW(),$F$6)),INDEX($A:$AP,ROW(),$F$6),IFERROR(--SUBSTITUTE(SUBSTITUTE(TRIM(INDEX($A:$AP,ROW(),$F$6)),",",""),"원",""),0))))</f>
        <v/>
      </c>
      <c r="AU981" s="23">
        <f>IF($AS981="","",IF($G$6="",0,IF(ISNUMBER(INDEX($A:$AP,ROW(),$G$6)),INDEX($A:$AP,ROW(),$G$6),IFERROR(--SUBSTITUTE(SUBSTITUTE(TRIM(INDEX($A:$AP,ROW(),$G$6)),",",""),"원",""),0))))</f>
        <v/>
      </c>
      <c r="AV981" s="23">
        <f>IF($AS981="","",IF($H$6="",$AT981+$AU981,IF($H$6="",0,IF(ISNUMBER(INDEX($A:$AP,ROW(),$H$6)),INDEX($A:$AP,ROW(),$H$6),IFERROR(--SUBSTITUTE(SUBSTITUTE(TRIM(INDEX($A:$AP,ROW(),$H$6)),",",""),"원",""),0)))))</f>
        <v/>
      </c>
      <c r="AW981" s="2">
        <f>IF(OR($AS981="",$C$6=""),"",TRIM(INDEX($A:$AP,ROW(),$C$6)&amp;""))</f>
        <v/>
      </c>
      <c r="AX981" s="2">
        <f>IF($AS981="","",IF($AZ981&lt;&gt;"",SUBSTITUTE(SUBSTITUTE($AZ981,"-","")," ",""),$AY981))</f>
        <v/>
      </c>
      <c r="AY981" s="2">
        <f>IF(OR($AS981="",$E$6=""),"",TRIM(INDEX($A:$AP,ROW(),$E$6)&amp;""))</f>
        <v/>
      </c>
      <c r="AZ981" s="2">
        <f>IF(OR($AS981="",$D$6=""),"",TRIM(INDEX($A:$AP,ROW(),$D$6)&amp;""))</f>
        <v/>
      </c>
      <c r="BA981" s="2">
        <f>IF($AS981="","",IF(AND($AS981&gt;=설정!$B$10,$AS981&lt;=설정!$B$11),"포함","기간 밖"))</f>
        <v/>
      </c>
      <c r="BB981" s="2">
        <f>IF($AS981="","",IF(OR($AT981&lt;0,AND($I$6&lt;&gt;"",ISNUMBER(FIND("수정",INDEX($A:$AP,ROW(),IF($I$6="",1,$I$6))&amp;"")))),"수정","일반"))</f>
        <v/>
      </c>
      <c r="BC981" s="2">
        <f>IF($AS981="","",MID(IF($BA981="기간 밖"," / 기간 밖(신고기간 아님)","")&amp;IF(AND($AW981&lt;&gt;"",COUNTIF($AW$8:$AW$1007,$AW981)&gt;1)," / 승인번호 중복(두 번 붙여넣기?)","")&amp;IF(ABS($AU981-ROUND($AT981*0.1,0))&gt;설정!$B$8,IF($AU981=0," / 세액 0원(영세율·면세 여부 확인)"," / 세액이 공급가액 10%와 다름"),"")&amp;IF($BB981="수정"," / 수정세금계산서(합계에서 자동 가감)",""),4,200))</f>
        <v/>
      </c>
      <c r="BD981" s="2">
        <f>IF($BA981&lt;&gt;"포함","",IF(COUNTIFS($AX$8:$AX981,$AX981,$BA$8:$BA981,"포함")=1,MAX($BD$7:BD980)+1,""))</f>
        <v/>
      </c>
      <c r="BE981" s="2">
        <f>IF($BC981="","",MAX($BE$7:BE980)+1)</f>
        <v/>
      </c>
    </row>
    <row r="982">
      <c r="AR982" s="2">
        <f>IF(OR($A$5="",$B$6="",ROW()&lt;$A$5),"",IF(INDEX($A:$AP,ROW(),$B$6)="","",INDEX($A:$AP,ROW(),$B$6)))</f>
        <v/>
      </c>
      <c r="AS982" s="22">
        <f>IF($AR982="","",IF(ISNUMBER($AR982),IF($AR982&gt;=10000000,IFERROR(DATE(INT($AR982/10000),MOD(INT($AR982/100),100),MOD($AR982,100)),""),INT($AR982)),IFERROR(DATE(--LEFT(LEFT(SUBSTITUTE(SUBSTITUTE(SUBSTITUTE(SUBSTITUTE(TRIM($AR982),"-",""),".",""),"/","")," ",""),8),4),--MID(LEFT(SUBSTITUTE(SUBSTITUTE(SUBSTITUTE(SUBSTITUTE(TRIM($AR982),"-",""),".",""),"/","")," ",""),8),5,2),--MID(LEFT(SUBSTITUTE(SUBSTITUTE(SUBSTITUTE(SUBSTITUTE(TRIM($AR982),"-",""),".",""),"/","")," ",""),8),7,2)),"")))</f>
        <v/>
      </c>
      <c r="AT982" s="23">
        <f>IF($AS982="","",IF($F$6="",0,IF(ISNUMBER(INDEX($A:$AP,ROW(),$F$6)),INDEX($A:$AP,ROW(),$F$6),IFERROR(--SUBSTITUTE(SUBSTITUTE(TRIM(INDEX($A:$AP,ROW(),$F$6)),",",""),"원",""),0))))</f>
        <v/>
      </c>
      <c r="AU982" s="23">
        <f>IF($AS982="","",IF($G$6="",0,IF(ISNUMBER(INDEX($A:$AP,ROW(),$G$6)),INDEX($A:$AP,ROW(),$G$6),IFERROR(--SUBSTITUTE(SUBSTITUTE(TRIM(INDEX($A:$AP,ROW(),$G$6)),",",""),"원",""),0))))</f>
        <v/>
      </c>
      <c r="AV982" s="23">
        <f>IF($AS982="","",IF($H$6="",$AT982+$AU982,IF($H$6="",0,IF(ISNUMBER(INDEX($A:$AP,ROW(),$H$6)),INDEX($A:$AP,ROW(),$H$6),IFERROR(--SUBSTITUTE(SUBSTITUTE(TRIM(INDEX($A:$AP,ROW(),$H$6)),",",""),"원",""),0)))))</f>
        <v/>
      </c>
      <c r="AW982" s="2">
        <f>IF(OR($AS982="",$C$6=""),"",TRIM(INDEX($A:$AP,ROW(),$C$6)&amp;""))</f>
        <v/>
      </c>
      <c r="AX982" s="2">
        <f>IF($AS982="","",IF($AZ982&lt;&gt;"",SUBSTITUTE(SUBSTITUTE($AZ982,"-","")," ",""),$AY982))</f>
        <v/>
      </c>
      <c r="AY982" s="2">
        <f>IF(OR($AS982="",$E$6=""),"",TRIM(INDEX($A:$AP,ROW(),$E$6)&amp;""))</f>
        <v/>
      </c>
      <c r="AZ982" s="2">
        <f>IF(OR($AS982="",$D$6=""),"",TRIM(INDEX($A:$AP,ROW(),$D$6)&amp;""))</f>
        <v/>
      </c>
      <c r="BA982" s="2">
        <f>IF($AS982="","",IF(AND($AS982&gt;=설정!$B$10,$AS982&lt;=설정!$B$11),"포함","기간 밖"))</f>
        <v/>
      </c>
      <c r="BB982" s="2">
        <f>IF($AS982="","",IF(OR($AT982&lt;0,AND($I$6&lt;&gt;"",ISNUMBER(FIND("수정",INDEX($A:$AP,ROW(),IF($I$6="",1,$I$6))&amp;"")))),"수정","일반"))</f>
        <v/>
      </c>
      <c r="BC982" s="2">
        <f>IF($AS982="","",MID(IF($BA982="기간 밖"," / 기간 밖(신고기간 아님)","")&amp;IF(AND($AW982&lt;&gt;"",COUNTIF($AW$8:$AW$1007,$AW982)&gt;1)," / 승인번호 중복(두 번 붙여넣기?)","")&amp;IF(ABS($AU982-ROUND($AT982*0.1,0))&gt;설정!$B$8,IF($AU982=0," / 세액 0원(영세율·면세 여부 확인)"," / 세액이 공급가액 10%와 다름"),"")&amp;IF($BB982="수정"," / 수정세금계산서(합계에서 자동 가감)",""),4,200))</f>
        <v/>
      </c>
      <c r="BD982" s="2">
        <f>IF($BA982&lt;&gt;"포함","",IF(COUNTIFS($AX$8:$AX982,$AX982,$BA$8:$BA982,"포함")=1,MAX($BD$7:BD981)+1,""))</f>
        <v/>
      </c>
      <c r="BE982" s="2">
        <f>IF($BC982="","",MAX($BE$7:BE981)+1)</f>
        <v/>
      </c>
    </row>
    <row r="983">
      <c r="AR983" s="2">
        <f>IF(OR($A$5="",$B$6="",ROW()&lt;$A$5),"",IF(INDEX($A:$AP,ROW(),$B$6)="","",INDEX($A:$AP,ROW(),$B$6)))</f>
        <v/>
      </c>
      <c r="AS983" s="22">
        <f>IF($AR983="","",IF(ISNUMBER($AR983),IF($AR983&gt;=10000000,IFERROR(DATE(INT($AR983/10000),MOD(INT($AR983/100),100),MOD($AR983,100)),""),INT($AR983)),IFERROR(DATE(--LEFT(LEFT(SUBSTITUTE(SUBSTITUTE(SUBSTITUTE(SUBSTITUTE(TRIM($AR983),"-",""),".",""),"/","")," ",""),8),4),--MID(LEFT(SUBSTITUTE(SUBSTITUTE(SUBSTITUTE(SUBSTITUTE(TRIM($AR983),"-",""),".",""),"/","")," ",""),8),5,2),--MID(LEFT(SUBSTITUTE(SUBSTITUTE(SUBSTITUTE(SUBSTITUTE(TRIM($AR983),"-",""),".",""),"/","")," ",""),8),7,2)),"")))</f>
        <v/>
      </c>
      <c r="AT983" s="23">
        <f>IF($AS983="","",IF($F$6="",0,IF(ISNUMBER(INDEX($A:$AP,ROW(),$F$6)),INDEX($A:$AP,ROW(),$F$6),IFERROR(--SUBSTITUTE(SUBSTITUTE(TRIM(INDEX($A:$AP,ROW(),$F$6)),",",""),"원",""),0))))</f>
        <v/>
      </c>
      <c r="AU983" s="23">
        <f>IF($AS983="","",IF($G$6="",0,IF(ISNUMBER(INDEX($A:$AP,ROW(),$G$6)),INDEX($A:$AP,ROW(),$G$6),IFERROR(--SUBSTITUTE(SUBSTITUTE(TRIM(INDEX($A:$AP,ROW(),$G$6)),",",""),"원",""),0))))</f>
        <v/>
      </c>
      <c r="AV983" s="23">
        <f>IF($AS983="","",IF($H$6="",$AT983+$AU983,IF($H$6="",0,IF(ISNUMBER(INDEX($A:$AP,ROW(),$H$6)),INDEX($A:$AP,ROW(),$H$6),IFERROR(--SUBSTITUTE(SUBSTITUTE(TRIM(INDEX($A:$AP,ROW(),$H$6)),",",""),"원",""),0)))))</f>
        <v/>
      </c>
      <c r="AW983" s="2">
        <f>IF(OR($AS983="",$C$6=""),"",TRIM(INDEX($A:$AP,ROW(),$C$6)&amp;""))</f>
        <v/>
      </c>
      <c r="AX983" s="2">
        <f>IF($AS983="","",IF($AZ983&lt;&gt;"",SUBSTITUTE(SUBSTITUTE($AZ983,"-","")," ",""),$AY983))</f>
        <v/>
      </c>
      <c r="AY983" s="2">
        <f>IF(OR($AS983="",$E$6=""),"",TRIM(INDEX($A:$AP,ROW(),$E$6)&amp;""))</f>
        <v/>
      </c>
      <c r="AZ983" s="2">
        <f>IF(OR($AS983="",$D$6=""),"",TRIM(INDEX($A:$AP,ROW(),$D$6)&amp;""))</f>
        <v/>
      </c>
      <c r="BA983" s="2">
        <f>IF($AS983="","",IF(AND($AS983&gt;=설정!$B$10,$AS983&lt;=설정!$B$11),"포함","기간 밖"))</f>
        <v/>
      </c>
      <c r="BB983" s="2">
        <f>IF($AS983="","",IF(OR($AT983&lt;0,AND($I$6&lt;&gt;"",ISNUMBER(FIND("수정",INDEX($A:$AP,ROW(),IF($I$6="",1,$I$6))&amp;"")))),"수정","일반"))</f>
        <v/>
      </c>
      <c r="BC983" s="2">
        <f>IF($AS983="","",MID(IF($BA983="기간 밖"," / 기간 밖(신고기간 아님)","")&amp;IF(AND($AW983&lt;&gt;"",COUNTIF($AW$8:$AW$1007,$AW983)&gt;1)," / 승인번호 중복(두 번 붙여넣기?)","")&amp;IF(ABS($AU983-ROUND($AT983*0.1,0))&gt;설정!$B$8,IF($AU983=0," / 세액 0원(영세율·면세 여부 확인)"," / 세액이 공급가액 10%와 다름"),"")&amp;IF($BB983="수정"," / 수정세금계산서(합계에서 자동 가감)",""),4,200))</f>
        <v/>
      </c>
      <c r="BD983" s="2">
        <f>IF($BA983&lt;&gt;"포함","",IF(COUNTIFS($AX$8:$AX983,$AX983,$BA$8:$BA983,"포함")=1,MAX($BD$7:BD982)+1,""))</f>
        <v/>
      </c>
      <c r="BE983" s="2">
        <f>IF($BC983="","",MAX($BE$7:BE982)+1)</f>
        <v/>
      </c>
    </row>
    <row r="984">
      <c r="AR984" s="2">
        <f>IF(OR($A$5="",$B$6="",ROW()&lt;$A$5),"",IF(INDEX($A:$AP,ROW(),$B$6)="","",INDEX($A:$AP,ROW(),$B$6)))</f>
        <v/>
      </c>
      <c r="AS984" s="22">
        <f>IF($AR984="","",IF(ISNUMBER($AR984),IF($AR984&gt;=10000000,IFERROR(DATE(INT($AR984/10000),MOD(INT($AR984/100),100),MOD($AR984,100)),""),INT($AR984)),IFERROR(DATE(--LEFT(LEFT(SUBSTITUTE(SUBSTITUTE(SUBSTITUTE(SUBSTITUTE(TRIM($AR984),"-",""),".",""),"/","")," ",""),8),4),--MID(LEFT(SUBSTITUTE(SUBSTITUTE(SUBSTITUTE(SUBSTITUTE(TRIM($AR984),"-",""),".",""),"/","")," ",""),8),5,2),--MID(LEFT(SUBSTITUTE(SUBSTITUTE(SUBSTITUTE(SUBSTITUTE(TRIM($AR984),"-",""),".",""),"/","")," ",""),8),7,2)),"")))</f>
        <v/>
      </c>
      <c r="AT984" s="23">
        <f>IF($AS984="","",IF($F$6="",0,IF(ISNUMBER(INDEX($A:$AP,ROW(),$F$6)),INDEX($A:$AP,ROW(),$F$6),IFERROR(--SUBSTITUTE(SUBSTITUTE(TRIM(INDEX($A:$AP,ROW(),$F$6)),",",""),"원",""),0))))</f>
        <v/>
      </c>
      <c r="AU984" s="23">
        <f>IF($AS984="","",IF($G$6="",0,IF(ISNUMBER(INDEX($A:$AP,ROW(),$G$6)),INDEX($A:$AP,ROW(),$G$6),IFERROR(--SUBSTITUTE(SUBSTITUTE(TRIM(INDEX($A:$AP,ROW(),$G$6)),",",""),"원",""),0))))</f>
        <v/>
      </c>
      <c r="AV984" s="23">
        <f>IF($AS984="","",IF($H$6="",$AT984+$AU984,IF($H$6="",0,IF(ISNUMBER(INDEX($A:$AP,ROW(),$H$6)),INDEX($A:$AP,ROW(),$H$6),IFERROR(--SUBSTITUTE(SUBSTITUTE(TRIM(INDEX($A:$AP,ROW(),$H$6)),",",""),"원",""),0)))))</f>
        <v/>
      </c>
      <c r="AW984" s="2">
        <f>IF(OR($AS984="",$C$6=""),"",TRIM(INDEX($A:$AP,ROW(),$C$6)&amp;""))</f>
        <v/>
      </c>
      <c r="AX984" s="2">
        <f>IF($AS984="","",IF($AZ984&lt;&gt;"",SUBSTITUTE(SUBSTITUTE($AZ984,"-","")," ",""),$AY984))</f>
        <v/>
      </c>
      <c r="AY984" s="2">
        <f>IF(OR($AS984="",$E$6=""),"",TRIM(INDEX($A:$AP,ROW(),$E$6)&amp;""))</f>
        <v/>
      </c>
      <c r="AZ984" s="2">
        <f>IF(OR($AS984="",$D$6=""),"",TRIM(INDEX($A:$AP,ROW(),$D$6)&amp;""))</f>
        <v/>
      </c>
      <c r="BA984" s="2">
        <f>IF($AS984="","",IF(AND($AS984&gt;=설정!$B$10,$AS984&lt;=설정!$B$11),"포함","기간 밖"))</f>
        <v/>
      </c>
      <c r="BB984" s="2">
        <f>IF($AS984="","",IF(OR($AT984&lt;0,AND($I$6&lt;&gt;"",ISNUMBER(FIND("수정",INDEX($A:$AP,ROW(),IF($I$6="",1,$I$6))&amp;"")))),"수정","일반"))</f>
        <v/>
      </c>
      <c r="BC984" s="2">
        <f>IF($AS984="","",MID(IF($BA984="기간 밖"," / 기간 밖(신고기간 아님)","")&amp;IF(AND($AW984&lt;&gt;"",COUNTIF($AW$8:$AW$1007,$AW984)&gt;1)," / 승인번호 중복(두 번 붙여넣기?)","")&amp;IF(ABS($AU984-ROUND($AT984*0.1,0))&gt;설정!$B$8,IF($AU984=0," / 세액 0원(영세율·면세 여부 확인)"," / 세액이 공급가액 10%와 다름"),"")&amp;IF($BB984="수정"," / 수정세금계산서(합계에서 자동 가감)",""),4,200))</f>
        <v/>
      </c>
      <c r="BD984" s="2">
        <f>IF($BA984&lt;&gt;"포함","",IF(COUNTIFS($AX$8:$AX984,$AX984,$BA$8:$BA984,"포함")=1,MAX($BD$7:BD983)+1,""))</f>
        <v/>
      </c>
      <c r="BE984" s="2">
        <f>IF($BC984="","",MAX($BE$7:BE983)+1)</f>
        <v/>
      </c>
    </row>
    <row r="985">
      <c r="AR985" s="2">
        <f>IF(OR($A$5="",$B$6="",ROW()&lt;$A$5),"",IF(INDEX($A:$AP,ROW(),$B$6)="","",INDEX($A:$AP,ROW(),$B$6)))</f>
        <v/>
      </c>
      <c r="AS985" s="22">
        <f>IF($AR985="","",IF(ISNUMBER($AR985),IF($AR985&gt;=10000000,IFERROR(DATE(INT($AR985/10000),MOD(INT($AR985/100),100),MOD($AR985,100)),""),INT($AR985)),IFERROR(DATE(--LEFT(LEFT(SUBSTITUTE(SUBSTITUTE(SUBSTITUTE(SUBSTITUTE(TRIM($AR985),"-",""),".",""),"/","")," ",""),8),4),--MID(LEFT(SUBSTITUTE(SUBSTITUTE(SUBSTITUTE(SUBSTITUTE(TRIM($AR985),"-",""),".",""),"/","")," ",""),8),5,2),--MID(LEFT(SUBSTITUTE(SUBSTITUTE(SUBSTITUTE(SUBSTITUTE(TRIM($AR985),"-",""),".",""),"/","")," ",""),8),7,2)),"")))</f>
        <v/>
      </c>
      <c r="AT985" s="23">
        <f>IF($AS985="","",IF($F$6="",0,IF(ISNUMBER(INDEX($A:$AP,ROW(),$F$6)),INDEX($A:$AP,ROW(),$F$6),IFERROR(--SUBSTITUTE(SUBSTITUTE(TRIM(INDEX($A:$AP,ROW(),$F$6)),",",""),"원",""),0))))</f>
        <v/>
      </c>
      <c r="AU985" s="23">
        <f>IF($AS985="","",IF($G$6="",0,IF(ISNUMBER(INDEX($A:$AP,ROW(),$G$6)),INDEX($A:$AP,ROW(),$G$6),IFERROR(--SUBSTITUTE(SUBSTITUTE(TRIM(INDEX($A:$AP,ROW(),$G$6)),",",""),"원",""),0))))</f>
        <v/>
      </c>
      <c r="AV985" s="23">
        <f>IF($AS985="","",IF($H$6="",$AT985+$AU985,IF($H$6="",0,IF(ISNUMBER(INDEX($A:$AP,ROW(),$H$6)),INDEX($A:$AP,ROW(),$H$6),IFERROR(--SUBSTITUTE(SUBSTITUTE(TRIM(INDEX($A:$AP,ROW(),$H$6)),",",""),"원",""),0)))))</f>
        <v/>
      </c>
      <c r="AW985" s="2">
        <f>IF(OR($AS985="",$C$6=""),"",TRIM(INDEX($A:$AP,ROW(),$C$6)&amp;""))</f>
        <v/>
      </c>
      <c r="AX985" s="2">
        <f>IF($AS985="","",IF($AZ985&lt;&gt;"",SUBSTITUTE(SUBSTITUTE($AZ985,"-","")," ",""),$AY985))</f>
        <v/>
      </c>
      <c r="AY985" s="2">
        <f>IF(OR($AS985="",$E$6=""),"",TRIM(INDEX($A:$AP,ROW(),$E$6)&amp;""))</f>
        <v/>
      </c>
      <c r="AZ985" s="2">
        <f>IF(OR($AS985="",$D$6=""),"",TRIM(INDEX($A:$AP,ROW(),$D$6)&amp;""))</f>
        <v/>
      </c>
      <c r="BA985" s="2">
        <f>IF($AS985="","",IF(AND($AS985&gt;=설정!$B$10,$AS985&lt;=설정!$B$11),"포함","기간 밖"))</f>
        <v/>
      </c>
      <c r="BB985" s="2">
        <f>IF($AS985="","",IF(OR($AT985&lt;0,AND($I$6&lt;&gt;"",ISNUMBER(FIND("수정",INDEX($A:$AP,ROW(),IF($I$6="",1,$I$6))&amp;"")))),"수정","일반"))</f>
        <v/>
      </c>
      <c r="BC985" s="2">
        <f>IF($AS985="","",MID(IF($BA985="기간 밖"," / 기간 밖(신고기간 아님)","")&amp;IF(AND($AW985&lt;&gt;"",COUNTIF($AW$8:$AW$1007,$AW985)&gt;1)," / 승인번호 중복(두 번 붙여넣기?)","")&amp;IF(ABS($AU985-ROUND($AT985*0.1,0))&gt;설정!$B$8,IF($AU985=0," / 세액 0원(영세율·면세 여부 확인)"," / 세액이 공급가액 10%와 다름"),"")&amp;IF($BB985="수정"," / 수정세금계산서(합계에서 자동 가감)",""),4,200))</f>
        <v/>
      </c>
      <c r="BD985" s="2">
        <f>IF($BA985&lt;&gt;"포함","",IF(COUNTIFS($AX$8:$AX985,$AX985,$BA$8:$BA985,"포함")=1,MAX($BD$7:BD984)+1,""))</f>
        <v/>
      </c>
      <c r="BE985" s="2">
        <f>IF($BC985="","",MAX($BE$7:BE984)+1)</f>
        <v/>
      </c>
    </row>
    <row r="986">
      <c r="AR986" s="2">
        <f>IF(OR($A$5="",$B$6="",ROW()&lt;$A$5),"",IF(INDEX($A:$AP,ROW(),$B$6)="","",INDEX($A:$AP,ROW(),$B$6)))</f>
        <v/>
      </c>
      <c r="AS986" s="22">
        <f>IF($AR986="","",IF(ISNUMBER($AR986),IF($AR986&gt;=10000000,IFERROR(DATE(INT($AR986/10000),MOD(INT($AR986/100),100),MOD($AR986,100)),""),INT($AR986)),IFERROR(DATE(--LEFT(LEFT(SUBSTITUTE(SUBSTITUTE(SUBSTITUTE(SUBSTITUTE(TRIM($AR986),"-",""),".",""),"/","")," ",""),8),4),--MID(LEFT(SUBSTITUTE(SUBSTITUTE(SUBSTITUTE(SUBSTITUTE(TRIM($AR986),"-",""),".",""),"/","")," ",""),8),5,2),--MID(LEFT(SUBSTITUTE(SUBSTITUTE(SUBSTITUTE(SUBSTITUTE(TRIM($AR986),"-",""),".",""),"/","")," ",""),8),7,2)),"")))</f>
        <v/>
      </c>
      <c r="AT986" s="23">
        <f>IF($AS986="","",IF($F$6="",0,IF(ISNUMBER(INDEX($A:$AP,ROW(),$F$6)),INDEX($A:$AP,ROW(),$F$6),IFERROR(--SUBSTITUTE(SUBSTITUTE(TRIM(INDEX($A:$AP,ROW(),$F$6)),",",""),"원",""),0))))</f>
        <v/>
      </c>
      <c r="AU986" s="23">
        <f>IF($AS986="","",IF($G$6="",0,IF(ISNUMBER(INDEX($A:$AP,ROW(),$G$6)),INDEX($A:$AP,ROW(),$G$6),IFERROR(--SUBSTITUTE(SUBSTITUTE(TRIM(INDEX($A:$AP,ROW(),$G$6)),",",""),"원",""),0))))</f>
        <v/>
      </c>
      <c r="AV986" s="23">
        <f>IF($AS986="","",IF($H$6="",$AT986+$AU986,IF($H$6="",0,IF(ISNUMBER(INDEX($A:$AP,ROW(),$H$6)),INDEX($A:$AP,ROW(),$H$6),IFERROR(--SUBSTITUTE(SUBSTITUTE(TRIM(INDEX($A:$AP,ROW(),$H$6)),",",""),"원",""),0)))))</f>
        <v/>
      </c>
      <c r="AW986" s="2">
        <f>IF(OR($AS986="",$C$6=""),"",TRIM(INDEX($A:$AP,ROW(),$C$6)&amp;""))</f>
        <v/>
      </c>
      <c r="AX986" s="2">
        <f>IF($AS986="","",IF($AZ986&lt;&gt;"",SUBSTITUTE(SUBSTITUTE($AZ986,"-","")," ",""),$AY986))</f>
        <v/>
      </c>
      <c r="AY986" s="2">
        <f>IF(OR($AS986="",$E$6=""),"",TRIM(INDEX($A:$AP,ROW(),$E$6)&amp;""))</f>
        <v/>
      </c>
      <c r="AZ986" s="2">
        <f>IF(OR($AS986="",$D$6=""),"",TRIM(INDEX($A:$AP,ROW(),$D$6)&amp;""))</f>
        <v/>
      </c>
      <c r="BA986" s="2">
        <f>IF($AS986="","",IF(AND($AS986&gt;=설정!$B$10,$AS986&lt;=설정!$B$11),"포함","기간 밖"))</f>
        <v/>
      </c>
      <c r="BB986" s="2">
        <f>IF($AS986="","",IF(OR($AT986&lt;0,AND($I$6&lt;&gt;"",ISNUMBER(FIND("수정",INDEX($A:$AP,ROW(),IF($I$6="",1,$I$6))&amp;"")))),"수정","일반"))</f>
        <v/>
      </c>
      <c r="BC986" s="2">
        <f>IF($AS986="","",MID(IF($BA986="기간 밖"," / 기간 밖(신고기간 아님)","")&amp;IF(AND($AW986&lt;&gt;"",COUNTIF($AW$8:$AW$1007,$AW986)&gt;1)," / 승인번호 중복(두 번 붙여넣기?)","")&amp;IF(ABS($AU986-ROUND($AT986*0.1,0))&gt;설정!$B$8,IF($AU986=0," / 세액 0원(영세율·면세 여부 확인)"," / 세액이 공급가액 10%와 다름"),"")&amp;IF($BB986="수정"," / 수정세금계산서(합계에서 자동 가감)",""),4,200))</f>
        <v/>
      </c>
      <c r="BD986" s="2">
        <f>IF($BA986&lt;&gt;"포함","",IF(COUNTIFS($AX$8:$AX986,$AX986,$BA$8:$BA986,"포함")=1,MAX($BD$7:BD985)+1,""))</f>
        <v/>
      </c>
      <c r="BE986" s="2">
        <f>IF($BC986="","",MAX($BE$7:BE985)+1)</f>
        <v/>
      </c>
    </row>
    <row r="987">
      <c r="AR987" s="2">
        <f>IF(OR($A$5="",$B$6="",ROW()&lt;$A$5),"",IF(INDEX($A:$AP,ROW(),$B$6)="","",INDEX($A:$AP,ROW(),$B$6)))</f>
        <v/>
      </c>
      <c r="AS987" s="22">
        <f>IF($AR987="","",IF(ISNUMBER($AR987),IF($AR987&gt;=10000000,IFERROR(DATE(INT($AR987/10000),MOD(INT($AR987/100),100),MOD($AR987,100)),""),INT($AR987)),IFERROR(DATE(--LEFT(LEFT(SUBSTITUTE(SUBSTITUTE(SUBSTITUTE(SUBSTITUTE(TRIM($AR987),"-",""),".",""),"/","")," ",""),8),4),--MID(LEFT(SUBSTITUTE(SUBSTITUTE(SUBSTITUTE(SUBSTITUTE(TRIM($AR987),"-",""),".",""),"/","")," ",""),8),5,2),--MID(LEFT(SUBSTITUTE(SUBSTITUTE(SUBSTITUTE(SUBSTITUTE(TRIM($AR987),"-",""),".",""),"/","")," ",""),8),7,2)),"")))</f>
        <v/>
      </c>
      <c r="AT987" s="23">
        <f>IF($AS987="","",IF($F$6="",0,IF(ISNUMBER(INDEX($A:$AP,ROW(),$F$6)),INDEX($A:$AP,ROW(),$F$6),IFERROR(--SUBSTITUTE(SUBSTITUTE(TRIM(INDEX($A:$AP,ROW(),$F$6)),",",""),"원",""),0))))</f>
        <v/>
      </c>
      <c r="AU987" s="23">
        <f>IF($AS987="","",IF($G$6="",0,IF(ISNUMBER(INDEX($A:$AP,ROW(),$G$6)),INDEX($A:$AP,ROW(),$G$6),IFERROR(--SUBSTITUTE(SUBSTITUTE(TRIM(INDEX($A:$AP,ROW(),$G$6)),",",""),"원",""),0))))</f>
        <v/>
      </c>
      <c r="AV987" s="23">
        <f>IF($AS987="","",IF($H$6="",$AT987+$AU987,IF($H$6="",0,IF(ISNUMBER(INDEX($A:$AP,ROW(),$H$6)),INDEX($A:$AP,ROW(),$H$6),IFERROR(--SUBSTITUTE(SUBSTITUTE(TRIM(INDEX($A:$AP,ROW(),$H$6)),",",""),"원",""),0)))))</f>
        <v/>
      </c>
      <c r="AW987" s="2">
        <f>IF(OR($AS987="",$C$6=""),"",TRIM(INDEX($A:$AP,ROW(),$C$6)&amp;""))</f>
        <v/>
      </c>
      <c r="AX987" s="2">
        <f>IF($AS987="","",IF($AZ987&lt;&gt;"",SUBSTITUTE(SUBSTITUTE($AZ987,"-","")," ",""),$AY987))</f>
        <v/>
      </c>
      <c r="AY987" s="2">
        <f>IF(OR($AS987="",$E$6=""),"",TRIM(INDEX($A:$AP,ROW(),$E$6)&amp;""))</f>
        <v/>
      </c>
      <c r="AZ987" s="2">
        <f>IF(OR($AS987="",$D$6=""),"",TRIM(INDEX($A:$AP,ROW(),$D$6)&amp;""))</f>
        <v/>
      </c>
      <c r="BA987" s="2">
        <f>IF($AS987="","",IF(AND($AS987&gt;=설정!$B$10,$AS987&lt;=설정!$B$11),"포함","기간 밖"))</f>
        <v/>
      </c>
      <c r="BB987" s="2">
        <f>IF($AS987="","",IF(OR($AT987&lt;0,AND($I$6&lt;&gt;"",ISNUMBER(FIND("수정",INDEX($A:$AP,ROW(),IF($I$6="",1,$I$6))&amp;"")))),"수정","일반"))</f>
        <v/>
      </c>
      <c r="BC987" s="2">
        <f>IF($AS987="","",MID(IF($BA987="기간 밖"," / 기간 밖(신고기간 아님)","")&amp;IF(AND($AW987&lt;&gt;"",COUNTIF($AW$8:$AW$1007,$AW987)&gt;1)," / 승인번호 중복(두 번 붙여넣기?)","")&amp;IF(ABS($AU987-ROUND($AT987*0.1,0))&gt;설정!$B$8,IF($AU987=0," / 세액 0원(영세율·면세 여부 확인)"," / 세액이 공급가액 10%와 다름"),"")&amp;IF($BB987="수정"," / 수정세금계산서(합계에서 자동 가감)",""),4,200))</f>
        <v/>
      </c>
      <c r="BD987" s="2">
        <f>IF($BA987&lt;&gt;"포함","",IF(COUNTIFS($AX$8:$AX987,$AX987,$BA$8:$BA987,"포함")=1,MAX($BD$7:BD986)+1,""))</f>
        <v/>
      </c>
      <c r="BE987" s="2">
        <f>IF($BC987="","",MAX($BE$7:BE986)+1)</f>
        <v/>
      </c>
    </row>
    <row r="988">
      <c r="AR988" s="2">
        <f>IF(OR($A$5="",$B$6="",ROW()&lt;$A$5),"",IF(INDEX($A:$AP,ROW(),$B$6)="","",INDEX($A:$AP,ROW(),$B$6)))</f>
        <v/>
      </c>
      <c r="AS988" s="22">
        <f>IF($AR988="","",IF(ISNUMBER($AR988),IF($AR988&gt;=10000000,IFERROR(DATE(INT($AR988/10000),MOD(INT($AR988/100),100),MOD($AR988,100)),""),INT($AR988)),IFERROR(DATE(--LEFT(LEFT(SUBSTITUTE(SUBSTITUTE(SUBSTITUTE(SUBSTITUTE(TRIM($AR988),"-",""),".",""),"/","")," ",""),8),4),--MID(LEFT(SUBSTITUTE(SUBSTITUTE(SUBSTITUTE(SUBSTITUTE(TRIM($AR988),"-",""),".",""),"/","")," ",""),8),5,2),--MID(LEFT(SUBSTITUTE(SUBSTITUTE(SUBSTITUTE(SUBSTITUTE(TRIM($AR988),"-",""),".",""),"/","")," ",""),8),7,2)),"")))</f>
        <v/>
      </c>
      <c r="AT988" s="23">
        <f>IF($AS988="","",IF($F$6="",0,IF(ISNUMBER(INDEX($A:$AP,ROW(),$F$6)),INDEX($A:$AP,ROW(),$F$6),IFERROR(--SUBSTITUTE(SUBSTITUTE(TRIM(INDEX($A:$AP,ROW(),$F$6)),",",""),"원",""),0))))</f>
        <v/>
      </c>
      <c r="AU988" s="23">
        <f>IF($AS988="","",IF($G$6="",0,IF(ISNUMBER(INDEX($A:$AP,ROW(),$G$6)),INDEX($A:$AP,ROW(),$G$6),IFERROR(--SUBSTITUTE(SUBSTITUTE(TRIM(INDEX($A:$AP,ROW(),$G$6)),",",""),"원",""),0))))</f>
        <v/>
      </c>
      <c r="AV988" s="23">
        <f>IF($AS988="","",IF($H$6="",$AT988+$AU988,IF($H$6="",0,IF(ISNUMBER(INDEX($A:$AP,ROW(),$H$6)),INDEX($A:$AP,ROW(),$H$6),IFERROR(--SUBSTITUTE(SUBSTITUTE(TRIM(INDEX($A:$AP,ROW(),$H$6)),",",""),"원",""),0)))))</f>
        <v/>
      </c>
      <c r="AW988" s="2">
        <f>IF(OR($AS988="",$C$6=""),"",TRIM(INDEX($A:$AP,ROW(),$C$6)&amp;""))</f>
        <v/>
      </c>
      <c r="AX988" s="2">
        <f>IF($AS988="","",IF($AZ988&lt;&gt;"",SUBSTITUTE(SUBSTITUTE($AZ988,"-","")," ",""),$AY988))</f>
        <v/>
      </c>
      <c r="AY988" s="2">
        <f>IF(OR($AS988="",$E$6=""),"",TRIM(INDEX($A:$AP,ROW(),$E$6)&amp;""))</f>
        <v/>
      </c>
      <c r="AZ988" s="2">
        <f>IF(OR($AS988="",$D$6=""),"",TRIM(INDEX($A:$AP,ROW(),$D$6)&amp;""))</f>
        <v/>
      </c>
      <c r="BA988" s="2">
        <f>IF($AS988="","",IF(AND($AS988&gt;=설정!$B$10,$AS988&lt;=설정!$B$11),"포함","기간 밖"))</f>
        <v/>
      </c>
      <c r="BB988" s="2">
        <f>IF($AS988="","",IF(OR($AT988&lt;0,AND($I$6&lt;&gt;"",ISNUMBER(FIND("수정",INDEX($A:$AP,ROW(),IF($I$6="",1,$I$6))&amp;"")))),"수정","일반"))</f>
        <v/>
      </c>
      <c r="BC988" s="2">
        <f>IF($AS988="","",MID(IF($BA988="기간 밖"," / 기간 밖(신고기간 아님)","")&amp;IF(AND($AW988&lt;&gt;"",COUNTIF($AW$8:$AW$1007,$AW988)&gt;1)," / 승인번호 중복(두 번 붙여넣기?)","")&amp;IF(ABS($AU988-ROUND($AT988*0.1,0))&gt;설정!$B$8,IF($AU988=0," / 세액 0원(영세율·면세 여부 확인)"," / 세액이 공급가액 10%와 다름"),"")&amp;IF($BB988="수정"," / 수정세금계산서(합계에서 자동 가감)",""),4,200))</f>
        <v/>
      </c>
      <c r="BD988" s="2">
        <f>IF($BA988&lt;&gt;"포함","",IF(COUNTIFS($AX$8:$AX988,$AX988,$BA$8:$BA988,"포함")=1,MAX($BD$7:BD987)+1,""))</f>
        <v/>
      </c>
      <c r="BE988" s="2">
        <f>IF($BC988="","",MAX($BE$7:BE987)+1)</f>
        <v/>
      </c>
    </row>
    <row r="989">
      <c r="AR989" s="2">
        <f>IF(OR($A$5="",$B$6="",ROW()&lt;$A$5),"",IF(INDEX($A:$AP,ROW(),$B$6)="","",INDEX($A:$AP,ROW(),$B$6)))</f>
        <v/>
      </c>
      <c r="AS989" s="22">
        <f>IF($AR989="","",IF(ISNUMBER($AR989),IF($AR989&gt;=10000000,IFERROR(DATE(INT($AR989/10000),MOD(INT($AR989/100),100),MOD($AR989,100)),""),INT($AR989)),IFERROR(DATE(--LEFT(LEFT(SUBSTITUTE(SUBSTITUTE(SUBSTITUTE(SUBSTITUTE(TRIM($AR989),"-",""),".",""),"/","")," ",""),8),4),--MID(LEFT(SUBSTITUTE(SUBSTITUTE(SUBSTITUTE(SUBSTITUTE(TRIM($AR989),"-",""),".",""),"/","")," ",""),8),5,2),--MID(LEFT(SUBSTITUTE(SUBSTITUTE(SUBSTITUTE(SUBSTITUTE(TRIM($AR989),"-",""),".",""),"/","")," ",""),8),7,2)),"")))</f>
        <v/>
      </c>
      <c r="AT989" s="23">
        <f>IF($AS989="","",IF($F$6="",0,IF(ISNUMBER(INDEX($A:$AP,ROW(),$F$6)),INDEX($A:$AP,ROW(),$F$6),IFERROR(--SUBSTITUTE(SUBSTITUTE(TRIM(INDEX($A:$AP,ROW(),$F$6)),",",""),"원",""),0))))</f>
        <v/>
      </c>
      <c r="AU989" s="23">
        <f>IF($AS989="","",IF($G$6="",0,IF(ISNUMBER(INDEX($A:$AP,ROW(),$G$6)),INDEX($A:$AP,ROW(),$G$6),IFERROR(--SUBSTITUTE(SUBSTITUTE(TRIM(INDEX($A:$AP,ROW(),$G$6)),",",""),"원",""),0))))</f>
        <v/>
      </c>
      <c r="AV989" s="23">
        <f>IF($AS989="","",IF($H$6="",$AT989+$AU989,IF($H$6="",0,IF(ISNUMBER(INDEX($A:$AP,ROW(),$H$6)),INDEX($A:$AP,ROW(),$H$6),IFERROR(--SUBSTITUTE(SUBSTITUTE(TRIM(INDEX($A:$AP,ROW(),$H$6)),",",""),"원",""),0)))))</f>
        <v/>
      </c>
      <c r="AW989" s="2">
        <f>IF(OR($AS989="",$C$6=""),"",TRIM(INDEX($A:$AP,ROW(),$C$6)&amp;""))</f>
        <v/>
      </c>
      <c r="AX989" s="2">
        <f>IF($AS989="","",IF($AZ989&lt;&gt;"",SUBSTITUTE(SUBSTITUTE($AZ989,"-","")," ",""),$AY989))</f>
        <v/>
      </c>
      <c r="AY989" s="2">
        <f>IF(OR($AS989="",$E$6=""),"",TRIM(INDEX($A:$AP,ROW(),$E$6)&amp;""))</f>
        <v/>
      </c>
      <c r="AZ989" s="2">
        <f>IF(OR($AS989="",$D$6=""),"",TRIM(INDEX($A:$AP,ROW(),$D$6)&amp;""))</f>
        <v/>
      </c>
      <c r="BA989" s="2">
        <f>IF($AS989="","",IF(AND($AS989&gt;=설정!$B$10,$AS989&lt;=설정!$B$11),"포함","기간 밖"))</f>
        <v/>
      </c>
      <c r="BB989" s="2">
        <f>IF($AS989="","",IF(OR($AT989&lt;0,AND($I$6&lt;&gt;"",ISNUMBER(FIND("수정",INDEX($A:$AP,ROW(),IF($I$6="",1,$I$6))&amp;"")))),"수정","일반"))</f>
        <v/>
      </c>
      <c r="BC989" s="2">
        <f>IF($AS989="","",MID(IF($BA989="기간 밖"," / 기간 밖(신고기간 아님)","")&amp;IF(AND($AW989&lt;&gt;"",COUNTIF($AW$8:$AW$1007,$AW989)&gt;1)," / 승인번호 중복(두 번 붙여넣기?)","")&amp;IF(ABS($AU989-ROUND($AT989*0.1,0))&gt;설정!$B$8,IF($AU989=0," / 세액 0원(영세율·면세 여부 확인)"," / 세액이 공급가액 10%와 다름"),"")&amp;IF($BB989="수정"," / 수정세금계산서(합계에서 자동 가감)",""),4,200))</f>
        <v/>
      </c>
      <c r="BD989" s="2">
        <f>IF($BA989&lt;&gt;"포함","",IF(COUNTIFS($AX$8:$AX989,$AX989,$BA$8:$BA989,"포함")=1,MAX($BD$7:BD988)+1,""))</f>
        <v/>
      </c>
      <c r="BE989" s="2">
        <f>IF($BC989="","",MAX($BE$7:BE988)+1)</f>
        <v/>
      </c>
    </row>
    <row r="990">
      <c r="AR990" s="2">
        <f>IF(OR($A$5="",$B$6="",ROW()&lt;$A$5),"",IF(INDEX($A:$AP,ROW(),$B$6)="","",INDEX($A:$AP,ROW(),$B$6)))</f>
        <v/>
      </c>
      <c r="AS990" s="22">
        <f>IF($AR990="","",IF(ISNUMBER($AR990),IF($AR990&gt;=10000000,IFERROR(DATE(INT($AR990/10000),MOD(INT($AR990/100),100),MOD($AR990,100)),""),INT($AR990)),IFERROR(DATE(--LEFT(LEFT(SUBSTITUTE(SUBSTITUTE(SUBSTITUTE(SUBSTITUTE(TRIM($AR990),"-",""),".",""),"/","")," ",""),8),4),--MID(LEFT(SUBSTITUTE(SUBSTITUTE(SUBSTITUTE(SUBSTITUTE(TRIM($AR990),"-",""),".",""),"/","")," ",""),8),5,2),--MID(LEFT(SUBSTITUTE(SUBSTITUTE(SUBSTITUTE(SUBSTITUTE(TRIM($AR990),"-",""),".",""),"/","")," ",""),8),7,2)),"")))</f>
        <v/>
      </c>
      <c r="AT990" s="23">
        <f>IF($AS990="","",IF($F$6="",0,IF(ISNUMBER(INDEX($A:$AP,ROW(),$F$6)),INDEX($A:$AP,ROW(),$F$6),IFERROR(--SUBSTITUTE(SUBSTITUTE(TRIM(INDEX($A:$AP,ROW(),$F$6)),",",""),"원",""),0))))</f>
        <v/>
      </c>
      <c r="AU990" s="23">
        <f>IF($AS990="","",IF($G$6="",0,IF(ISNUMBER(INDEX($A:$AP,ROW(),$G$6)),INDEX($A:$AP,ROW(),$G$6),IFERROR(--SUBSTITUTE(SUBSTITUTE(TRIM(INDEX($A:$AP,ROW(),$G$6)),",",""),"원",""),0))))</f>
        <v/>
      </c>
      <c r="AV990" s="23">
        <f>IF($AS990="","",IF($H$6="",$AT990+$AU990,IF($H$6="",0,IF(ISNUMBER(INDEX($A:$AP,ROW(),$H$6)),INDEX($A:$AP,ROW(),$H$6),IFERROR(--SUBSTITUTE(SUBSTITUTE(TRIM(INDEX($A:$AP,ROW(),$H$6)),",",""),"원",""),0)))))</f>
        <v/>
      </c>
      <c r="AW990" s="2">
        <f>IF(OR($AS990="",$C$6=""),"",TRIM(INDEX($A:$AP,ROW(),$C$6)&amp;""))</f>
        <v/>
      </c>
      <c r="AX990" s="2">
        <f>IF($AS990="","",IF($AZ990&lt;&gt;"",SUBSTITUTE(SUBSTITUTE($AZ990,"-","")," ",""),$AY990))</f>
        <v/>
      </c>
      <c r="AY990" s="2">
        <f>IF(OR($AS990="",$E$6=""),"",TRIM(INDEX($A:$AP,ROW(),$E$6)&amp;""))</f>
        <v/>
      </c>
      <c r="AZ990" s="2">
        <f>IF(OR($AS990="",$D$6=""),"",TRIM(INDEX($A:$AP,ROW(),$D$6)&amp;""))</f>
        <v/>
      </c>
      <c r="BA990" s="2">
        <f>IF($AS990="","",IF(AND($AS990&gt;=설정!$B$10,$AS990&lt;=설정!$B$11),"포함","기간 밖"))</f>
        <v/>
      </c>
      <c r="BB990" s="2">
        <f>IF($AS990="","",IF(OR($AT990&lt;0,AND($I$6&lt;&gt;"",ISNUMBER(FIND("수정",INDEX($A:$AP,ROW(),IF($I$6="",1,$I$6))&amp;"")))),"수정","일반"))</f>
        <v/>
      </c>
      <c r="BC990" s="2">
        <f>IF($AS990="","",MID(IF($BA990="기간 밖"," / 기간 밖(신고기간 아님)","")&amp;IF(AND($AW990&lt;&gt;"",COUNTIF($AW$8:$AW$1007,$AW990)&gt;1)," / 승인번호 중복(두 번 붙여넣기?)","")&amp;IF(ABS($AU990-ROUND($AT990*0.1,0))&gt;설정!$B$8,IF($AU990=0," / 세액 0원(영세율·면세 여부 확인)"," / 세액이 공급가액 10%와 다름"),"")&amp;IF($BB990="수정"," / 수정세금계산서(합계에서 자동 가감)",""),4,200))</f>
        <v/>
      </c>
      <c r="BD990" s="2">
        <f>IF($BA990&lt;&gt;"포함","",IF(COUNTIFS($AX$8:$AX990,$AX990,$BA$8:$BA990,"포함")=1,MAX($BD$7:BD989)+1,""))</f>
        <v/>
      </c>
      <c r="BE990" s="2">
        <f>IF($BC990="","",MAX($BE$7:BE989)+1)</f>
        <v/>
      </c>
    </row>
    <row r="991">
      <c r="AR991" s="2">
        <f>IF(OR($A$5="",$B$6="",ROW()&lt;$A$5),"",IF(INDEX($A:$AP,ROW(),$B$6)="","",INDEX($A:$AP,ROW(),$B$6)))</f>
        <v/>
      </c>
      <c r="AS991" s="22">
        <f>IF($AR991="","",IF(ISNUMBER($AR991),IF($AR991&gt;=10000000,IFERROR(DATE(INT($AR991/10000),MOD(INT($AR991/100),100),MOD($AR991,100)),""),INT($AR991)),IFERROR(DATE(--LEFT(LEFT(SUBSTITUTE(SUBSTITUTE(SUBSTITUTE(SUBSTITUTE(TRIM($AR991),"-",""),".",""),"/","")," ",""),8),4),--MID(LEFT(SUBSTITUTE(SUBSTITUTE(SUBSTITUTE(SUBSTITUTE(TRIM($AR991),"-",""),".",""),"/","")," ",""),8),5,2),--MID(LEFT(SUBSTITUTE(SUBSTITUTE(SUBSTITUTE(SUBSTITUTE(TRIM($AR991),"-",""),".",""),"/","")," ",""),8),7,2)),"")))</f>
        <v/>
      </c>
      <c r="AT991" s="23">
        <f>IF($AS991="","",IF($F$6="",0,IF(ISNUMBER(INDEX($A:$AP,ROW(),$F$6)),INDEX($A:$AP,ROW(),$F$6),IFERROR(--SUBSTITUTE(SUBSTITUTE(TRIM(INDEX($A:$AP,ROW(),$F$6)),",",""),"원",""),0))))</f>
        <v/>
      </c>
      <c r="AU991" s="23">
        <f>IF($AS991="","",IF($G$6="",0,IF(ISNUMBER(INDEX($A:$AP,ROW(),$G$6)),INDEX($A:$AP,ROW(),$G$6),IFERROR(--SUBSTITUTE(SUBSTITUTE(TRIM(INDEX($A:$AP,ROW(),$G$6)),",",""),"원",""),0))))</f>
        <v/>
      </c>
      <c r="AV991" s="23">
        <f>IF($AS991="","",IF($H$6="",$AT991+$AU991,IF($H$6="",0,IF(ISNUMBER(INDEX($A:$AP,ROW(),$H$6)),INDEX($A:$AP,ROW(),$H$6),IFERROR(--SUBSTITUTE(SUBSTITUTE(TRIM(INDEX($A:$AP,ROW(),$H$6)),",",""),"원",""),0)))))</f>
        <v/>
      </c>
      <c r="AW991" s="2">
        <f>IF(OR($AS991="",$C$6=""),"",TRIM(INDEX($A:$AP,ROW(),$C$6)&amp;""))</f>
        <v/>
      </c>
      <c r="AX991" s="2">
        <f>IF($AS991="","",IF($AZ991&lt;&gt;"",SUBSTITUTE(SUBSTITUTE($AZ991,"-","")," ",""),$AY991))</f>
        <v/>
      </c>
      <c r="AY991" s="2">
        <f>IF(OR($AS991="",$E$6=""),"",TRIM(INDEX($A:$AP,ROW(),$E$6)&amp;""))</f>
        <v/>
      </c>
      <c r="AZ991" s="2">
        <f>IF(OR($AS991="",$D$6=""),"",TRIM(INDEX($A:$AP,ROW(),$D$6)&amp;""))</f>
        <v/>
      </c>
      <c r="BA991" s="2">
        <f>IF($AS991="","",IF(AND($AS991&gt;=설정!$B$10,$AS991&lt;=설정!$B$11),"포함","기간 밖"))</f>
        <v/>
      </c>
      <c r="BB991" s="2">
        <f>IF($AS991="","",IF(OR($AT991&lt;0,AND($I$6&lt;&gt;"",ISNUMBER(FIND("수정",INDEX($A:$AP,ROW(),IF($I$6="",1,$I$6))&amp;"")))),"수정","일반"))</f>
        <v/>
      </c>
      <c r="BC991" s="2">
        <f>IF($AS991="","",MID(IF($BA991="기간 밖"," / 기간 밖(신고기간 아님)","")&amp;IF(AND($AW991&lt;&gt;"",COUNTIF($AW$8:$AW$1007,$AW991)&gt;1)," / 승인번호 중복(두 번 붙여넣기?)","")&amp;IF(ABS($AU991-ROUND($AT991*0.1,0))&gt;설정!$B$8,IF($AU991=0," / 세액 0원(영세율·면세 여부 확인)"," / 세액이 공급가액 10%와 다름"),"")&amp;IF($BB991="수정"," / 수정세금계산서(합계에서 자동 가감)",""),4,200))</f>
        <v/>
      </c>
      <c r="BD991" s="2">
        <f>IF($BA991&lt;&gt;"포함","",IF(COUNTIFS($AX$8:$AX991,$AX991,$BA$8:$BA991,"포함")=1,MAX($BD$7:BD990)+1,""))</f>
        <v/>
      </c>
      <c r="BE991" s="2">
        <f>IF($BC991="","",MAX($BE$7:BE990)+1)</f>
        <v/>
      </c>
    </row>
    <row r="992">
      <c r="AR992" s="2">
        <f>IF(OR($A$5="",$B$6="",ROW()&lt;$A$5),"",IF(INDEX($A:$AP,ROW(),$B$6)="","",INDEX($A:$AP,ROW(),$B$6)))</f>
        <v/>
      </c>
      <c r="AS992" s="22">
        <f>IF($AR992="","",IF(ISNUMBER($AR992),IF($AR992&gt;=10000000,IFERROR(DATE(INT($AR992/10000),MOD(INT($AR992/100),100),MOD($AR992,100)),""),INT($AR992)),IFERROR(DATE(--LEFT(LEFT(SUBSTITUTE(SUBSTITUTE(SUBSTITUTE(SUBSTITUTE(TRIM($AR992),"-",""),".",""),"/","")," ",""),8),4),--MID(LEFT(SUBSTITUTE(SUBSTITUTE(SUBSTITUTE(SUBSTITUTE(TRIM($AR992),"-",""),".",""),"/","")," ",""),8),5,2),--MID(LEFT(SUBSTITUTE(SUBSTITUTE(SUBSTITUTE(SUBSTITUTE(TRIM($AR992),"-",""),".",""),"/","")," ",""),8),7,2)),"")))</f>
        <v/>
      </c>
      <c r="AT992" s="23">
        <f>IF($AS992="","",IF($F$6="",0,IF(ISNUMBER(INDEX($A:$AP,ROW(),$F$6)),INDEX($A:$AP,ROW(),$F$6),IFERROR(--SUBSTITUTE(SUBSTITUTE(TRIM(INDEX($A:$AP,ROW(),$F$6)),",",""),"원",""),0))))</f>
        <v/>
      </c>
      <c r="AU992" s="23">
        <f>IF($AS992="","",IF($G$6="",0,IF(ISNUMBER(INDEX($A:$AP,ROW(),$G$6)),INDEX($A:$AP,ROW(),$G$6),IFERROR(--SUBSTITUTE(SUBSTITUTE(TRIM(INDEX($A:$AP,ROW(),$G$6)),",",""),"원",""),0))))</f>
        <v/>
      </c>
      <c r="AV992" s="23">
        <f>IF($AS992="","",IF($H$6="",$AT992+$AU992,IF($H$6="",0,IF(ISNUMBER(INDEX($A:$AP,ROW(),$H$6)),INDEX($A:$AP,ROW(),$H$6),IFERROR(--SUBSTITUTE(SUBSTITUTE(TRIM(INDEX($A:$AP,ROW(),$H$6)),",",""),"원",""),0)))))</f>
        <v/>
      </c>
      <c r="AW992" s="2">
        <f>IF(OR($AS992="",$C$6=""),"",TRIM(INDEX($A:$AP,ROW(),$C$6)&amp;""))</f>
        <v/>
      </c>
      <c r="AX992" s="2">
        <f>IF($AS992="","",IF($AZ992&lt;&gt;"",SUBSTITUTE(SUBSTITUTE($AZ992,"-","")," ",""),$AY992))</f>
        <v/>
      </c>
      <c r="AY992" s="2">
        <f>IF(OR($AS992="",$E$6=""),"",TRIM(INDEX($A:$AP,ROW(),$E$6)&amp;""))</f>
        <v/>
      </c>
      <c r="AZ992" s="2">
        <f>IF(OR($AS992="",$D$6=""),"",TRIM(INDEX($A:$AP,ROW(),$D$6)&amp;""))</f>
        <v/>
      </c>
      <c r="BA992" s="2">
        <f>IF($AS992="","",IF(AND($AS992&gt;=설정!$B$10,$AS992&lt;=설정!$B$11),"포함","기간 밖"))</f>
        <v/>
      </c>
      <c r="BB992" s="2">
        <f>IF($AS992="","",IF(OR($AT992&lt;0,AND($I$6&lt;&gt;"",ISNUMBER(FIND("수정",INDEX($A:$AP,ROW(),IF($I$6="",1,$I$6))&amp;"")))),"수정","일반"))</f>
        <v/>
      </c>
      <c r="BC992" s="2">
        <f>IF($AS992="","",MID(IF($BA992="기간 밖"," / 기간 밖(신고기간 아님)","")&amp;IF(AND($AW992&lt;&gt;"",COUNTIF($AW$8:$AW$1007,$AW992)&gt;1)," / 승인번호 중복(두 번 붙여넣기?)","")&amp;IF(ABS($AU992-ROUND($AT992*0.1,0))&gt;설정!$B$8,IF($AU992=0," / 세액 0원(영세율·면세 여부 확인)"," / 세액이 공급가액 10%와 다름"),"")&amp;IF($BB992="수정"," / 수정세금계산서(합계에서 자동 가감)",""),4,200))</f>
        <v/>
      </c>
      <c r="BD992" s="2">
        <f>IF($BA992&lt;&gt;"포함","",IF(COUNTIFS($AX$8:$AX992,$AX992,$BA$8:$BA992,"포함")=1,MAX($BD$7:BD991)+1,""))</f>
        <v/>
      </c>
      <c r="BE992" s="2">
        <f>IF($BC992="","",MAX($BE$7:BE991)+1)</f>
        <v/>
      </c>
    </row>
    <row r="993">
      <c r="AR993" s="2">
        <f>IF(OR($A$5="",$B$6="",ROW()&lt;$A$5),"",IF(INDEX($A:$AP,ROW(),$B$6)="","",INDEX($A:$AP,ROW(),$B$6)))</f>
        <v/>
      </c>
      <c r="AS993" s="22">
        <f>IF($AR993="","",IF(ISNUMBER($AR993),IF($AR993&gt;=10000000,IFERROR(DATE(INT($AR993/10000),MOD(INT($AR993/100),100),MOD($AR993,100)),""),INT($AR993)),IFERROR(DATE(--LEFT(LEFT(SUBSTITUTE(SUBSTITUTE(SUBSTITUTE(SUBSTITUTE(TRIM($AR993),"-",""),".",""),"/","")," ",""),8),4),--MID(LEFT(SUBSTITUTE(SUBSTITUTE(SUBSTITUTE(SUBSTITUTE(TRIM($AR993),"-",""),".",""),"/","")," ",""),8),5,2),--MID(LEFT(SUBSTITUTE(SUBSTITUTE(SUBSTITUTE(SUBSTITUTE(TRIM($AR993),"-",""),".",""),"/","")," ",""),8),7,2)),"")))</f>
        <v/>
      </c>
      <c r="AT993" s="23">
        <f>IF($AS993="","",IF($F$6="",0,IF(ISNUMBER(INDEX($A:$AP,ROW(),$F$6)),INDEX($A:$AP,ROW(),$F$6),IFERROR(--SUBSTITUTE(SUBSTITUTE(TRIM(INDEX($A:$AP,ROW(),$F$6)),",",""),"원",""),0))))</f>
        <v/>
      </c>
      <c r="AU993" s="23">
        <f>IF($AS993="","",IF($G$6="",0,IF(ISNUMBER(INDEX($A:$AP,ROW(),$G$6)),INDEX($A:$AP,ROW(),$G$6),IFERROR(--SUBSTITUTE(SUBSTITUTE(TRIM(INDEX($A:$AP,ROW(),$G$6)),",",""),"원",""),0))))</f>
        <v/>
      </c>
      <c r="AV993" s="23">
        <f>IF($AS993="","",IF($H$6="",$AT993+$AU993,IF($H$6="",0,IF(ISNUMBER(INDEX($A:$AP,ROW(),$H$6)),INDEX($A:$AP,ROW(),$H$6),IFERROR(--SUBSTITUTE(SUBSTITUTE(TRIM(INDEX($A:$AP,ROW(),$H$6)),",",""),"원",""),0)))))</f>
        <v/>
      </c>
      <c r="AW993" s="2">
        <f>IF(OR($AS993="",$C$6=""),"",TRIM(INDEX($A:$AP,ROW(),$C$6)&amp;""))</f>
        <v/>
      </c>
      <c r="AX993" s="2">
        <f>IF($AS993="","",IF($AZ993&lt;&gt;"",SUBSTITUTE(SUBSTITUTE($AZ993,"-","")," ",""),$AY993))</f>
        <v/>
      </c>
      <c r="AY993" s="2">
        <f>IF(OR($AS993="",$E$6=""),"",TRIM(INDEX($A:$AP,ROW(),$E$6)&amp;""))</f>
        <v/>
      </c>
      <c r="AZ993" s="2">
        <f>IF(OR($AS993="",$D$6=""),"",TRIM(INDEX($A:$AP,ROW(),$D$6)&amp;""))</f>
        <v/>
      </c>
      <c r="BA993" s="2">
        <f>IF($AS993="","",IF(AND($AS993&gt;=설정!$B$10,$AS993&lt;=설정!$B$11),"포함","기간 밖"))</f>
        <v/>
      </c>
      <c r="BB993" s="2">
        <f>IF($AS993="","",IF(OR($AT993&lt;0,AND($I$6&lt;&gt;"",ISNUMBER(FIND("수정",INDEX($A:$AP,ROW(),IF($I$6="",1,$I$6))&amp;"")))),"수정","일반"))</f>
        <v/>
      </c>
      <c r="BC993" s="2">
        <f>IF($AS993="","",MID(IF($BA993="기간 밖"," / 기간 밖(신고기간 아님)","")&amp;IF(AND($AW993&lt;&gt;"",COUNTIF($AW$8:$AW$1007,$AW993)&gt;1)," / 승인번호 중복(두 번 붙여넣기?)","")&amp;IF(ABS($AU993-ROUND($AT993*0.1,0))&gt;설정!$B$8,IF($AU993=0," / 세액 0원(영세율·면세 여부 확인)"," / 세액이 공급가액 10%와 다름"),"")&amp;IF($BB993="수정"," / 수정세금계산서(합계에서 자동 가감)",""),4,200))</f>
        <v/>
      </c>
      <c r="BD993" s="2">
        <f>IF($BA993&lt;&gt;"포함","",IF(COUNTIFS($AX$8:$AX993,$AX993,$BA$8:$BA993,"포함")=1,MAX($BD$7:BD992)+1,""))</f>
        <v/>
      </c>
      <c r="BE993" s="2">
        <f>IF($BC993="","",MAX($BE$7:BE992)+1)</f>
        <v/>
      </c>
    </row>
    <row r="994">
      <c r="AR994" s="2">
        <f>IF(OR($A$5="",$B$6="",ROW()&lt;$A$5),"",IF(INDEX($A:$AP,ROW(),$B$6)="","",INDEX($A:$AP,ROW(),$B$6)))</f>
        <v/>
      </c>
      <c r="AS994" s="22">
        <f>IF($AR994="","",IF(ISNUMBER($AR994),IF($AR994&gt;=10000000,IFERROR(DATE(INT($AR994/10000),MOD(INT($AR994/100),100),MOD($AR994,100)),""),INT($AR994)),IFERROR(DATE(--LEFT(LEFT(SUBSTITUTE(SUBSTITUTE(SUBSTITUTE(SUBSTITUTE(TRIM($AR994),"-",""),".",""),"/","")," ",""),8),4),--MID(LEFT(SUBSTITUTE(SUBSTITUTE(SUBSTITUTE(SUBSTITUTE(TRIM($AR994),"-",""),".",""),"/","")," ",""),8),5,2),--MID(LEFT(SUBSTITUTE(SUBSTITUTE(SUBSTITUTE(SUBSTITUTE(TRIM($AR994),"-",""),".",""),"/","")," ",""),8),7,2)),"")))</f>
        <v/>
      </c>
      <c r="AT994" s="23">
        <f>IF($AS994="","",IF($F$6="",0,IF(ISNUMBER(INDEX($A:$AP,ROW(),$F$6)),INDEX($A:$AP,ROW(),$F$6),IFERROR(--SUBSTITUTE(SUBSTITUTE(TRIM(INDEX($A:$AP,ROW(),$F$6)),",",""),"원",""),0))))</f>
        <v/>
      </c>
      <c r="AU994" s="23">
        <f>IF($AS994="","",IF($G$6="",0,IF(ISNUMBER(INDEX($A:$AP,ROW(),$G$6)),INDEX($A:$AP,ROW(),$G$6),IFERROR(--SUBSTITUTE(SUBSTITUTE(TRIM(INDEX($A:$AP,ROW(),$G$6)),",",""),"원",""),0))))</f>
        <v/>
      </c>
      <c r="AV994" s="23">
        <f>IF($AS994="","",IF($H$6="",$AT994+$AU994,IF($H$6="",0,IF(ISNUMBER(INDEX($A:$AP,ROW(),$H$6)),INDEX($A:$AP,ROW(),$H$6),IFERROR(--SUBSTITUTE(SUBSTITUTE(TRIM(INDEX($A:$AP,ROW(),$H$6)),",",""),"원",""),0)))))</f>
        <v/>
      </c>
      <c r="AW994" s="2">
        <f>IF(OR($AS994="",$C$6=""),"",TRIM(INDEX($A:$AP,ROW(),$C$6)&amp;""))</f>
        <v/>
      </c>
      <c r="AX994" s="2">
        <f>IF($AS994="","",IF($AZ994&lt;&gt;"",SUBSTITUTE(SUBSTITUTE($AZ994,"-","")," ",""),$AY994))</f>
        <v/>
      </c>
      <c r="AY994" s="2">
        <f>IF(OR($AS994="",$E$6=""),"",TRIM(INDEX($A:$AP,ROW(),$E$6)&amp;""))</f>
        <v/>
      </c>
      <c r="AZ994" s="2">
        <f>IF(OR($AS994="",$D$6=""),"",TRIM(INDEX($A:$AP,ROW(),$D$6)&amp;""))</f>
        <v/>
      </c>
      <c r="BA994" s="2">
        <f>IF($AS994="","",IF(AND($AS994&gt;=설정!$B$10,$AS994&lt;=설정!$B$11),"포함","기간 밖"))</f>
        <v/>
      </c>
      <c r="BB994" s="2">
        <f>IF($AS994="","",IF(OR($AT994&lt;0,AND($I$6&lt;&gt;"",ISNUMBER(FIND("수정",INDEX($A:$AP,ROW(),IF($I$6="",1,$I$6))&amp;"")))),"수정","일반"))</f>
        <v/>
      </c>
      <c r="BC994" s="2">
        <f>IF($AS994="","",MID(IF($BA994="기간 밖"," / 기간 밖(신고기간 아님)","")&amp;IF(AND($AW994&lt;&gt;"",COUNTIF($AW$8:$AW$1007,$AW994)&gt;1)," / 승인번호 중복(두 번 붙여넣기?)","")&amp;IF(ABS($AU994-ROUND($AT994*0.1,0))&gt;설정!$B$8,IF($AU994=0," / 세액 0원(영세율·면세 여부 확인)"," / 세액이 공급가액 10%와 다름"),"")&amp;IF($BB994="수정"," / 수정세금계산서(합계에서 자동 가감)",""),4,200))</f>
        <v/>
      </c>
      <c r="BD994" s="2">
        <f>IF($BA994&lt;&gt;"포함","",IF(COUNTIFS($AX$8:$AX994,$AX994,$BA$8:$BA994,"포함")=1,MAX($BD$7:BD993)+1,""))</f>
        <v/>
      </c>
      <c r="BE994" s="2">
        <f>IF($BC994="","",MAX($BE$7:BE993)+1)</f>
        <v/>
      </c>
    </row>
    <row r="995">
      <c r="AR995" s="2">
        <f>IF(OR($A$5="",$B$6="",ROW()&lt;$A$5),"",IF(INDEX($A:$AP,ROW(),$B$6)="","",INDEX($A:$AP,ROW(),$B$6)))</f>
        <v/>
      </c>
      <c r="AS995" s="22">
        <f>IF($AR995="","",IF(ISNUMBER($AR995),IF($AR995&gt;=10000000,IFERROR(DATE(INT($AR995/10000),MOD(INT($AR995/100),100),MOD($AR995,100)),""),INT($AR995)),IFERROR(DATE(--LEFT(LEFT(SUBSTITUTE(SUBSTITUTE(SUBSTITUTE(SUBSTITUTE(TRIM($AR995),"-",""),".",""),"/","")," ",""),8),4),--MID(LEFT(SUBSTITUTE(SUBSTITUTE(SUBSTITUTE(SUBSTITUTE(TRIM($AR995),"-",""),".",""),"/","")," ",""),8),5,2),--MID(LEFT(SUBSTITUTE(SUBSTITUTE(SUBSTITUTE(SUBSTITUTE(TRIM($AR995),"-",""),".",""),"/","")," ",""),8),7,2)),"")))</f>
        <v/>
      </c>
      <c r="AT995" s="23">
        <f>IF($AS995="","",IF($F$6="",0,IF(ISNUMBER(INDEX($A:$AP,ROW(),$F$6)),INDEX($A:$AP,ROW(),$F$6),IFERROR(--SUBSTITUTE(SUBSTITUTE(TRIM(INDEX($A:$AP,ROW(),$F$6)),",",""),"원",""),0))))</f>
        <v/>
      </c>
      <c r="AU995" s="23">
        <f>IF($AS995="","",IF($G$6="",0,IF(ISNUMBER(INDEX($A:$AP,ROW(),$G$6)),INDEX($A:$AP,ROW(),$G$6),IFERROR(--SUBSTITUTE(SUBSTITUTE(TRIM(INDEX($A:$AP,ROW(),$G$6)),",",""),"원",""),0))))</f>
        <v/>
      </c>
      <c r="AV995" s="23">
        <f>IF($AS995="","",IF($H$6="",$AT995+$AU995,IF($H$6="",0,IF(ISNUMBER(INDEX($A:$AP,ROW(),$H$6)),INDEX($A:$AP,ROW(),$H$6),IFERROR(--SUBSTITUTE(SUBSTITUTE(TRIM(INDEX($A:$AP,ROW(),$H$6)),",",""),"원",""),0)))))</f>
        <v/>
      </c>
      <c r="AW995" s="2">
        <f>IF(OR($AS995="",$C$6=""),"",TRIM(INDEX($A:$AP,ROW(),$C$6)&amp;""))</f>
        <v/>
      </c>
      <c r="AX995" s="2">
        <f>IF($AS995="","",IF($AZ995&lt;&gt;"",SUBSTITUTE(SUBSTITUTE($AZ995,"-","")," ",""),$AY995))</f>
        <v/>
      </c>
      <c r="AY995" s="2">
        <f>IF(OR($AS995="",$E$6=""),"",TRIM(INDEX($A:$AP,ROW(),$E$6)&amp;""))</f>
        <v/>
      </c>
      <c r="AZ995" s="2">
        <f>IF(OR($AS995="",$D$6=""),"",TRIM(INDEX($A:$AP,ROW(),$D$6)&amp;""))</f>
        <v/>
      </c>
      <c r="BA995" s="2">
        <f>IF($AS995="","",IF(AND($AS995&gt;=설정!$B$10,$AS995&lt;=설정!$B$11),"포함","기간 밖"))</f>
        <v/>
      </c>
      <c r="BB995" s="2">
        <f>IF($AS995="","",IF(OR($AT995&lt;0,AND($I$6&lt;&gt;"",ISNUMBER(FIND("수정",INDEX($A:$AP,ROW(),IF($I$6="",1,$I$6))&amp;"")))),"수정","일반"))</f>
        <v/>
      </c>
      <c r="BC995" s="2">
        <f>IF($AS995="","",MID(IF($BA995="기간 밖"," / 기간 밖(신고기간 아님)","")&amp;IF(AND($AW995&lt;&gt;"",COUNTIF($AW$8:$AW$1007,$AW995)&gt;1)," / 승인번호 중복(두 번 붙여넣기?)","")&amp;IF(ABS($AU995-ROUND($AT995*0.1,0))&gt;설정!$B$8,IF($AU995=0," / 세액 0원(영세율·면세 여부 확인)"," / 세액이 공급가액 10%와 다름"),"")&amp;IF($BB995="수정"," / 수정세금계산서(합계에서 자동 가감)",""),4,200))</f>
        <v/>
      </c>
      <c r="BD995" s="2">
        <f>IF($BA995&lt;&gt;"포함","",IF(COUNTIFS($AX$8:$AX995,$AX995,$BA$8:$BA995,"포함")=1,MAX($BD$7:BD994)+1,""))</f>
        <v/>
      </c>
      <c r="BE995" s="2">
        <f>IF($BC995="","",MAX($BE$7:BE994)+1)</f>
        <v/>
      </c>
    </row>
    <row r="996">
      <c r="AR996" s="2">
        <f>IF(OR($A$5="",$B$6="",ROW()&lt;$A$5),"",IF(INDEX($A:$AP,ROW(),$B$6)="","",INDEX($A:$AP,ROW(),$B$6)))</f>
        <v/>
      </c>
      <c r="AS996" s="22">
        <f>IF($AR996="","",IF(ISNUMBER($AR996),IF($AR996&gt;=10000000,IFERROR(DATE(INT($AR996/10000),MOD(INT($AR996/100),100),MOD($AR996,100)),""),INT($AR996)),IFERROR(DATE(--LEFT(LEFT(SUBSTITUTE(SUBSTITUTE(SUBSTITUTE(SUBSTITUTE(TRIM($AR996),"-",""),".",""),"/","")," ",""),8),4),--MID(LEFT(SUBSTITUTE(SUBSTITUTE(SUBSTITUTE(SUBSTITUTE(TRIM($AR996),"-",""),".",""),"/","")," ",""),8),5,2),--MID(LEFT(SUBSTITUTE(SUBSTITUTE(SUBSTITUTE(SUBSTITUTE(TRIM($AR996),"-",""),".",""),"/","")," ",""),8),7,2)),"")))</f>
        <v/>
      </c>
      <c r="AT996" s="23">
        <f>IF($AS996="","",IF($F$6="",0,IF(ISNUMBER(INDEX($A:$AP,ROW(),$F$6)),INDEX($A:$AP,ROW(),$F$6),IFERROR(--SUBSTITUTE(SUBSTITUTE(TRIM(INDEX($A:$AP,ROW(),$F$6)),",",""),"원",""),0))))</f>
        <v/>
      </c>
      <c r="AU996" s="23">
        <f>IF($AS996="","",IF($G$6="",0,IF(ISNUMBER(INDEX($A:$AP,ROW(),$G$6)),INDEX($A:$AP,ROW(),$G$6),IFERROR(--SUBSTITUTE(SUBSTITUTE(TRIM(INDEX($A:$AP,ROW(),$G$6)),",",""),"원",""),0))))</f>
        <v/>
      </c>
      <c r="AV996" s="23">
        <f>IF($AS996="","",IF($H$6="",$AT996+$AU996,IF($H$6="",0,IF(ISNUMBER(INDEX($A:$AP,ROW(),$H$6)),INDEX($A:$AP,ROW(),$H$6),IFERROR(--SUBSTITUTE(SUBSTITUTE(TRIM(INDEX($A:$AP,ROW(),$H$6)),",",""),"원",""),0)))))</f>
        <v/>
      </c>
      <c r="AW996" s="2">
        <f>IF(OR($AS996="",$C$6=""),"",TRIM(INDEX($A:$AP,ROW(),$C$6)&amp;""))</f>
        <v/>
      </c>
      <c r="AX996" s="2">
        <f>IF($AS996="","",IF($AZ996&lt;&gt;"",SUBSTITUTE(SUBSTITUTE($AZ996,"-","")," ",""),$AY996))</f>
        <v/>
      </c>
      <c r="AY996" s="2">
        <f>IF(OR($AS996="",$E$6=""),"",TRIM(INDEX($A:$AP,ROW(),$E$6)&amp;""))</f>
        <v/>
      </c>
      <c r="AZ996" s="2">
        <f>IF(OR($AS996="",$D$6=""),"",TRIM(INDEX($A:$AP,ROW(),$D$6)&amp;""))</f>
        <v/>
      </c>
      <c r="BA996" s="2">
        <f>IF($AS996="","",IF(AND($AS996&gt;=설정!$B$10,$AS996&lt;=설정!$B$11),"포함","기간 밖"))</f>
        <v/>
      </c>
      <c r="BB996" s="2">
        <f>IF($AS996="","",IF(OR($AT996&lt;0,AND($I$6&lt;&gt;"",ISNUMBER(FIND("수정",INDEX($A:$AP,ROW(),IF($I$6="",1,$I$6))&amp;"")))),"수정","일반"))</f>
        <v/>
      </c>
      <c r="BC996" s="2">
        <f>IF($AS996="","",MID(IF($BA996="기간 밖"," / 기간 밖(신고기간 아님)","")&amp;IF(AND($AW996&lt;&gt;"",COUNTIF($AW$8:$AW$1007,$AW996)&gt;1)," / 승인번호 중복(두 번 붙여넣기?)","")&amp;IF(ABS($AU996-ROUND($AT996*0.1,0))&gt;설정!$B$8,IF($AU996=0," / 세액 0원(영세율·면세 여부 확인)"," / 세액이 공급가액 10%와 다름"),"")&amp;IF($BB996="수정"," / 수정세금계산서(합계에서 자동 가감)",""),4,200))</f>
        <v/>
      </c>
      <c r="BD996" s="2">
        <f>IF($BA996&lt;&gt;"포함","",IF(COUNTIFS($AX$8:$AX996,$AX996,$BA$8:$BA996,"포함")=1,MAX($BD$7:BD995)+1,""))</f>
        <v/>
      </c>
      <c r="BE996" s="2">
        <f>IF($BC996="","",MAX($BE$7:BE995)+1)</f>
        <v/>
      </c>
    </row>
    <row r="997">
      <c r="AR997" s="2">
        <f>IF(OR($A$5="",$B$6="",ROW()&lt;$A$5),"",IF(INDEX($A:$AP,ROW(),$B$6)="","",INDEX($A:$AP,ROW(),$B$6)))</f>
        <v/>
      </c>
      <c r="AS997" s="22">
        <f>IF($AR997="","",IF(ISNUMBER($AR997),IF($AR997&gt;=10000000,IFERROR(DATE(INT($AR997/10000),MOD(INT($AR997/100),100),MOD($AR997,100)),""),INT($AR997)),IFERROR(DATE(--LEFT(LEFT(SUBSTITUTE(SUBSTITUTE(SUBSTITUTE(SUBSTITUTE(TRIM($AR997),"-",""),".",""),"/","")," ",""),8),4),--MID(LEFT(SUBSTITUTE(SUBSTITUTE(SUBSTITUTE(SUBSTITUTE(TRIM($AR997),"-",""),".",""),"/","")," ",""),8),5,2),--MID(LEFT(SUBSTITUTE(SUBSTITUTE(SUBSTITUTE(SUBSTITUTE(TRIM($AR997),"-",""),".",""),"/","")," ",""),8),7,2)),"")))</f>
        <v/>
      </c>
      <c r="AT997" s="23">
        <f>IF($AS997="","",IF($F$6="",0,IF(ISNUMBER(INDEX($A:$AP,ROW(),$F$6)),INDEX($A:$AP,ROW(),$F$6),IFERROR(--SUBSTITUTE(SUBSTITUTE(TRIM(INDEX($A:$AP,ROW(),$F$6)),",",""),"원",""),0))))</f>
        <v/>
      </c>
      <c r="AU997" s="23">
        <f>IF($AS997="","",IF($G$6="",0,IF(ISNUMBER(INDEX($A:$AP,ROW(),$G$6)),INDEX($A:$AP,ROW(),$G$6),IFERROR(--SUBSTITUTE(SUBSTITUTE(TRIM(INDEX($A:$AP,ROW(),$G$6)),",",""),"원",""),0))))</f>
        <v/>
      </c>
      <c r="AV997" s="23">
        <f>IF($AS997="","",IF($H$6="",$AT997+$AU997,IF($H$6="",0,IF(ISNUMBER(INDEX($A:$AP,ROW(),$H$6)),INDEX($A:$AP,ROW(),$H$6),IFERROR(--SUBSTITUTE(SUBSTITUTE(TRIM(INDEX($A:$AP,ROW(),$H$6)),",",""),"원",""),0)))))</f>
        <v/>
      </c>
      <c r="AW997" s="2">
        <f>IF(OR($AS997="",$C$6=""),"",TRIM(INDEX($A:$AP,ROW(),$C$6)&amp;""))</f>
        <v/>
      </c>
      <c r="AX997" s="2">
        <f>IF($AS997="","",IF($AZ997&lt;&gt;"",SUBSTITUTE(SUBSTITUTE($AZ997,"-","")," ",""),$AY997))</f>
        <v/>
      </c>
      <c r="AY997" s="2">
        <f>IF(OR($AS997="",$E$6=""),"",TRIM(INDEX($A:$AP,ROW(),$E$6)&amp;""))</f>
        <v/>
      </c>
      <c r="AZ997" s="2">
        <f>IF(OR($AS997="",$D$6=""),"",TRIM(INDEX($A:$AP,ROW(),$D$6)&amp;""))</f>
        <v/>
      </c>
      <c r="BA997" s="2">
        <f>IF($AS997="","",IF(AND($AS997&gt;=설정!$B$10,$AS997&lt;=설정!$B$11),"포함","기간 밖"))</f>
        <v/>
      </c>
      <c r="BB997" s="2">
        <f>IF($AS997="","",IF(OR($AT997&lt;0,AND($I$6&lt;&gt;"",ISNUMBER(FIND("수정",INDEX($A:$AP,ROW(),IF($I$6="",1,$I$6))&amp;"")))),"수정","일반"))</f>
        <v/>
      </c>
      <c r="BC997" s="2">
        <f>IF($AS997="","",MID(IF($BA997="기간 밖"," / 기간 밖(신고기간 아님)","")&amp;IF(AND($AW997&lt;&gt;"",COUNTIF($AW$8:$AW$1007,$AW997)&gt;1)," / 승인번호 중복(두 번 붙여넣기?)","")&amp;IF(ABS($AU997-ROUND($AT997*0.1,0))&gt;설정!$B$8,IF($AU997=0," / 세액 0원(영세율·면세 여부 확인)"," / 세액이 공급가액 10%와 다름"),"")&amp;IF($BB997="수정"," / 수정세금계산서(합계에서 자동 가감)",""),4,200))</f>
        <v/>
      </c>
      <c r="BD997" s="2">
        <f>IF($BA997&lt;&gt;"포함","",IF(COUNTIFS($AX$8:$AX997,$AX997,$BA$8:$BA997,"포함")=1,MAX($BD$7:BD996)+1,""))</f>
        <v/>
      </c>
      <c r="BE997" s="2">
        <f>IF($BC997="","",MAX($BE$7:BE996)+1)</f>
        <v/>
      </c>
    </row>
    <row r="998">
      <c r="AR998" s="2">
        <f>IF(OR($A$5="",$B$6="",ROW()&lt;$A$5),"",IF(INDEX($A:$AP,ROW(),$B$6)="","",INDEX($A:$AP,ROW(),$B$6)))</f>
        <v/>
      </c>
      <c r="AS998" s="22">
        <f>IF($AR998="","",IF(ISNUMBER($AR998),IF($AR998&gt;=10000000,IFERROR(DATE(INT($AR998/10000),MOD(INT($AR998/100),100),MOD($AR998,100)),""),INT($AR998)),IFERROR(DATE(--LEFT(LEFT(SUBSTITUTE(SUBSTITUTE(SUBSTITUTE(SUBSTITUTE(TRIM($AR998),"-",""),".",""),"/","")," ",""),8),4),--MID(LEFT(SUBSTITUTE(SUBSTITUTE(SUBSTITUTE(SUBSTITUTE(TRIM($AR998),"-",""),".",""),"/","")," ",""),8),5,2),--MID(LEFT(SUBSTITUTE(SUBSTITUTE(SUBSTITUTE(SUBSTITUTE(TRIM($AR998),"-",""),".",""),"/","")," ",""),8),7,2)),"")))</f>
        <v/>
      </c>
      <c r="AT998" s="23">
        <f>IF($AS998="","",IF($F$6="",0,IF(ISNUMBER(INDEX($A:$AP,ROW(),$F$6)),INDEX($A:$AP,ROW(),$F$6),IFERROR(--SUBSTITUTE(SUBSTITUTE(TRIM(INDEX($A:$AP,ROW(),$F$6)),",",""),"원",""),0))))</f>
        <v/>
      </c>
      <c r="AU998" s="23">
        <f>IF($AS998="","",IF($G$6="",0,IF(ISNUMBER(INDEX($A:$AP,ROW(),$G$6)),INDEX($A:$AP,ROW(),$G$6),IFERROR(--SUBSTITUTE(SUBSTITUTE(TRIM(INDEX($A:$AP,ROW(),$G$6)),",",""),"원",""),0))))</f>
        <v/>
      </c>
      <c r="AV998" s="23">
        <f>IF($AS998="","",IF($H$6="",$AT998+$AU998,IF($H$6="",0,IF(ISNUMBER(INDEX($A:$AP,ROW(),$H$6)),INDEX($A:$AP,ROW(),$H$6),IFERROR(--SUBSTITUTE(SUBSTITUTE(TRIM(INDEX($A:$AP,ROW(),$H$6)),",",""),"원",""),0)))))</f>
        <v/>
      </c>
      <c r="AW998" s="2">
        <f>IF(OR($AS998="",$C$6=""),"",TRIM(INDEX($A:$AP,ROW(),$C$6)&amp;""))</f>
        <v/>
      </c>
      <c r="AX998" s="2">
        <f>IF($AS998="","",IF($AZ998&lt;&gt;"",SUBSTITUTE(SUBSTITUTE($AZ998,"-","")," ",""),$AY998))</f>
        <v/>
      </c>
      <c r="AY998" s="2">
        <f>IF(OR($AS998="",$E$6=""),"",TRIM(INDEX($A:$AP,ROW(),$E$6)&amp;""))</f>
        <v/>
      </c>
      <c r="AZ998" s="2">
        <f>IF(OR($AS998="",$D$6=""),"",TRIM(INDEX($A:$AP,ROW(),$D$6)&amp;""))</f>
        <v/>
      </c>
      <c r="BA998" s="2">
        <f>IF($AS998="","",IF(AND($AS998&gt;=설정!$B$10,$AS998&lt;=설정!$B$11),"포함","기간 밖"))</f>
        <v/>
      </c>
      <c r="BB998" s="2">
        <f>IF($AS998="","",IF(OR($AT998&lt;0,AND($I$6&lt;&gt;"",ISNUMBER(FIND("수정",INDEX($A:$AP,ROW(),IF($I$6="",1,$I$6))&amp;"")))),"수정","일반"))</f>
        <v/>
      </c>
      <c r="BC998" s="2">
        <f>IF($AS998="","",MID(IF($BA998="기간 밖"," / 기간 밖(신고기간 아님)","")&amp;IF(AND($AW998&lt;&gt;"",COUNTIF($AW$8:$AW$1007,$AW998)&gt;1)," / 승인번호 중복(두 번 붙여넣기?)","")&amp;IF(ABS($AU998-ROUND($AT998*0.1,0))&gt;설정!$B$8,IF($AU998=0," / 세액 0원(영세율·면세 여부 확인)"," / 세액이 공급가액 10%와 다름"),"")&amp;IF($BB998="수정"," / 수정세금계산서(합계에서 자동 가감)",""),4,200))</f>
        <v/>
      </c>
      <c r="BD998" s="2">
        <f>IF($BA998&lt;&gt;"포함","",IF(COUNTIFS($AX$8:$AX998,$AX998,$BA$8:$BA998,"포함")=1,MAX($BD$7:BD997)+1,""))</f>
        <v/>
      </c>
      <c r="BE998" s="2">
        <f>IF($BC998="","",MAX($BE$7:BE997)+1)</f>
        <v/>
      </c>
    </row>
    <row r="999">
      <c r="AR999" s="2">
        <f>IF(OR($A$5="",$B$6="",ROW()&lt;$A$5),"",IF(INDEX($A:$AP,ROW(),$B$6)="","",INDEX($A:$AP,ROW(),$B$6)))</f>
        <v/>
      </c>
      <c r="AS999" s="22">
        <f>IF($AR999="","",IF(ISNUMBER($AR999),IF($AR999&gt;=10000000,IFERROR(DATE(INT($AR999/10000),MOD(INT($AR999/100),100),MOD($AR999,100)),""),INT($AR999)),IFERROR(DATE(--LEFT(LEFT(SUBSTITUTE(SUBSTITUTE(SUBSTITUTE(SUBSTITUTE(TRIM($AR999),"-",""),".",""),"/","")," ",""),8),4),--MID(LEFT(SUBSTITUTE(SUBSTITUTE(SUBSTITUTE(SUBSTITUTE(TRIM($AR999),"-",""),".",""),"/","")," ",""),8),5,2),--MID(LEFT(SUBSTITUTE(SUBSTITUTE(SUBSTITUTE(SUBSTITUTE(TRIM($AR999),"-",""),".",""),"/","")," ",""),8),7,2)),"")))</f>
        <v/>
      </c>
      <c r="AT999" s="23">
        <f>IF($AS999="","",IF($F$6="",0,IF(ISNUMBER(INDEX($A:$AP,ROW(),$F$6)),INDEX($A:$AP,ROW(),$F$6),IFERROR(--SUBSTITUTE(SUBSTITUTE(TRIM(INDEX($A:$AP,ROW(),$F$6)),",",""),"원",""),0))))</f>
        <v/>
      </c>
      <c r="AU999" s="23">
        <f>IF($AS999="","",IF($G$6="",0,IF(ISNUMBER(INDEX($A:$AP,ROW(),$G$6)),INDEX($A:$AP,ROW(),$G$6),IFERROR(--SUBSTITUTE(SUBSTITUTE(TRIM(INDEX($A:$AP,ROW(),$G$6)),",",""),"원",""),0))))</f>
        <v/>
      </c>
      <c r="AV999" s="23">
        <f>IF($AS999="","",IF($H$6="",$AT999+$AU999,IF($H$6="",0,IF(ISNUMBER(INDEX($A:$AP,ROW(),$H$6)),INDEX($A:$AP,ROW(),$H$6),IFERROR(--SUBSTITUTE(SUBSTITUTE(TRIM(INDEX($A:$AP,ROW(),$H$6)),",",""),"원",""),0)))))</f>
        <v/>
      </c>
      <c r="AW999" s="2">
        <f>IF(OR($AS999="",$C$6=""),"",TRIM(INDEX($A:$AP,ROW(),$C$6)&amp;""))</f>
        <v/>
      </c>
      <c r="AX999" s="2">
        <f>IF($AS999="","",IF($AZ999&lt;&gt;"",SUBSTITUTE(SUBSTITUTE($AZ999,"-","")," ",""),$AY999))</f>
        <v/>
      </c>
      <c r="AY999" s="2">
        <f>IF(OR($AS999="",$E$6=""),"",TRIM(INDEX($A:$AP,ROW(),$E$6)&amp;""))</f>
        <v/>
      </c>
      <c r="AZ999" s="2">
        <f>IF(OR($AS999="",$D$6=""),"",TRIM(INDEX($A:$AP,ROW(),$D$6)&amp;""))</f>
        <v/>
      </c>
      <c r="BA999" s="2">
        <f>IF($AS999="","",IF(AND($AS999&gt;=설정!$B$10,$AS999&lt;=설정!$B$11),"포함","기간 밖"))</f>
        <v/>
      </c>
      <c r="BB999" s="2">
        <f>IF($AS999="","",IF(OR($AT999&lt;0,AND($I$6&lt;&gt;"",ISNUMBER(FIND("수정",INDEX($A:$AP,ROW(),IF($I$6="",1,$I$6))&amp;"")))),"수정","일반"))</f>
        <v/>
      </c>
      <c r="BC999" s="2">
        <f>IF($AS999="","",MID(IF($BA999="기간 밖"," / 기간 밖(신고기간 아님)","")&amp;IF(AND($AW999&lt;&gt;"",COUNTIF($AW$8:$AW$1007,$AW999)&gt;1)," / 승인번호 중복(두 번 붙여넣기?)","")&amp;IF(ABS($AU999-ROUND($AT999*0.1,0))&gt;설정!$B$8,IF($AU999=0," / 세액 0원(영세율·면세 여부 확인)"," / 세액이 공급가액 10%와 다름"),"")&amp;IF($BB999="수정"," / 수정세금계산서(합계에서 자동 가감)",""),4,200))</f>
        <v/>
      </c>
      <c r="BD999" s="2">
        <f>IF($BA999&lt;&gt;"포함","",IF(COUNTIFS($AX$8:$AX999,$AX999,$BA$8:$BA999,"포함")=1,MAX($BD$7:BD998)+1,""))</f>
        <v/>
      </c>
      <c r="BE999" s="2">
        <f>IF($BC999="","",MAX($BE$7:BE998)+1)</f>
        <v/>
      </c>
    </row>
    <row r="1000">
      <c r="AR1000" s="2">
        <f>IF(OR($A$5="",$B$6="",ROW()&lt;$A$5),"",IF(INDEX($A:$AP,ROW(),$B$6)="","",INDEX($A:$AP,ROW(),$B$6)))</f>
        <v/>
      </c>
      <c r="AS1000" s="22">
        <f>IF($AR1000="","",IF(ISNUMBER($AR1000),IF($AR1000&gt;=10000000,IFERROR(DATE(INT($AR1000/10000),MOD(INT($AR1000/100),100),MOD($AR1000,100)),""),INT($AR1000)),IFERROR(DATE(--LEFT(LEFT(SUBSTITUTE(SUBSTITUTE(SUBSTITUTE(SUBSTITUTE(TRIM($AR1000),"-",""),".",""),"/","")," ",""),8),4),--MID(LEFT(SUBSTITUTE(SUBSTITUTE(SUBSTITUTE(SUBSTITUTE(TRIM($AR1000),"-",""),".",""),"/","")," ",""),8),5,2),--MID(LEFT(SUBSTITUTE(SUBSTITUTE(SUBSTITUTE(SUBSTITUTE(TRIM($AR1000),"-",""),".",""),"/","")," ",""),8),7,2)),"")))</f>
        <v/>
      </c>
      <c r="AT1000" s="23">
        <f>IF($AS1000="","",IF($F$6="",0,IF(ISNUMBER(INDEX($A:$AP,ROW(),$F$6)),INDEX($A:$AP,ROW(),$F$6),IFERROR(--SUBSTITUTE(SUBSTITUTE(TRIM(INDEX($A:$AP,ROW(),$F$6)),",",""),"원",""),0))))</f>
        <v/>
      </c>
      <c r="AU1000" s="23">
        <f>IF($AS1000="","",IF($G$6="",0,IF(ISNUMBER(INDEX($A:$AP,ROW(),$G$6)),INDEX($A:$AP,ROW(),$G$6),IFERROR(--SUBSTITUTE(SUBSTITUTE(TRIM(INDEX($A:$AP,ROW(),$G$6)),",",""),"원",""),0))))</f>
        <v/>
      </c>
      <c r="AV1000" s="23">
        <f>IF($AS1000="","",IF($H$6="",$AT1000+$AU1000,IF($H$6="",0,IF(ISNUMBER(INDEX($A:$AP,ROW(),$H$6)),INDEX($A:$AP,ROW(),$H$6),IFERROR(--SUBSTITUTE(SUBSTITUTE(TRIM(INDEX($A:$AP,ROW(),$H$6)),",",""),"원",""),0)))))</f>
        <v/>
      </c>
      <c r="AW1000" s="2">
        <f>IF(OR($AS1000="",$C$6=""),"",TRIM(INDEX($A:$AP,ROW(),$C$6)&amp;""))</f>
        <v/>
      </c>
      <c r="AX1000" s="2">
        <f>IF($AS1000="","",IF($AZ1000&lt;&gt;"",SUBSTITUTE(SUBSTITUTE($AZ1000,"-","")," ",""),$AY1000))</f>
        <v/>
      </c>
      <c r="AY1000" s="2">
        <f>IF(OR($AS1000="",$E$6=""),"",TRIM(INDEX($A:$AP,ROW(),$E$6)&amp;""))</f>
        <v/>
      </c>
      <c r="AZ1000" s="2">
        <f>IF(OR($AS1000="",$D$6=""),"",TRIM(INDEX($A:$AP,ROW(),$D$6)&amp;""))</f>
        <v/>
      </c>
      <c r="BA1000" s="2">
        <f>IF($AS1000="","",IF(AND($AS1000&gt;=설정!$B$10,$AS1000&lt;=설정!$B$11),"포함","기간 밖"))</f>
        <v/>
      </c>
      <c r="BB1000" s="2">
        <f>IF($AS1000="","",IF(OR($AT1000&lt;0,AND($I$6&lt;&gt;"",ISNUMBER(FIND("수정",INDEX($A:$AP,ROW(),IF($I$6="",1,$I$6))&amp;"")))),"수정","일반"))</f>
        <v/>
      </c>
      <c r="BC1000" s="2">
        <f>IF($AS1000="","",MID(IF($BA1000="기간 밖"," / 기간 밖(신고기간 아님)","")&amp;IF(AND($AW1000&lt;&gt;"",COUNTIF($AW$8:$AW$1007,$AW1000)&gt;1)," / 승인번호 중복(두 번 붙여넣기?)","")&amp;IF(ABS($AU1000-ROUND($AT1000*0.1,0))&gt;설정!$B$8,IF($AU1000=0," / 세액 0원(영세율·면세 여부 확인)"," / 세액이 공급가액 10%와 다름"),"")&amp;IF($BB1000="수정"," / 수정세금계산서(합계에서 자동 가감)",""),4,200))</f>
        <v/>
      </c>
      <c r="BD1000" s="2">
        <f>IF($BA1000&lt;&gt;"포함","",IF(COUNTIFS($AX$8:$AX1000,$AX1000,$BA$8:$BA1000,"포함")=1,MAX($BD$7:BD999)+1,""))</f>
        <v/>
      </c>
      <c r="BE1000" s="2">
        <f>IF($BC1000="","",MAX($BE$7:BE999)+1)</f>
        <v/>
      </c>
    </row>
    <row r="1001">
      <c r="AR1001" s="2">
        <f>IF(OR($A$5="",$B$6="",ROW()&lt;$A$5),"",IF(INDEX($A:$AP,ROW(),$B$6)="","",INDEX($A:$AP,ROW(),$B$6)))</f>
        <v/>
      </c>
      <c r="AS1001" s="22">
        <f>IF($AR1001="","",IF(ISNUMBER($AR1001),IF($AR1001&gt;=10000000,IFERROR(DATE(INT($AR1001/10000),MOD(INT($AR1001/100),100),MOD($AR1001,100)),""),INT($AR1001)),IFERROR(DATE(--LEFT(LEFT(SUBSTITUTE(SUBSTITUTE(SUBSTITUTE(SUBSTITUTE(TRIM($AR1001),"-",""),".",""),"/","")," ",""),8),4),--MID(LEFT(SUBSTITUTE(SUBSTITUTE(SUBSTITUTE(SUBSTITUTE(TRIM($AR1001),"-",""),".",""),"/","")," ",""),8),5,2),--MID(LEFT(SUBSTITUTE(SUBSTITUTE(SUBSTITUTE(SUBSTITUTE(TRIM($AR1001),"-",""),".",""),"/","")," ",""),8),7,2)),"")))</f>
        <v/>
      </c>
      <c r="AT1001" s="23">
        <f>IF($AS1001="","",IF($F$6="",0,IF(ISNUMBER(INDEX($A:$AP,ROW(),$F$6)),INDEX($A:$AP,ROW(),$F$6),IFERROR(--SUBSTITUTE(SUBSTITUTE(TRIM(INDEX($A:$AP,ROW(),$F$6)),",",""),"원",""),0))))</f>
        <v/>
      </c>
      <c r="AU1001" s="23">
        <f>IF($AS1001="","",IF($G$6="",0,IF(ISNUMBER(INDEX($A:$AP,ROW(),$G$6)),INDEX($A:$AP,ROW(),$G$6),IFERROR(--SUBSTITUTE(SUBSTITUTE(TRIM(INDEX($A:$AP,ROW(),$G$6)),",",""),"원",""),0))))</f>
        <v/>
      </c>
      <c r="AV1001" s="23">
        <f>IF($AS1001="","",IF($H$6="",$AT1001+$AU1001,IF($H$6="",0,IF(ISNUMBER(INDEX($A:$AP,ROW(),$H$6)),INDEX($A:$AP,ROW(),$H$6),IFERROR(--SUBSTITUTE(SUBSTITUTE(TRIM(INDEX($A:$AP,ROW(),$H$6)),",",""),"원",""),0)))))</f>
        <v/>
      </c>
      <c r="AW1001" s="2">
        <f>IF(OR($AS1001="",$C$6=""),"",TRIM(INDEX($A:$AP,ROW(),$C$6)&amp;""))</f>
        <v/>
      </c>
      <c r="AX1001" s="2">
        <f>IF($AS1001="","",IF($AZ1001&lt;&gt;"",SUBSTITUTE(SUBSTITUTE($AZ1001,"-","")," ",""),$AY1001))</f>
        <v/>
      </c>
      <c r="AY1001" s="2">
        <f>IF(OR($AS1001="",$E$6=""),"",TRIM(INDEX($A:$AP,ROW(),$E$6)&amp;""))</f>
        <v/>
      </c>
      <c r="AZ1001" s="2">
        <f>IF(OR($AS1001="",$D$6=""),"",TRIM(INDEX($A:$AP,ROW(),$D$6)&amp;""))</f>
        <v/>
      </c>
      <c r="BA1001" s="2">
        <f>IF($AS1001="","",IF(AND($AS1001&gt;=설정!$B$10,$AS1001&lt;=설정!$B$11),"포함","기간 밖"))</f>
        <v/>
      </c>
      <c r="BB1001" s="2">
        <f>IF($AS1001="","",IF(OR($AT1001&lt;0,AND($I$6&lt;&gt;"",ISNUMBER(FIND("수정",INDEX($A:$AP,ROW(),IF($I$6="",1,$I$6))&amp;"")))),"수정","일반"))</f>
        <v/>
      </c>
      <c r="BC1001" s="2">
        <f>IF($AS1001="","",MID(IF($BA1001="기간 밖"," / 기간 밖(신고기간 아님)","")&amp;IF(AND($AW1001&lt;&gt;"",COUNTIF($AW$8:$AW$1007,$AW1001)&gt;1)," / 승인번호 중복(두 번 붙여넣기?)","")&amp;IF(ABS($AU1001-ROUND($AT1001*0.1,0))&gt;설정!$B$8,IF($AU1001=0," / 세액 0원(영세율·면세 여부 확인)"," / 세액이 공급가액 10%와 다름"),"")&amp;IF($BB1001="수정"," / 수정세금계산서(합계에서 자동 가감)",""),4,200))</f>
        <v/>
      </c>
      <c r="BD1001" s="2">
        <f>IF($BA1001&lt;&gt;"포함","",IF(COUNTIFS($AX$8:$AX1001,$AX1001,$BA$8:$BA1001,"포함")=1,MAX($BD$7:BD1000)+1,""))</f>
        <v/>
      </c>
      <c r="BE1001" s="2">
        <f>IF($BC1001="","",MAX($BE$7:BE1000)+1)</f>
        <v/>
      </c>
    </row>
    <row r="1002">
      <c r="AR1002" s="2">
        <f>IF(OR($A$5="",$B$6="",ROW()&lt;$A$5),"",IF(INDEX($A:$AP,ROW(),$B$6)="","",INDEX($A:$AP,ROW(),$B$6)))</f>
        <v/>
      </c>
      <c r="AS1002" s="22">
        <f>IF($AR1002="","",IF(ISNUMBER($AR1002),IF($AR1002&gt;=10000000,IFERROR(DATE(INT($AR1002/10000),MOD(INT($AR1002/100),100),MOD($AR1002,100)),""),INT($AR1002)),IFERROR(DATE(--LEFT(LEFT(SUBSTITUTE(SUBSTITUTE(SUBSTITUTE(SUBSTITUTE(TRIM($AR1002),"-",""),".",""),"/","")," ",""),8),4),--MID(LEFT(SUBSTITUTE(SUBSTITUTE(SUBSTITUTE(SUBSTITUTE(TRIM($AR1002),"-",""),".",""),"/","")," ",""),8),5,2),--MID(LEFT(SUBSTITUTE(SUBSTITUTE(SUBSTITUTE(SUBSTITUTE(TRIM($AR1002),"-",""),".",""),"/","")," ",""),8),7,2)),"")))</f>
        <v/>
      </c>
      <c r="AT1002" s="23">
        <f>IF($AS1002="","",IF($F$6="",0,IF(ISNUMBER(INDEX($A:$AP,ROW(),$F$6)),INDEX($A:$AP,ROW(),$F$6),IFERROR(--SUBSTITUTE(SUBSTITUTE(TRIM(INDEX($A:$AP,ROW(),$F$6)),",",""),"원",""),0))))</f>
        <v/>
      </c>
      <c r="AU1002" s="23">
        <f>IF($AS1002="","",IF($G$6="",0,IF(ISNUMBER(INDEX($A:$AP,ROW(),$G$6)),INDEX($A:$AP,ROW(),$G$6),IFERROR(--SUBSTITUTE(SUBSTITUTE(TRIM(INDEX($A:$AP,ROW(),$G$6)),",",""),"원",""),0))))</f>
        <v/>
      </c>
      <c r="AV1002" s="23">
        <f>IF($AS1002="","",IF($H$6="",$AT1002+$AU1002,IF($H$6="",0,IF(ISNUMBER(INDEX($A:$AP,ROW(),$H$6)),INDEX($A:$AP,ROW(),$H$6),IFERROR(--SUBSTITUTE(SUBSTITUTE(TRIM(INDEX($A:$AP,ROW(),$H$6)),",",""),"원",""),0)))))</f>
        <v/>
      </c>
      <c r="AW1002" s="2">
        <f>IF(OR($AS1002="",$C$6=""),"",TRIM(INDEX($A:$AP,ROW(),$C$6)&amp;""))</f>
        <v/>
      </c>
      <c r="AX1002" s="2">
        <f>IF($AS1002="","",IF($AZ1002&lt;&gt;"",SUBSTITUTE(SUBSTITUTE($AZ1002,"-","")," ",""),$AY1002))</f>
        <v/>
      </c>
      <c r="AY1002" s="2">
        <f>IF(OR($AS1002="",$E$6=""),"",TRIM(INDEX($A:$AP,ROW(),$E$6)&amp;""))</f>
        <v/>
      </c>
      <c r="AZ1002" s="2">
        <f>IF(OR($AS1002="",$D$6=""),"",TRIM(INDEX($A:$AP,ROW(),$D$6)&amp;""))</f>
        <v/>
      </c>
      <c r="BA1002" s="2">
        <f>IF($AS1002="","",IF(AND($AS1002&gt;=설정!$B$10,$AS1002&lt;=설정!$B$11),"포함","기간 밖"))</f>
        <v/>
      </c>
      <c r="BB1002" s="2">
        <f>IF($AS1002="","",IF(OR($AT1002&lt;0,AND($I$6&lt;&gt;"",ISNUMBER(FIND("수정",INDEX($A:$AP,ROW(),IF($I$6="",1,$I$6))&amp;"")))),"수정","일반"))</f>
        <v/>
      </c>
      <c r="BC1002" s="2">
        <f>IF($AS1002="","",MID(IF($BA1002="기간 밖"," / 기간 밖(신고기간 아님)","")&amp;IF(AND($AW1002&lt;&gt;"",COUNTIF($AW$8:$AW$1007,$AW1002)&gt;1)," / 승인번호 중복(두 번 붙여넣기?)","")&amp;IF(ABS($AU1002-ROUND($AT1002*0.1,0))&gt;설정!$B$8,IF($AU1002=0," / 세액 0원(영세율·면세 여부 확인)"," / 세액이 공급가액 10%와 다름"),"")&amp;IF($BB1002="수정"," / 수정세금계산서(합계에서 자동 가감)",""),4,200))</f>
        <v/>
      </c>
      <c r="BD1002" s="2">
        <f>IF($BA1002&lt;&gt;"포함","",IF(COUNTIFS($AX$8:$AX1002,$AX1002,$BA$8:$BA1002,"포함")=1,MAX($BD$7:BD1001)+1,""))</f>
        <v/>
      </c>
      <c r="BE1002" s="2">
        <f>IF($BC1002="","",MAX($BE$7:BE1001)+1)</f>
        <v/>
      </c>
    </row>
    <row r="1003">
      <c r="AR1003" s="2">
        <f>IF(OR($A$5="",$B$6="",ROW()&lt;$A$5),"",IF(INDEX($A:$AP,ROW(),$B$6)="","",INDEX($A:$AP,ROW(),$B$6)))</f>
        <v/>
      </c>
      <c r="AS1003" s="22">
        <f>IF($AR1003="","",IF(ISNUMBER($AR1003),IF($AR1003&gt;=10000000,IFERROR(DATE(INT($AR1003/10000),MOD(INT($AR1003/100),100),MOD($AR1003,100)),""),INT($AR1003)),IFERROR(DATE(--LEFT(LEFT(SUBSTITUTE(SUBSTITUTE(SUBSTITUTE(SUBSTITUTE(TRIM($AR1003),"-",""),".",""),"/","")," ",""),8),4),--MID(LEFT(SUBSTITUTE(SUBSTITUTE(SUBSTITUTE(SUBSTITUTE(TRIM($AR1003),"-",""),".",""),"/","")," ",""),8),5,2),--MID(LEFT(SUBSTITUTE(SUBSTITUTE(SUBSTITUTE(SUBSTITUTE(TRIM($AR1003),"-",""),".",""),"/","")," ",""),8),7,2)),"")))</f>
        <v/>
      </c>
      <c r="AT1003" s="23">
        <f>IF($AS1003="","",IF($F$6="",0,IF(ISNUMBER(INDEX($A:$AP,ROW(),$F$6)),INDEX($A:$AP,ROW(),$F$6),IFERROR(--SUBSTITUTE(SUBSTITUTE(TRIM(INDEX($A:$AP,ROW(),$F$6)),",",""),"원",""),0))))</f>
        <v/>
      </c>
      <c r="AU1003" s="23">
        <f>IF($AS1003="","",IF($G$6="",0,IF(ISNUMBER(INDEX($A:$AP,ROW(),$G$6)),INDEX($A:$AP,ROW(),$G$6),IFERROR(--SUBSTITUTE(SUBSTITUTE(TRIM(INDEX($A:$AP,ROW(),$G$6)),",",""),"원",""),0))))</f>
        <v/>
      </c>
      <c r="AV1003" s="23">
        <f>IF($AS1003="","",IF($H$6="",$AT1003+$AU1003,IF($H$6="",0,IF(ISNUMBER(INDEX($A:$AP,ROW(),$H$6)),INDEX($A:$AP,ROW(),$H$6),IFERROR(--SUBSTITUTE(SUBSTITUTE(TRIM(INDEX($A:$AP,ROW(),$H$6)),",",""),"원",""),0)))))</f>
        <v/>
      </c>
      <c r="AW1003" s="2">
        <f>IF(OR($AS1003="",$C$6=""),"",TRIM(INDEX($A:$AP,ROW(),$C$6)&amp;""))</f>
        <v/>
      </c>
      <c r="AX1003" s="2">
        <f>IF($AS1003="","",IF($AZ1003&lt;&gt;"",SUBSTITUTE(SUBSTITUTE($AZ1003,"-","")," ",""),$AY1003))</f>
        <v/>
      </c>
      <c r="AY1003" s="2">
        <f>IF(OR($AS1003="",$E$6=""),"",TRIM(INDEX($A:$AP,ROW(),$E$6)&amp;""))</f>
        <v/>
      </c>
      <c r="AZ1003" s="2">
        <f>IF(OR($AS1003="",$D$6=""),"",TRIM(INDEX($A:$AP,ROW(),$D$6)&amp;""))</f>
        <v/>
      </c>
      <c r="BA1003" s="2">
        <f>IF($AS1003="","",IF(AND($AS1003&gt;=설정!$B$10,$AS1003&lt;=설정!$B$11),"포함","기간 밖"))</f>
        <v/>
      </c>
      <c r="BB1003" s="2">
        <f>IF($AS1003="","",IF(OR($AT1003&lt;0,AND($I$6&lt;&gt;"",ISNUMBER(FIND("수정",INDEX($A:$AP,ROW(),IF($I$6="",1,$I$6))&amp;"")))),"수정","일반"))</f>
        <v/>
      </c>
      <c r="BC1003" s="2">
        <f>IF($AS1003="","",MID(IF($BA1003="기간 밖"," / 기간 밖(신고기간 아님)","")&amp;IF(AND($AW1003&lt;&gt;"",COUNTIF($AW$8:$AW$1007,$AW1003)&gt;1)," / 승인번호 중복(두 번 붙여넣기?)","")&amp;IF(ABS($AU1003-ROUND($AT1003*0.1,0))&gt;설정!$B$8,IF($AU1003=0," / 세액 0원(영세율·면세 여부 확인)"," / 세액이 공급가액 10%와 다름"),"")&amp;IF($BB1003="수정"," / 수정세금계산서(합계에서 자동 가감)",""),4,200))</f>
        <v/>
      </c>
      <c r="BD1003" s="2">
        <f>IF($BA1003&lt;&gt;"포함","",IF(COUNTIFS($AX$8:$AX1003,$AX1003,$BA$8:$BA1003,"포함")=1,MAX($BD$7:BD1002)+1,""))</f>
        <v/>
      </c>
      <c r="BE1003" s="2">
        <f>IF($BC1003="","",MAX($BE$7:BE1002)+1)</f>
        <v/>
      </c>
    </row>
    <row r="1004">
      <c r="AR1004" s="2">
        <f>IF(OR($A$5="",$B$6="",ROW()&lt;$A$5),"",IF(INDEX($A:$AP,ROW(),$B$6)="","",INDEX($A:$AP,ROW(),$B$6)))</f>
        <v/>
      </c>
      <c r="AS1004" s="22">
        <f>IF($AR1004="","",IF(ISNUMBER($AR1004),IF($AR1004&gt;=10000000,IFERROR(DATE(INT($AR1004/10000),MOD(INT($AR1004/100),100),MOD($AR1004,100)),""),INT($AR1004)),IFERROR(DATE(--LEFT(LEFT(SUBSTITUTE(SUBSTITUTE(SUBSTITUTE(SUBSTITUTE(TRIM($AR1004),"-",""),".",""),"/","")," ",""),8),4),--MID(LEFT(SUBSTITUTE(SUBSTITUTE(SUBSTITUTE(SUBSTITUTE(TRIM($AR1004),"-",""),".",""),"/","")," ",""),8),5,2),--MID(LEFT(SUBSTITUTE(SUBSTITUTE(SUBSTITUTE(SUBSTITUTE(TRIM($AR1004),"-",""),".",""),"/","")," ",""),8),7,2)),"")))</f>
        <v/>
      </c>
      <c r="AT1004" s="23">
        <f>IF($AS1004="","",IF($F$6="",0,IF(ISNUMBER(INDEX($A:$AP,ROW(),$F$6)),INDEX($A:$AP,ROW(),$F$6),IFERROR(--SUBSTITUTE(SUBSTITUTE(TRIM(INDEX($A:$AP,ROW(),$F$6)),",",""),"원",""),0))))</f>
        <v/>
      </c>
      <c r="AU1004" s="23">
        <f>IF($AS1004="","",IF($G$6="",0,IF(ISNUMBER(INDEX($A:$AP,ROW(),$G$6)),INDEX($A:$AP,ROW(),$G$6),IFERROR(--SUBSTITUTE(SUBSTITUTE(TRIM(INDEX($A:$AP,ROW(),$G$6)),",",""),"원",""),0))))</f>
        <v/>
      </c>
      <c r="AV1004" s="23">
        <f>IF($AS1004="","",IF($H$6="",$AT1004+$AU1004,IF($H$6="",0,IF(ISNUMBER(INDEX($A:$AP,ROW(),$H$6)),INDEX($A:$AP,ROW(),$H$6),IFERROR(--SUBSTITUTE(SUBSTITUTE(TRIM(INDEX($A:$AP,ROW(),$H$6)),",",""),"원",""),0)))))</f>
        <v/>
      </c>
      <c r="AW1004" s="2">
        <f>IF(OR($AS1004="",$C$6=""),"",TRIM(INDEX($A:$AP,ROW(),$C$6)&amp;""))</f>
        <v/>
      </c>
      <c r="AX1004" s="2">
        <f>IF($AS1004="","",IF($AZ1004&lt;&gt;"",SUBSTITUTE(SUBSTITUTE($AZ1004,"-","")," ",""),$AY1004))</f>
        <v/>
      </c>
      <c r="AY1004" s="2">
        <f>IF(OR($AS1004="",$E$6=""),"",TRIM(INDEX($A:$AP,ROW(),$E$6)&amp;""))</f>
        <v/>
      </c>
      <c r="AZ1004" s="2">
        <f>IF(OR($AS1004="",$D$6=""),"",TRIM(INDEX($A:$AP,ROW(),$D$6)&amp;""))</f>
        <v/>
      </c>
      <c r="BA1004" s="2">
        <f>IF($AS1004="","",IF(AND($AS1004&gt;=설정!$B$10,$AS1004&lt;=설정!$B$11),"포함","기간 밖"))</f>
        <v/>
      </c>
      <c r="BB1004" s="2">
        <f>IF($AS1004="","",IF(OR($AT1004&lt;0,AND($I$6&lt;&gt;"",ISNUMBER(FIND("수정",INDEX($A:$AP,ROW(),IF($I$6="",1,$I$6))&amp;"")))),"수정","일반"))</f>
        <v/>
      </c>
      <c r="BC1004" s="2">
        <f>IF($AS1004="","",MID(IF($BA1004="기간 밖"," / 기간 밖(신고기간 아님)","")&amp;IF(AND($AW1004&lt;&gt;"",COUNTIF($AW$8:$AW$1007,$AW1004)&gt;1)," / 승인번호 중복(두 번 붙여넣기?)","")&amp;IF(ABS($AU1004-ROUND($AT1004*0.1,0))&gt;설정!$B$8,IF($AU1004=0," / 세액 0원(영세율·면세 여부 확인)"," / 세액이 공급가액 10%와 다름"),"")&amp;IF($BB1004="수정"," / 수정세금계산서(합계에서 자동 가감)",""),4,200))</f>
        <v/>
      </c>
      <c r="BD1004" s="2">
        <f>IF($BA1004&lt;&gt;"포함","",IF(COUNTIFS($AX$8:$AX1004,$AX1004,$BA$8:$BA1004,"포함")=1,MAX($BD$7:BD1003)+1,""))</f>
        <v/>
      </c>
      <c r="BE1004" s="2">
        <f>IF($BC1004="","",MAX($BE$7:BE1003)+1)</f>
        <v/>
      </c>
    </row>
    <row r="1005">
      <c r="AR1005" s="2">
        <f>IF(OR($A$5="",$B$6="",ROW()&lt;$A$5),"",IF(INDEX($A:$AP,ROW(),$B$6)="","",INDEX($A:$AP,ROW(),$B$6)))</f>
        <v/>
      </c>
      <c r="AS1005" s="22">
        <f>IF($AR1005="","",IF(ISNUMBER($AR1005),IF($AR1005&gt;=10000000,IFERROR(DATE(INT($AR1005/10000),MOD(INT($AR1005/100),100),MOD($AR1005,100)),""),INT($AR1005)),IFERROR(DATE(--LEFT(LEFT(SUBSTITUTE(SUBSTITUTE(SUBSTITUTE(SUBSTITUTE(TRIM($AR1005),"-",""),".",""),"/","")," ",""),8),4),--MID(LEFT(SUBSTITUTE(SUBSTITUTE(SUBSTITUTE(SUBSTITUTE(TRIM($AR1005),"-",""),".",""),"/","")," ",""),8),5,2),--MID(LEFT(SUBSTITUTE(SUBSTITUTE(SUBSTITUTE(SUBSTITUTE(TRIM($AR1005),"-",""),".",""),"/","")," ",""),8),7,2)),"")))</f>
        <v/>
      </c>
      <c r="AT1005" s="23">
        <f>IF($AS1005="","",IF($F$6="",0,IF(ISNUMBER(INDEX($A:$AP,ROW(),$F$6)),INDEX($A:$AP,ROW(),$F$6),IFERROR(--SUBSTITUTE(SUBSTITUTE(TRIM(INDEX($A:$AP,ROW(),$F$6)),",",""),"원",""),0))))</f>
        <v/>
      </c>
      <c r="AU1005" s="23">
        <f>IF($AS1005="","",IF($G$6="",0,IF(ISNUMBER(INDEX($A:$AP,ROW(),$G$6)),INDEX($A:$AP,ROW(),$G$6),IFERROR(--SUBSTITUTE(SUBSTITUTE(TRIM(INDEX($A:$AP,ROW(),$G$6)),",",""),"원",""),0))))</f>
        <v/>
      </c>
      <c r="AV1005" s="23">
        <f>IF($AS1005="","",IF($H$6="",$AT1005+$AU1005,IF($H$6="",0,IF(ISNUMBER(INDEX($A:$AP,ROW(),$H$6)),INDEX($A:$AP,ROW(),$H$6),IFERROR(--SUBSTITUTE(SUBSTITUTE(TRIM(INDEX($A:$AP,ROW(),$H$6)),",",""),"원",""),0)))))</f>
        <v/>
      </c>
      <c r="AW1005" s="2">
        <f>IF(OR($AS1005="",$C$6=""),"",TRIM(INDEX($A:$AP,ROW(),$C$6)&amp;""))</f>
        <v/>
      </c>
      <c r="AX1005" s="2">
        <f>IF($AS1005="","",IF($AZ1005&lt;&gt;"",SUBSTITUTE(SUBSTITUTE($AZ1005,"-","")," ",""),$AY1005))</f>
        <v/>
      </c>
      <c r="AY1005" s="2">
        <f>IF(OR($AS1005="",$E$6=""),"",TRIM(INDEX($A:$AP,ROW(),$E$6)&amp;""))</f>
        <v/>
      </c>
      <c r="AZ1005" s="2">
        <f>IF(OR($AS1005="",$D$6=""),"",TRIM(INDEX($A:$AP,ROW(),$D$6)&amp;""))</f>
        <v/>
      </c>
      <c r="BA1005" s="2">
        <f>IF($AS1005="","",IF(AND($AS1005&gt;=설정!$B$10,$AS1005&lt;=설정!$B$11),"포함","기간 밖"))</f>
        <v/>
      </c>
      <c r="BB1005" s="2">
        <f>IF($AS1005="","",IF(OR($AT1005&lt;0,AND($I$6&lt;&gt;"",ISNUMBER(FIND("수정",INDEX($A:$AP,ROW(),IF($I$6="",1,$I$6))&amp;"")))),"수정","일반"))</f>
        <v/>
      </c>
      <c r="BC1005" s="2">
        <f>IF($AS1005="","",MID(IF($BA1005="기간 밖"," / 기간 밖(신고기간 아님)","")&amp;IF(AND($AW1005&lt;&gt;"",COUNTIF($AW$8:$AW$1007,$AW1005)&gt;1)," / 승인번호 중복(두 번 붙여넣기?)","")&amp;IF(ABS($AU1005-ROUND($AT1005*0.1,0))&gt;설정!$B$8,IF($AU1005=0," / 세액 0원(영세율·면세 여부 확인)"," / 세액이 공급가액 10%와 다름"),"")&amp;IF($BB1005="수정"," / 수정세금계산서(합계에서 자동 가감)",""),4,200))</f>
        <v/>
      </c>
      <c r="BD1005" s="2">
        <f>IF($BA1005&lt;&gt;"포함","",IF(COUNTIFS($AX$8:$AX1005,$AX1005,$BA$8:$BA1005,"포함")=1,MAX($BD$7:BD1004)+1,""))</f>
        <v/>
      </c>
      <c r="BE1005" s="2">
        <f>IF($BC1005="","",MAX($BE$7:BE1004)+1)</f>
        <v/>
      </c>
    </row>
    <row r="1006">
      <c r="AR1006" s="2">
        <f>IF(OR($A$5="",$B$6="",ROW()&lt;$A$5),"",IF(INDEX($A:$AP,ROW(),$B$6)="","",INDEX($A:$AP,ROW(),$B$6)))</f>
        <v/>
      </c>
      <c r="AS1006" s="22">
        <f>IF($AR1006="","",IF(ISNUMBER($AR1006),IF($AR1006&gt;=10000000,IFERROR(DATE(INT($AR1006/10000),MOD(INT($AR1006/100),100),MOD($AR1006,100)),""),INT($AR1006)),IFERROR(DATE(--LEFT(LEFT(SUBSTITUTE(SUBSTITUTE(SUBSTITUTE(SUBSTITUTE(TRIM($AR1006),"-",""),".",""),"/","")," ",""),8),4),--MID(LEFT(SUBSTITUTE(SUBSTITUTE(SUBSTITUTE(SUBSTITUTE(TRIM($AR1006),"-",""),".",""),"/","")," ",""),8),5,2),--MID(LEFT(SUBSTITUTE(SUBSTITUTE(SUBSTITUTE(SUBSTITUTE(TRIM($AR1006),"-",""),".",""),"/","")," ",""),8),7,2)),"")))</f>
        <v/>
      </c>
      <c r="AT1006" s="23">
        <f>IF($AS1006="","",IF($F$6="",0,IF(ISNUMBER(INDEX($A:$AP,ROW(),$F$6)),INDEX($A:$AP,ROW(),$F$6),IFERROR(--SUBSTITUTE(SUBSTITUTE(TRIM(INDEX($A:$AP,ROW(),$F$6)),",",""),"원",""),0))))</f>
        <v/>
      </c>
      <c r="AU1006" s="23">
        <f>IF($AS1006="","",IF($G$6="",0,IF(ISNUMBER(INDEX($A:$AP,ROW(),$G$6)),INDEX($A:$AP,ROW(),$G$6),IFERROR(--SUBSTITUTE(SUBSTITUTE(TRIM(INDEX($A:$AP,ROW(),$G$6)),",",""),"원",""),0))))</f>
        <v/>
      </c>
      <c r="AV1006" s="23">
        <f>IF($AS1006="","",IF($H$6="",$AT1006+$AU1006,IF($H$6="",0,IF(ISNUMBER(INDEX($A:$AP,ROW(),$H$6)),INDEX($A:$AP,ROW(),$H$6),IFERROR(--SUBSTITUTE(SUBSTITUTE(TRIM(INDEX($A:$AP,ROW(),$H$6)),",",""),"원",""),0)))))</f>
        <v/>
      </c>
      <c r="AW1006" s="2">
        <f>IF(OR($AS1006="",$C$6=""),"",TRIM(INDEX($A:$AP,ROW(),$C$6)&amp;""))</f>
        <v/>
      </c>
      <c r="AX1006" s="2">
        <f>IF($AS1006="","",IF($AZ1006&lt;&gt;"",SUBSTITUTE(SUBSTITUTE($AZ1006,"-","")," ",""),$AY1006))</f>
        <v/>
      </c>
      <c r="AY1006" s="2">
        <f>IF(OR($AS1006="",$E$6=""),"",TRIM(INDEX($A:$AP,ROW(),$E$6)&amp;""))</f>
        <v/>
      </c>
      <c r="AZ1006" s="2">
        <f>IF(OR($AS1006="",$D$6=""),"",TRIM(INDEX($A:$AP,ROW(),$D$6)&amp;""))</f>
        <v/>
      </c>
      <c r="BA1006" s="2">
        <f>IF($AS1006="","",IF(AND($AS1006&gt;=설정!$B$10,$AS1006&lt;=설정!$B$11),"포함","기간 밖"))</f>
        <v/>
      </c>
      <c r="BB1006" s="2">
        <f>IF($AS1006="","",IF(OR($AT1006&lt;0,AND($I$6&lt;&gt;"",ISNUMBER(FIND("수정",INDEX($A:$AP,ROW(),IF($I$6="",1,$I$6))&amp;"")))),"수정","일반"))</f>
        <v/>
      </c>
      <c r="BC1006" s="2">
        <f>IF($AS1006="","",MID(IF($BA1006="기간 밖"," / 기간 밖(신고기간 아님)","")&amp;IF(AND($AW1006&lt;&gt;"",COUNTIF($AW$8:$AW$1007,$AW1006)&gt;1)," / 승인번호 중복(두 번 붙여넣기?)","")&amp;IF(ABS($AU1006-ROUND($AT1006*0.1,0))&gt;설정!$B$8,IF($AU1006=0," / 세액 0원(영세율·면세 여부 확인)"," / 세액이 공급가액 10%와 다름"),"")&amp;IF($BB1006="수정"," / 수정세금계산서(합계에서 자동 가감)",""),4,200))</f>
        <v/>
      </c>
      <c r="BD1006" s="2">
        <f>IF($BA1006&lt;&gt;"포함","",IF(COUNTIFS($AX$8:$AX1006,$AX1006,$BA$8:$BA1006,"포함")=1,MAX($BD$7:BD1005)+1,""))</f>
        <v/>
      </c>
      <c r="BE1006" s="2">
        <f>IF($BC1006="","",MAX($BE$7:BE1005)+1)</f>
        <v/>
      </c>
    </row>
    <row r="1007">
      <c r="AR1007" s="2">
        <f>IF(OR($A$5="",$B$6="",ROW()&lt;$A$5),"",IF(INDEX($A:$AP,ROW(),$B$6)="","",INDEX($A:$AP,ROW(),$B$6)))</f>
        <v/>
      </c>
      <c r="AS1007" s="22">
        <f>IF($AR1007="","",IF(ISNUMBER($AR1007),IF($AR1007&gt;=10000000,IFERROR(DATE(INT($AR1007/10000),MOD(INT($AR1007/100),100),MOD($AR1007,100)),""),INT($AR1007)),IFERROR(DATE(--LEFT(LEFT(SUBSTITUTE(SUBSTITUTE(SUBSTITUTE(SUBSTITUTE(TRIM($AR1007),"-",""),".",""),"/","")," ",""),8),4),--MID(LEFT(SUBSTITUTE(SUBSTITUTE(SUBSTITUTE(SUBSTITUTE(TRIM($AR1007),"-",""),".",""),"/","")," ",""),8),5,2),--MID(LEFT(SUBSTITUTE(SUBSTITUTE(SUBSTITUTE(SUBSTITUTE(TRIM($AR1007),"-",""),".",""),"/","")," ",""),8),7,2)),"")))</f>
        <v/>
      </c>
      <c r="AT1007" s="23">
        <f>IF($AS1007="","",IF($F$6="",0,IF(ISNUMBER(INDEX($A:$AP,ROW(),$F$6)),INDEX($A:$AP,ROW(),$F$6),IFERROR(--SUBSTITUTE(SUBSTITUTE(TRIM(INDEX($A:$AP,ROW(),$F$6)),",",""),"원",""),0))))</f>
        <v/>
      </c>
      <c r="AU1007" s="23">
        <f>IF($AS1007="","",IF($G$6="",0,IF(ISNUMBER(INDEX($A:$AP,ROW(),$G$6)),INDEX($A:$AP,ROW(),$G$6),IFERROR(--SUBSTITUTE(SUBSTITUTE(TRIM(INDEX($A:$AP,ROW(),$G$6)),",",""),"원",""),0))))</f>
        <v/>
      </c>
      <c r="AV1007" s="23">
        <f>IF($AS1007="","",IF($H$6="",$AT1007+$AU1007,IF($H$6="",0,IF(ISNUMBER(INDEX($A:$AP,ROW(),$H$6)),INDEX($A:$AP,ROW(),$H$6),IFERROR(--SUBSTITUTE(SUBSTITUTE(TRIM(INDEX($A:$AP,ROW(),$H$6)),",",""),"원",""),0)))))</f>
        <v/>
      </c>
      <c r="AW1007" s="2">
        <f>IF(OR($AS1007="",$C$6=""),"",TRIM(INDEX($A:$AP,ROW(),$C$6)&amp;""))</f>
        <v/>
      </c>
      <c r="AX1007" s="2">
        <f>IF($AS1007="","",IF($AZ1007&lt;&gt;"",SUBSTITUTE(SUBSTITUTE($AZ1007,"-","")," ",""),$AY1007))</f>
        <v/>
      </c>
      <c r="AY1007" s="2">
        <f>IF(OR($AS1007="",$E$6=""),"",TRIM(INDEX($A:$AP,ROW(),$E$6)&amp;""))</f>
        <v/>
      </c>
      <c r="AZ1007" s="2">
        <f>IF(OR($AS1007="",$D$6=""),"",TRIM(INDEX($A:$AP,ROW(),$D$6)&amp;""))</f>
        <v/>
      </c>
      <c r="BA1007" s="2">
        <f>IF($AS1007="","",IF(AND($AS1007&gt;=설정!$B$10,$AS1007&lt;=설정!$B$11),"포함","기간 밖"))</f>
        <v/>
      </c>
      <c r="BB1007" s="2">
        <f>IF($AS1007="","",IF(OR($AT1007&lt;0,AND($I$6&lt;&gt;"",ISNUMBER(FIND("수정",INDEX($A:$AP,ROW(),IF($I$6="",1,$I$6))&amp;"")))),"수정","일반"))</f>
        <v/>
      </c>
      <c r="BC1007" s="2">
        <f>IF($AS1007="","",MID(IF($BA1007="기간 밖"," / 기간 밖(신고기간 아님)","")&amp;IF(AND($AW1007&lt;&gt;"",COUNTIF($AW$8:$AW$1007,$AW1007)&gt;1)," / 승인번호 중복(두 번 붙여넣기?)","")&amp;IF(ABS($AU1007-ROUND($AT1007*0.1,0))&gt;설정!$B$8,IF($AU1007=0," / 세액 0원(영세율·면세 여부 확인)"," / 세액이 공급가액 10%와 다름"),"")&amp;IF($BB1007="수정"," / 수정세금계산서(합계에서 자동 가감)",""),4,200))</f>
        <v/>
      </c>
      <c r="BD1007" s="2">
        <f>IF($BA1007&lt;&gt;"포함","",IF(COUNTIFS($AX$8:$AX1007,$AX1007,$BA$8:$BA1007,"포함")=1,MAX($BD$7:BD1006)+1,""))</f>
        <v/>
      </c>
      <c r="BE1007" s="2">
        <f>IF($BC1007="","",MAX($BE$7:BE1006)+1)</f>
        <v/>
      </c>
    </row>
  </sheetData>
  <conditionalFormatting sqref="K5">
    <cfRule type="expression" priority="1" dxfId="0">
      <formula>ISNUMBER(FIND("⚠",$K$5))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U20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7" customWidth="1" min="4" max="4"/>
    <col width="15" customWidth="1" min="5" max="5"/>
    <col width="13" customWidth="1" min="6" max="6"/>
    <col width="15" customWidth="1" min="7" max="7"/>
    <col width="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14" t="inlineStr">
        <is>
          <t>② 매출처별 — 매출 거래처별·월별 합계 (자동)</t>
        </is>
      </c>
    </row>
    <row r="2">
      <c r="A2" s="15" t="inlineStr">
        <is>
          <t>✍ 직접 입력: 없음 — 공급가액 큰 순서로 자동 정렬됩니다.</t>
        </is>
      </c>
    </row>
    <row r="3">
      <c r="A3" s="2" t="inlineStr">
        <is>
          <t>⚙ 자동 계산: [매출원본]에서 신고기간에 포함된 세금계산서만 사업자번호 기준으로 묶습니다. 수정(마이너스) 세금계산서는 자동 차감.</t>
        </is>
      </c>
    </row>
    <row r="4">
      <c r="A4" s="25">
        <f>설정!$B$5&amp;"  ·  "&amp;설정!$B$6&amp;"년 "&amp;설정!$B$7&amp;"  ("&amp;TEXT(설정!$B$10,"YYYY-MM-DD")&amp;" ~ "&amp;TEXT(설정!$B$11,"YYYY-MM-DD")&amp;")"</f>
        <v/>
      </c>
    </row>
    <row r="6">
      <c r="A6" s="26" t="inlineStr">
        <is>
          <t>순위</t>
        </is>
      </c>
      <c r="B6" s="26" t="inlineStr">
        <is>
          <t>사업자번호</t>
        </is>
      </c>
      <c r="C6" s="26" t="inlineStr">
        <is>
          <t>거래처 상호</t>
        </is>
      </c>
      <c r="D6" s="26" t="inlineStr">
        <is>
          <t>매수</t>
        </is>
      </c>
      <c r="E6" s="26" t="inlineStr">
        <is>
          <t>공급가액</t>
        </is>
      </c>
      <c r="F6" s="26" t="inlineStr">
        <is>
          <t>세액</t>
        </is>
      </c>
      <c r="G6" s="26" t="inlineStr">
        <is>
          <t>합계</t>
        </is>
      </c>
      <c r="H6" s="26" t="inlineStr">
        <is>
          <t>비중</t>
        </is>
      </c>
      <c r="I6" s="26">
        <f>IF(0&lt;설정!$B$12,TEXT(EDATE(설정!$B$10,0),"M월")&amp;" 공급가액","")</f>
        <v/>
      </c>
      <c r="J6" s="26">
        <f>IF(1&lt;설정!$B$12,TEXT(EDATE(설정!$B$10,1),"M월")&amp;" 공급가액","")</f>
        <v/>
      </c>
      <c r="K6" s="26">
        <f>IF(2&lt;설정!$B$12,TEXT(EDATE(설정!$B$10,2),"M월")&amp;" 공급가액","")</f>
        <v/>
      </c>
      <c r="L6" s="26">
        <f>IF(3&lt;설정!$B$12,TEXT(EDATE(설정!$B$10,3),"M월")&amp;" 공급가액","")</f>
        <v/>
      </c>
      <c r="M6" s="26">
        <f>IF(4&lt;설정!$B$12,TEXT(EDATE(설정!$B$10,4),"M월")&amp;" 공급가액","")</f>
        <v/>
      </c>
      <c r="N6" s="26">
        <f>IF(5&lt;설정!$B$12,TEXT(EDATE(설정!$B$10,5),"M월")&amp;" 공급가액","")</f>
        <v/>
      </c>
      <c r="Q6" s="27" t="inlineStr">
        <is>
          <t>순번(보조)</t>
        </is>
      </c>
      <c r="R6" s="27" t="inlineStr">
        <is>
          <t>거래처키(보조)</t>
        </is>
      </c>
      <c r="S6" s="27" t="inlineStr">
        <is>
          <t>공급가액(보조)</t>
        </is>
      </c>
      <c r="T6" s="27" t="inlineStr">
        <is>
          <t>정렬값(보조)</t>
        </is>
      </c>
    </row>
    <row r="7">
      <c r="A7" s="28" t="inlineStr">
        <is>
          <t>합계</t>
        </is>
      </c>
      <c r="B7" s="29" t="inlineStr"/>
      <c r="C7" s="28">
        <f>COUNTIF($R$8:$R$207,"?*")&amp;"곳"</f>
        <v/>
      </c>
      <c r="D7" s="30">
        <f>SUM(D8:D207)</f>
        <v/>
      </c>
      <c r="E7" s="30">
        <f>SUM(E8:E207)</f>
        <v/>
      </c>
      <c r="F7" s="30">
        <f>SUM(F8:F207)</f>
        <v/>
      </c>
      <c r="G7" s="30">
        <f>SUM(G8:G207)</f>
        <v/>
      </c>
      <c r="H7" s="31">
        <f>IF(E7=0,"",1)</f>
        <v/>
      </c>
      <c r="I7" s="30">
        <f>SUM(I8:I207)</f>
        <v/>
      </c>
      <c r="J7" s="30">
        <f>SUM(J8:J207)</f>
        <v/>
      </c>
      <c r="K7" s="30">
        <f>SUM(K8:K207)</f>
        <v/>
      </c>
      <c r="L7" s="30">
        <f>SUM(L8:L207)</f>
        <v/>
      </c>
      <c r="M7" s="30">
        <f>SUM(M8:M207)</f>
        <v/>
      </c>
      <c r="N7" s="30">
        <f>SUM(N8:N207)</f>
        <v/>
      </c>
    </row>
    <row r="8">
      <c r="A8" s="32">
        <f>IF($U8="","",1)</f>
        <v/>
      </c>
      <c r="B8" s="10">
        <f>IF($U8="","",IFERROR(INDEX(매출원본!$AZ$8:$AZ$1007,MATCH($U8,매출원본!$BD$8:$BD$1007,0)),""))</f>
        <v/>
      </c>
      <c r="C8" s="10">
        <f>IF($U8="","",IFERROR(INDEX(매출원본!$AY$8:$AY$1007,MATCH($U8,매출원본!$BD$8:$BD$1007,0)),""))</f>
        <v/>
      </c>
      <c r="D8" s="33">
        <f>IF($U8="","",COUNTIFS(매출원본!$AX$8:$AX$1007,INDEX($R$8:$R$207,$U8),매출원본!$BA$8:$BA$1007,"포함"))</f>
        <v/>
      </c>
      <c r="E8" s="33">
        <f>IF($U8="","",SUMIFS(매출원본!$AT$8:$AT$1007,매출원본!$AX$8:$AX$1007,INDEX($R$8:$R$207,$U8),매출원본!$BA$8:$BA$1007,"포함"))</f>
        <v/>
      </c>
      <c r="F8" s="33">
        <f>IF($U8="","",SUMIFS(매출원본!$AU$8:$AU$1007,매출원본!$AX$8:$AX$1007,INDEX($R$8:$R$207,$U8),매출원본!$BA$8:$BA$1007,"포함"))</f>
        <v/>
      </c>
      <c r="G8" s="33">
        <f>IF($U8="","",SUMIFS(매출원본!$AV$8:$AV$1007,매출원본!$AX$8:$AX$1007,INDEX($R$8:$R$207,$U8),매출원본!$BA$8:$BA$1007,"포함"))</f>
        <v/>
      </c>
      <c r="H8" s="34">
        <f>IF(OR($U8="",$E$7=0),"",E8/$E$7)</f>
        <v/>
      </c>
      <c r="I8" s="33">
        <f>IF(OR($U8="",0&gt;=설정!$B$12),"",SUMIFS(매출원본!$AT$8:$AT$1007,매출원본!$AX$8:$AX$1007,INDEX($R$8:$R$207,$U8),매출원본!$BA$8:$BA$1007,"포함",매출원본!$AS$8:$AS$1007,"&gt;="&amp;EDATE(설정!$B$10,0),매출원본!$AS$8:$AS$1007,"&lt;="&amp;EOMONTH(설정!$B$10,0)))</f>
        <v/>
      </c>
      <c r="J8" s="33">
        <f>IF(OR($U8="",1&gt;=설정!$B$12),"",SUMIFS(매출원본!$AT$8:$AT$1007,매출원본!$AX$8:$AX$1007,INDEX($R$8:$R$207,$U8),매출원본!$BA$8:$BA$1007,"포함",매출원본!$AS$8:$AS$1007,"&gt;="&amp;EDATE(설정!$B$10,1),매출원본!$AS$8:$AS$1007,"&lt;="&amp;EOMONTH(설정!$B$10,1)))</f>
        <v/>
      </c>
      <c r="K8" s="33">
        <f>IF(OR($U8="",2&gt;=설정!$B$12),"",SUMIFS(매출원본!$AT$8:$AT$1007,매출원본!$AX$8:$AX$1007,INDEX($R$8:$R$207,$U8),매출원본!$BA$8:$BA$1007,"포함",매출원본!$AS$8:$AS$1007,"&gt;="&amp;EDATE(설정!$B$10,2),매출원본!$AS$8:$AS$1007,"&lt;="&amp;EOMONTH(설정!$B$10,2)))</f>
        <v/>
      </c>
      <c r="L8" s="33">
        <f>IF(OR($U8="",3&gt;=설정!$B$12),"",SUMIFS(매출원본!$AT$8:$AT$1007,매출원본!$AX$8:$AX$1007,INDEX($R$8:$R$207,$U8),매출원본!$BA$8:$BA$1007,"포함",매출원본!$AS$8:$AS$1007,"&gt;="&amp;EDATE(설정!$B$10,3),매출원본!$AS$8:$AS$1007,"&lt;="&amp;EOMONTH(설정!$B$10,3)))</f>
        <v/>
      </c>
      <c r="M8" s="33">
        <f>IF(OR($U8="",4&gt;=설정!$B$12),"",SUMIFS(매출원본!$AT$8:$AT$1007,매출원본!$AX$8:$AX$1007,INDEX($R$8:$R$207,$U8),매출원본!$BA$8:$BA$1007,"포함",매출원본!$AS$8:$AS$1007,"&gt;="&amp;EDATE(설정!$B$10,4),매출원본!$AS$8:$AS$1007,"&lt;="&amp;EOMONTH(설정!$B$10,4)))</f>
        <v/>
      </c>
      <c r="N8" s="33">
        <f>IF(OR($U8="",5&gt;=설정!$B$12),"",SUMIFS(매출원본!$AT$8:$AT$1007,매출원본!$AX$8:$AX$1007,INDEX($R$8:$R$207,$U8),매출원본!$BA$8:$BA$1007,"포함",매출원본!$AS$8:$AS$1007,"&gt;="&amp;EDATE(설정!$B$10,5),매출원본!$AS$8:$AS$1007,"&lt;="&amp;EOMONTH(설정!$B$10,5)))</f>
        <v/>
      </c>
      <c r="Q8" s="35" t="n">
        <v>1</v>
      </c>
      <c r="R8" s="35">
        <f>IFERROR(INDEX(매출원본!$AX$8:$AX$1007,MATCH($Q8,매출원본!$BD$8:$BD$1007,0)),"")</f>
        <v/>
      </c>
      <c r="S8" s="35">
        <f>IF($R8="","",SUMIFS(매출원본!$AT$8:$AT$1007,매출원본!$AX$8:$AX$1007,$R8,매출원본!$BA$8:$BA$1007,"포함"))</f>
        <v/>
      </c>
      <c r="T8" s="35">
        <f>IF($R8="","",$S8-$Q8/100000)</f>
        <v/>
      </c>
      <c r="U8" s="35">
        <f>IFERROR(MATCH(LARGE($T$8:$T$207,1),$T$8:$T$207,0),"")</f>
        <v/>
      </c>
    </row>
    <row r="9">
      <c r="A9" s="32">
        <f>IF($U9="","",2)</f>
        <v/>
      </c>
      <c r="B9" s="10">
        <f>IF($U9="","",IFERROR(INDEX(매출원본!$AZ$8:$AZ$1007,MATCH($U9,매출원본!$BD$8:$BD$1007,0)),""))</f>
        <v/>
      </c>
      <c r="C9" s="10">
        <f>IF($U9="","",IFERROR(INDEX(매출원본!$AY$8:$AY$1007,MATCH($U9,매출원본!$BD$8:$BD$1007,0)),""))</f>
        <v/>
      </c>
      <c r="D9" s="33">
        <f>IF($U9="","",COUNTIFS(매출원본!$AX$8:$AX$1007,INDEX($R$8:$R$207,$U9),매출원본!$BA$8:$BA$1007,"포함"))</f>
        <v/>
      </c>
      <c r="E9" s="33">
        <f>IF($U9="","",SUMIFS(매출원본!$AT$8:$AT$1007,매출원본!$AX$8:$AX$1007,INDEX($R$8:$R$207,$U9),매출원본!$BA$8:$BA$1007,"포함"))</f>
        <v/>
      </c>
      <c r="F9" s="33">
        <f>IF($U9="","",SUMIFS(매출원본!$AU$8:$AU$1007,매출원본!$AX$8:$AX$1007,INDEX($R$8:$R$207,$U9),매출원본!$BA$8:$BA$1007,"포함"))</f>
        <v/>
      </c>
      <c r="G9" s="33">
        <f>IF($U9="","",SUMIFS(매출원본!$AV$8:$AV$1007,매출원본!$AX$8:$AX$1007,INDEX($R$8:$R$207,$U9),매출원본!$BA$8:$BA$1007,"포함"))</f>
        <v/>
      </c>
      <c r="H9" s="34">
        <f>IF(OR($U9="",$E$7=0),"",E9/$E$7)</f>
        <v/>
      </c>
      <c r="I9" s="33">
        <f>IF(OR($U9="",0&gt;=설정!$B$12),"",SUMIFS(매출원본!$AT$8:$AT$1007,매출원본!$AX$8:$AX$1007,INDEX($R$8:$R$207,$U9),매출원본!$BA$8:$BA$1007,"포함",매출원본!$AS$8:$AS$1007,"&gt;="&amp;EDATE(설정!$B$10,0),매출원본!$AS$8:$AS$1007,"&lt;="&amp;EOMONTH(설정!$B$10,0)))</f>
        <v/>
      </c>
      <c r="J9" s="33">
        <f>IF(OR($U9="",1&gt;=설정!$B$12),"",SUMIFS(매출원본!$AT$8:$AT$1007,매출원본!$AX$8:$AX$1007,INDEX($R$8:$R$207,$U9),매출원본!$BA$8:$BA$1007,"포함",매출원본!$AS$8:$AS$1007,"&gt;="&amp;EDATE(설정!$B$10,1),매출원본!$AS$8:$AS$1007,"&lt;="&amp;EOMONTH(설정!$B$10,1)))</f>
        <v/>
      </c>
      <c r="K9" s="33">
        <f>IF(OR($U9="",2&gt;=설정!$B$12),"",SUMIFS(매출원본!$AT$8:$AT$1007,매출원본!$AX$8:$AX$1007,INDEX($R$8:$R$207,$U9),매출원본!$BA$8:$BA$1007,"포함",매출원본!$AS$8:$AS$1007,"&gt;="&amp;EDATE(설정!$B$10,2),매출원본!$AS$8:$AS$1007,"&lt;="&amp;EOMONTH(설정!$B$10,2)))</f>
        <v/>
      </c>
      <c r="L9" s="33">
        <f>IF(OR($U9="",3&gt;=설정!$B$12),"",SUMIFS(매출원본!$AT$8:$AT$1007,매출원본!$AX$8:$AX$1007,INDEX($R$8:$R$207,$U9),매출원본!$BA$8:$BA$1007,"포함",매출원본!$AS$8:$AS$1007,"&gt;="&amp;EDATE(설정!$B$10,3),매출원본!$AS$8:$AS$1007,"&lt;="&amp;EOMONTH(설정!$B$10,3)))</f>
        <v/>
      </c>
      <c r="M9" s="33">
        <f>IF(OR($U9="",4&gt;=설정!$B$12),"",SUMIFS(매출원본!$AT$8:$AT$1007,매출원본!$AX$8:$AX$1007,INDEX($R$8:$R$207,$U9),매출원본!$BA$8:$BA$1007,"포함",매출원본!$AS$8:$AS$1007,"&gt;="&amp;EDATE(설정!$B$10,4),매출원본!$AS$8:$AS$1007,"&lt;="&amp;EOMONTH(설정!$B$10,4)))</f>
        <v/>
      </c>
      <c r="N9" s="33">
        <f>IF(OR($U9="",5&gt;=설정!$B$12),"",SUMIFS(매출원본!$AT$8:$AT$1007,매출원본!$AX$8:$AX$1007,INDEX($R$8:$R$207,$U9),매출원본!$BA$8:$BA$1007,"포함",매출원본!$AS$8:$AS$1007,"&gt;="&amp;EDATE(설정!$B$10,5),매출원본!$AS$8:$AS$1007,"&lt;="&amp;EOMONTH(설정!$B$10,5)))</f>
        <v/>
      </c>
      <c r="Q9" s="35" t="n">
        <v>2</v>
      </c>
      <c r="R9" s="35">
        <f>IFERROR(INDEX(매출원본!$AX$8:$AX$1007,MATCH($Q9,매출원본!$BD$8:$BD$1007,0)),"")</f>
        <v/>
      </c>
      <c r="S9" s="35">
        <f>IF($R9="","",SUMIFS(매출원본!$AT$8:$AT$1007,매출원본!$AX$8:$AX$1007,$R9,매출원본!$BA$8:$BA$1007,"포함"))</f>
        <v/>
      </c>
      <c r="T9" s="35">
        <f>IF($R9="","",$S9-$Q9/100000)</f>
        <v/>
      </c>
      <c r="U9" s="35">
        <f>IFERROR(MATCH(LARGE($T$8:$T$207,2),$T$8:$T$207,0),"")</f>
        <v/>
      </c>
    </row>
    <row r="10">
      <c r="A10" s="32">
        <f>IF($U10="","",3)</f>
        <v/>
      </c>
      <c r="B10" s="10">
        <f>IF($U10="","",IFERROR(INDEX(매출원본!$AZ$8:$AZ$1007,MATCH($U10,매출원본!$BD$8:$BD$1007,0)),""))</f>
        <v/>
      </c>
      <c r="C10" s="10">
        <f>IF($U10="","",IFERROR(INDEX(매출원본!$AY$8:$AY$1007,MATCH($U10,매출원본!$BD$8:$BD$1007,0)),""))</f>
        <v/>
      </c>
      <c r="D10" s="33">
        <f>IF($U10="","",COUNTIFS(매출원본!$AX$8:$AX$1007,INDEX($R$8:$R$207,$U10),매출원본!$BA$8:$BA$1007,"포함"))</f>
        <v/>
      </c>
      <c r="E10" s="33">
        <f>IF($U10="","",SUMIFS(매출원본!$AT$8:$AT$1007,매출원본!$AX$8:$AX$1007,INDEX($R$8:$R$207,$U10),매출원본!$BA$8:$BA$1007,"포함"))</f>
        <v/>
      </c>
      <c r="F10" s="33">
        <f>IF($U10="","",SUMIFS(매출원본!$AU$8:$AU$1007,매출원본!$AX$8:$AX$1007,INDEX($R$8:$R$207,$U10),매출원본!$BA$8:$BA$1007,"포함"))</f>
        <v/>
      </c>
      <c r="G10" s="33">
        <f>IF($U10="","",SUMIFS(매출원본!$AV$8:$AV$1007,매출원본!$AX$8:$AX$1007,INDEX($R$8:$R$207,$U10),매출원본!$BA$8:$BA$1007,"포함"))</f>
        <v/>
      </c>
      <c r="H10" s="34">
        <f>IF(OR($U10="",$E$7=0),"",E10/$E$7)</f>
        <v/>
      </c>
      <c r="I10" s="33">
        <f>IF(OR($U10="",0&gt;=설정!$B$12),"",SUMIFS(매출원본!$AT$8:$AT$1007,매출원본!$AX$8:$AX$1007,INDEX($R$8:$R$207,$U10),매출원본!$BA$8:$BA$1007,"포함",매출원본!$AS$8:$AS$1007,"&gt;="&amp;EDATE(설정!$B$10,0),매출원본!$AS$8:$AS$1007,"&lt;="&amp;EOMONTH(설정!$B$10,0)))</f>
        <v/>
      </c>
      <c r="J10" s="33">
        <f>IF(OR($U10="",1&gt;=설정!$B$12),"",SUMIFS(매출원본!$AT$8:$AT$1007,매출원본!$AX$8:$AX$1007,INDEX($R$8:$R$207,$U10),매출원본!$BA$8:$BA$1007,"포함",매출원본!$AS$8:$AS$1007,"&gt;="&amp;EDATE(설정!$B$10,1),매출원본!$AS$8:$AS$1007,"&lt;="&amp;EOMONTH(설정!$B$10,1)))</f>
        <v/>
      </c>
      <c r="K10" s="33">
        <f>IF(OR($U10="",2&gt;=설정!$B$12),"",SUMIFS(매출원본!$AT$8:$AT$1007,매출원본!$AX$8:$AX$1007,INDEX($R$8:$R$207,$U10),매출원본!$BA$8:$BA$1007,"포함",매출원본!$AS$8:$AS$1007,"&gt;="&amp;EDATE(설정!$B$10,2),매출원본!$AS$8:$AS$1007,"&lt;="&amp;EOMONTH(설정!$B$10,2)))</f>
        <v/>
      </c>
      <c r="L10" s="33">
        <f>IF(OR($U10="",3&gt;=설정!$B$12),"",SUMIFS(매출원본!$AT$8:$AT$1007,매출원본!$AX$8:$AX$1007,INDEX($R$8:$R$207,$U10),매출원본!$BA$8:$BA$1007,"포함",매출원본!$AS$8:$AS$1007,"&gt;="&amp;EDATE(설정!$B$10,3),매출원본!$AS$8:$AS$1007,"&lt;="&amp;EOMONTH(설정!$B$10,3)))</f>
        <v/>
      </c>
      <c r="M10" s="33">
        <f>IF(OR($U10="",4&gt;=설정!$B$12),"",SUMIFS(매출원본!$AT$8:$AT$1007,매출원본!$AX$8:$AX$1007,INDEX($R$8:$R$207,$U10),매출원본!$BA$8:$BA$1007,"포함",매출원본!$AS$8:$AS$1007,"&gt;="&amp;EDATE(설정!$B$10,4),매출원본!$AS$8:$AS$1007,"&lt;="&amp;EOMONTH(설정!$B$10,4)))</f>
        <v/>
      </c>
      <c r="N10" s="33">
        <f>IF(OR($U10="",5&gt;=설정!$B$12),"",SUMIFS(매출원본!$AT$8:$AT$1007,매출원본!$AX$8:$AX$1007,INDEX($R$8:$R$207,$U10),매출원본!$BA$8:$BA$1007,"포함",매출원본!$AS$8:$AS$1007,"&gt;="&amp;EDATE(설정!$B$10,5),매출원본!$AS$8:$AS$1007,"&lt;="&amp;EOMONTH(설정!$B$10,5)))</f>
        <v/>
      </c>
      <c r="Q10" s="35" t="n">
        <v>3</v>
      </c>
      <c r="R10" s="35">
        <f>IFERROR(INDEX(매출원본!$AX$8:$AX$1007,MATCH($Q10,매출원본!$BD$8:$BD$1007,0)),"")</f>
        <v/>
      </c>
      <c r="S10" s="35">
        <f>IF($R10="","",SUMIFS(매출원본!$AT$8:$AT$1007,매출원본!$AX$8:$AX$1007,$R10,매출원본!$BA$8:$BA$1007,"포함"))</f>
        <v/>
      </c>
      <c r="T10" s="35">
        <f>IF($R10="","",$S10-$Q10/100000)</f>
        <v/>
      </c>
      <c r="U10" s="35">
        <f>IFERROR(MATCH(LARGE($T$8:$T$207,3),$T$8:$T$207,0),"")</f>
        <v/>
      </c>
    </row>
    <row r="11">
      <c r="A11" s="32">
        <f>IF($U11="","",4)</f>
        <v/>
      </c>
      <c r="B11" s="10">
        <f>IF($U11="","",IFERROR(INDEX(매출원본!$AZ$8:$AZ$1007,MATCH($U11,매출원본!$BD$8:$BD$1007,0)),""))</f>
        <v/>
      </c>
      <c r="C11" s="10">
        <f>IF($U11="","",IFERROR(INDEX(매출원본!$AY$8:$AY$1007,MATCH($U11,매출원본!$BD$8:$BD$1007,0)),""))</f>
        <v/>
      </c>
      <c r="D11" s="33">
        <f>IF($U11="","",COUNTIFS(매출원본!$AX$8:$AX$1007,INDEX($R$8:$R$207,$U11),매출원본!$BA$8:$BA$1007,"포함"))</f>
        <v/>
      </c>
      <c r="E11" s="33">
        <f>IF($U11="","",SUMIFS(매출원본!$AT$8:$AT$1007,매출원본!$AX$8:$AX$1007,INDEX($R$8:$R$207,$U11),매출원본!$BA$8:$BA$1007,"포함"))</f>
        <v/>
      </c>
      <c r="F11" s="33">
        <f>IF($U11="","",SUMIFS(매출원본!$AU$8:$AU$1007,매출원본!$AX$8:$AX$1007,INDEX($R$8:$R$207,$U11),매출원본!$BA$8:$BA$1007,"포함"))</f>
        <v/>
      </c>
      <c r="G11" s="33">
        <f>IF($U11="","",SUMIFS(매출원본!$AV$8:$AV$1007,매출원본!$AX$8:$AX$1007,INDEX($R$8:$R$207,$U11),매출원본!$BA$8:$BA$1007,"포함"))</f>
        <v/>
      </c>
      <c r="H11" s="34">
        <f>IF(OR($U11="",$E$7=0),"",E11/$E$7)</f>
        <v/>
      </c>
      <c r="I11" s="33">
        <f>IF(OR($U11="",0&gt;=설정!$B$12),"",SUMIFS(매출원본!$AT$8:$AT$1007,매출원본!$AX$8:$AX$1007,INDEX($R$8:$R$207,$U11),매출원본!$BA$8:$BA$1007,"포함",매출원본!$AS$8:$AS$1007,"&gt;="&amp;EDATE(설정!$B$10,0),매출원본!$AS$8:$AS$1007,"&lt;="&amp;EOMONTH(설정!$B$10,0)))</f>
        <v/>
      </c>
      <c r="J11" s="33">
        <f>IF(OR($U11="",1&gt;=설정!$B$12),"",SUMIFS(매출원본!$AT$8:$AT$1007,매출원본!$AX$8:$AX$1007,INDEX($R$8:$R$207,$U11),매출원본!$BA$8:$BA$1007,"포함",매출원본!$AS$8:$AS$1007,"&gt;="&amp;EDATE(설정!$B$10,1),매출원본!$AS$8:$AS$1007,"&lt;="&amp;EOMONTH(설정!$B$10,1)))</f>
        <v/>
      </c>
      <c r="K11" s="33">
        <f>IF(OR($U11="",2&gt;=설정!$B$12),"",SUMIFS(매출원본!$AT$8:$AT$1007,매출원본!$AX$8:$AX$1007,INDEX($R$8:$R$207,$U11),매출원본!$BA$8:$BA$1007,"포함",매출원본!$AS$8:$AS$1007,"&gt;="&amp;EDATE(설정!$B$10,2),매출원본!$AS$8:$AS$1007,"&lt;="&amp;EOMONTH(설정!$B$10,2)))</f>
        <v/>
      </c>
      <c r="L11" s="33">
        <f>IF(OR($U11="",3&gt;=설정!$B$12),"",SUMIFS(매출원본!$AT$8:$AT$1007,매출원본!$AX$8:$AX$1007,INDEX($R$8:$R$207,$U11),매출원본!$BA$8:$BA$1007,"포함",매출원본!$AS$8:$AS$1007,"&gt;="&amp;EDATE(설정!$B$10,3),매출원본!$AS$8:$AS$1007,"&lt;="&amp;EOMONTH(설정!$B$10,3)))</f>
        <v/>
      </c>
      <c r="M11" s="33">
        <f>IF(OR($U11="",4&gt;=설정!$B$12),"",SUMIFS(매출원본!$AT$8:$AT$1007,매출원본!$AX$8:$AX$1007,INDEX($R$8:$R$207,$U11),매출원본!$BA$8:$BA$1007,"포함",매출원본!$AS$8:$AS$1007,"&gt;="&amp;EDATE(설정!$B$10,4),매출원본!$AS$8:$AS$1007,"&lt;="&amp;EOMONTH(설정!$B$10,4)))</f>
        <v/>
      </c>
      <c r="N11" s="33">
        <f>IF(OR($U11="",5&gt;=설정!$B$12),"",SUMIFS(매출원본!$AT$8:$AT$1007,매출원본!$AX$8:$AX$1007,INDEX($R$8:$R$207,$U11),매출원본!$BA$8:$BA$1007,"포함",매출원본!$AS$8:$AS$1007,"&gt;="&amp;EDATE(설정!$B$10,5),매출원본!$AS$8:$AS$1007,"&lt;="&amp;EOMONTH(설정!$B$10,5)))</f>
        <v/>
      </c>
      <c r="Q11" s="35" t="n">
        <v>4</v>
      </c>
      <c r="R11" s="35">
        <f>IFERROR(INDEX(매출원본!$AX$8:$AX$1007,MATCH($Q11,매출원본!$BD$8:$BD$1007,0)),"")</f>
        <v/>
      </c>
      <c r="S11" s="35">
        <f>IF($R11="","",SUMIFS(매출원본!$AT$8:$AT$1007,매출원본!$AX$8:$AX$1007,$R11,매출원본!$BA$8:$BA$1007,"포함"))</f>
        <v/>
      </c>
      <c r="T11" s="35">
        <f>IF($R11="","",$S11-$Q11/100000)</f>
        <v/>
      </c>
      <c r="U11" s="35">
        <f>IFERROR(MATCH(LARGE($T$8:$T$207,4),$T$8:$T$207,0),"")</f>
        <v/>
      </c>
    </row>
    <row r="12">
      <c r="A12" s="32">
        <f>IF($U12="","",5)</f>
        <v/>
      </c>
      <c r="B12" s="10">
        <f>IF($U12="","",IFERROR(INDEX(매출원본!$AZ$8:$AZ$1007,MATCH($U12,매출원본!$BD$8:$BD$1007,0)),""))</f>
        <v/>
      </c>
      <c r="C12" s="10">
        <f>IF($U12="","",IFERROR(INDEX(매출원본!$AY$8:$AY$1007,MATCH($U12,매출원본!$BD$8:$BD$1007,0)),""))</f>
        <v/>
      </c>
      <c r="D12" s="33">
        <f>IF($U12="","",COUNTIFS(매출원본!$AX$8:$AX$1007,INDEX($R$8:$R$207,$U12),매출원본!$BA$8:$BA$1007,"포함"))</f>
        <v/>
      </c>
      <c r="E12" s="33">
        <f>IF($U12="","",SUMIFS(매출원본!$AT$8:$AT$1007,매출원본!$AX$8:$AX$1007,INDEX($R$8:$R$207,$U12),매출원본!$BA$8:$BA$1007,"포함"))</f>
        <v/>
      </c>
      <c r="F12" s="33">
        <f>IF($U12="","",SUMIFS(매출원본!$AU$8:$AU$1007,매출원본!$AX$8:$AX$1007,INDEX($R$8:$R$207,$U12),매출원본!$BA$8:$BA$1007,"포함"))</f>
        <v/>
      </c>
      <c r="G12" s="33">
        <f>IF($U12="","",SUMIFS(매출원본!$AV$8:$AV$1007,매출원본!$AX$8:$AX$1007,INDEX($R$8:$R$207,$U12),매출원본!$BA$8:$BA$1007,"포함"))</f>
        <v/>
      </c>
      <c r="H12" s="34">
        <f>IF(OR($U12="",$E$7=0),"",E12/$E$7)</f>
        <v/>
      </c>
      <c r="I12" s="33">
        <f>IF(OR($U12="",0&gt;=설정!$B$12),"",SUMIFS(매출원본!$AT$8:$AT$1007,매출원본!$AX$8:$AX$1007,INDEX($R$8:$R$207,$U12),매출원본!$BA$8:$BA$1007,"포함",매출원본!$AS$8:$AS$1007,"&gt;="&amp;EDATE(설정!$B$10,0),매출원본!$AS$8:$AS$1007,"&lt;="&amp;EOMONTH(설정!$B$10,0)))</f>
        <v/>
      </c>
      <c r="J12" s="33">
        <f>IF(OR($U12="",1&gt;=설정!$B$12),"",SUMIFS(매출원본!$AT$8:$AT$1007,매출원본!$AX$8:$AX$1007,INDEX($R$8:$R$207,$U12),매출원본!$BA$8:$BA$1007,"포함",매출원본!$AS$8:$AS$1007,"&gt;="&amp;EDATE(설정!$B$10,1),매출원본!$AS$8:$AS$1007,"&lt;="&amp;EOMONTH(설정!$B$10,1)))</f>
        <v/>
      </c>
      <c r="K12" s="33">
        <f>IF(OR($U12="",2&gt;=설정!$B$12),"",SUMIFS(매출원본!$AT$8:$AT$1007,매출원본!$AX$8:$AX$1007,INDEX($R$8:$R$207,$U12),매출원본!$BA$8:$BA$1007,"포함",매출원본!$AS$8:$AS$1007,"&gt;="&amp;EDATE(설정!$B$10,2),매출원본!$AS$8:$AS$1007,"&lt;="&amp;EOMONTH(설정!$B$10,2)))</f>
        <v/>
      </c>
      <c r="L12" s="33">
        <f>IF(OR($U12="",3&gt;=설정!$B$12),"",SUMIFS(매출원본!$AT$8:$AT$1007,매출원본!$AX$8:$AX$1007,INDEX($R$8:$R$207,$U12),매출원본!$BA$8:$BA$1007,"포함",매출원본!$AS$8:$AS$1007,"&gt;="&amp;EDATE(설정!$B$10,3),매출원본!$AS$8:$AS$1007,"&lt;="&amp;EOMONTH(설정!$B$10,3)))</f>
        <v/>
      </c>
      <c r="M12" s="33">
        <f>IF(OR($U12="",4&gt;=설정!$B$12),"",SUMIFS(매출원본!$AT$8:$AT$1007,매출원본!$AX$8:$AX$1007,INDEX($R$8:$R$207,$U12),매출원본!$BA$8:$BA$1007,"포함",매출원본!$AS$8:$AS$1007,"&gt;="&amp;EDATE(설정!$B$10,4),매출원본!$AS$8:$AS$1007,"&lt;="&amp;EOMONTH(설정!$B$10,4)))</f>
        <v/>
      </c>
      <c r="N12" s="33">
        <f>IF(OR($U12="",5&gt;=설정!$B$12),"",SUMIFS(매출원본!$AT$8:$AT$1007,매출원본!$AX$8:$AX$1007,INDEX($R$8:$R$207,$U12),매출원본!$BA$8:$BA$1007,"포함",매출원본!$AS$8:$AS$1007,"&gt;="&amp;EDATE(설정!$B$10,5),매출원본!$AS$8:$AS$1007,"&lt;="&amp;EOMONTH(설정!$B$10,5)))</f>
        <v/>
      </c>
      <c r="Q12" s="35" t="n">
        <v>5</v>
      </c>
      <c r="R12" s="35">
        <f>IFERROR(INDEX(매출원본!$AX$8:$AX$1007,MATCH($Q12,매출원본!$BD$8:$BD$1007,0)),"")</f>
        <v/>
      </c>
      <c r="S12" s="35">
        <f>IF($R12="","",SUMIFS(매출원본!$AT$8:$AT$1007,매출원본!$AX$8:$AX$1007,$R12,매출원본!$BA$8:$BA$1007,"포함"))</f>
        <v/>
      </c>
      <c r="T12" s="35">
        <f>IF($R12="","",$S12-$Q12/100000)</f>
        <v/>
      </c>
      <c r="U12" s="35">
        <f>IFERROR(MATCH(LARGE($T$8:$T$207,5),$T$8:$T$207,0),"")</f>
        <v/>
      </c>
    </row>
    <row r="13">
      <c r="A13" s="32">
        <f>IF($U13="","",6)</f>
        <v/>
      </c>
      <c r="B13" s="10">
        <f>IF($U13="","",IFERROR(INDEX(매출원본!$AZ$8:$AZ$1007,MATCH($U13,매출원본!$BD$8:$BD$1007,0)),""))</f>
        <v/>
      </c>
      <c r="C13" s="10">
        <f>IF($U13="","",IFERROR(INDEX(매출원본!$AY$8:$AY$1007,MATCH($U13,매출원본!$BD$8:$BD$1007,0)),""))</f>
        <v/>
      </c>
      <c r="D13" s="33">
        <f>IF($U13="","",COUNTIFS(매출원본!$AX$8:$AX$1007,INDEX($R$8:$R$207,$U13),매출원본!$BA$8:$BA$1007,"포함"))</f>
        <v/>
      </c>
      <c r="E13" s="33">
        <f>IF($U13="","",SUMIFS(매출원본!$AT$8:$AT$1007,매출원본!$AX$8:$AX$1007,INDEX($R$8:$R$207,$U13),매출원본!$BA$8:$BA$1007,"포함"))</f>
        <v/>
      </c>
      <c r="F13" s="33">
        <f>IF($U13="","",SUMIFS(매출원본!$AU$8:$AU$1007,매출원본!$AX$8:$AX$1007,INDEX($R$8:$R$207,$U13),매출원본!$BA$8:$BA$1007,"포함"))</f>
        <v/>
      </c>
      <c r="G13" s="33">
        <f>IF($U13="","",SUMIFS(매출원본!$AV$8:$AV$1007,매출원본!$AX$8:$AX$1007,INDEX($R$8:$R$207,$U13),매출원본!$BA$8:$BA$1007,"포함"))</f>
        <v/>
      </c>
      <c r="H13" s="34">
        <f>IF(OR($U13="",$E$7=0),"",E13/$E$7)</f>
        <v/>
      </c>
      <c r="I13" s="33">
        <f>IF(OR($U13="",0&gt;=설정!$B$12),"",SUMIFS(매출원본!$AT$8:$AT$1007,매출원본!$AX$8:$AX$1007,INDEX($R$8:$R$207,$U13),매출원본!$BA$8:$BA$1007,"포함",매출원본!$AS$8:$AS$1007,"&gt;="&amp;EDATE(설정!$B$10,0),매출원본!$AS$8:$AS$1007,"&lt;="&amp;EOMONTH(설정!$B$10,0)))</f>
        <v/>
      </c>
      <c r="J13" s="33">
        <f>IF(OR($U13="",1&gt;=설정!$B$12),"",SUMIFS(매출원본!$AT$8:$AT$1007,매출원본!$AX$8:$AX$1007,INDEX($R$8:$R$207,$U13),매출원본!$BA$8:$BA$1007,"포함",매출원본!$AS$8:$AS$1007,"&gt;="&amp;EDATE(설정!$B$10,1),매출원본!$AS$8:$AS$1007,"&lt;="&amp;EOMONTH(설정!$B$10,1)))</f>
        <v/>
      </c>
      <c r="K13" s="33">
        <f>IF(OR($U13="",2&gt;=설정!$B$12),"",SUMIFS(매출원본!$AT$8:$AT$1007,매출원본!$AX$8:$AX$1007,INDEX($R$8:$R$207,$U13),매출원본!$BA$8:$BA$1007,"포함",매출원본!$AS$8:$AS$1007,"&gt;="&amp;EDATE(설정!$B$10,2),매출원본!$AS$8:$AS$1007,"&lt;="&amp;EOMONTH(설정!$B$10,2)))</f>
        <v/>
      </c>
      <c r="L13" s="33">
        <f>IF(OR($U13="",3&gt;=설정!$B$12),"",SUMIFS(매출원본!$AT$8:$AT$1007,매출원본!$AX$8:$AX$1007,INDEX($R$8:$R$207,$U13),매출원본!$BA$8:$BA$1007,"포함",매출원본!$AS$8:$AS$1007,"&gt;="&amp;EDATE(설정!$B$10,3),매출원본!$AS$8:$AS$1007,"&lt;="&amp;EOMONTH(설정!$B$10,3)))</f>
        <v/>
      </c>
      <c r="M13" s="33">
        <f>IF(OR($U13="",4&gt;=설정!$B$12),"",SUMIFS(매출원본!$AT$8:$AT$1007,매출원본!$AX$8:$AX$1007,INDEX($R$8:$R$207,$U13),매출원본!$BA$8:$BA$1007,"포함",매출원본!$AS$8:$AS$1007,"&gt;="&amp;EDATE(설정!$B$10,4),매출원본!$AS$8:$AS$1007,"&lt;="&amp;EOMONTH(설정!$B$10,4)))</f>
        <v/>
      </c>
      <c r="N13" s="33">
        <f>IF(OR($U13="",5&gt;=설정!$B$12),"",SUMIFS(매출원본!$AT$8:$AT$1007,매출원본!$AX$8:$AX$1007,INDEX($R$8:$R$207,$U13),매출원본!$BA$8:$BA$1007,"포함",매출원본!$AS$8:$AS$1007,"&gt;="&amp;EDATE(설정!$B$10,5),매출원본!$AS$8:$AS$1007,"&lt;="&amp;EOMONTH(설정!$B$10,5)))</f>
        <v/>
      </c>
      <c r="Q13" s="35" t="n">
        <v>6</v>
      </c>
      <c r="R13" s="35">
        <f>IFERROR(INDEX(매출원본!$AX$8:$AX$1007,MATCH($Q13,매출원본!$BD$8:$BD$1007,0)),"")</f>
        <v/>
      </c>
      <c r="S13" s="35">
        <f>IF($R13="","",SUMIFS(매출원본!$AT$8:$AT$1007,매출원본!$AX$8:$AX$1007,$R13,매출원본!$BA$8:$BA$1007,"포함"))</f>
        <v/>
      </c>
      <c r="T13" s="35">
        <f>IF($R13="","",$S13-$Q13/100000)</f>
        <v/>
      </c>
      <c r="U13" s="35">
        <f>IFERROR(MATCH(LARGE($T$8:$T$207,6),$T$8:$T$207,0),"")</f>
        <v/>
      </c>
    </row>
    <row r="14">
      <c r="A14" s="32">
        <f>IF($U14="","",7)</f>
        <v/>
      </c>
      <c r="B14" s="10">
        <f>IF($U14="","",IFERROR(INDEX(매출원본!$AZ$8:$AZ$1007,MATCH($U14,매출원본!$BD$8:$BD$1007,0)),""))</f>
        <v/>
      </c>
      <c r="C14" s="10">
        <f>IF($U14="","",IFERROR(INDEX(매출원본!$AY$8:$AY$1007,MATCH($U14,매출원본!$BD$8:$BD$1007,0)),""))</f>
        <v/>
      </c>
      <c r="D14" s="33">
        <f>IF($U14="","",COUNTIFS(매출원본!$AX$8:$AX$1007,INDEX($R$8:$R$207,$U14),매출원본!$BA$8:$BA$1007,"포함"))</f>
        <v/>
      </c>
      <c r="E14" s="33">
        <f>IF($U14="","",SUMIFS(매출원본!$AT$8:$AT$1007,매출원본!$AX$8:$AX$1007,INDEX($R$8:$R$207,$U14),매출원본!$BA$8:$BA$1007,"포함"))</f>
        <v/>
      </c>
      <c r="F14" s="33">
        <f>IF($U14="","",SUMIFS(매출원본!$AU$8:$AU$1007,매출원본!$AX$8:$AX$1007,INDEX($R$8:$R$207,$U14),매출원본!$BA$8:$BA$1007,"포함"))</f>
        <v/>
      </c>
      <c r="G14" s="33">
        <f>IF($U14="","",SUMIFS(매출원본!$AV$8:$AV$1007,매출원본!$AX$8:$AX$1007,INDEX($R$8:$R$207,$U14),매출원본!$BA$8:$BA$1007,"포함"))</f>
        <v/>
      </c>
      <c r="H14" s="34">
        <f>IF(OR($U14="",$E$7=0),"",E14/$E$7)</f>
        <v/>
      </c>
      <c r="I14" s="33">
        <f>IF(OR($U14="",0&gt;=설정!$B$12),"",SUMIFS(매출원본!$AT$8:$AT$1007,매출원본!$AX$8:$AX$1007,INDEX($R$8:$R$207,$U14),매출원본!$BA$8:$BA$1007,"포함",매출원본!$AS$8:$AS$1007,"&gt;="&amp;EDATE(설정!$B$10,0),매출원본!$AS$8:$AS$1007,"&lt;="&amp;EOMONTH(설정!$B$10,0)))</f>
        <v/>
      </c>
      <c r="J14" s="33">
        <f>IF(OR($U14="",1&gt;=설정!$B$12),"",SUMIFS(매출원본!$AT$8:$AT$1007,매출원본!$AX$8:$AX$1007,INDEX($R$8:$R$207,$U14),매출원본!$BA$8:$BA$1007,"포함",매출원본!$AS$8:$AS$1007,"&gt;="&amp;EDATE(설정!$B$10,1),매출원본!$AS$8:$AS$1007,"&lt;="&amp;EOMONTH(설정!$B$10,1)))</f>
        <v/>
      </c>
      <c r="K14" s="33">
        <f>IF(OR($U14="",2&gt;=설정!$B$12),"",SUMIFS(매출원본!$AT$8:$AT$1007,매출원본!$AX$8:$AX$1007,INDEX($R$8:$R$207,$U14),매출원본!$BA$8:$BA$1007,"포함",매출원본!$AS$8:$AS$1007,"&gt;="&amp;EDATE(설정!$B$10,2),매출원본!$AS$8:$AS$1007,"&lt;="&amp;EOMONTH(설정!$B$10,2)))</f>
        <v/>
      </c>
      <c r="L14" s="33">
        <f>IF(OR($U14="",3&gt;=설정!$B$12),"",SUMIFS(매출원본!$AT$8:$AT$1007,매출원본!$AX$8:$AX$1007,INDEX($R$8:$R$207,$U14),매출원본!$BA$8:$BA$1007,"포함",매출원본!$AS$8:$AS$1007,"&gt;="&amp;EDATE(설정!$B$10,3),매출원본!$AS$8:$AS$1007,"&lt;="&amp;EOMONTH(설정!$B$10,3)))</f>
        <v/>
      </c>
      <c r="M14" s="33">
        <f>IF(OR($U14="",4&gt;=설정!$B$12),"",SUMIFS(매출원본!$AT$8:$AT$1007,매출원본!$AX$8:$AX$1007,INDEX($R$8:$R$207,$U14),매출원본!$BA$8:$BA$1007,"포함",매출원본!$AS$8:$AS$1007,"&gt;="&amp;EDATE(설정!$B$10,4),매출원본!$AS$8:$AS$1007,"&lt;="&amp;EOMONTH(설정!$B$10,4)))</f>
        <v/>
      </c>
      <c r="N14" s="33">
        <f>IF(OR($U14="",5&gt;=설정!$B$12),"",SUMIFS(매출원본!$AT$8:$AT$1007,매출원본!$AX$8:$AX$1007,INDEX($R$8:$R$207,$U14),매출원본!$BA$8:$BA$1007,"포함",매출원본!$AS$8:$AS$1007,"&gt;="&amp;EDATE(설정!$B$10,5),매출원본!$AS$8:$AS$1007,"&lt;="&amp;EOMONTH(설정!$B$10,5)))</f>
        <v/>
      </c>
      <c r="Q14" s="35" t="n">
        <v>7</v>
      </c>
      <c r="R14" s="35">
        <f>IFERROR(INDEX(매출원본!$AX$8:$AX$1007,MATCH($Q14,매출원본!$BD$8:$BD$1007,0)),"")</f>
        <v/>
      </c>
      <c r="S14" s="35">
        <f>IF($R14="","",SUMIFS(매출원본!$AT$8:$AT$1007,매출원본!$AX$8:$AX$1007,$R14,매출원본!$BA$8:$BA$1007,"포함"))</f>
        <v/>
      </c>
      <c r="T14" s="35">
        <f>IF($R14="","",$S14-$Q14/100000)</f>
        <v/>
      </c>
      <c r="U14" s="35">
        <f>IFERROR(MATCH(LARGE($T$8:$T$207,7),$T$8:$T$207,0),"")</f>
        <v/>
      </c>
    </row>
    <row r="15">
      <c r="A15" s="32">
        <f>IF($U15="","",8)</f>
        <v/>
      </c>
      <c r="B15" s="10">
        <f>IF($U15="","",IFERROR(INDEX(매출원본!$AZ$8:$AZ$1007,MATCH($U15,매출원본!$BD$8:$BD$1007,0)),""))</f>
        <v/>
      </c>
      <c r="C15" s="10">
        <f>IF($U15="","",IFERROR(INDEX(매출원본!$AY$8:$AY$1007,MATCH($U15,매출원본!$BD$8:$BD$1007,0)),""))</f>
        <v/>
      </c>
      <c r="D15" s="33">
        <f>IF($U15="","",COUNTIFS(매출원본!$AX$8:$AX$1007,INDEX($R$8:$R$207,$U15),매출원본!$BA$8:$BA$1007,"포함"))</f>
        <v/>
      </c>
      <c r="E15" s="33">
        <f>IF($U15="","",SUMIFS(매출원본!$AT$8:$AT$1007,매출원본!$AX$8:$AX$1007,INDEX($R$8:$R$207,$U15),매출원본!$BA$8:$BA$1007,"포함"))</f>
        <v/>
      </c>
      <c r="F15" s="33">
        <f>IF($U15="","",SUMIFS(매출원본!$AU$8:$AU$1007,매출원본!$AX$8:$AX$1007,INDEX($R$8:$R$207,$U15),매출원본!$BA$8:$BA$1007,"포함"))</f>
        <v/>
      </c>
      <c r="G15" s="33">
        <f>IF($U15="","",SUMIFS(매출원본!$AV$8:$AV$1007,매출원본!$AX$8:$AX$1007,INDEX($R$8:$R$207,$U15),매출원본!$BA$8:$BA$1007,"포함"))</f>
        <v/>
      </c>
      <c r="H15" s="34">
        <f>IF(OR($U15="",$E$7=0),"",E15/$E$7)</f>
        <v/>
      </c>
      <c r="I15" s="33">
        <f>IF(OR($U15="",0&gt;=설정!$B$12),"",SUMIFS(매출원본!$AT$8:$AT$1007,매출원본!$AX$8:$AX$1007,INDEX($R$8:$R$207,$U15),매출원본!$BA$8:$BA$1007,"포함",매출원본!$AS$8:$AS$1007,"&gt;="&amp;EDATE(설정!$B$10,0),매출원본!$AS$8:$AS$1007,"&lt;="&amp;EOMONTH(설정!$B$10,0)))</f>
        <v/>
      </c>
      <c r="J15" s="33">
        <f>IF(OR($U15="",1&gt;=설정!$B$12),"",SUMIFS(매출원본!$AT$8:$AT$1007,매출원본!$AX$8:$AX$1007,INDEX($R$8:$R$207,$U15),매출원본!$BA$8:$BA$1007,"포함",매출원본!$AS$8:$AS$1007,"&gt;="&amp;EDATE(설정!$B$10,1),매출원본!$AS$8:$AS$1007,"&lt;="&amp;EOMONTH(설정!$B$10,1)))</f>
        <v/>
      </c>
      <c r="K15" s="33">
        <f>IF(OR($U15="",2&gt;=설정!$B$12),"",SUMIFS(매출원본!$AT$8:$AT$1007,매출원본!$AX$8:$AX$1007,INDEX($R$8:$R$207,$U15),매출원본!$BA$8:$BA$1007,"포함",매출원본!$AS$8:$AS$1007,"&gt;="&amp;EDATE(설정!$B$10,2),매출원본!$AS$8:$AS$1007,"&lt;="&amp;EOMONTH(설정!$B$10,2)))</f>
        <v/>
      </c>
      <c r="L15" s="33">
        <f>IF(OR($U15="",3&gt;=설정!$B$12),"",SUMIFS(매출원본!$AT$8:$AT$1007,매출원본!$AX$8:$AX$1007,INDEX($R$8:$R$207,$U15),매출원본!$BA$8:$BA$1007,"포함",매출원본!$AS$8:$AS$1007,"&gt;="&amp;EDATE(설정!$B$10,3),매출원본!$AS$8:$AS$1007,"&lt;="&amp;EOMONTH(설정!$B$10,3)))</f>
        <v/>
      </c>
      <c r="M15" s="33">
        <f>IF(OR($U15="",4&gt;=설정!$B$12),"",SUMIFS(매출원본!$AT$8:$AT$1007,매출원본!$AX$8:$AX$1007,INDEX($R$8:$R$207,$U15),매출원본!$BA$8:$BA$1007,"포함",매출원본!$AS$8:$AS$1007,"&gt;="&amp;EDATE(설정!$B$10,4),매출원본!$AS$8:$AS$1007,"&lt;="&amp;EOMONTH(설정!$B$10,4)))</f>
        <v/>
      </c>
      <c r="N15" s="33">
        <f>IF(OR($U15="",5&gt;=설정!$B$12),"",SUMIFS(매출원본!$AT$8:$AT$1007,매출원본!$AX$8:$AX$1007,INDEX($R$8:$R$207,$U15),매출원본!$BA$8:$BA$1007,"포함",매출원본!$AS$8:$AS$1007,"&gt;="&amp;EDATE(설정!$B$10,5),매출원본!$AS$8:$AS$1007,"&lt;="&amp;EOMONTH(설정!$B$10,5)))</f>
        <v/>
      </c>
      <c r="Q15" s="35" t="n">
        <v>8</v>
      </c>
      <c r="R15" s="35">
        <f>IFERROR(INDEX(매출원본!$AX$8:$AX$1007,MATCH($Q15,매출원본!$BD$8:$BD$1007,0)),"")</f>
        <v/>
      </c>
      <c r="S15" s="35">
        <f>IF($R15="","",SUMIFS(매출원본!$AT$8:$AT$1007,매출원본!$AX$8:$AX$1007,$R15,매출원본!$BA$8:$BA$1007,"포함"))</f>
        <v/>
      </c>
      <c r="T15" s="35">
        <f>IF($R15="","",$S15-$Q15/100000)</f>
        <v/>
      </c>
      <c r="U15" s="35">
        <f>IFERROR(MATCH(LARGE($T$8:$T$207,8),$T$8:$T$207,0),"")</f>
        <v/>
      </c>
    </row>
    <row r="16">
      <c r="A16" s="32">
        <f>IF($U16="","",9)</f>
        <v/>
      </c>
      <c r="B16" s="10">
        <f>IF($U16="","",IFERROR(INDEX(매출원본!$AZ$8:$AZ$1007,MATCH($U16,매출원본!$BD$8:$BD$1007,0)),""))</f>
        <v/>
      </c>
      <c r="C16" s="10">
        <f>IF($U16="","",IFERROR(INDEX(매출원본!$AY$8:$AY$1007,MATCH($U16,매출원본!$BD$8:$BD$1007,0)),""))</f>
        <v/>
      </c>
      <c r="D16" s="33">
        <f>IF($U16="","",COUNTIFS(매출원본!$AX$8:$AX$1007,INDEX($R$8:$R$207,$U16),매출원본!$BA$8:$BA$1007,"포함"))</f>
        <v/>
      </c>
      <c r="E16" s="33">
        <f>IF($U16="","",SUMIFS(매출원본!$AT$8:$AT$1007,매출원본!$AX$8:$AX$1007,INDEX($R$8:$R$207,$U16),매출원본!$BA$8:$BA$1007,"포함"))</f>
        <v/>
      </c>
      <c r="F16" s="33">
        <f>IF($U16="","",SUMIFS(매출원본!$AU$8:$AU$1007,매출원본!$AX$8:$AX$1007,INDEX($R$8:$R$207,$U16),매출원본!$BA$8:$BA$1007,"포함"))</f>
        <v/>
      </c>
      <c r="G16" s="33">
        <f>IF($U16="","",SUMIFS(매출원본!$AV$8:$AV$1007,매출원본!$AX$8:$AX$1007,INDEX($R$8:$R$207,$U16),매출원본!$BA$8:$BA$1007,"포함"))</f>
        <v/>
      </c>
      <c r="H16" s="34">
        <f>IF(OR($U16="",$E$7=0),"",E16/$E$7)</f>
        <v/>
      </c>
      <c r="I16" s="33">
        <f>IF(OR($U16="",0&gt;=설정!$B$12),"",SUMIFS(매출원본!$AT$8:$AT$1007,매출원본!$AX$8:$AX$1007,INDEX($R$8:$R$207,$U16),매출원본!$BA$8:$BA$1007,"포함",매출원본!$AS$8:$AS$1007,"&gt;="&amp;EDATE(설정!$B$10,0),매출원본!$AS$8:$AS$1007,"&lt;="&amp;EOMONTH(설정!$B$10,0)))</f>
        <v/>
      </c>
      <c r="J16" s="33">
        <f>IF(OR($U16="",1&gt;=설정!$B$12),"",SUMIFS(매출원본!$AT$8:$AT$1007,매출원본!$AX$8:$AX$1007,INDEX($R$8:$R$207,$U16),매출원본!$BA$8:$BA$1007,"포함",매출원본!$AS$8:$AS$1007,"&gt;="&amp;EDATE(설정!$B$10,1),매출원본!$AS$8:$AS$1007,"&lt;="&amp;EOMONTH(설정!$B$10,1)))</f>
        <v/>
      </c>
      <c r="K16" s="33">
        <f>IF(OR($U16="",2&gt;=설정!$B$12),"",SUMIFS(매출원본!$AT$8:$AT$1007,매출원본!$AX$8:$AX$1007,INDEX($R$8:$R$207,$U16),매출원본!$BA$8:$BA$1007,"포함",매출원본!$AS$8:$AS$1007,"&gt;="&amp;EDATE(설정!$B$10,2),매출원본!$AS$8:$AS$1007,"&lt;="&amp;EOMONTH(설정!$B$10,2)))</f>
        <v/>
      </c>
      <c r="L16" s="33">
        <f>IF(OR($U16="",3&gt;=설정!$B$12),"",SUMIFS(매출원본!$AT$8:$AT$1007,매출원본!$AX$8:$AX$1007,INDEX($R$8:$R$207,$U16),매출원본!$BA$8:$BA$1007,"포함",매출원본!$AS$8:$AS$1007,"&gt;="&amp;EDATE(설정!$B$10,3),매출원본!$AS$8:$AS$1007,"&lt;="&amp;EOMONTH(설정!$B$10,3)))</f>
        <v/>
      </c>
      <c r="M16" s="33">
        <f>IF(OR($U16="",4&gt;=설정!$B$12),"",SUMIFS(매출원본!$AT$8:$AT$1007,매출원본!$AX$8:$AX$1007,INDEX($R$8:$R$207,$U16),매출원본!$BA$8:$BA$1007,"포함",매출원본!$AS$8:$AS$1007,"&gt;="&amp;EDATE(설정!$B$10,4),매출원본!$AS$8:$AS$1007,"&lt;="&amp;EOMONTH(설정!$B$10,4)))</f>
        <v/>
      </c>
      <c r="N16" s="33">
        <f>IF(OR($U16="",5&gt;=설정!$B$12),"",SUMIFS(매출원본!$AT$8:$AT$1007,매출원본!$AX$8:$AX$1007,INDEX($R$8:$R$207,$U16),매출원본!$BA$8:$BA$1007,"포함",매출원본!$AS$8:$AS$1007,"&gt;="&amp;EDATE(설정!$B$10,5),매출원본!$AS$8:$AS$1007,"&lt;="&amp;EOMONTH(설정!$B$10,5)))</f>
        <v/>
      </c>
      <c r="Q16" s="35" t="n">
        <v>9</v>
      </c>
      <c r="R16" s="35">
        <f>IFERROR(INDEX(매출원본!$AX$8:$AX$1007,MATCH($Q16,매출원본!$BD$8:$BD$1007,0)),"")</f>
        <v/>
      </c>
      <c r="S16" s="35">
        <f>IF($R16="","",SUMIFS(매출원본!$AT$8:$AT$1007,매출원본!$AX$8:$AX$1007,$R16,매출원본!$BA$8:$BA$1007,"포함"))</f>
        <v/>
      </c>
      <c r="T16" s="35">
        <f>IF($R16="","",$S16-$Q16/100000)</f>
        <v/>
      </c>
      <c r="U16" s="35">
        <f>IFERROR(MATCH(LARGE($T$8:$T$207,9),$T$8:$T$207,0),"")</f>
        <v/>
      </c>
    </row>
    <row r="17">
      <c r="A17" s="32">
        <f>IF($U17="","",10)</f>
        <v/>
      </c>
      <c r="B17" s="10">
        <f>IF($U17="","",IFERROR(INDEX(매출원본!$AZ$8:$AZ$1007,MATCH($U17,매출원본!$BD$8:$BD$1007,0)),""))</f>
        <v/>
      </c>
      <c r="C17" s="10">
        <f>IF($U17="","",IFERROR(INDEX(매출원본!$AY$8:$AY$1007,MATCH($U17,매출원본!$BD$8:$BD$1007,0)),""))</f>
        <v/>
      </c>
      <c r="D17" s="33">
        <f>IF($U17="","",COUNTIFS(매출원본!$AX$8:$AX$1007,INDEX($R$8:$R$207,$U17),매출원본!$BA$8:$BA$1007,"포함"))</f>
        <v/>
      </c>
      <c r="E17" s="33">
        <f>IF($U17="","",SUMIFS(매출원본!$AT$8:$AT$1007,매출원본!$AX$8:$AX$1007,INDEX($R$8:$R$207,$U17),매출원본!$BA$8:$BA$1007,"포함"))</f>
        <v/>
      </c>
      <c r="F17" s="33">
        <f>IF($U17="","",SUMIFS(매출원본!$AU$8:$AU$1007,매출원본!$AX$8:$AX$1007,INDEX($R$8:$R$207,$U17),매출원본!$BA$8:$BA$1007,"포함"))</f>
        <v/>
      </c>
      <c r="G17" s="33">
        <f>IF($U17="","",SUMIFS(매출원본!$AV$8:$AV$1007,매출원본!$AX$8:$AX$1007,INDEX($R$8:$R$207,$U17),매출원본!$BA$8:$BA$1007,"포함"))</f>
        <v/>
      </c>
      <c r="H17" s="34">
        <f>IF(OR($U17="",$E$7=0),"",E17/$E$7)</f>
        <v/>
      </c>
      <c r="I17" s="33">
        <f>IF(OR($U17="",0&gt;=설정!$B$12),"",SUMIFS(매출원본!$AT$8:$AT$1007,매출원본!$AX$8:$AX$1007,INDEX($R$8:$R$207,$U17),매출원본!$BA$8:$BA$1007,"포함",매출원본!$AS$8:$AS$1007,"&gt;="&amp;EDATE(설정!$B$10,0),매출원본!$AS$8:$AS$1007,"&lt;="&amp;EOMONTH(설정!$B$10,0)))</f>
        <v/>
      </c>
      <c r="J17" s="33">
        <f>IF(OR($U17="",1&gt;=설정!$B$12),"",SUMIFS(매출원본!$AT$8:$AT$1007,매출원본!$AX$8:$AX$1007,INDEX($R$8:$R$207,$U17),매출원본!$BA$8:$BA$1007,"포함",매출원본!$AS$8:$AS$1007,"&gt;="&amp;EDATE(설정!$B$10,1),매출원본!$AS$8:$AS$1007,"&lt;="&amp;EOMONTH(설정!$B$10,1)))</f>
        <v/>
      </c>
      <c r="K17" s="33">
        <f>IF(OR($U17="",2&gt;=설정!$B$12),"",SUMIFS(매출원본!$AT$8:$AT$1007,매출원본!$AX$8:$AX$1007,INDEX($R$8:$R$207,$U17),매출원본!$BA$8:$BA$1007,"포함",매출원본!$AS$8:$AS$1007,"&gt;="&amp;EDATE(설정!$B$10,2),매출원본!$AS$8:$AS$1007,"&lt;="&amp;EOMONTH(설정!$B$10,2)))</f>
        <v/>
      </c>
      <c r="L17" s="33">
        <f>IF(OR($U17="",3&gt;=설정!$B$12),"",SUMIFS(매출원본!$AT$8:$AT$1007,매출원본!$AX$8:$AX$1007,INDEX($R$8:$R$207,$U17),매출원본!$BA$8:$BA$1007,"포함",매출원본!$AS$8:$AS$1007,"&gt;="&amp;EDATE(설정!$B$10,3),매출원본!$AS$8:$AS$1007,"&lt;="&amp;EOMONTH(설정!$B$10,3)))</f>
        <v/>
      </c>
      <c r="M17" s="33">
        <f>IF(OR($U17="",4&gt;=설정!$B$12),"",SUMIFS(매출원본!$AT$8:$AT$1007,매출원본!$AX$8:$AX$1007,INDEX($R$8:$R$207,$U17),매출원본!$BA$8:$BA$1007,"포함",매출원본!$AS$8:$AS$1007,"&gt;="&amp;EDATE(설정!$B$10,4),매출원본!$AS$8:$AS$1007,"&lt;="&amp;EOMONTH(설정!$B$10,4)))</f>
        <v/>
      </c>
      <c r="N17" s="33">
        <f>IF(OR($U17="",5&gt;=설정!$B$12),"",SUMIFS(매출원본!$AT$8:$AT$1007,매출원본!$AX$8:$AX$1007,INDEX($R$8:$R$207,$U17),매출원본!$BA$8:$BA$1007,"포함",매출원본!$AS$8:$AS$1007,"&gt;="&amp;EDATE(설정!$B$10,5),매출원본!$AS$8:$AS$1007,"&lt;="&amp;EOMONTH(설정!$B$10,5)))</f>
        <v/>
      </c>
      <c r="Q17" s="35" t="n">
        <v>10</v>
      </c>
      <c r="R17" s="35">
        <f>IFERROR(INDEX(매출원본!$AX$8:$AX$1007,MATCH($Q17,매출원본!$BD$8:$BD$1007,0)),"")</f>
        <v/>
      </c>
      <c r="S17" s="35">
        <f>IF($R17="","",SUMIFS(매출원본!$AT$8:$AT$1007,매출원본!$AX$8:$AX$1007,$R17,매출원본!$BA$8:$BA$1007,"포함"))</f>
        <v/>
      </c>
      <c r="T17" s="35">
        <f>IF($R17="","",$S17-$Q17/100000)</f>
        <v/>
      </c>
      <c r="U17" s="35">
        <f>IFERROR(MATCH(LARGE($T$8:$T$207,10),$T$8:$T$207,0),"")</f>
        <v/>
      </c>
    </row>
    <row r="18">
      <c r="A18" s="32">
        <f>IF($U18="","",11)</f>
        <v/>
      </c>
      <c r="B18" s="10">
        <f>IF($U18="","",IFERROR(INDEX(매출원본!$AZ$8:$AZ$1007,MATCH($U18,매출원본!$BD$8:$BD$1007,0)),""))</f>
        <v/>
      </c>
      <c r="C18" s="10">
        <f>IF($U18="","",IFERROR(INDEX(매출원본!$AY$8:$AY$1007,MATCH($U18,매출원본!$BD$8:$BD$1007,0)),""))</f>
        <v/>
      </c>
      <c r="D18" s="33">
        <f>IF($U18="","",COUNTIFS(매출원본!$AX$8:$AX$1007,INDEX($R$8:$R$207,$U18),매출원본!$BA$8:$BA$1007,"포함"))</f>
        <v/>
      </c>
      <c r="E18" s="33">
        <f>IF($U18="","",SUMIFS(매출원본!$AT$8:$AT$1007,매출원본!$AX$8:$AX$1007,INDEX($R$8:$R$207,$U18),매출원본!$BA$8:$BA$1007,"포함"))</f>
        <v/>
      </c>
      <c r="F18" s="33">
        <f>IF($U18="","",SUMIFS(매출원본!$AU$8:$AU$1007,매출원본!$AX$8:$AX$1007,INDEX($R$8:$R$207,$U18),매출원본!$BA$8:$BA$1007,"포함"))</f>
        <v/>
      </c>
      <c r="G18" s="33">
        <f>IF($U18="","",SUMIFS(매출원본!$AV$8:$AV$1007,매출원본!$AX$8:$AX$1007,INDEX($R$8:$R$207,$U18),매출원본!$BA$8:$BA$1007,"포함"))</f>
        <v/>
      </c>
      <c r="H18" s="34">
        <f>IF(OR($U18="",$E$7=0),"",E18/$E$7)</f>
        <v/>
      </c>
      <c r="I18" s="33">
        <f>IF(OR($U18="",0&gt;=설정!$B$12),"",SUMIFS(매출원본!$AT$8:$AT$1007,매출원본!$AX$8:$AX$1007,INDEX($R$8:$R$207,$U18),매출원본!$BA$8:$BA$1007,"포함",매출원본!$AS$8:$AS$1007,"&gt;="&amp;EDATE(설정!$B$10,0),매출원본!$AS$8:$AS$1007,"&lt;="&amp;EOMONTH(설정!$B$10,0)))</f>
        <v/>
      </c>
      <c r="J18" s="33">
        <f>IF(OR($U18="",1&gt;=설정!$B$12),"",SUMIFS(매출원본!$AT$8:$AT$1007,매출원본!$AX$8:$AX$1007,INDEX($R$8:$R$207,$U18),매출원본!$BA$8:$BA$1007,"포함",매출원본!$AS$8:$AS$1007,"&gt;="&amp;EDATE(설정!$B$10,1),매출원본!$AS$8:$AS$1007,"&lt;="&amp;EOMONTH(설정!$B$10,1)))</f>
        <v/>
      </c>
      <c r="K18" s="33">
        <f>IF(OR($U18="",2&gt;=설정!$B$12),"",SUMIFS(매출원본!$AT$8:$AT$1007,매출원본!$AX$8:$AX$1007,INDEX($R$8:$R$207,$U18),매출원본!$BA$8:$BA$1007,"포함",매출원본!$AS$8:$AS$1007,"&gt;="&amp;EDATE(설정!$B$10,2),매출원본!$AS$8:$AS$1007,"&lt;="&amp;EOMONTH(설정!$B$10,2)))</f>
        <v/>
      </c>
      <c r="L18" s="33">
        <f>IF(OR($U18="",3&gt;=설정!$B$12),"",SUMIFS(매출원본!$AT$8:$AT$1007,매출원본!$AX$8:$AX$1007,INDEX($R$8:$R$207,$U18),매출원본!$BA$8:$BA$1007,"포함",매출원본!$AS$8:$AS$1007,"&gt;="&amp;EDATE(설정!$B$10,3),매출원본!$AS$8:$AS$1007,"&lt;="&amp;EOMONTH(설정!$B$10,3)))</f>
        <v/>
      </c>
      <c r="M18" s="33">
        <f>IF(OR($U18="",4&gt;=설정!$B$12),"",SUMIFS(매출원본!$AT$8:$AT$1007,매출원본!$AX$8:$AX$1007,INDEX($R$8:$R$207,$U18),매출원본!$BA$8:$BA$1007,"포함",매출원본!$AS$8:$AS$1007,"&gt;="&amp;EDATE(설정!$B$10,4),매출원본!$AS$8:$AS$1007,"&lt;="&amp;EOMONTH(설정!$B$10,4)))</f>
        <v/>
      </c>
      <c r="N18" s="33">
        <f>IF(OR($U18="",5&gt;=설정!$B$12),"",SUMIFS(매출원본!$AT$8:$AT$1007,매출원본!$AX$8:$AX$1007,INDEX($R$8:$R$207,$U18),매출원본!$BA$8:$BA$1007,"포함",매출원본!$AS$8:$AS$1007,"&gt;="&amp;EDATE(설정!$B$10,5),매출원본!$AS$8:$AS$1007,"&lt;="&amp;EOMONTH(설정!$B$10,5)))</f>
        <v/>
      </c>
      <c r="Q18" s="35" t="n">
        <v>11</v>
      </c>
      <c r="R18" s="35">
        <f>IFERROR(INDEX(매출원본!$AX$8:$AX$1007,MATCH($Q18,매출원본!$BD$8:$BD$1007,0)),"")</f>
        <v/>
      </c>
      <c r="S18" s="35">
        <f>IF($R18="","",SUMIFS(매출원본!$AT$8:$AT$1007,매출원본!$AX$8:$AX$1007,$R18,매출원본!$BA$8:$BA$1007,"포함"))</f>
        <v/>
      </c>
      <c r="T18" s="35">
        <f>IF($R18="","",$S18-$Q18/100000)</f>
        <v/>
      </c>
      <c r="U18" s="35">
        <f>IFERROR(MATCH(LARGE($T$8:$T$207,11),$T$8:$T$207,0),"")</f>
        <v/>
      </c>
    </row>
    <row r="19">
      <c r="A19" s="32">
        <f>IF($U19="","",12)</f>
        <v/>
      </c>
      <c r="B19" s="10">
        <f>IF($U19="","",IFERROR(INDEX(매출원본!$AZ$8:$AZ$1007,MATCH($U19,매출원본!$BD$8:$BD$1007,0)),""))</f>
        <v/>
      </c>
      <c r="C19" s="10">
        <f>IF($U19="","",IFERROR(INDEX(매출원본!$AY$8:$AY$1007,MATCH($U19,매출원본!$BD$8:$BD$1007,0)),""))</f>
        <v/>
      </c>
      <c r="D19" s="33">
        <f>IF($U19="","",COUNTIFS(매출원본!$AX$8:$AX$1007,INDEX($R$8:$R$207,$U19),매출원본!$BA$8:$BA$1007,"포함"))</f>
        <v/>
      </c>
      <c r="E19" s="33">
        <f>IF($U19="","",SUMIFS(매출원본!$AT$8:$AT$1007,매출원본!$AX$8:$AX$1007,INDEX($R$8:$R$207,$U19),매출원본!$BA$8:$BA$1007,"포함"))</f>
        <v/>
      </c>
      <c r="F19" s="33">
        <f>IF($U19="","",SUMIFS(매출원본!$AU$8:$AU$1007,매출원본!$AX$8:$AX$1007,INDEX($R$8:$R$207,$U19),매출원본!$BA$8:$BA$1007,"포함"))</f>
        <v/>
      </c>
      <c r="G19" s="33">
        <f>IF($U19="","",SUMIFS(매출원본!$AV$8:$AV$1007,매출원본!$AX$8:$AX$1007,INDEX($R$8:$R$207,$U19),매출원본!$BA$8:$BA$1007,"포함"))</f>
        <v/>
      </c>
      <c r="H19" s="34">
        <f>IF(OR($U19="",$E$7=0),"",E19/$E$7)</f>
        <v/>
      </c>
      <c r="I19" s="33">
        <f>IF(OR($U19="",0&gt;=설정!$B$12),"",SUMIFS(매출원본!$AT$8:$AT$1007,매출원본!$AX$8:$AX$1007,INDEX($R$8:$R$207,$U19),매출원본!$BA$8:$BA$1007,"포함",매출원본!$AS$8:$AS$1007,"&gt;="&amp;EDATE(설정!$B$10,0),매출원본!$AS$8:$AS$1007,"&lt;="&amp;EOMONTH(설정!$B$10,0)))</f>
        <v/>
      </c>
      <c r="J19" s="33">
        <f>IF(OR($U19="",1&gt;=설정!$B$12),"",SUMIFS(매출원본!$AT$8:$AT$1007,매출원본!$AX$8:$AX$1007,INDEX($R$8:$R$207,$U19),매출원본!$BA$8:$BA$1007,"포함",매출원본!$AS$8:$AS$1007,"&gt;="&amp;EDATE(설정!$B$10,1),매출원본!$AS$8:$AS$1007,"&lt;="&amp;EOMONTH(설정!$B$10,1)))</f>
        <v/>
      </c>
      <c r="K19" s="33">
        <f>IF(OR($U19="",2&gt;=설정!$B$12),"",SUMIFS(매출원본!$AT$8:$AT$1007,매출원본!$AX$8:$AX$1007,INDEX($R$8:$R$207,$U19),매출원본!$BA$8:$BA$1007,"포함",매출원본!$AS$8:$AS$1007,"&gt;="&amp;EDATE(설정!$B$10,2),매출원본!$AS$8:$AS$1007,"&lt;="&amp;EOMONTH(설정!$B$10,2)))</f>
        <v/>
      </c>
      <c r="L19" s="33">
        <f>IF(OR($U19="",3&gt;=설정!$B$12),"",SUMIFS(매출원본!$AT$8:$AT$1007,매출원본!$AX$8:$AX$1007,INDEX($R$8:$R$207,$U19),매출원본!$BA$8:$BA$1007,"포함",매출원본!$AS$8:$AS$1007,"&gt;="&amp;EDATE(설정!$B$10,3),매출원본!$AS$8:$AS$1007,"&lt;="&amp;EOMONTH(설정!$B$10,3)))</f>
        <v/>
      </c>
      <c r="M19" s="33">
        <f>IF(OR($U19="",4&gt;=설정!$B$12),"",SUMIFS(매출원본!$AT$8:$AT$1007,매출원본!$AX$8:$AX$1007,INDEX($R$8:$R$207,$U19),매출원본!$BA$8:$BA$1007,"포함",매출원본!$AS$8:$AS$1007,"&gt;="&amp;EDATE(설정!$B$10,4),매출원본!$AS$8:$AS$1007,"&lt;="&amp;EOMONTH(설정!$B$10,4)))</f>
        <v/>
      </c>
      <c r="N19" s="33">
        <f>IF(OR($U19="",5&gt;=설정!$B$12),"",SUMIFS(매출원본!$AT$8:$AT$1007,매출원본!$AX$8:$AX$1007,INDEX($R$8:$R$207,$U19),매출원본!$BA$8:$BA$1007,"포함",매출원본!$AS$8:$AS$1007,"&gt;="&amp;EDATE(설정!$B$10,5),매출원본!$AS$8:$AS$1007,"&lt;="&amp;EOMONTH(설정!$B$10,5)))</f>
        <v/>
      </c>
      <c r="Q19" s="35" t="n">
        <v>12</v>
      </c>
      <c r="R19" s="35">
        <f>IFERROR(INDEX(매출원본!$AX$8:$AX$1007,MATCH($Q19,매출원본!$BD$8:$BD$1007,0)),"")</f>
        <v/>
      </c>
      <c r="S19" s="35">
        <f>IF($R19="","",SUMIFS(매출원본!$AT$8:$AT$1007,매출원본!$AX$8:$AX$1007,$R19,매출원본!$BA$8:$BA$1007,"포함"))</f>
        <v/>
      </c>
      <c r="T19" s="35">
        <f>IF($R19="","",$S19-$Q19/100000)</f>
        <v/>
      </c>
      <c r="U19" s="35">
        <f>IFERROR(MATCH(LARGE($T$8:$T$207,12),$T$8:$T$207,0),"")</f>
        <v/>
      </c>
    </row>
    <row r="20">
      <c r="A20" s="32">
        <f>IF($U20="","",13)</f>
        <v/>
      </c>
      <c r="B20" s="10">
        <f>IF($U20="","",IFERROR(INDEX(매출원본!$AZ$8:$AZ$1007,MATCH($U20,매출원본!$BD$8:$BD$1007,0)),""))</f>
        <v/>
      </c>
      <c r="C20" s="10">
        <f>IF($U20="","",IFERROR(INDEX(매출원본!$AY$8:$AY$1007,MATCH($U20,매출원본!$BD$8:$BD$1007,0)),""))</f>
        <v/>
      </c>
      <c r="D20" s="33">
        <f>IF($U20="","",COUNTIFS(매출원본!$AX$8:$AX$1007,INDEX($R$8:$R$207,$U20),매출원본!$BA$8:$BA$1007,"포함"))</f>
        <v/>
      </c>
      <c r="E20" s="33">
        <f>IF($U20="","",SUMIFS(매출원본!$AT$8:$AT$1007,매출원본!$AX$8:$AX$1007,INDEX($R$8:$R$207,$U20),매출원본!$BA$8:$BA$1007,"포함"))</f>
        <v/>
      </c>
      <c r="F20" s="33">
        <f>IF($U20="","",SUMIFS(매출원본!$AU$8:$AU$1007,매출원본!$AX$8:$AX$1007,INDEX($R$8:$R$207,$U20),매출원본!$BA$8:$BA$1007,"포함"))</f>
        <v/>
      </c>
      <c r="G20" s="33">
        <f>IF($U20="","",SUMIFS(매출원본!$AV$8:$AV$1007,매출원본!$AX$8:$AX$1007,INDEX($R$8:$R$207,$U20),매출원본!$BA$8:$BA$1007,"포함"))</f>
        <v/>
      </c>
      <c r="H20" s="34">
        <f>IF(OR($U20="",$E$7=0),"",E20/$E$7)</f>
        <v/>
      </c>
      <c r="I20" s="33">
        <f>IF(OR($U20="",0&gt;=설정!$B$12),"",SUMIFS(매출원본!$AT$8:$AT$1007,매출원본!$AX$8:$AX$1007,INDEX($R$8:$R$207,$U20),매출원본!$BA$8:$BA$1007,"포함",매출원본!$AS$8:$AS$1007,"&gt;="&amp;EDATE(설정!$B$10,0),매출원본!$AS$8:$AS$1007,"&lt;="&amp;EOMONTH(설정!$B$10,0)))</f>
        <v/>
      </c>
      <c r="J20" s="33">
        <f>IF(OR($U20="",1&gt;=설정!$B$12),"",SUMIFS(매출원본!$AT$8:$AT$1007,매출원본!$AX$8:$AX$1007,INDEX($R$8:$R$207,$U20),매출원본!$BA$8:$BA$1007,"포함",매출원본!$AS$8:$AS$1007,"&gt;="&amp;EDATE(설정!$B$10,1),매출원본!$AS$8:$AS$1007,"&lt;="&amp;EOMONTH(설정!$B$10,1)))</f>
        <v/>
      </c>
      <c r="K20" s="33">
        <f>IF(OR($U20="",2&gt;=설정!$B$12),"",SUMIFS(매출원본!$AT$8:$AT$1007,매출원본!$AX$8:$AX$1007,INDEX($R$8:$R$207,$U20),매출원본!$BA$8:$BA$1007,"포함",매출원본!$AS$8:$AS$1007,"&gt;="&amp;EDATE(설정!$B$10,2),매출원본!$AS$8:$AS$1007,"&lt;="&amp;EOMONTH(설정!$B$10,2)))</f>
        <v/>
      </c>
      <c r="L20" s="33">
        <f>IF(OR($U20="",3&gt;=설정!$B$12),"",SUMIFS(매출원본!$AT$8:$AT$1007,매출원본!$AX$8:$AX$1007,INDEX($R$8:$R$207,$U20),매출원본!$BA$8:$BA$1007,"포함",매출원본!$AS$8:$AS$1007,"&gt;="&amp;EDATE(설정!$B$10,3),매출원본!$AS$8:$AS$1007,"&lt;="&amp;EOMONTH(설정!$B$10,3)))</f>
        <v/>
      </c>
      <c r="M20" s="33">
        <f>IF(OR($U20="",4&gt;=설정!$B$12),"",SUMIFS(매출원본!$AT$8:$AT$1007,매출원본!$AX$8:$AX$1007,INDEX($R$8:$R$207,$U20),매출원본!$BA$8:$BA$1007,"포함",매출원본!$AS$8:$AS$1007,"&gt;="&amp;EDATE(설정!$B$10,4),매출원본!$AS$8:$AS$1007,"&lt;="&amp;EOMONTH(설정!$B$10,4)))</f>
        <v/>
      </c>
      <c r="N20" s="33">
        <f>IF(OR($U20="",5&gt;=설정!$B$12),"",SUMIFS(매출원본!$AT$8:$AT$1007,매출원본!$AX$8:$AX$1007,INDEX($R$8:$R$207,$U20),매출원본!$BA$8:$BA$1007,"포함",매출원본!$AS$8:$AS$1007,"&gt;="&amp;EDATE(설정!$B$10,5),매출원본!$AS$8:$AS$1007,"&lt;="&amp;EOMONTH(설정!$B$10,5)))</f>
        <v/>
      </c>
      <c r="Q20" s="35" t="n">
        <v>13</v>
      </c>
      <c r="R20" s="35">
        <f>IFERROR(INDEX(매출원본!$AX$8:$AX$1007,MATCH($Q20,매출원본!$BD$8:$BD$1007,0)),"")</f>
        <v/>
      </c>
      <c r="S20" s="35">
        <f>IF($R20="","",SUMIFS(매출원본!$AT$8:$AT$1007,매출원본!$AX$8:$AX$1007,$R20,매출원본!$BA$8:$BA$1007,"포함"))</f>
        <v/>
      </c>
      <c r="T20" s="35">
        <f>IF($R20="","",$S20-$Q20/100000)</f>
        <v/>
      </c>
      <c r="U20" s="35">
        <f>IFERROR(MATCH(LARGE($T$8:$T$207,13),$T$8:$T$207,0),"")</f>
        <v/>
      </c>
    </row>
    <row r="21">
      <c r="A21" s="32">
        <f>IF($U21="","",14)</f>
        <v/>
      </c>
      <c r="B21" s="10">
        <f>IF($U21="","",IFERROR(INDEX(매출원본!$AZ$8:$AZ$1007,MATCH($U21,매출원본!$BD$8:$BD$1007,0)),""))</f>
        <v/>
      </c>
      <c r="C21" s="10">
        <f>IF($U21="","",IFERROR(INDEX(매출원본!$AY$8:$AY$1007,MATCH($U21,매출원본!$BD$8:$BD$1007,0)),""))</f>
        <v/>
      </c>
      <c r="D21" s="33">
        <f>IF($U21="","",COUNTIFS(매출원본!$AX$8:$AX$1007,INDEX($R$8:$R$207,$U21),매출원본!$BA$8:$BA$1007,"포함"))</f>
        <v/>
      </c>
      <c r="E21" s="33">
        <f>IF($U21="","",SUMIFS(매출원본!$AT$8:$AT$1007,매출원본!$AX$8:$AX$1007,INDEX($R$8:$R$207,$U21),매출원본!$BA$8:$BA$1007,"포함"))</f>
        <v/>
      </c>
      <c r="F21" s="33">
        <f>IF($U21="","",SUMIFS(매출원본!$AU$8:$AU$1007,매출원본!$AX$8:$AX$1007,INDEX($R$8:$R$207,$U21),매출원본!$BA$8:$BA$1007,"포함"))</f>
        <v/>
      </c>
      <c r="G21" s="33">
        <f>IF($U21="","",SUMIFS(매출원본!$AV$8:$AV$1007,매출원본!$AX$8:$AX$1007,INDEX($R$8:$R$207,$U21),매출원본!$BA$8:$BA$1007,"포함"))</f>
        <v/>
      </c>
      <c r="H21" s="34">
        <f>IF(OR($U21="",$E$7=0),"",E21/$E$7)</f>
        <v/>
      </c>
      <c r="I21" s="33">
        <f>IF(OR($U21="",0&gt;=설정!$B$12),"",SUMIFS(매출원본!$AT$8:$AT$1007,매출원본!$AX$8:$AX$1007,INDEX($R$8:$R$207,$U21),매출원본!$BA$8:$BA$1007,"포함",매출원본!$AS$8:$AS$1007,"&gt;="&amp;EDATE(설정!$B$10,0),매출원본!$AS$8:$AS$1007,"&lt;="&amp;EOMONTH(설정!$B$10,0)))</f>
        <v/>
      </c>
      <c r="J21" s="33">
        <f>IF(OR($U21="",1&gt;=설정!$B$12),"",SUMIFS(매출원본!$AT$8:$AT$1007,매출원본!$AX$8:$AX$1007,INDEX($R$8:$R$207,$U21),매출원본!$BA$8:$BA$1007,"포함",매출원본!$AS$8:$AS$1007,"&gt;="&amp;EDATE(설정!$B$10,1),매출원본!$AS$8:$AS$1007,"&lt;="&amp;EOMONTH(설정!$B$10,1)))</f>
        <v/>
      </c>
      <c r="K21" s="33">
        <f>IF(OR($U21="",2&gt;=설정!$B$12),"",SUMIFS(매출원본!$AT$8:$AT$1007,매출원본!$AX$8:$AX$1007,INDEX($R$8:$R$207,$U21),매출원본!$BA$8:$BA$1007,"포함",매출원본!$AS$8:$AS$1007,"&gt;="&amp;EDATE(설정!$B$10,2),매출원본!$AS$8:$AS$1007,"&lt;="&amp;EOMONTH(설정!$B$10,2)))</f>
        <v/>
      </c>
      <c r="L21" s="33">
        <f>IF(OR($U21="",3&gt;=설정!$B$12),"",SUMIFS(매출원본!$AT$8:$AT$1007,매출원본!$AX$8:$AX$1007,INDEX($R$8:$R$207,$U21),매출원본!$BA$8:$BA$1007,"포함",매출원본!$AS$8:$AS$1007,"&gt;="&amp;EDATE(설정!$B$10,3),매출원본!$AS$8:$AS$1007,"&lt;="&amp;EOMONTH(설정!$B$10,3)))</f>
        <v/>
      </c>
      <c r="M21" s="33">
        <f>IF(OR($U21="",4&gt;=설정!$B$12),"",SUMIFS(매출원본!$AT$8:$AT$1007,매출원본!$AX$8:$AX$1007,INDEX($R$8:$R$207,$U21),매출원본!$BA$8:$BA$1007,"포함",매출원본!$AS$8:$AS$1007,"&gt;="&amp;EDATE(설정!$B$10,4),매출원본!$AS$8:$AS$1007,"&lt;="&amp;EOMONTH(설정!$B$10,4)))</f>
        <v/>
      </c>
      <c r="N21" s="33">
        <f>IF(OR($U21="",5&gt;=설정!$B$12),"",SUMIFS(매출원본!$AT$8:$AT$1007,매출원본!$AX$8:$AX$1007,INDEX($R$8:$R$207,$U21),매출원본!$BA$8:$BA$1007,"포함",매출원본!$AS$8:$AS$1007,"&gt;="&amp;EDATE(설정!$B$10,5),매출원본!$AS$8:$AS$1007,"&lt;="&amp;EOMONTH(설정!$B$10,5)))</f>
        <v/>
      </c>
      <c r="Q21" s="35" t="n">
        <v>14</v>
      </c>
      <c r="R21" s="35">
        <f>IFERROR(INDEX(매출원본!$AX$8:$AX$1007,MATCH($Q21,매출원본!$BD$8:$BD$1007,0)),"")</f>
        <v/>
      </c>
      <c r="S21" s="35">
        <f>IF($R21="","",SUMIFS(매출원본!$AT$8:$AT$1007,매출원본!$AX$8:$AX$1007,$R21,매출원본!$BA$8:$BA$1007,"포함"))</f>
        <v/>
      </c>
      <c r="T21" s="35">
        <f>IF($R21="","",$S21-$Q21/100000)</f>
        <v/>
      </c>
      <c r="U21" s="35">
        <f>IFERROR(MATCH(LARGE($T$8:$T$207,14),$T$8:$T$207,0),"")</f>
        <v/>
      </c>
    </row>
    <row r="22">
      <c r="A22" s="32">
        <f>IF($U22="","",15)</f>
        <v/>
      </c>
      <c r="B22" s="10">
        <f>IF($U22="","",IFERROR(INDEX(매출원본!$AZ$8:$AZ$1007,MATCH($U22,매출원본!$BD$8:$BD$1007,0)),""))</f>
        <v/>
      </c>
      <c r="C22" s="10">
        <f>IF($U22="","",IFERROR(INDEX(매출원본!$AY$8:$AY$1007,MATCH($U22,매출원본!$BD$8:$BD$1007,0)),""))</f>
        <v/>
      </c>
      <c r="D22" s="33">
        <f>IF($U22="","",COUNTIFS(매출원본!$AX$8:$AX$1007,INDEX($R$8:$R$207,$U22),매출원본!$BA$8:$BA$1007,"포함"))</f>
        <v/>
      </c>
      <c r="E22" s="33">
        <f>IF($U22="","",SUMIFS(매출원본!$AT$8:$AT$1007,매출원본!$AX$8:$AX$1007,INDEX($R$8:$R$207,$U22),매출원본!$BA$8:$BA$1007,"포함"))</f>
        <v/>
      </c>
      <c r="F22" s="33">
        <f>IF($U22="","",SUMIFS(매출원본!$AU$8:$AU$1007,매출원본!$AX$8:$AX$1007,INDEX($R$8:$R$207,$U22),매출원본!$BA$8:$BA$1007,"포함"))</f>
        <v/>
      </c>
      <c r="G22" s="33">
        <f>IF($U22="","",SUMIFS(매출원본!$AV$8:$AV$1007,매출원본!$AX$8:$AX$1007,INDEX($R$8:$R$207,$U22),매출원본!$BA$8:$BA$1007,"포함"))</f>
        <v/>
      </c>
      <c r="H22" s="34">
        <f>IF(OR($U22="",$E$7=0),"",E22/$E$7)</f>
        <v/>
      </c>
      <c r="I22" s="33">
        <f>IF(OR($U22="",0&gt;=설정!$B$12),"",SUMIFS(매출원본!$AT$8:$AT$1007,매출원본!$AX$8:$AX$1007,INDEX($R$8:$R$207,$U22),매출원본!$BA$8:$BA$1007,"포함",매출원본!$AS$8:$AS$1007,"&gt;="&amp;EDATE(설정!$B$10,0),매출원본!$AS$8:$AS$1007,"&lt;="&amp;EOMONTH(설정!$B$10,0)))</f>
        <v/>
      </c>
      <c r="J22" s="33">
        <f>IF(OR($U22="",1&gt;=설정!$B$12),"",SUMIFS(매출원본!$AT$8:$AT$1007,매출원본!$AX$8:$AX$1007,INDEX($R$8:$R$207,$U22),매출원본!$BA$8:$BA$1007,"포함",매출원본!$AS$8:$AS$1007,"&gt;="&amp;EDATE(설정!$B$10,1),매출원본!$AS$8:$AS$1007,"&lt;="&amp;EOMONTH(설정!$B$10,1)))</f>
        <v/>
      </c>
      <c r="K22" s="33">
        <f>IF(OR($U22="",2&gt;=설정!$B$12),"",SUMIFS(매출원본!$AT$8:$AT$1007,매출원본!$AX$8:$AX$1007,INDEX($R$8:$R$207,$U22),매출원본!$BA$8:$BA$1007,"포함",매출원본!$AS$8:$AS$1007,"&gt;="&amp;EDATE(설정!$B$10,2),매출원본!$AS$8:$AS$1007,"&lt;="&amp;EOMONTH(설정!$B$10,2)))</f>
        <v/>
      </c>
      <c r="L22" s="33">
        <f>IF(OR($U22="",3&gt;=설정!$B$12),"",SUMIFS(매출원본!$AT$8:$AT$1007,매출원본!$AX$8:$AX$1007,INDEX($R$8:$R$207,$U22),매출원본!$BA$8:$BA$1007,"포함",매출원본!$AS$8:$AS$1007,"&gt;="&amp;EDATE(설정!$B$10,3),매출원본!$AS$8:$AS$1007,"&lt;="&amp;EOMONTH(설정!$B$10,3)))</f>
        <v/>
      </c>
      <c r="M22" s="33">
        <f>IF(OR($U22="",4&gt;=설정!$B$12),"",SUMIFS(매출원본!$AT$8:$AT$1007,매출원본!$AX$8:$AX$1007,INDEX($R$8:$R$207,$U22),매출원본!$BA$8:$BA$1007,"포함",매출원본!$AS$8:$AS$1007,"&gt;="&amp;EDATE(설정!$B$10,4),매출원본!$AS$8:$AS$1007,"&lt;="&amp;EOMONTH(설정!$B$10,4)))</f>
        <v/>
      </c>
      <c r="N22" s="33">
        <f>IF(OR($U22="",5&gt;=설정!$B$12),"",SUMIFS(매출원본!$AT$8:$AT$1007,매출원본!$AX$8:$AX$1007,INDEX($R$8:$R$207,$U22),매출원본!$BA$8:$BA$1007,"포함",매출원본!$AS$8:$AS$1007,"&gt;="&amp;EDATE(설정!$B$10,5),매출원본!$AS$8:$AS$1007,"&lt;="&amp;EOMONTH(설정!$B$10,5)))</f>
        <v/>
      </c>
      <c r="Q22" s="35" t="n">
        <v>15</v>
      </c>
      <c r="R22" s="35">
        <f>IFERROR(INDEX(매출원본!$AX$8:$AX$1007,MATCH($Q22,매출원본!$BD$8:$BD$1007,0)),"")</f>
        <v/>
      </c>
      <c r="S22" s="35">
        <f>IF($R22="","",SUMIFS(매출원본!$AT$8:$AT$1007,매출원본!$AX$8:$AX$1007,$R22,매출원본!$BA$8:$BA$1007,"포함"))</f>
        <v/>
      </c>
      <c r="T22" s="35">
        <f>IF($R22="","",$S22-$Q22/100000)</f>
        <v/>
      </c>
      <c r="U22" s="35">
        <f>IFERROR(MATCH(LARGE($T$8:$T$207,15),$T$8:$T$207,0),"")</f>
        <v/>
      </c>
    </row>
    <row r="23">
      <c r="A23" s="32">
        <f>IF($U23="","",16)</f>
        <v/>
      </c>
      <c r="B23" s="10">
        <f>IF($U23="","",IFERROR(INDEX(매출원본!$AZ$8:$AZ$1007,MATCH($U23,매출원본!$BD$8:$BD$1007,0)),""))</f>
        <v/>
      </c>
      <c r="C23" s="10">
        <f>IF($U23="","",IFERROR(INDEX(매출원본!$AY$8:$AY$1007,MATCH($U23,매출원본!$BD$8:$BD$1007,0)),""))</f>
        <v/>
      </c>
      <c r="D23" s="33">
        <f>IF($U23="","",COUNTIFS(매출원본!$AX$8:$AX$1007,INDEX($R$8:$R$207,$U23),매출원본!$BA$8:$BA$1007,"포함"))</f>
        <v/>
      </c>
      <c r="E23" s="33">
        <f>IF($U23="","",SUMIFS(매출원본!$AT$8:$AT$1007,매출원본!$AX$8:$AX$1007,INDEX($R$8:$R$207,$U23),매출원본!$BA$8:$BA$1007,"포함"))</f>
        <v/>
      </c>
      <c r="F23" s="33">
        <f>IF($U23="","",SUMIFS(매출원본!$AU$8:$AU$1007,매출원본!$AX$8:$AX$1007,INDEX($R$8:$R$207,$U23),매출원본!$BA$8:$BA$1007,"포함"))</f>
        <v/>
      </c>
      <c r="G23" s="33">
        <f>IF($U23="","",SUMIFS(매출원본!$AV$8:$AV$1007,매출원본!$AX$8:$AX$1007,INDEX($R$8:$R$207,$U23),매출원본!$BA$8:$BA$1007,"포함"))</f>
        <v/>
      </c>
      <c r="H23" s="34">
        <f>IF(OR($U23="",$E$7=0),"",E23/$E$7)</f>
        <v/>
      </c>
      <c r="I23" s="33">
        <f>IF(OR($U23="",0&gt;=설정!$B$12),"",SUMIFS(매출원본!$AT$8:$AT$1007,매출원본!$AX$8:$AX$1007,INDEX($R$8:$R$207,$U23),매출원본!$BA$8:$BA$1007,"포함",매출원본!$AS$8:$AS$1007,"&gt;="&amp;EDATE(설정!$B$10,0),매출원본!$AS$8:$AS$1007,"&lt;="&amp;EOMONTH(설정!$B$10,0)))</f>
        <v/>
      </c>
      <c r="J23" s="33">
        <f>IF(OR($U23="",1&gt;=설정!$B$12),"",SUMIFS(매출원본!$AT$8:$AT$1007,매출원본!$AX$8:$AX$1007,INDEX($R$8:$R$207,$U23),매출원본!$BA$8:$BA$1007,"포함",매출원본!$AS$8:$AS$1007,"&gt;="&amp;EDATE(설정!$B$10,1),매출원본!$AS$8:$AS$1007,"&lt;="&amp;EOMONTH(설정!$B$10,1)))</f>
        <v/>
      </c>
      <c r="K23" s="33">
        <f>IF(OR($U23="",2&gt;=설정!$B$12),"",SUMIFS(매출원본!$AT$8:$AT$1007,매출원본!$AX$8:$AX$1007,INDEX($R$8:$R$207,$U23),매출원본!$BA$8:$BA$1007,"포함",매출원본!$AS$8:$AS$1007,"&gt;="&amp;EDATE(설정!$B$10,2),매출원본!$AS$8:$AS$1007,"&lt;="&amp;EOMONTH(설정!$B$10,2)))</f>
        <v/>
      </c>
      <c r="L23" s="33">
        <f>IF(OR($U23="",3&gt;=설정!$B$12),"",SUMIFS(매출원본!$AT$8:$AT$1007,매출원본!$AX$8:$AX$1007,INDEX($R$8:$R$207,$U23),매출원본!$BA$8:$BA$1007,"포함",매출원본!$AS$8:$AS$1007,"&gt;="&amp;EDATE(설정!$B$10,3),매출원본!$AS$8:$AS$1007,"&lt;="&amp;EOMONTH(설정!$B$10,3)))</f>
        <v/>
      </c>
      <c r="M23" s="33">
        <f>IF(OR($U23="",4&gt;=설정!$B$12),"",SUMIFS(매출원본!$AT$8:$AT$1007,매출원본!$AX$8:$AX$1007,INDEX($R$8:$R$207,$U23),매출원본!$BA$8:$BA$1007,"포함",매출원본!$AS$8:$AS$1007,"&gt;="&amp;EDATE(설정!$B$10,4),매출원본!$AS$8:$AS$1007,"&lt;="&amp;EOMONTH(설정!$B$10,4)))</f>
        <v/>
      </c>
      <c r="N23" s="33">
        <f>IF(OR($U23="",5&gt;=설정!$B$12),"",SUMIFS(매출원본!$AT$8:$AT$1007,매출원본!$AX$8:$AX$1007,INDEX($R$8:$R$207,$U23),매출원본!$BA$8:$BA$1007,"포함",매출원본!$AS$8:$AS$1007,"&gt;="&amp;EDATE(설정!$B$10,5),매출원본!$AS$8:$AS$1007,"&lt;="&amp;EOMONTH(설정!$B$10,5)))</f>
        <v/>
      </c>
      <c r="Q23" s="35" t="n">
        <v>16</v>
      </c>
      <c r="R23" s="35">
        <f>IFERROR(INDEX(매출원본!$AX$8:$AX$1007,MATCH($Q23,매출원본!$BD$8:$BD$1007,0)),"")</f>
        <v/>
      </c>
      <c r="S23" s="35">
        <f>IF($R23="","",SUMIFS(매출원본!$AT$8:$AT$1007,매출원본!$AX$8:$AX$1007,$R23,매출원본!$BA$8:$BA$1007,"포함"))</f>
        <v/>
      </c>
      <c r="T23" s="35">
        <f>IF($R23="","",$S23-$Q23/100000)</f>
        <v/>
      </c>
      <c r="U23" s="35">
        <f>IFERROR(MATCH(LARGE($T$8:$T$207,16),$T$8:$T$207,0),"")</f>
        <v/>
      </c>
    </row>
    <row r="24">
      <c r="A24" s="32">
        <f>IF($U24="","",17)</f>
        <v/>
      </c>
      <c r="B24" s="10">
        <f>IF($U24="","",IFERROR(INDEX(매출원본!$AZ$8:$AZ$1007,MATCH($U24,매출원본!$BD$8:$BD$1007,0)),""))</f>
        <v/>
      </c>
      <c r="C24" s="10">
        <f>IF($U24="","",IFERROR(INDEX(매출원본!$AY$8:$AY$1007,MATCH($U24,매출원본!$BD$8:$BD$1007,0)),""))</f>
        <v/>
      </c>
      <c r="D24" s="33">
        <f>IF($U24="","",COUNTIFS(매출원본!$AX$8:$AX$1007,INDEX($R$8:$R$207,$U24),매출원본!$BA$8:$BA$1007,"포함"))</f>
        <v/>
      </c>
      <c r="E24" s="33">
        <f>IF($U24="","",SUMIFS(매출원본!$AT$8:$AT$1007,매출원본!$AX$8:$AX$1007,INDEX($R$8:$R$207,$U24),매출원본!$BA$8:$BA$1007,"포함"))</f>
        <v/>
      </c>
      <c r="F24" s="33">
        <f>IF($U24="","",SUMIFS(매출원본!$AU$8:$AU$1007,매출원본!$AX$8:$AX$1007,INDEX($R$8:$R$207,$U24),매출원본!$BA$8:$BA$1007,"포함"))</f>
        <v/>
      </c>
      <c r="G24" s="33">
        <f>IF($U24="","",SUMIFS(매출원본!$AV$8:$AV$1007,매출원본!$AX$8:$AX$1007,INDEX($R$8:$R$207,$U24),매출원본!$BA$8:$BA$1007,"포함"))</f>
        <v/>
      </c>
      <c r="H24" s="34">
        <f>IF(OR($U24="",$E$7=0),"",E24/$E$7)</f>
        <v/>
      </c>
      <c r="I24" s="33">
        <f>IF(OR($U24="",0&gt;=설정!$B$12),"",SUMIFS(매출원본!$AT$8:$AT$1007,매출원본!$AX$8:$AX$1007,INDEX($R$8:$R$207,$U24),매출원본!$BA$8:$BA$1007,"포함",매출원본!$AS$8:$AS$1007,"&gt;="&amp;EDATE(설정!$B$10,0),매출원본!$AS$8:$AS$1007,"&lt;="&amp;EOMONTH(설정!$B$10,0)))</f>
        <v/>
      </c>
      <c r="J24" s="33">
        <f>IF(OR($U24="",1&gt;=설정!$B$12),"",SUMIFS(매출원본!$AT$8:$AT$1007,매출원본!$AX$8:$AX$1007,INDEX($R$8:$R$207,$U24),매출원본!$BA$8:$BA$1007,"포함",매출원본!$AS$8:$AS$1007,"&gt;="&amp;EDATE(설정!$B$10,1),매출원본!$AS$8:$AS$1007,"&lt;="&amp;EOMONTH(설정!$B$10,1)))</f>
        <v/>
      </c>
      <c r="K24" s="33">
        <f>IF(OR($U24="",2&gt;=설정!$B$12),"",SUMIFS(매출원본!$AT$8:$AT$1007,매출원본!$AX$8:$AX$1007,INDEX($R$8:$R$207,$U24),매출원본!$BA$8:$BA$1007,"포함",매출원본!$AS$8:$AS$1007,"&gt;="&amp;EDATE(설정!$B$10,2),매출원본!$AS$8:$AS$1007,"&lt;="&amp;EOMONTH(설정!$B$10,2)))</f>
        <v/>
      </c>
      <c r="L24" s="33">
        <f>IF(OR($U24="",3&gt;=설정!$B$12),"",SUMIFS(매출원본!$AT$8:$AT$1007,매출원본!$AX$8:$AX$1007,INDEX($R$8:$R$207,$U24),매출원본!$BA$8:$BA$1007,"포함",매출원본!$AS$8:$AS$1007,"&gt;="&amp;EDATE(설정!$B$10,3),매출원본!$AS$8:$AS$1007,"&lt;="&amp;EOMONTH(설정!$B$10,3)))</f>
        <v/>
      </c>
      <c r="M24" s="33">
        <f>IF(OR($U24="",4&gt;=설정!$B$12),"",SUMIFS(매출원본!$AT$8:$AT$1007,매출원본!$AX$8:$AX$1007,INDEX($R$8:$R$207,$U24),매출원본!$BA$8:$BA$1007,"포함",매출원본!$AS$8:$AS$1007,"&gt;="&amp;EDATE(설정!$B$10,4),매출원본!$AS$8:$AS$1007,"&lt;="&amp;EOMONTH(설정!$B$10,4)))</f>
        <v/>
      </c>
      <c r="N24" s="33">
        <f>IF(OR($U24="",5&gt;=설정!$B$12),"",SUMIFS(매출원본!$AT$8:$AT$1007,매출원본!$AX$8:$AX$1007,INDEX($R$8:$R$207,$U24),매출원본!$BA$8:$BA$1007,"포함",매출원본!$AS$8:$AS$1007,"&gt;="&amp;EDATE(설정!$B$10,5),매출원본!$AS$8:$AS$1007,"&lt;="&amp;EOMONTH(설정!$B$10,5)))</f>
        <v/>
      </c>
      <c r="Q24" s="35" t="n">
        <v>17</v>
      </c>
      <c r="R24" s="35">
        <f>IFERROR(INDEX(매출원본!$AX$8:$AX$1007,MATCH($Q24,매출원본!$BD$8:$BD$1007,0)),"")</f>
        <v/>
      </c>
      <c r="S24" s="35">
        <f>IF($R24="","",SUMIFS(매출원본!$AT$8:$AT$1007,매출원본!$AX$8:$AX$1007,$R24,매출원본!$BA$8:$BA$1007,"포함"))</f>
        <v/>
      </c>
      <c r="T24" s="35">
        <f>IF($R24="","",$S24-$Q24/100000)</f>
        <v/>
      </c>
      <c r="U24" s="35">
        <f>IFERROR(MATCH(LARGE($T$8:$T$207,17),$T$8:$T$207,0),"")</f>
        <v/>
      </c>
    </row>
    <row r="25">
      <c r="A25" s="32">
        <f>IF($U25="","",18)</f>
        <v/>
      </c>
      <c r="B25" s="10">
        <f>IF($U25="","",IFERROR(INDEX(매출원본!$AZ$8:$AZ$1007,MATCH($U25,매출원본!$BD$8:$BD$1007,0)),""))</f>
        <v/>
      </c>
      <c r="C25" s="10">
        <f>IF($U25="","",IFERROR(INDEX(매출원본!$AY$8:$AY$1007,MATCH($U25,매출원본!$BD$8:$BD$1007,0)),""))</f>
        <v/>
      </c>
      <c r="D25" s="33">
        <f>IF($U25="","",COUNTIFS(매출원본!$AX$8:$AX$1007,INDEX($R$8:$R$207,$U25),매출원본!$BA$8:$BA$1007,"포함"))</f>
        <v/>
      </c>
      <c r="E25" s="33">
        <f>IF($U25="","",SUMIFS(매출원본!$AT$8:$AT$1007,매출원본!$AX$8:$AX$1007,INDEX($R$8:$R$207,$U25),매출원본!$BA$8:$BA$1007,"포함"))</f>
        <v/>
      </c>
      <c r="F25" s="33">
        <f>IF($U25="","",SUMIFS(매출원본!$AU$8:$AU$1007,매출원본!$AX$8:$AX$1007,INDEX($R$8:$R$207,$U25),매출원본!$BA$8:$BA$1007,"포함"))</f>
        <v/>
      </c>
      <c r="G25" s="33">
        <f>IF($U25="","",SUMIFS(매출원본!$AV$8:$AV$1007,매출원본!$AX$8:$AX$1007,INDEX($R$8:$R$207,$U25),매출원본!$BA$8:$BA$1007,"포함"))</f>
        <v/>
      </c>
      <c r="H25" s="34">
        <f>IF(OR($U25="",$E$7=0),"",E25/$E$7)</f>
        <v/>
      </c>
      <c r="I25" s="33">
        <f>IF(OR($U25="",0&gt;=설정!$B$12),"",SUMIFS(매출원본!$AT$8:$AT$1007,매출원본!$AX$8:$AX$1007,INDEX($R$8:$R$207,$U25),매출원본!$BA$8:$BA$1007,"포함",매출원본!$AS$8:$AS$1007,"&gt;="&amp;EDATE(설정!$B$10,0),매출원본!$AS$8:$AS$1007,"&lt;="&amp;EOMONTH(설정!$B$10,0)))</f>
        <v/>
      </c>
      <c r="J25" s="33">
        <f>IF(OR($U25="",1&gt;=설정!$B$12),"",SUMIFS(매출원본!$AT$8:$AT$1007,매출원본!$AX$8:$AX$1007,INDEX($R$8:$R$207,$U25),매출원본!$BA$8:$BA$1007,"포함",매출원본!$AS$8:$AS$1007,"&gt;="&amp;EDATE(설정!$B$10,1),매출원본!$AS$8:$AS$1007,"&lt;="&amp;EOMONTH(설정!$B$10,1)))</f>
        <v/>
      </c>
      <c r="K25" s="33">
        <f>IF(OR($U25="",2&gt;=설정!$B$12),"",SUMIFS(매출원본!$AT$8:$AT$1007,매출원본!$AX$8:$AX$1007,INDEX($R$8:$R$207,$U25),매출원본!$BA$8:$BA$1007,"포함",매출원본!$AS$8:$AS$1007,"&gt;="&amp;EDATE(설정!$B$10,2),매출원본!$AS$8:$AS$1007,"&lt;="&amp;EOMONTH(설정!$B$10,2)))</f>
        <v/>
      </c>
      <c r="L25" s="33">
        <f>IF(OR($U25="",3&gt;=설정!$B$12),"",SUMIFS(매출원본!$AT$8:$AT$1007,매출원본!$AX$8:$AX$1007,INDEX($R$8:$R$207,$U25),매출원본!$BA$8:$BA$1007,"포함",매출원본!$AS$8:$AS$1007,"&gt;="&amp;EDATE(설정!$B$10,3),매출원본!$AS$8:$AS$1007,"&lt;="&amp;EOMONTH(설정!$B$10,3)))</f>
        <v/>
      </c>
      <c r="M25" s="33">
        <f>IF(OR($U25="",4&gt;=설정!$B$12),"",SUMIFS(매출원본!$AT$8:$AT$1007,매출원본!$AX$8:$AX$1007,INDEX($R$8:$R$207,$U25),매출원본!$BA$8:$BA$1007,"포함",매출원본!$AS$8:$AS$1007,"&gt;="&amp;EDATE(설정!$B$10,4),매출원본!$AS$8:$AS$1007,"&lt;="&amp;EOMONTH(설정!$B$10,4)))</f>
        <v/>
      </c>
      <c r="N25" s="33">
        <f>IF(OR($U25="",5&gt;=설정!$B$12),"",SUMIFS(매출원본!$AT$8:$AT$1007,매출원본!$AX$8:$AX$1007,INDEX($R$8:$R$207,$U25),매출원본!$BA$8:$BA$1007,"포함",매출원본!$AS$8:$AS$1007,"&gt;="&amp;EDATE(설정!$B$10,5),매출원본!$AS$8:$AS$1007,"&lt;="&amp;EOMONTH(설정!$B$10,5)))</f>
        <v/>
      </c>
      <c r="Q25" s="35" t="n">
        <v>18</v>
      </c>
      <c r="R25" s="35">
        <f>IFERROR(INDEX(매출원본!$AX$8:$AX$1007,MATCH($Q25,매출원본!$BD$8:$BD$1007,0)),"")</f>
        <v/>
      </c>
      <c r="S25" s="35">
        <f>IF($R25="","",SUMIFS(매출원본!$AT$8:$AT$1007,매출원본!$AX$8:$AX$1007,$R25,매출원본!$BA$8:$BA$1007,"포함"))</f>
        <v/>
      </c>
      <c r="T25" s="35">
        <f>IF($R25="","",$S25-$Q25/100000)</f>
        <v/>
      </c>
      <c r="U25" s="35">
        <f>IFERROR(MATCH(LARGE($T$8:$T$207,18),$T$8:$T$207,0),"")</f>
        <v/>
      </c>
    </row>
    <row r="26">
      <c r="A26" s="32">
        <f>IF($U26="","",19)</f>
        <v/>
      </c>
      <c r="B26" s="10">
        <f>IF($U26="","",IFERROR(INDEX(매출원본!$AZ$8:$AZ$1007,MATCH($U26,매출원본!$BD$8:$BD$1007,0)),""))</f>
        <v/>
      </c>
      <c r="C26" s="10">
        <f>IF($U26="","",IFERROR(INDEX(매출원본!$AY$8:$AY$1007,MATCH($U26,매출원본!$BD$8:$BD$1007,0)),""))</f>
        <v/>
      </c>
      <c r="D26" s="33">
        <f>IF($U26="","",COUNTIFS(매출원본!$AX$8:$AX$1007,INDEX($R$8:$R$207,$U26),매출원본!$BA$8:$BA$1007,"포함"))</f>
        <v/>
      </c>
      <c r="E26" s="33">
        <f>IF($U26="","",SUMIFS(매출원본!$AT$8:$AT$1007,매출원본!$AX$8:$AX$1007,INDEX($R$8:$R$207,$U26),매출원본!$BA$8:$BA$1007,"포함"))</f>
        <v/>
      </c>
      <c r="F26" s="33">
        <f>IF($U26="","",SUMIFS(매출원본!$AU$8:$AU$1007,매출원본!$AX$8:$AX$1007,INDEX($R$8:$R$207,$U26),매출원본!$BA$8:$BA$1007,"포함"))</f>
        <v/>
      </c>
      <c r="G26" s="33">
        <f>IF($U26="","",SUMIFS(매출원본!$AV$8:$AV$1007,매출원본!$AX$8:$AX$1007,INDEX($R$8:$R$207,$U26),매출원본!$BA$8:$BA$1007,"포함"))</f>
        <v/>
      </c>
      <c r="H26" s="34">
        <f>IF(OR($U26="",$E$7=0),"",E26/$E$7)</f>
        <v/>
      </c>
      <c r="I26" s="33">
        <f>IF(OR($U26="",0&gt;=설정!$B$12),"",SUMIFS(매출원본!$AT$8:$AT$1007,매출원본!$AX$8:$AX$1007,INDEX($R$8:$R$207,$U26),매출원본!$BA$8:$BA$1007,"포함",매출원본!$AS$8:$AS$1007,"&gt;="&amp;EDATE(설정!$B$10,0),매출원본!$AS$8:$AS$1007,"&lt;="&amp;EOMONTH(설정!$B$10,0)))</f>
        <v/>
      </c>
      <c r="J26" s="33">
        <f>IF(OR($U26="",1&gt;=설정!$B$12),"",SUMIFS(매출원본!$AT$8:$AT$1007,매출원본!$AX$8:$AX$1007,INDEX($R$8:$R$207,$U26),매출원본!$BA$8:$BA$1007,"포함",매출원본!$AS$8:$AS$1007,"&gt;="&amp;EDATE(설정!$B$10,1),매출원본!$AS$8:$AS$1007,"&lt;="&amp;EOMONTH(설정!$B$10,1)))</f>
        <v/>
      </c>
      <c r="K26" s="33">
        <f>IF(OR($U26="",2&gt;=설정!$B$12),"",SUMIFS(매출원본!$AT$8:$AT$1007,매출원본!$AX$8:$AX$1007,INDEX($R$8:$R$207,$U26),매출원본!$BA$8:$BA$1007,"포함",매출원본!$AS$8:$AS$1007,"&gt;="&amp;EDATE(설정!$B$10,2),매출원본!$AS$8:$AS$1007,"&lt;="&amp;EOMONTH(설정!$B$10,2)))</f>
        <v/>
      </c>
      <c r="L26" s="33">
        <f>IF(OR($U26="",3&gt;=설정!$B$12),"",SUMIFS(매출원본!$AT$8:$AT$1007,매출원본!$AX$8:$AX$1007,INDEX($R$8:$R$207,$U26),매출원본!$BA$8:$BA$1007,"포함",매출원본!$AS$8:$AS$1007,"&gt;="&amp;EDATE(설정!$B$10,3),매출원본!$AS$8:$AS$1007,"&lt;="&amp;EOMONTH(설정!$B$10,3)))</f>
        <v/>
      </c>
      <c r="M26" s="33">
        <f>IF(OR($U26="",4&gt;=설정!$B$12),"",SUMIFS(매출원본!$AT$8:$AT$1007,매출원본!$AX$8:$AX$1007,INDEX($R$8:$R$207,$U26),매출원본!$BA$8:$BA$1007,"포함",매출원본!$AS$8:$AS$1007,"&gt;="&amp;EDATE(설정!$B$10,4),매출원본!$AS$8:$AS$1007,"&lt;="&amp;EOMONTH(설정!$B$10,4)))</f>
        <v/>
      </c>
      <c r="N26" s="33">
        <f>IF(OR($U26="",5&gt;=설정!$B$12),"",SUMIFS(매출원본!$AT$8:$AT$1007,매출원본!$AX$8:$AX$1007,INDEX($R$8:$R$207,$U26),매출원본!$BA$8:$BA$1007,"포함",매출원본!$AS$8:$AS$1007,"&gt;="&amp;EDATE(설정!$B$10,5),매출원본!$AS$8:$AS$1007,"&lt;="&amp;EOMONTH(설정!$B$10,5)))</f>
        <v/>
      </c>
      <c r="Q26" s="35" t="n">
        <v>19</v>
      </c>
      <c r="R26" s="35">
        <f>IFERROR(INDEX(매출원본!$AX$8:$AX$1007,MATCH($Q26,매출원본!$BD$8:$BD$1007,0)),"")</f>
        <v/>
      </c>
      <c r="S26" s="35">
        <f>IF($R26="","",SUMIFS(매출원본!$AT$8:$AT$1007,매출원본!$AX$8:$AX$1007,$R26,매출원본!$BA$8:$BA$1007,"포함"))</f>
        <v/>
      </c>
      <c r="T26" s="35">
        <f>IF($R26="","",$S26-$Q26/100000)</f>
        <v/>
      </c>
      <c r="U26" s="35">
        <f>IFERROR(MATCH(LARGE($T$8:$T$207,19),$T$8:$T$207,0),"")</f>
        <v/>
      </c>
    </row>
    <row r="27">
      <c r="A27" s="32">
        <f>IF($U27="","",20)</f>
        <v/>
      </c>
      <c r="B27" s="10">
        <f>IF($U27="","",IFERROR(INDEX(매출원본!$AZ$8:$AZ$1007,MATCH($U27,매출원본!$BD$8:$BD$1007,0)),""))</f>
        <v/>
      </c>
      <c r="C27" s="10">
        <f>IF($U27="","",IFERROR(INDEX(매출원본!$AY$8:$AY$1007,MATCH($U27,매출원본!$BD$8:$BD$1007,0)),""))</f>
        <v/>
      </c>
      <c r="D27" s="33">
        <f>IF($U27="","",COUNTIFS(매출원본!$AX$8:$AX$1007,INDEX($R$8:$R$207,$U27),매출원본!$BA$8:$BA$1007,"포함"))</f>
        <v/>
      </c>
      <c r="E27" s="33">
        <f>IF($U27="","",SUMIFS(매출원본!$AT$8:$AT$1007,매출원본!$AX$8:$AX$1007,INDEX($R$8:$R$207,$U27),매출원본!$BA$8:$BA$1007,"포함"))</f>
        <v/>
      </c>
      <c r="F27" s="33">
        <f>IF($U27="","",SUMIFS(매출원본!$AU$8:$AU$1007,매출원본!$AX$8:$AX$1007,INDEX($R$8:$R$207,$U27),매출원본!$BA$8:$BA$1007,"포함"))</f>
        <v/>
      </c>
      <c r="G27" s="33">
        <f>IF($U27="","",SUMIFS(매출원본!$AV$8:$AV$1007,매출원본!$AX$8:$AX$1007,INDEX($R$8:$R$207,$U27),매출원본!$BA$8:$BA$1007,"포함"))</f>
        <v/>
      </c>
      <c r="H27" s="34">
        <f>IF(OR($U27="",$E$7=0),"",E27/$E$7)</f>
        <v/>
      </c>
      <c r="I27" s="33">
        <f>IF(OR($U27="",0&gt;=설정!$B$12),"",SUMIFS(매출원본!$AT$8:$AT$1007,매출원본!$AX$8:$AX$1007,INDEX($R$8:$R$207,$U27),매출원본!$BA$8:$BA$1007,"포함",매출원본!$AS$8:$AS$1007,"&gt;="&amp;EDATE(설정!$B$10,0),매출원본!$AS$8:$AS$1007,"&lt;="&amp;EOMONTH(설정!$B$10,0)))</f>
        <v/>
      </c>
      <c r="J27" s="33">
        <f>IF(OR($U27="",1&gt;=설정!$B$12),"",SUMIFS(매출원본!$AT$8:$AT$1007,매출원본!$AX$8:$AX$1007,INDEX($R$8:$R$207,$U27),매출원본!$BA$8:$BA$1007,"포함",매출원본!$AS$8:$AS$1007,"&gt;="&amp;EDATE(설정!$B$10,1),매출원본!$AS$8:$AS$1007,"&lt;="&amp;EOMONTH(설정!$B$10,1)))</f>
        <v/>
      </c>
      <c r="K27" s="33">
        <f>IF(OR($U27="",2&gt;=설정!$B$12),"",SUMIFS(매출원본!$AT$8:$AT$1007,매출원본!$AX$8:$AX$1007,INDEX($R$8:$R$207,$U27),매출원본!$BA$8:$BA$1007,"포함",매출원본!$AS$8:$AS$1007,"&gt;="&amp;EDATE(설정!$B$10,2),매출원본!$AS$8:$AS$1007,"&lt;="&amp;EOMONTH(설정!$B$10,2)))</f>
        <v/>
      </c>
      <c r="L27" s="33">
        <f>IF(OR($U27="",3&gt;=설정!$B$12),"",SUMIFS(매출원본!$AT$8:$AT$1007,매출원본!$AX$8:$AX$1007,INDEX($R$8:$R$207,$U27),매출원본!$BA$8:$BA$1007,"포함",매출원본!$AS$8:$AS$1007,"&gt;="&amp;EDATE(설정!$B$10,3),매출원본!$AS$8:$AS$1007,"&lt;="&amp;EOMONTH(설정!$B$10,3)))</f>
        <v/>
      </c>
      <c r="M27" s="33">
        <f>IF(OR($U27="",4&gt;=설정!$B$12),"",SUMIFS(매출원본!$AT$8:$AT$1007,매출원본!$AX$8:$AX$1007,INDEX($R$8:$R$207,$U27),매출원본!$BA$8:$BA$1007,"포함",매출원본!$AS$8:$AS$1007,"&gt;="&amp;EDATE(설정!$B$10,4),매출원본!$AS$8:$AS$1007,"&lt;="&amp;EOMONTH(설정!$B$10,4)))</f>
        <v/>
      </c>
      <c r="N27" s="33">
        <f>IF(OR($U27="",5&gt;=설정!$B$12),"",SUMIFS(매출원본!$AT$8:$AT$1007,매출원본!$AX$8:$AX$1007,INDEX($R$8:$R$207,$U27),매출원본!$BA$8:$BA$1007,"포함",매출원본!$AS$8:$AS$1007,"&gt;="&amp;EDATE(설정!$B$10,5),매출원본!$AS$8:$AS$1007,"&lt;="&amp;EOMONTH(설정!$B$10,5)))</f>
        <v/>
      </c>
      <c r="Q27" s="35" t="n">
        <v>20</v>
      </c>
      <c r="R27" s="35">
        <f>IFERROR(INDEX(매출원본!$AX$8:$AX$1007,MATCH($Q27,매출원본!$BD$8:$BD$1007,0)),"")</f>
        <v/>
      </c>
      <c r="S27" s="35">
        <f>IF($R27="","",SUMIFS(매출원본!$AT$8:$AT$1007,매출원본!$AX$8:$AX$1007,$R27,매출원본!$BA$8:$BA$1007,"포함"))</f>
        <v/>
      </c>
      <c r="T27" s="35">
        <f>IF($R27="","",$S27-$Q27/100000)</f>
        <v/>
      </c>
      <c r="U27" s="35">
        <f>IFERROR(MATCH(LARGE($T$8:$T$207,20),$T$8:$T$207,0),"")</f>
        <v/>
      </c>
    </row>
    <row r="28">
      <c r="A28" s="32">
        <f>IF($U28="","",21)</f>
        <v/>
      </c>
      <c r="B28" s="10">
        <f>IF($U28="","",IFERROR(INDEX(매출원본!$AZ$8:$AZ$1007,MATCH($U28,매출원본!$BD$8:$BD$1007,0)),""))</f>
        <v/>
      </c>
      <c r="C28" s="10">
        <f>IF($U28="","",IFERROR(INDEX(매출원본!$AY$8:$AY$1007,MATCH($U28,매출원본!$BD$8:$BD$1007,0)),""))</f>
        <v/>
      </c>
      <c r="D28" s="33">
        <f>IF($U28="","",COUNTIFS(매출원본!$AX$8:$AX$1007,INDEX($R$8:$R$207,$U28),매출원본!$BA$8:$BA$1007,"포함"))</f>
        <v/>
      </c>
      <c r="E28" s="33">
        <f>IF($U28="","",SUMIFS(매출원본!$AT$8:$AT$1007,매출원본!$AX$8:$AX$1007,INDEX($R$8:$R$207,$U28),매출원본!$BA$8:$BA$1007,"포함"))</f>
        <v/>
      </c>
      <c r="F28" s="33">
        <f>IF($U28="","",SUMIFS(매출원본!$AU$8:$AU$1007,매출원본!$AX$8:$AX$1007,INDEX($R$8:$R$207,$U28),매출원본!$BA$8:$BA$1007,"포함"))</f>
        <v/>
      </c>
      <c r="G28" s="33">
        <f>IF($U28="","",SUMIFS(매출원본!$AV$8:$AV$1007,매출원본!$AX$8:$AX$1007,INDEX($R$8:$R$207,$U28),매출원본!$BA$8:$BA$1007,"포함"))</f>
        <v/>
      </c>
      <c r="H28" s="34">
        <f>IF(OR($U28="",$E$7=0),"",E28/$E$7)</f>
        <v/>
      </c>
      <c r="I28" s="33">
        <f>IF(OR($U28="",0&gt;=설정!$B$12),"",SUMIFS(매출원본!$AT$8:$AT$1007,매출원본!$AX$8:$AX$1007,INDEX($R$8:$R$207,$U28),매출원본!$BA$8:$BA$1007,"포함",매출원본!$AS$8:$AS$1007,"&gt;="&amp;EDATE(설정!$B$10,0),매출원본!$AS$8:$AS$1007,"&lt;="&amp;EOMONTH(설정!$B$10,0)))</f>
        <v/>
      </c>
      <c r="J28" s="33">
        <f>IF(OR($U28="",1&gt;=설정!$B$12),"",SUMIFS(매출원본!$AT$8:$AT$1007,매출원본!$AX$8:$AX$1007,INDEX($R$8:$R$207,$U28),매출원본!$BA$8:$BA$1007,"포함",매출원본!$AS$8:$AS$1007,"&gt;="&amp;EDATE(설정!$B$10,1),매출원본!$AS$8:$AS$1007,"&lt;="&amp;EOMONTH(설정!$B$10,1)))</f>
        <v/>
      </c>
      <c r="K28" s="33">
        <f>IF(OR($U28="",2&gt;=설정!$B$12),"",SUMIFS(매출원본!$AT$8:$AT$1007,매출원본!$AX$8:$AX$1007,INDEX($R$8:$R$207,$U28),매출원본!$BA$8:$BA$1007,"포함",매출원본!$AS$8:$AS$1007,"&gt;="&amp;EDATE(설정!$B$10,2),매출원본!$AS$8:$AS$1007,"&lt;="&amp;EOMONTH(설정!$B$10,2)))</f>
        <v/>
      </c>
      <c r="L28" s="33">
        <f>IF(OR($U28="",3&gt;=설정!$B$12),"",SUMIFS(매출원본!$AT$8:$AT$1007,매출원본!$AX$8:$AX$1007,INDEX($R$8:$R$207,$U28),매출원본!$BA$8:$BA$1007,"포함",매출원본!$AS$8:$AS$1007,"&gt;="&amp;EDATE(설정!$B$10,3),매출원본!$AS$8:$AS$1007,"&lt;="&amp;EOMONTH(설정!$B$10,3)))</f>
        <v/>
      </c>
      <c r="M28" s="33">
        <f>IF(OR($U28="",4&gt;=설정!$B$12),"",SUMIFS(매출원본!$AT$8:$AT$1007,매출원본!$AX$8:$AX$1007,INDEX($R$8:$R$207,$U28),매출원본!$BA$8:$BA$1007,"포함",매출원본!$AS$8:$AS$1007,"&gt;="&amp;EDATE(설정!$B$10,4),매출원본!$AS$8:$AS$1007,"&lt;="&amp;EOMONTH(설정!$B$10,4)))</f>
        <v/>
      </c>
      <c r="N28" s="33">
        <f>IF(OR($U28="",5&gt;=설정!$B$12),"",SUMIFS(매출원본!$AT$8:$AT$1007,매출원본!$AX$8:$AX$1007,INDEX($R$8:$R$207,$U28),매출원본!$BA$8:$BA$1007,"포함",매출원본!$AS$8:$AS$1007,"&gt;="&amp;EDATE(설정!$B$10,5),매출원본!$AS$8:$AS$1007,"&lt;="&amp;EOMONTH(설정!$B$10,5)))</f>
        <v/>
      </c>
      <c r="Q28" s="35" t="n">
        <v>21</v>
      </c>
      <c r="R28" s="35">
        <f>IFERROR(INDEX(매출원본!$AX$8:$AX$1007,MATCH($Q28,매출원본!$BD$8:$BD$1007,0)),"")</f>
        <v/>
      </c>
      <c r="S28" s="35">
        <f>IF($R28="","",SUMIFS(매출원본!$AT$8:$AT$1007,매출원본!$AX$8:$AX$1007,$R28,매출원본!$BA$8:$BA$1007,"포함"))</f>
        <v/>
      </c>
      <c r="T28" s="35">
        <f>IF($R28="","",$S28-$Q28/100000)</f>
        <v/>
      </c>
      <c r="U28" s="35">
        <f>IFERROR(MATCH(LARGE($T$8:$T$207,21),$T$8:$T$207,0),"")</f>
        <v/>
      </c>
    </row>
    <row r="29">
      <c r="A29" s="32">
        <f>IF($U29="","",22)</f>
        <v/>
      </c>
      <c r="B29" s="10">
        <f>IF($U29="","",IFERROR(INDEX(매출원본!$AZ$8:$AZ$1007,MATCH($U29,매출원본!$BD$8:$BD$1007,0)),""))</f>
        <v/>
      </c>
      <c r="C29" s="10">
        <f>IF($U29="","",IFERROR(INDEX(매출원본!$AY$8:$AY$1007,MATCH($U29,매출원본!$BD$8:$BD$1007,0)),""))</f>
        <v/>
      </c>
      <c r="D29" s="33">
        <f>IF($U29="","",COUNTIFS(매출원본!$AX$8:$AX$1007,INDEX($R$8:$R$207,$U29),매출원본!$BA$8:$BA$1007,"포함"))</f>
        <v/>
      </c>
      <c r="E29" s="33">
        <f>IF($U29="","",SUMIFS(매출원본!$AT$8:$AT$1007,매출원본!$AX$8:$AX$1007,INDEX($R$8:$R$207,$U29),매출원본!$BA$8:$BA$1007,"포함"))</f>
        <v/>
      </c>
      <c r="F29" s="33">
        <f>IF($U29="","",SUMIFS(매출원본!$AU$8:$AU$1007,매출원본!$AX$8:$AX$1007,INDEX($R$8:$R$207,$U29),매출원본!$BA$8:$BA$1007,"포함"))</f>
        <v/>
      </c>
      <c r="G29" s="33">
        <f>IF($U29="","",SUMIFS(매출원본!$AV$8:$AV$1007,매출원본!$AX$8:$AX$1007,INDEX($R$8:$R$207,$U29),매출원본!$BA$8:$BA$1007,"포함"))</f>
        <v/>
      </c>
      <c r="H29" s="34">
        <f>IF(OR($U29="",$E$7=0),"",E29/$E$7)</f>
        <v/>
      </c>
      <c r="I29" s="33">
        <f>IF(OR($U29="",0&gt;=설정!$B$12),"",SUMIFS(매출원본!$AT$8:$AT$1007,매출원본!$AX$8:$AX$1007,INDEX($R$8:$R$207,$U29),매출원본!$BA$8:$BA$1007,"포함",매출원본!$AS$8:$AS$1007,"&gt;="&amp;EDATE(설정!$B$10,0),매출원본!$AS$8:$AS$1007,"&lt;="&amp;EOMONTH(설정!$B$10,0)))</f>
        <v/>
      </c>
      <c r="J29" s="33">
        <f>IF(OR($U29="",1&gt;=설정!$B$12),"",SUMIFS(매출원본!$AT$8:$AT$1007,매출원본!$AX$8:$AX$1007,INDEX($R$8:$R$207,$U29),매출원본!$BA$8:$BA$1007,"포함",매출원본!$AS$8:$AS$1007,"&gt;="&amp;EDATE(설정!$B$10,1),매출원본!$AS$8:$AS$1007,"&lt;="&amp;EOMONTH(설정!$B$10,1)))</f>
        <v/>
      </c>
      <c r="K29" s="33">
        <f>IF(OR($U29="",2&gt;=설정!$B$12),"",SUMIFS(매출원본!$AT$8:$AT$1007,매출원본!$AX$8:$AX$1007,INDEX($R$8:$R$207,$U29),매출원본!$BA$8:$BA$1007,"포함",매출원본!$AS$8:$AS$1007,"&gt;="&amp;EDATE(설정!$B$10,2),매출원본!$AS$8:$AS$1007,"&lt;="&amp;EOMONTH(설정!$B$10,2)))</f>
        <v/>
      </c>
      <c r="L29" s="33">
        <f>IF(OR($U29="",3&gt;=설정!$B$12),"",SUMIFS(매출원본!$AT$8:$AT$1007,매출원본!$AX$8:$AX$1007,INDEX($R$8:$R$207,$U29),매출원본!$BA$8:$BA$1007,"포함",매출원본!$AS$8:$AS$1007,"&gt;="&amp;EDATE(설정!$B$10,3),매출원본!$AS$8:$AS$1007,"&lt;="&amp;EOMONTH(설정!$B$10,3)))</f>
        <v/>
      </c>
      <c r="M29" s="33">
        <f>IF(OR($U29="",4&gt;=설정!$B$12),"",SUMIFS(매출원본!$AT$8:$AT$1007,매출원본!$AX$8:$AX$1007,INDEX($R$8:$R$207,$U29),매출원본!$BA$8:$BA$1007,"포함",매출원본!$AS$8:$AS$1007,"&gt;="&amp;EDATE(설정!$B$10,4),매출원본!$AS$8:$AS$1007,"&lt;="&amp;EOMONTH(설정!$B$10,4)))</f>
        <v/>
      </c>
      <c r="N29" s="33">
        <f>IF(OR($U29="",5&gt;=설정!$B$12),"",SUMIFS(매출원본!$AT$8:$AT$1007,매출원본!$AX$8:$AX$1007,INDEX($R$8:$R$207,$U29),매출원본!$BA$8:$BA$1007,"포함",매출원본!$AS$8:$AS$1007,"&gt;="&amp;EDATE(설정!$B$10,5),매출원본!$AS$8:$AS$1007,"&lt;="&amp;EOMONTH(설정!$B$10,5)))</f>
        <v/>
      </c>
      <c r="Q29" s="35" t="n">
        <v>22</v>
      </c>
      <c r="R29" s="35">
        <f>IFERROR(INDEX(매출원본!$AX$8:$AX$1007,MATCH($Q29,매출원본!$BD$8:$BD$1007,0)),"")</f>
        <v/>
      </c>
      <c r="S29" s="35">
        <f>IF($R29="","",SUMIFS(매출원본!$AT$8:$AT$1007,매출원본!$AX$8:$AX$1007,$R29,매출원본!$BA$8:$BA$1007,"포함"))</f>
        <v/>
      </c>
      <c r="T29" s="35">
        <f>IF($R29="","",$S29-$Q29/100000)</f>
        <v/>
      </c>
      <c r="U29" s="35">
        <f>IFERROR(MATCH(LARGE($T$8:$T$207,22),$T$8:$T$207,0),"")</f>
        <v/>
      </c>
    </row>
    <row r="30">
      <c r="A30" s="32">
        <f>IF($U30="","",23)</f>
        <v/>
      </c>
      <c r="B30" s="10">
        <f>IF($U30="","",IFERROR(INDEX(매출원본!$AZ$8:$AZ$1007,MATCH($U30,매출원본!$BD$8:$BD$1007,0)),""))</f>
        <v/>
      </c>
      <c r="C30" s="10">
        <f>IF($U30="","",IFERROR(INDEX(매출원본!$AY$8:$AY$1007,MATCH($U30,매출원본!$BD$8:$BD$1007,0)),""))</f>
        <v/>
      </c>
      <c r="D30" s="33">
        <f>IF($U30="","",COUNTIFS(매출원본!$AX$8:$AX$1007,INDEX($R$8:$R$207,$U30),매출원본!$BA$8:$BA$1007,"포함"))</f>
        <v/>
      </c>
      <c r="E30" s="33">
        <f>IF($U30="","",SUMIFS(매출원본!$AT$8:$AT$1007,매출원본!$AX$8:$AX$1007,INDEX($R$8:$R$207,$U30),매출원본!$BA$8:$BA$1007,"포함"))</f>
        <v/>
      </c>
      <c r="F30" s="33">
        <f>IF($U30="","",SUMIFS(매출원본!$AU$8:$AU$1007,매출원본!$AX$8:$AX$1007,INDEX($R$8:$R$207,$U30),매출원본!$BA$8:$BA$1007,"포함"))</f>
        <v/>
      </c>
      <c r="G30" s="33">
        <f>IF($U30="","",SUMIFS(매출원본!$AV$8:$AV$1007,매출원본!$AX$8:$AX$1007,INDEX($R$8:$R$207,$U30),매출원본!$BA$8:$BA$1007,"포함"))</f>
        <v/>
      </c>
      <c r="H30" s="34">
        <f>IF(OR($U30="",$E$7=0),"",E30/$E$7)</f>
        <v/>
      </c>
      <c r="I30" s="33">
        <f>IF(OR($U30="",0&gt;=설정!$B$12),"",SUMIFS(매출원본!$AT$8:$AT$1007,매출원본!$AX$8:$AX$1007,INDEX($R$8:$R$207,$U30),매출원본!$BA$8:$BA$1007,"포함",매출원본!$AS$8:$AS$1007,"&gt;="&amp;EDATE(설정!$B$10,0),매출원본!$AS$8:$AS$1007,"&lt;="&amp;EOMONTH(설정!$B$10,0)))</f>
        <v/>
      </c>
      <c r="J30" s="33">
        <f>IF(OR($U30="",1&gt;=설정!$B$12),"",SUMIFS(매출원본!$AT$8:$AT$1007,매출원본!$AX$8:$AX$1007,INDEX($R$8:$R$207,$U30),매출원본!$BA$8:$BA$1007,"포함",매출원본!$AS$8:$AS$1007,"&gt;="&amp;EDATE(설정!$B$10,1),매출원본!$AS$8:$AS$1007,"&lt;="&amp;EOMONTH(설정!$B$10,1)))</f>
        <v/>
      </c>
      <c r="K30" s="33">
        <f>IF(OR($U30="",2&gt;=설정!$B$12),"",SUMIFS(매출원본!$AT$8:$AT$1007,매출원본!$AX$8:$AX$1007,INDEX($R$8:$R$207,$U30),매출원본!$BA$8:$BA$1007,"포함",매출원본!$AS$8:$AS$1007,"&gt;="&amp;EDATE(설정!$B$10,2),매출원본!$AS$8:$AS$1007,"&lt;="&amp;EOMONTH(설정!$B$10,2)))</f>
        <v/>
      </c>
      <c r="L30" s="33">
        <f>IF(OR($U30="",3&gt;=설정!$B$12),"",SUMIFS(매출원본!$AT$8:$AT$1007,매출원본!$AX$8:$AX$1007,INDEX($R$8:$R$207,$U30),매출원본!$BA$8:$BA$1007,"포함",매출원본!$AS$8:$AS$1007,"&gt;="&amp;EDATE(설정!$B$10,3),매출원본!$AS$8:$AS$1007,"&lt;="&amp;EOMONTH(설정!$B$10,3)))</f>
        <v/>
      </c>
      <c r="M30" s="33">
        <f>IF(OR($U30="",4&gt;=설정!$B$12),"",SUMIFS(매출원본!$AT$8:$AT$1007,매출원본!$AX$8:$AX$1007,INDEX($R$8:$R$207,$U30),매출원본!$BA$8:$BA$1007,"포함",매출원본!$AS$8:$AS$1007,"&gt;="&amp;EDATE(설정!$B$10,4),매출원본!$AS$8:$AS$1007,"&lt;="&amp;EOMONTH(설정!$B$10,4)))</f>
        <v/>
      </c>
      <c r="N30" s="33">
        <f>IF(OR($U30="",5&gt;=설정!$B$12),"",SUMIFS(매출원본!$AT$8:$AT$1007,매출원본!$AX$8:$AX$1007,INDEX($R$8:$R$207,$U30),매출원본!$BA$8:$BA$1007,"포함",매출원본!$AS$8:$AS$1007,"&gt;="&amp;EDATE(설정!$B$10,5),매출원본!$AS$8:$AS$1007,"&lt;="&amp;EOMONTH(설정!$B$10,5)))</f>
        <v/>
      </c>
      <c r="Q30" s="35" t="n">
        <v>23</v>
      </c>
      <c r="R30" s="35">
        <f>IFERROR(INDEX(매출원본!$AX$8:$AX$1007,MATCH($Q30,매출원본!$BD$8:$BD$1007,0)),"")</f>
        <v/>
      </c>
      <c r="S30" s="35">
        <f>IF($R30="","",SUMIFS(매출원본!$AT$8:$AT$1007,매출원본!$AX$8:$AX$1007,$R30,매출원본!$BA$8:$BA$1007,"포함"))</f>
        <v/>
      </c>
      <c r="T30" s="35">
        <f>IF($R30="","",$S30-$Q30/100000)</f>
        <v/>
      </c>
      <c r="U30" s="35">
        <f>IFERROR(MATCH(LARGE($T$8:$T$207,23),$T$8:$T$207,0),"")</f>
        <v/>
      </c>
    </row>
    <row r="31">
      <c r="A31" s="32">
        <f>IF($U31="","",24)</f>
        <v/>
      </c>
      <c r="B31" s="10">
        <f>IF($U31="","",IFERROR(INDEX(매출원본!$AZ$8:$AZ$1007,MATCH($U31,매출원본!$BD$8:$BD$1007,0)),""))</f>
        <v/>
      </c>
      <c r="C31" s="10">
        <f>IF($U31="","",IFERROR(INDEX(매출원본!$AY$8:$AY$1007,MATCH($U31,매출원본!$BD$8:$BD$1007,0)),""))</f>
        <v/>
      </c>
      <c r="D31" s="33">
        <f>IF($U31="","",COUNTIFS(매출원본!$AX$8:$AX$1007,INDEX($R$8:$R$207,$U31),매출원본!$BA$8:$BA$1007,"포함"))</f>
        <v/>
      </c>
      <c r="E31" s="33">
        <f>IF($U31="","",SUMIFS(매출원본!$AT$8:$AT$1007,매출원본!$AX$8:$AX$1007,INDEX($R$8:$R$207,$U31),매출원본!$BA$8:$BA$1007,"포함"))</f>
        <v/>
      </c>
      <c r="F31" s="33">
        <f>IF($U31="","",SUMIFS(매출원본!$AU$8:$AU$1007,매출원본!$AX$8:$AX$1007,INDEX($R$8:$R$207,$U31),매출원본!$BA$8:$BA$1007,"포함"))</f>
        <v/>
      </c>
      <c r="G31" s="33">
        <f>IF($U31="","",SUMIFS(매출원본!$AV$8:$AV$1007,매출원본!$AX$8:$AX$1007,INDEX($R$8:$R$207,$U31),매출원본!$BA$8:$BA$1007,"포함"))</f>
        <v/>
      </c>
      <c r="H31" s="34">
        <f>IF(OR($U31="",$E$7=0),"",E31/$E$7)</f>
        <v/>
      </c>
      <c r="I31" s="33">
        <f>IF(OR($U31="",0&gt;=설정!$B$12),"",SUMIFS(매출원본!$AT$8:$AT$1007,매출원본!$AX$8:$AX$1007,INDEX($R$8:$R$207,$U31),매출원본!$BA$8:$BA$1007,"포함",매출원본!$AS$8:$AS$1007,"&gt;="&amp;EDATE(설정!$B$10,0),매출원본!$AS$8:$AS$1007,"&lt;="&amp;EOMONTH(설정!$B$10,0)))</f>
        <v/>
      </c>
      <c r="J31" s="33">
        <f>IF(OR($U31="",1&gt;=설정!$B$12),"",SUMIFS(매출원본!$AT$8:$AT$1007,매출원본!$AX$8:$AX$1007,INDEX($R$8:$R$207,$U31),매출원본!$BA$8:$BA$1007,"포함",매출원본!$AS$8:$AS$1007,"&gt;="&amp;EDATE(설정!$B$10,1),매출원본!$AS$8:$AS$1007,"&lt;="&amp;EOMONTH(설정!$B$10,1)))</f>
        <v/>
      </c>
      <c r="K31" s="33">
        <f>IF(OR($U31="",2&gt;=설정!$B$12),"",SUMIFS(매출원본!$AT$8:$AT$1007,매출원본!$AX$8:$AX$1007,INDEX($R$8:$R$207,$U31),매출원본!$BA$8:$BA$1007,"포함",매출원본!$AS$8:$AS$1007,"&gt;="&amp;EDATE(설정!$B$10,2),매출원본!$AS$8:$AS$1007,"&lt;="&amp;EOMONTH(설정!$B$10,2)))</f>
        <v/>
      </c>
      <c r="L31" s="33">
        <f>IF(OR($U31="",3&gt;=설정!$B$12),"",SUMIFS(매출원본!$AT$8:$AT$1007,매출원본!$AX$8:$AX$1007,INDEX($R$8:$R$207,$U31),매출원본!$BA$8:$BA$1007,"포함",매출원본!$AS$8:$AS$1007,"&gt;="&amp;EDATE(설정!$B$10,3),매출원본!$AS$8:$AS$1007,"&lt;="&amp;EOMONTH(설정!$B$10,3)))</f>
        <v/>
      </c>
      <c r="M31" s="33">
        <f>IF(OR($U31="",4&gt;=설정!$B$12),"",SUMIFS(매출원본!$AT$8:$AT$1007,매출원본!$AX$8:$AX$1007,INDEX($R$8:$R$207,$U31),매출원본!$BA$8:$BA$1007,"포함",매출원본!$AS$8:$AS$1007,"&gt;="&amp;EDATE(설정!$B$10,4),매출원본!$AS$8:$AS$1007,"&lt;="&amp;EOMONTH(설정!$B$10,4)))</f>
        <v/>
      </c>
      <c r="N31" s="33">
        <f>IF(OR($U31="",5&gt;=설정!$B$12),"",SUMIFS(매출원본!$AT$8:$AT$1007,매출원본!$AX$8:$AX$1007,INDEX($R$8:$R$207,$U31),매출원본!$BA$8:$BA$1007,"포함",매출원본!$AS$8:$AS$1007,"&gt;="&amp;EDATE(설정!$B$10,5),매출원본!$AS$8:$AS$1007,"&lt;="&amp;EOMONTH(설정!$B$10,5)))</f>
        <v/>
      </c>
      <c r="Q31" s="35" t="n">
        <v>24</v>
      </c>
      <c r="R31" s="35">
        <f>IFERROR(INDEX(매출원본!$AX$8:$AX$1007,MATCH($Q31,매출원본!$BD$8:$BD$1007,0)),"")</f>
        <v/>
      </c>
      <c r="S31" s="35">
        <f>IF($R31="","",SUMIFS(매출원본!$AT$8:$AT$1007,매출원본!$AX$8:$AX$1007,$R31,매출원본!$BA$8:$BA$1007,"포함"))</f>
        <v/>
      </c>
      <c r="T31" s="35">
        <f>IF($R31="","",$S31-$Q31/100000)</f>
        <v/>
      </c>
      <c r="U31" s="35">
        <f>IFERROR(MATCH(LARGE($T$8:$T$207,24),$T$8:$T$207,0),"")</f>
        <v/>
      </c>
    </row>
    <row r="32">
      <c r="A32" s="32">
        <f>IF($U32="","",25)</f>
        <v/>
      </c>
      <c r="B32" s="10">
        <f>IF($U32="","",IFERROR(INDEX(매출원본!$AZ$8:$AZ$1007,MATCH($U32,매출원본!$BD$8:$BD$1007,0)),""))</f>
        <v/>
      </c>
      <c r="C32" s="10">
        <f>IF($U32="","",IFERROR(INDEX(매출원본!$AY$8:$AY$1007,MATCH($U32,매출원본!$BD$8:$BD$1007,0)),""))</f>
        <v/>
      </c>
      <c r="D32" s="33">
        <f>IF($U32="","",COUNTIFS(매출원본!$AX$8:$AX$1007,INDEX($R$8:$R$207,$U32),매출원본!$BA$8:$BA$1007,"포함"))</f>
        <v/>
      </c>
      <c r="E32" s="33">
        <f>IF($U32="","",SUMIFS(매출원본!$AT$8:$AT$1007,매출원본!$AX$8:$AX$1007,INDEX($R$8:$R$207,$U32),매출원본!$BA$8:$BA$1007,"포함"))</f>
        <v/>
      </c>
      <c r="F32" s="33">
        <f>IF($U32="","",SUMIFS(매출원본!$AU$8:$AU$1007,매출원본!$AX$8:$AX$1007,INDEX($R$8:$R$207,$U32),매출원본!$BA$8:$BA$1007,"포함"))</f>
        <v/>
      </c>
      <c r="G32" s="33">
        <f>IF($U32="","",SUMIFS(매출원본!$AV$8:$AV$1007,매출원본!$AX$8:$AX$1007,INDEX($R$8:$R$207,$U32),매출원본!$BA$8:$BA$1007,"포함"))</f>
        <v/>
      </c>
      <c r="H32" s="34">
        <f>IF(OR($U32="",$E$7=0),"",E32/$E$7)</f>
        <v/>
      </c>
      <c r="I32" s="33">
        <f>IF(OR($U32="",0&gt;=설정!$B$12),"",SUMIFS(매출원본!$AT$8:$AT$1007,매출원본!$AX$8:$AX$1007,INDEX($R$8:$R$207,$U32),매출원본!$BA$8:$BA$1007,"포함",매출원본!$AS$8:$AS$1007,"&gt;="&amp;EDATE(설정!$B$10,0),매출원본!$AS$8:$AS$1007,"&lt;="&amp;EOMONTH(설정!$B$10,0)))</f>
        <v/>
      </c>
      <c r="J32" s="33">
        <f>IF(OR($U32="",1&gt;=설정!$B$12),"",SUMIFS(매출원본!$AT$8:$AT$1007,매출원본!$AX$8:$AX$1007,INDEX($R$8:$R$207,$U32),매출원본!$BA$8:$BA$1007,"포함",매출원본!$AS$8:$AS$1007,"&gt;="&amp;EDATE(설정!$B$10,1),매출원본!$AS$8:$AS$1007,"&lt;="&amp;EOMONTH(설정!$B$10,1)))</f>
        <v/>
      </c>
      <c r="K32" s="33">
        <f>IF(OR($U32="",2&gt;=설정!$B$12),"",SUMIFS(매출원본!$AT$8:$AT$1007,매출원본!$AX$8:$AX$1007,INDEX($R$8:$R$207,$U32),매출원본!$BA$8:$BA$1007,"포함",매출원본!$AS$8:$AS$1007,"&gt;="&amp;EDATE(설정!$B$10,2),매출원본!$AS$8:$AS$1007,"&lt;="&amp;EOMONTH(설정!$B$10,2)))</f>
        <v/>
      </c>
      <c r="L32" s="33">
        <f>IF(OR($U32="",3&gt;=설정!$B$12),"",SUMIFS(매출원본!$AT$8:$AT$1007,매출원본!$AX$8:$AX$1007,INDEX($R$8:$R$207,$U32),매출원본!$BA$8:$BA$1007,"포함",매출원본!$AS$8:$AS$1007,"&gt;="&amp;EDATE(설정!$B$10,3),매출원본!$AS$8:$AS$1007,"&lt;="&amp;EOMONTH(설정!$B$10,3)))</f>
        <v/>
      </c>
      <c r="M32" s="33">
        <f>IF(OR($U32="",4&gt;=설정!$B$12),"",SUMIFS(매출원본!$AT$8:$AT$1007,매출원본!$AX$8:$AX$1007,INDEX($R$8:$R$207,$U32),매출원본!$BA$8:$BA$1007,"포함",매출원본!$AS$8:$AS$1007,"&gt;="&amp;EDATE(설정!$B$10,4),매출원본!$AS$8:$AS$1007,"&lt;="&amp;EOMONTH(설정!$B$10,4)))</f>
        <v/>
      </c>
      <c r="N32" s="33">
        <f>IF(OR($U32="",5&gt;=설정!$B$12),"",SUMIFS(매출원본!$AT$8:$AT$1007,매출원본!$AX$8:$AX$1007,INDEX($R$8:$R$207,$U32),매출원본!$BA$8:$BA$1007,"포함",매출원본!$AS$8:$AS$1007,"&gt;="&amp;EDATE(설정!$B$10,5),매출원본!$AS$8:$AS$1007,"&lt;="&amp;EOMONTH(설정!$B$10,5)))</f>
        <v/>
      </c>
      <c r="Q32" s="35" t="n">
        <v>25</v>
      </c>
      <c r="R32" s="35">
        <f>IFERROR(INDEX(매출원본!$AX$8:$AX$1007,MATCH($Q32,매출원본!$BD$8:$BD$1007,0)),"")</f>
        <v/>
      </c>
      <c r="S32" s="35">
        <f>IF($R32="","",SUMIFS(매출원본!$AT$8:$AT$1007,매출원본!$AX$8:$AX$1007,$R32,매출원본!$BA$8:$BA$1007,"포함"))</f>
        <v/>
      </c>
      <c r="T32" s="35">
        <f>IF($R32="","",$S32-$Q32/100000)</f>
        <v/>
      </c>
      <c r="U32" s="35">
        <f>IFERROR(MATCH(LARGE($T$8:$T$207,25),$T$8:$T$207,0),"")</f>
        <v/>
      </c>
    </row>
    <row r="33">
      <c r="A33" s="32">
        <f>IF($U33="","",26)</f>
        <v/>
      </c>
      <c r="B33" s="10">
        <f>IF($U33="","",IFERROR(INDEX(매출원본!$AZ$8:$AZ$1007,MATCH($U33,매출원본!$BD$8:$BD$1007,0)),""))</f>
        <v/>
      </c>
      <c r="C33" s="10">
        <f>IF($U33="","",IFERROR(INDEX(매출원본!$AY$8:$AY$1007,MATCH($U33,매출원본!$BD$8:$BD$1007,0)),""))</f>
        <v/>
      </c>
      <c r="D33" s="33">
        <f>IF($U33="","",COUNTIFS(매출원본!$AX$8:$AX$1007,INDEX($R$8:$R$207,$U33),매출원본!$BA$8:$BA$1007,"포함"))</f>
        <v/>
      </c>
      <c r="E33" s="33">
        <f>IF($U33="","",SUMIFS(매출원본!$AT$8:$AT$1007,매출원본!$AX$8:$AX$1007,INDEX($R$8:$R$207,$U33),매출원본!$BA$8:$BA$1007,"포함"))</f>
        <v/>
      </c>
      <c r="F33" s="33">
        <f>IF($U33="","",SUMIFS(매출원본!$AU$8:$AU$1007,매출원본!$AX$8:$AX$1007,INDEX($R$8:$R$207,$U33),매출원본!$BA$8:$BA$1007,"포함"))</f>
        <v/>
      </c>
      <c r="G33" s="33">
        <f>IF($U33="","",SUMIFS(매출원본!$AV$8:$AV$1007,매출원본!$AX$8:$AX$1007,INDEX($R$8:$R$207,$U33),매출원본!$BA$8:$BA$1007,"포함"))</f>
        <v/>
      </c>
      <c r="H33" s="34">
        <f>IF(OR($U33="",$E$7=0),"",E33/$E$7)</f>
        <v/>
      </c>
      <c r="I33" s="33">
        <f>IF(OR($U33="",0&gt;=설정!$B$12),"",SUMIFS(매출원본!$AT$8:$AT$1007,매출원본!$AX$8:$AX$1007,INDEX($R$8:$R$207,$U33),매출원본!$BA$8:$BA$1007,"포함",매출원본!$AS$8:$AS$1007,"&gt;="&amp;EDATE(설정!$B$10,0),매출원본!$AS$8:$AS$1007,"&lt;="&amp;EOMONTH(설정!$B$10,0)))</f>
        <v/>
      </c>
      <c r="J33" s="33">
        <f>IF(OR($U33="",1&gt;=설정!$B$12),"",SUMIFS(매출원본!$AT$8:$AT$1007,매출원본!$AX$8:$AX$1007,INDEX($R$8:$R$207,$U33),매출원본!$BA$8:$BA$1007,"포함",매출원본!$AS$8:$AS$1007,"&gt;="&amp;EDATE(설정!$B$10,1),매출원본!$AS$8:$AS$1007,"&lt;="&amp;EOMONTH(설정!$B$10,1)))</f>
        <v/>
      </c>
      <c r="K33" s="33">
        <f>IF(OR($U33="",2&gt;=설정!$B$12),"",SUMIFS(매출원본!$AT$8:$AT$1007,매출원본!$AX$8:$AX$1007,INDEX($R$8:$R$207,$U33),매출원본!$BA$8:$BA$1007,"포함",매출원본!$AS$8:$AS$1007,"&gt;="&amp;EDATE(설정!$B$10,2),매출원본!$AS$8:$AS$1007,"&lt;="&amp;EOMONTH(설정!$B$10,2)))</f>
        <v/>
      </c>
      <c r="L33" s="33">
        <f>IF(OR($U33="",3&gt;=설정!$B$12),"",SUMIFS(매출원본!$AT$8:$AT$1007,매출원본!$AX$8:$AX$1007,INDEX($R$8:$R$207,$U33),매출원본!$BA$8:$BA$1007,"포함",매출원본!$AS$8:$AS$1007,"&gt;="&amp;EDATE(설정!$B$10,3),매출원본!$AS$8:$AS$1007,"&lt;="&amp;EOMONTH(설정!$B$10,3)))</f>
        <v/>
      </c>
      <c r="M33" s="33">
        <f>IF(OR($U33="",4&gt;=설정!$B$12),"",SUMIFS(매출원본!$AT$8:$AT$1007,매출원본!$AX$8:$AX$1007,INDEX($R$8:$R$207,$U33),매출원본!$BA$8:$BA$1007,"포함",매출원본!$AS$8:$AS$1007,"&gt;="&amp;EDATE(설정!$B$10,4),매출원본!$AS$8:$AS$1007,"&lt;="&amp;EOMONTH(설정!$B$10,4)))</f>
        <v/>
      </c>
      <c r="N33" s="33">
        <f>IF(OR($U33="",5&gt;=설정!$B$12),"",SUMIFS(매출원본!$AT$8:$AT$1007,매출원본!$AX$8:$AX$1007,INDEX($R$8:$R$207,$U33),매출원본!$BA$8:$BA$1007,"포함",매출원본!$AS$8:$AS$1007,"&gt;="&amp;EDATE(설정!$B$10,5),매출원본!$AS$8:$AS$1007,"&lt;="&amp;EOMONTH(설정!$B$10,5)))</f>
        <v/>
      </c>
      <c r="Q33" s="35" t="n">
        <v>26</v>
      </c>
      <c r="R33" s="35">
        <f>IFERROR(INDEX(매출원본!$AX$8:$AX$1007,MATCH($Q33,매출원본!$BD$8:$BD$1007,0)),"")</f>
        <v/>
      </c>
      <c r="S33" s="35">
        <f>IF($R33="","",SUMIFS(매출원본!$AT$8:$AT$1007,매출원본!$AX$8:$AX$1007,$R33,매출원본!$BA$8:$BA$1007,"포함"))</f>
        <v/>
      </c>
      <c r="T33" s="35">
        <f>IF($R33="","",$S33-$Q33/100000)</f>
        <v/>
      </c>
      <c r="U33" s="35">
        <f>IFERROR(MATCH(LARGE($T$8:$T$207,26),$T$8:$T$207,0),"")</f>
        <v/>
      </c>
    </row>
    <row r="34">
      <c r="A34" s="32">
        <f>IF($U34="","",27)</f>
        <v/>
      </c>
      <c r="B34" s="10">
        <f>IF($U34="","",IFERROR(INDEX(매출원본!$AZ$8:$AZ$1007,MATCH($U34,매출원본!$BD$8:$BD$1007,0)),""))</f>
        <v/>
      </c>
      <c r="C34" s="10">
        <f>IF($U34="","",IFERROR(INDEX(매출원본!$AY$8:$AY$1007,MATCH($U34,매출원본!$BD$8:$BD$1007,0)),""))</f>
        <v/>
      </c>
      <c r="D34" s="33">
        <f>IF($U34="","",COUNTIFS(매출원본!$AX$8:$AX$1007,INDEX($R$8:$R$207,$U34),매출원본!$BA$8:$BA$1007,"포함"))</f>
        <v/>
      </c>
      <c r="E34" s="33">
        <f>IF($U34="","",SUMIFS(매출원본!$AT$8:$AT$1007,매출원본!$AX$8:$AX$1007,INDEX($R$8:$R$207,$U34),매출원본!$BA$8:$BA$1007,"포함"))</f>
        <v/>
      </c>
      <c r="F34" s="33">
        <f>IF($U34="","",SUMIFS(매출원본!$AU$8:$AU$1007,매출원본!$AX$8:$AX$1007,INDEX($R$8:$R$207,$U34),매출원본!$BA$8:$BA$1007,"포함"))</f>
        <v/>
      </c>
      <c r="G34" s="33">
        <f>IF($U34="","",SUMIFS(매출원본!$AV$8:$AV$1007,매출원본!$AX$8:$AX$1007,INDEX($R$8:$R$207,$U34),매출원본!$BA$8:$BA$1007,"포함"))</f>
        <v/>
      </c>
      <c r="H34" s="34">
        <f>IF(OR($U34="",$E$7=0),"",E34/$E$7)</f>
        <v/>
      </c>
      <c r="I34" s="33">
        <f>IF(OR($U34="",0&gt;=설정!$B$12),"",SUMIFS(매출원본!$AT$8:$AT$1007,매출원본!$AX$8:$AX$1007,INDEX($R$8:$R$207,$U34),매출원본!$BA$8:$BA$1007,"포함",매출원본!$AS$8:$AS$1007,"&gt;="&amp;EDATE(설정!$B$10,0),매출원본!$AS$8:$AS$1007,"&lt;="&amp;EOMONTH(설정!$B$10,0)))</f>
        <v/>
      </c>
      <c r="J34" s="33">
        <f>IF(OR($U34="",1&gt;=설정!$B$12),"",SUMIFS(매출원본!$AT$8:$AT$1007,매출원본!$AX$8:$AX$1007,INDEX($R$8:$R$207,$U34),매출원본!$BA$8:$BA$1007,"포함",매출원본!$AS$8:$AS$1007,"&gt;="&amp;EDATE(설정!$B$10,1),매출원본!$AS$8:$AS$1007,"&lt;="&amp;EOMONTH(설정!$B$10,1)))</f>
        <v/>
      </c>
      <c r="K34" s="33">
        <f>IF(OR($U34="",2&gt;=설정!$B$12),"",SUMIFS(매출원본!$AT$8:$AT$1007,매출원본!$AX$8:$AX$1007,INDEX($R$8:$R$207,$U34),매출원본!$BA$8:$BA$1007,"포함",매출원본!$AS$8:$AS$1007,"&gt;="&amp;EDATE(설정!$B$10,2),매출원본!$AS$8:$AS$1007,"&lt;="&amp;EOMONTH(설정!$B$10,2)))</f>
        <v/>
      </c>
      <c r="L34" s="33">
        <f>IF(OR($U34="",3&gt;=설정!$B$12),"",SUMIFS(매출원본!$AT$8:$AT$1007,매출원본!$AX$8:$AX$1007,INDEX($R$8:$R$207,$U34),매출원본!$BA$8:$BA$1007,"포함",매출원본!$AS$8:$AS$1007,"&gt;="&amp;EDATE(설정!$B$10,3),매출원본!$AS$8:$AS$1007,"&lt;="&amp;EOMONTH(설정!$B$10,3)))</f>
        <v/>
      </c>
      <c r="M34" s="33">
        <f>IF(OR($U34="",4&gt;=설정!$B$12),"",SUMIFS(매출원본!$AT$8:$AT$1007,매출원본!$AX$8:$AX$1007,INDEX($R$8:$R$207,$U34),매출원본!$BA$8:$BA$1007,"포함",매출원본!$AS$8:$AS$1007,"&gt;="&amp;EDATE(설정!$B$10,4),매출원본!$AS$8:$AS$1007,"&lt;="&amp;EOMONTH(설정!$B$10,4)))</f>
        <v/>
      </c>
      <c r="N34" s="33">
        <f>IF(OR($U34="",5&gt;=설정!$B$12),"",SUMIFS(매출원본!$AT$8:$AT$1007,매출원본!$AX$8:$AX$1007,INDEX($R$8:$R$207,$U34),매출원본!$BA$8:$BA$1007,"포함",매출원본!$AS$8:$AS$1007,"&gt;="&amp;EDATE(설정!$B$10,5),매출원본!$AS$8:$AS$1007,"&lt;="&amp;EOMONTH(설정!$B$10,5)))</f>
        <v/>
      </c>
      <c r="Q34" s="35" t="n">
        <v>27</v>
      </c>
      <c r="R34" s="35">
        <f>IFERROR(INDEX(매출원본!$AX$8:$AX$1007,MATCH($Q34,매출원본!$BD$8:$BD$1007,0)),"")</f>
        <v/>
      </c>
      <c r="S34" s="35">
        <f>IF($R34="","",SUMIFS(매출원본!$AT$8:$AT$1007,매출원본!$AX$8:$AX$1007,$R34,매출원본!$BA$8:$BA$1007,"포함"))</f>
        <v/>
      </c>
      <c r="T34" s="35">
        <f>IF($R34="","",$S34-$Q34/100000)</f>
        <v/>
      </c>
      <c r="U34" s="35">
        <f>IFERROR(MATCH(LARGE($T$8:$T$207,27),$T$8:$T$207,0),"")</f>
        <v/>
      </c>
    </row>
    <row r="35">
      <c r="A35" s="32">
        <f>IF($U35="","",28)</f>
        <v/>
      </c>
      <c r="B35" s="10">
        <f>IF($U35="","",IFERROR(INDEX(매출원본!$AZ$8:$AZ$1007,MATCH($U35,매출원본!$BD$8:$BD$1007,0)),""))</f>
        <v/>
      </c>
      <c r="C35" s="10">
        <f>IF($U35="","",IFERROR(INDEX(매출원본!$AY$8:$AY$1007,MATCH($U35,매출원본!$BD$8:$BD$1007,0)),""))</f>
        <v/>
      </c>
      <c r="D35" s="33">
        <f>IF($U35="","",COUNTIFS(매출원본!$AX$8:$AX$1007,INDEX($R$8:$R$207,$U35),매출원본!$BA$8:$BA$1007,"포함"))</f>
        <v/>
      </c>
      <c r="E35" s="33">
        <f>IF($U35="","",SUMIFS(매출원본!$AT$8:$AT$1007,매출원본!$AX$8:$AX$1007,INDEX($R$8:$R$207,$U35),매출원본!$BA$8:$BA$1007,"포함"))</f>
        <v/>
      </c>
      <c r="F35" s="33">
        <f>IF($U35="","",SUMIFS(매출원본!$AU$8:$AU$1007,매출원본!$AX$8:$AX$1007,INDEX($R$8:$R$207,$U35),매출원본!$BA$8:$BA$1007,"포함"))</f>
        <v/>
      </c>
      <c r="G35" s="33">
        <f>IF($U35="","",SUMIFS(매출원본!$AV$8:$AV$1007,매출원본!$AX$8:$AX$1007,INDEX($R$8:$R$207,$U35),매출원본!$BA$8:$BA$1007,"포함"))</f>
        <v/>
      </c>
      <c r="H35" s="34">
        <f>IF(OR($U35="",$E$7=0),"",E35/$E$7)</f>
        <v/>
      </c>
      <c r="I35" s="33">
        <f>IF(OR($U35="",0&gt;=설정!$B$12),"",SUMIFS(매출원본!$AT$8:$AT$1007,매출원본!$AX$8:$AX$1007,INDEX($R$8:$R$207,$U35),매출원본!$BA$8:$BA$1007,"포함",매출원본!$AS$8:$AS$1007,"&gt;="&amp;EDATE(설정!$B$10,0),매출원본!$AS$8:$AS$1007,"&lt;="&amp;EOMONTH(설정!$B$10,0)))</f>
        <v/>
      </c>
      <c r="J35" s="33">
        <f>IF(OR($U35="",1&gt;=설정!$B$12),"",SUMIFS(매출원본!$AT$8:$AT$1007,매출원본!$AX$8:$AX$1007,INDEX($R$8:$R$207,$U35),매출원본!$BA$8:$BA$1007,"포함",매출원본!$AS$8:$AS$1007,"&gt;="&amp;EDATE(설정!$B$10,1),매출원본!$AS$8:$AS$1007,"&lt;="&amp;EOMONTH(설정!$B$10,1)))</f>
        <v/>
      </c>
      <c r="K35" s="33">
        <f>IF(OR($U35="",2&gt;=설정!$B$12),"",SUMIFS(매출원본!$AT$8:$AT$1007,매출원본!$AX$8:$AX$1007,INDEX($R$8:$R$207,$U35),매출원본!$BA$8:$BA$1007,"포함",매출원본!$AS$8:$AS$1007,"&gt;="&amp;EDATE(설정!$B$10,2),매출원본!$AS$8:$AS$1007,"&lt;="&amp;EOMONTH(설정!$B$10,2)))</f>
        <v/>
      </c>
      <c r="L35" s="33">
        <f>IF(OR($U35="",3&gt;=설정!$B$12),"",SUMIFS(매출원본!$AT$8:$AT$1007,매출원본!$AX$8:$AX$1007,INDEX($R$8:$R$207,$U35),매출원본!$BA$8:$BA$1007,"포함",매출원본!$AS$8:$AS$1007,"&gt;="&amp;EDATE(설정!$B$10,3),매출원본!$AS$8:$AS$1007,"&lt;="&amp;EOMONTH(설정!$B$10,3)))</f>
        <v/>
      </c>
      <c r="M35" s="33">
        <f>IF(OR($U35="",4&gt;=설정!$B$12),"",SUMIFS(매출원본!$AT$8:$AT$1007,매출원본!$AX$8:$AX$1007,INDEX($R$8:$R$207,$U35),매출원본!$BA$8:$BA$1007,"포함",매출원본!$AS$8:$AS$1007,"&gt;="&amp;EDATE(설정!$B$10,4),매출원본!$AS$8:$AS$1007,"&lt;="&amp;EOMONTH(설정!$B$10,4)))</f>
        <v/>
      </c>
      <c r="N35" s="33">
        <f>IF(OR($U35="",5&gt;=설정!$B$12),"",SUMIFS(매출원본!$AT$8:$AT$1007,매출원본!$AX$8:$AX$1007,INDEX($R$8:$R$207,$U35),매출원본!$BA$8:$BA$1007,"포함",매출원본!$AS$8:$AS$1007,"&gt;="&amp;EDATE(설정!$B$10,5),매출원본!$AS$8:$AS$1007,"&lt;="&amp;EOMONTH(설정!$B$10,5)))</f>
        <v/>
      </c>
      <c r="Q35" s="35" t="n">
        <v>28</v>
      </c>
      <c r="R35" s="35">
        <f>IFERROR(INDEX(매출원본!$AX$8:$AX$1007,MATCH($Q35,매출원본!$BD$8:$BD$1007,0)),"")</f>
        <v/>
      </c>
      <c r="S35" s="35">
        <f>IF($R35="","",SUMIFS(매출원본!$AT$8:$AT$1007,매출원본!$AX$8:$AX$1007,$R35,매출원본!$BA$8:$BA$1007,"포함"))</f>
        <v/>
      </c>
      <c r="T35" s="35">
        <f>IF($R35="","",$S35-$Q35/100000)</f>
        <v/>
      </c>
      <c r="U35" s="35">
        <f>IFERROR(MATCH(LARGE($T$8:$T$207,28),$T$8:$T$207,0),"")</f>
        <v/>
      </c>
    </row>
    <row r="36">
      <c r="A36" s="32">
        <f>IF($U36="","",29)</f>
        <v/>
      </c>
      <c r="B36" s="10">
        <f>IF($U36="","",IFERROR(INDEX(매출원본!$AZ$8:$AZ$1007,MATCH($U36,매출원본!$BD$8:$BD$1007,0)),""))</f>
        <v/>
      </c>
      <c r="C36" s="10">
        <f>IF($U36="","",IFERROR(INDEX(매출원본!$AY$8:$AY$1007,MATCH($U36,매출원본!$BD$8:$BD$1007,0)),""))</f>
        <v/>
      </c>
      <c r="D36" s="33">
        <f>IF($U36="","",COUNTIFS(매출원본!$AX$8:$AX$1007,INDEX($R$8:$R$207,$U36),매출원본!$BA$8:$BA$1007,"포함"))</f>
        <v/>
      </c>
      <c r="E36" s="33">
        <f>IF($U36="","",SUMIFS(매출원본!$AT$8:$AT$1007,매출원본!$AX$8:$AX$1007,INDEX($R$8:$R$207,$U36),매출원본!$BA$8:$BA$1007,"포함"))</f>
        <v/>
      </c>
      <c r="F36" s="33">
        <f>IF($U36="","",SUMIFS(매출원본!$AU$8:$AU$1007,매출원본!$AX$8:$AX$1007,INDEX($R$8:$R$207,$U36),매출원본!$BA$8:$BA$1007,"포함"))</f>
        <v/>
      </c>
      <c r="G36" s="33">
        <f>IF($U36="","",SUMIFS(매출원본!$AV$8:$AV$1007,매출원본!$AX$8:$AX$1007,INDEX($R$8:$R$207,$U36),매출원본!$BA$8:$BA$1007,"포함"))</f>
        <v/>
      </c>
      <c r="H36" s="34">
        <f>IF(OR($U36="",$E$7=0),"",E36/$E$7)</f>
        <v/>
      </c>
      <c r="I36" s="33">
        <f>IF(OR($U36="",0&gt;=설정!$B$12),"",SUMIFS(매출원본!$AT$8:$AT$1007,매출원본!$AX$8:$AX$1007,INDEX($R$8:$R$207,$U36),매출원본!$BA$8:$BA$1007,"포함",매출원본!$AS$8:$AS$1007,"&gt;="&amp;EDATE(설정!$B$10,0),매출원본!$AS$8:$AS$1007,"&lt;="&amp;EOMONTH(설정!$B$10,0)))</f>
        <v/>
      </c>
      <c r="J36" s="33">
        <f>IF(OR($U36="",1&gt;=설정!$B$12),"",SUMIFS(매출원본!$AT$8:$AT$1007,매출원본!$AX$8:$AX$1007,INDEX($R$8:$R$207,$U36),매출원본!$BA$8:$BA$1007,"포함",매출원본!$AS$8:$AS$1007,"&gt;="&amp;EDATE(설정!$B$10,1),매출원본!$AS$8:$AS$1007,"&lt;="&amp;EOMONTH(설정!$B$10,1)))</f>
        <v/>
      </c>
      <c r="K36" s="33">
        <f>IF(OR($U36="",2&gt;=설정!$B$12),"",SUMIFS(매출원본!$AT$8:$AT$1007,매출원본!$AX$8:$AX$1007,INDEX($R$8:$R$207,$U36),매출원본!$BA$8:$BA$1007,"포함",매출원본!$AS$8:$AS$1007,"&gt;="&amp;EDATE(설정!$B$10,2),매출원본!$AS$8:$AS$1007,"&lt;="&amp;EOMONTH(설정!$B$10,2)))</f>
        <v/>
      </c>
      <c r="L36" s="33">
        <f>IF(OR($U36="",3&gt;=설정!$B$12),"",SUMIFS(매출원본!$AT$8:$AT$1007,매출원본!$AX$8:$AX$1007,INDEX($R$8:$R$207,$U36),매출원본!$BA$8:$BA$1007,"포함",매출원본!$AS$8:$AS$1007,"&gt;="&amp;EDATE(설정!$B$10,3),매출원본!$AS$8:$AS$1007,"&lt;="&amp;EOMONTH(설정!$B$10,3)))</f>
        <v/>
      </c>
      <c r="M36" s="33">
        <f>IF(OR($U36="",4&gt;=설정!$B$12),"",SUMIFS(매출원본!$AT$8:$AT$1007,매출원본!$AX$8:$AX$1007,INDEX($R$8:$R$207,$U36),매출원본!$BA$8:$BA$1007,"포함",매출원본!$AS$8:$AS$1007,"&gt;="&amp;EDATE(설정!$B$10,4),매출원본!$AS$8:$AS$1007,"&lt;="&amp;EOMONTH(설정!$B$10,4)))</f>
        <v/>
      </c>
      <c r="N36" s="33">
        <f>IF(OR($U36="",5&gt;=설정!$B$12),"",SUMIFS(매출원본!$AT$8:$AT$1007,매출원본!$AX$8:$AX$1007,INDEX($R$8:$R$207,$U36),매출원본!$BA$8:$BA$1007,"포함",매출원본!$AS$8:$AS$1007,"&gt;="&amp;EDATE(설정!$B$10,5),매출원본!$AS$8:$AS$1007,"&lt;="&amp;EOMONTH(설정!$B$10,5)))</f>
        <v/>
      </c>
      <c r="Q36" s="35" t="n">
        <v>29</v>
      </c>
      <c r="R36" s="35">
        <f>IFERROR(INDEX(매출원본!$AX$8:$AX$1007,MATCH($Q36,매출원본!$BD$8:$BD$1007,0)),"")</f>
        <v/>
      </c>
      <c r="S36" s="35">
        <f>IF($R36="","",SUMIFS(매출원본!$AT$8:$AT$1007,매출원본!$AX$8:$AX$1007,$R36,매출원본!$BA$8:$BA$1007,"포함"))</f>
        <v/>
      </c>
      <c r="T36" s="35">
        <f>IF($R36="","",$S36-$Q36/100000)</f>
        <v/>
      </c>
      <c r="U36" s="35">
        <f>IFERROR(MATCH(LARGE($T$8:$T$207,29),$T$8:$T$207,0),"")</f>
        <v/>
      </c>
    </row>
    <row r="37">
      <c r="A37" s="32">
        <f>IF($U37="","",30)</f>
        <v/>
      </c>
      <c r="B37" s="10">
        <f>IF($U37="","",IFERROR(INDEX(매출원본!$AZ$8:$AZ$1007,MATCH($U37,매출원본!$BD$8:$BD$1007,0)),""))</f>
        <v/>
      </c>
      <c r="C37" s="10">
        <f>IF($U37="","",IFERROR(INDEX(매출원본!$AY$8:$AY$1007,MATCH($U37,매출원본!$BD$8:$BD$1007,0)),""))</f>
        <v/>
      </c>
      <c r="D37" s="33">
        <f>IF($U37="","",COUNTIFS(매출원본!$AX$8:$AX$1007,INDEX($R$8:$R$207,$U37),매출원본!$BA$8:$BA$1007,"포함"))</f>
        <v/>
      </c>
      <c r="E37" s="33">
        <f>IF($U37="","",SUMIFS(매출원본!$AT$8:$AT$1007,매출원본!$AX$8:$AX$1007,INDEX($R$8:$R$207,$U37),매출원본!$BA$8:$BA$1007,"포함"))</f>
        <v/>
      </c>
      <c r="F37" s="33">
        <f>IF($U37="","",SUMIFS(매출원본!$AU$8:$AU$1007,매출원본!$AX$8:$AX$1007,INDEX($R$8:$R$207,$U37),매출원본!$BA$8:$BA$1007,"포함"))</f>
        <v/>
      </c>
      <c r="G37" s="33">
        <f>IF($U37="","",SUMIFS(매출원본!$AV$8:$AV$1007,매출원본!$AX$8:$AX$1007,INDEX($R$8:$R$207,$U37),매출원본!$BA$8:$BA$1007,"포함"))</f>
        <v/>
      </c>
      <c r="H37" s="34">
        <f>IF(OR($U37="",$E$7=0),"",E37/$E$7)</f>
        <v/>
      </c>
      <c r="I37" s="33">
        <f>IF(OR($U37="",0&gt;=설정!$B$12),"",SUMIFS(매출원본!$AT$8:$AT$1007,매출원본!$AX$8:$AX$1007,INDEX($R$8:$R$207,$U37),매출원본!$BA$8:$BA$1007,"포함",매출원본!$AS$8:$AS$1007,"&gt;="&amp;EDATE(설정!$B$10,0),매출원본!$AS$8:$AS$1007,"&lt;="&amp;EOMONTH(설정!$B$10,0)))</f>
        <v/>
      </c>
      <c r="J37" s="33">
        <f>IF(OR($U37="",1&gt;=설정!$B$12),"",SUMIFS(매출원본!$AT$8:$AT$1007,매출원본!$AX$8:$AX$1007,INDEX($R$8:$R$207,$U37),매출원본!$BA$8:$BA$1007,"포함",매출원본!$AS$8:$AS$1007,"&gt;="&amp;EDATE(설정!$B$10,1),매출원본!$AS$8:$AS$1007,"&lt;="&amp;EOMONTH(설정!$B$10,1)))</f>
        <v/>
      </c>
      <c r="K37" s="33">
        <f>IF(OR($U37="",2&gt;=설정!$B$12),"",SUMIFS(매출원본!$AT$8:$AT$1007,매출원본!$AX$8:$AX$1007,INDEX($R$8:$R$207,$U37),매출원본!$BA$8:$BA$1007,"포함",매출원본!$AS$8:$AS$1007,"&gt;="&amp;EDATE(설정!$B$10,2),매출원본!$AS$8:$AS$1007,"&lt;="&amp;EOMONTH(설정!$B$10,2)))</f>
        <v/>
      </c>
      <c r="L37" s="33">
        <f>IF(OR($U37="",3&gt;=설정!$B$12),"",SUMIFS(매출원본!$AT$8:$AT$1007,매출원본!$AX$8:$AX$1007,INDEX($R$8:$R$207,$U37),매출원본!$BA$8:$BA$1007,"포함",매출원본!$AS$8:$AS$1007,"&gt;="&amp;EDATE(설정!$B$10,3),매출원본!$AS$8:$AS$1007,"&lt;="&amp;EOMONTH(설정!$B$10,3)))</f>
        <v/>
      </c>
      <c r="M37" s="33">
        <f>IF(OR($U37="",4&gt;=설정!$B$12),"",SUMIFS(매출원본!$AT$8:$AT$1007,매출원본!$AX$8:$AX$1007,INDEX($R$8:$R$207,$U37),매출원본!$BA$8:$BA$1007,"포함",매출원본!$AS$8:$AS$1007,"&gt;="&amp;EDATE(설정!$B$10,4),매출원본!$AS$8:$AS$1007,"&lt;="&amp;EOMONTH(설정!$B$10,4)))</f>
        <v/>
      </c>
      <c r="N37" s="33">
        <f>IF(OR($U37="",5&gt;=설정!$B$12),"",SUMIFS(매출원본!$AT$8:$AT$1007,매출원본!$AX$8:$AX$1007,INDEX($R$8:$R$207,$U37),매출원본!$BA$8:$BA$1007,"포함",매출원본!$AS$8:$AS$1007,"&gt;="&amp;EDATE(설정!$B$10,5),매출원본!$AS$8:$AS$1007,"&lt;="&amp;EOMONTH(설정!$B$10,5)))</f>
        <v/>
      </c>
      <c r="Q37" s="35" t="n">
        <v>30</v>
      </c>
      <c r="R37" s="35">
        <f>IFERROR(INDEX(매출원본!$AX$8:$AX$1007,MATCH($Q37,매출원본!$BD$8:$BD$1007,0)),"")</f>
        <v/>
      </c>
      <c r="S37" s="35">
        <f>IF($R37="","",SUMIFS(매출원본!$AT$8:$AT$1007,매출원본!$AX$8:$AX$1007,$R37,매출원본!$BA$8:$BA$1007,"포함"))</f>
        <v/>
      </c>
      <c r="T37" s="35">
        <f>IF($R37="","",$S37-$Q37/100000)</f>
        <v/>
      </c>
      <c r="U37" s="35">
        <f>IFERROR(MATCH(LARGE($T$8:$T$207,30),$T$8:$T$207,0),"")</f>
        <v/>
      </c>
    </row>
    <row r="38">
      <c r="A38" s="32">
        <f>IF($U38="","",31)</f>
        <v/>
      </c>
      <c r="B38" s="10">
        <f>IF($U38="","",IFERROR(INDEX(매출원본!$AZ$8:$AZ$1007,MATCH($U38,매출원본!$BD$8:$BD$1007,0)),""))</f>
        <v/>
      </c>
      <c r="C38" s="10">
        <f>IF($U38="","",IFERROR(INDEX(매출원본!$AY$8:$AY$1007,MATCH($U38,매출원본!$BD$8:$BD$1007,0)),""))</f>
        <v/>
      </c>
      <c r="D38" s="33">
        <f>IF($U38="","",COUNTIFS(매출원본!$AX$8:$AX$1007,INDEX($R$8:$R$207,$U38),매출원본!$BA$8:$BA$1007,"포함"))</f>
        <v/>
      </c>
      <c r="E38" s="33">
        <f>IF($U38="","",SUMIFS(매출원본!$AT$8:$AT$1007,매출원본!$AX$8:$AX$1007,INDEX($R$8:$R$207,$U38),매출원본!$BA$8:$BA$1007,"포함"))</f>
        <v/>
      </c>
      <c r="F38" s="33">
        <f>IF($U38="","",SUMIFS(매출원본!$AU$8:$AU$1007,매출원본!$AX$8:$AX$1007,INDEX($R$8:$R$207,$U38),매출원본!$BA$8:$BA$1007,"포함"))</f>
        <v/>
      </c>
      <c r="G38" s="33">
        <f>IF($U38="","",SUMIFS(매출원본!$AV$8:$AV$1007,매출원본!$AX$8:$AX$1007,INDEX($R$8:$R$207,$U38),매출원본!$BA$8:$BA$1007,"포함"))</f>
        <v/>
      </c>
      <c r="H38" s="34">
        <f>IF(OR($U38="",$E$7=0),"",E38/$E$7)</f>
        <v/>
      </c>
      <c r="I38" s="33">
        <f>IF(OR($U38="",0&gt;=설정!$B$12),"",SUMIFS(매출원본!$AT$8:$AT$1007,매출원본!$AX$8:$AX$1007,INDEX($R$8:$R$207,$U38),매출원본!$BA$8:$BA$1007,"포함",매출원본!$AS$8:$AS$1007,"&gt;="&amp;EDATE(설정!$B$10,0),매출원본!$AS$8:$AS$1007,"&lt;="&amp;EOMONTH(설정!$B$10,0)))</f>
        <v/>
      </c>
      <c r="J38" s="33">
        <f>IF(OR($U38="",1&gt;=설정!$B$12),"",SUMIFS(매출원본!$AT$8:$AT$1007,매출원본!$AX$8:$AX$1007,INDEX($R$8:$R$207,$U38),매출원본!$BA$8:$BA$1007,"포함",매출원본!$AS$8:$AS$1007,"&gt;="&amp;EDATE(설정!$B$10,1),매출원본!$AS$8:$AS$1007,"&lt;="&amp;EOMONTH(설정!$B$10,1)))</f>
        <v/>
      </c>
      <c r="K38" s="33">
        <f>IF(OR($U38="",2&gt;=설정!$B$12),"",SUMIFS(매출원본!$AT$8:$AT$1007,매출원본!$AX$8:$AX$1007,INDEX($R$8:$R$207,$U38),매출원본!$BA$8:$BA$1007,"포함",매출원본!$AS$8:$AS$1007,"&gt;="&amp;EDATE(설정!$B$10,2),매출원본!$AS$8:$AS$1007,"&lt;="&amp;EOMONTH(설정!$B$10,2)))</f>
        <v/>
      </c>
      <c r="L38" s="33">
        <f>IF(OR($U38="",3&gt;=설정!$B$12),"",SUMIFS(매출원본!$AT$8:$AT$1007,매출원본!$AX$8:$AX$1007,INDEX($R$8:$R$207,$U38),매출원본!$BA$8:$BA$1007,"포함",매출원본!$AS$8:$AS$1007,"&gt;="&amp;EDATE(설정!$B$10,3),매출원본!$AS$8:$AS$1007,"&lt;="&amp;EOMONTH(설정!$B$10,3)))</f>
        <v/>
      </c>
      <c r="M38" s="33">
        <f>IF(OR($U38="",4&gt;=설정!$B$12),"",SUMIFS(매출원본!$AT$8:$AT$1007,매출원본!$AX$8:$AX$1007,INDEX($R$8:$R$207,$U38),매출원본!$BA$8:$BA$1007,"포함",매출원본!$AS$8:$AS$1007,"&gt;="&amp;EDATE(설정!$B$10,4),매출원본!$AS$8:$AS$1007,"&lt;="&amp;EOMONTH(설정!$B$10,4)))</f>
        <v/>
      </c>
      <c r="N38" s="33">
        <f>IF(OR($U38="",5&gt;=설정!$B$12),"",SUMIFS(매출원본!$AT$8:$AT$1007,매출원본!$AX$8:$AX$1007,INDEX($R$8:$R$207,$U38),매출원본!$BA$8:$BA$1007,"포함",매출원본!$AS$8:$AS$1007,"&gt;="&amp;EDATE(설정!$B$10,5),매출원본!$AS$8:$AS$1007,"&lt;="&amp;EOMONTH(설정!$B$10,5)))</f>
        <v/>
      </c>
      <c r="Q38" s="35" t="n">
        <v>31</v>
      </c>
      <c r="R38" s="35">
        <f>IFERROR(INDEX(매출원본!$AX$8:$AX$1007,MATCH($Q38,매출원본!$BD$8:$BD$1007,0)),"")</f>
        <v/>
      </c>
      <c r="S38" s="35">
        <f>IF($R38="","",SUMIFS(매출원본!$AT$8:$AT$1007,매출원본!$AX$8:$AX$1007,$R38,매출원본!$BA$8:$BA$1007,"포함"))</f>
        <v/>
      </c>
      <c r="T38" s="35">
        <f>IF($R38="","",$S38-$Q38/100000)</f>
        <v/>
      </c>
      <c r="U38" s="35">
        <f>IFERROR(MATCH(LARGE($T$8:$T$207,31),$T$8:$T$207,0),"")</f>
        <v/>
      </c>
    </row>
    <row r="39">
      <c r="A39" s="32">
        <f>IF($U39="","",32)</f>
        <v/>
      </c>
      <c r="B39" s="10">
        <f>IF($U39="","",IFERROR(INDEX(매출원본!$AZ$8:$AZ$1007,MATCH($U39,매출원본!$BD$8:$BD$1007,0)),""))</f>
        <v/>
      </c>
      <c r="C39" s="10">
        <f>IF($U39="","",IFERROR(INDEX(매출원본!$AY$8:$AY$1007,MATCH($U39,매출원본!$BD$8:$BD$1007,0)),""))</f>
        <v/>
      </c>
      <c r="D39" s="33">
        <f>IF($U39="","",COUNTIFS(매출원본!$AX$8:$AX$1007,INDEX($R$8:$R$207,$U39),매출원본!$BA$8:$BA$1007,"포함"))</f>
        <v/>
      </c>
      <c r="E39" s="33">
        <f>IF($U39="","",SUMIFS(매출원본!$AT$8:$AT$1007,매출원본!$AX$8:$AX$1007,INDEX($R$8:$R$207,$U39),매출원본!$BA$8:$BA$1007,"포함"))</f>
        <v/>
      </c>
      <c r="F39" s="33">
        <f>IF($U39="","",SUMIFS(매출원본!$AU$8:$AU$1007,매출원본!$AX$8:$AX$1007,INDEX($R$8:$R$207,$U39),매출원본!$BA$8:$BA$1007,"포함"))</f>
        <v/>
      </c>
      <c r="G39" s="33">
        <f>IF($U39="","",SUMIFS(매출원본!$AV$8:$AV$1007,매출원본!$AX$8:$AX$1007,INDEX($R$8:$R$207,$U39),매출원본!$BA$8:$BA$1007,"포함"))</f>
        <v/>
      </c>
      <c r="H39" s="34">
        <f>IF(OR($U39="",$E$7=0),"",E39/$E$7)</f>
        <v/>
      </c>
      <c r="I39" s="33">
        <f>IF(OR($U39="",0&gt;=설정!$B$12),"",SUMIFS(매출원본!$AT$8:$AT$1007,매출원본!$AX$8:$AX$1007,INDEX($R$8:$R$207,$U39),매출원본!$BA$8:$BA$1007,"포함",매출원본!$AS$8:$AS$1007,"&gt;="&amp;EDATE(설정!$B$10,0),매출원본!$AS$8:$AS$1007,"&lt;="&amp;EOMONTH(설정!$B$10,0)))</f>
        <v/>
      </c>
      <c r="J39" s="33">
        <f>IF(OR($U39="",1&gt;=설정!$B$12),"",SUMIFS(매출원본!$AT$8:$AT$1007,매출원본!$AX$8:$AX$1007,INDEX($R$8:$R$207,$U39),매출원본!$BA$8:$BA$1007,"포함",매출원본!$AS$8:$AS$1007,"&gt;="&amp;EDATE(설정!$B$10,1),매출원본!$AS$8:$AS$1007,"&lt;="&amp;EOMONTH(설정!$B$10,1)))</f>
        <v/>
      </c>
      <c r="K39" s="33">
        <f>IF(OR($U39="",2&gt;=설정!$B$12),"",SUMIFS(매출원본!$AT$8:$AT$1007,매출원본!$AX$8:$AX$1007,INDEX($R$8:$R$207,$U39),매출원본!$BA$8:$BA$1007,"포함",매출원본!$AS$8:$AS$1007,"&gt;="&amp;EDATE(설정!$B$10,2),매출원본!$AS$8:$AS$1007,"&lt;="&amp;EOMONTH(설정!$B$10,2)))</f>
        <v/>
      </c>
      <c r="L39" s="33">
        <f>IF(OR($U39="",3&gt;=설정!$B$12),"",SUMIFS(매출원본!$AT$8:$AT$1007,매출원본!$AX$8:$AX$1007,INDEX($R$8:$R$207,$U39),매출원본!$BA$8:$BA$1007,"포함",매출원본!$AS$8:$AS$1007,"&gt;="&amp;EDATE(설정!$B$10,3),매출원본!$AS$8:$AS$1007,"&lt;="&amp;EOMONTH(설정!$B$10,3)))</f>
        <v/>
      </c>
      <c r="M39" s="33">
        <f>IF(OR($U39="",4&gt;=설정!$B$12),"",SUMIFS(매출원본!$AT$8:$AT$1007,매출원본!$AX$8:$AX$1007,INDEX($R$8:$R$207,$U39),매출원본!$BA$8:$BA$1007,"포함",매출원본!$AS$8:$AS$1007,"&gt;="&amp;EDATE(설정!$B$10,4),매출원본!$AS$8:$AS$1007,"&lt;="&amp;EOMONTH(설정!$B$10,4)))</f>
        <v/>
      </c>
      <c r="N39" s="33">
        <f>IF(OR($U39="",5&gt;=설정!$B$12),"",SUMIFS(매출원본!$AT$8:$AT$1007,매출원본!$AX$8:$AX$1007,INDEX($R$8:$R$207,$U39),매출원본!$BA$8:$BA$1007,"포함",매출원본!$AS$8:$AS$1007,"&gt;="&amp;EDATE(설정!$B$10,5),매출원본!$AS$8:$AS$1007,"&lt;="&amp;EOMONTH(설정!$B$10,5)))</f>
        <v/>
      </c>
      <c r="Q39" s="35" t="n">
        <v>32</v>
      </c>
      <c r="R39" s="35">
        <f>IFERROR(INDEX(매출원본!$AX$8:$AX$1007,MATCH($Q39,매출원본!$BD$8:$BD$1007,0)),"")</f>
        <v/>
      </c>
      <c r="S39" s="35">
        <f>IF($R39="","",SUMIFS(매출원본!$AT$8:$AT$1007,매출원본!$AX$8:$AX$1007,$R39,매출원본!$BA$8:$BA$1007,"포함"))</f>
        <v/>
      </c>
      <c r="T39" s="35">
        <f>IF($R39="","",$S39-$Q39/100000)</f>
        <v/>
      </c>
      <c r="U39" s="35">
        <f>IFERROR(MATCH(LARGE($T$8:$T$207,32),$T$8:$T$207,0),"")</f>
        <v/>
      </c>
    </row>
    <row r="40">
      <c r="A40" s="32">
        <f>IF($U40="","",33)</f>
        <v/>
      </c>
      <c r="B40" s="10">
        <f>IF($U40="","",IFERROR(INDEX(매출원본!$AZ$8:$AZ$1007,MATCH($U40,매출원본!$BD$8:$BD$1007,0)),""))</f>
        <v/>
      </c>
      <c r="C40" s="10">
        <f>IF($U40="","",IFERROR(INDEX(매출원본!$AY$8:$AY$1007,MATCH($U40,매출원본!$BD$8:$BD$1007,0)),""))</f>
        <v/>
      </c>
      <c r="D40" s="33">
        <f>IF($U40="","",COUNTIFS(매출원본!$AX$8:$AX$1007,INDEX($R$8:$R$207,$U40),매출원본!$BA$8:$BA$1007,"포함"))</f>
        <v/>
      </c>
      <c r="E40" s="33">
        <f>IF($U40="","",SUMIFS(매출원본!$AT$8:$AT$1007,매출원본!$AX$8:$AX$1007,INDEX($R$8:$R$207,$U40),매출원본!$BA$8:$BA$1007,"포함"))</f>
        <v/>
      </c>
      <c r="F40" s="33">
        <f>IF($U40="","",SUMIFS(매출원본!$AU$8:$AU$1007,매출원본!$AX$8:$AX$1007,INDEX($R$8:$R$207,$U40),매출원본!$BA$8:$BA$1007,"포함"))</f>
        <v/>
      </c>
      <c r="G40" s="33">
        <f>IF($U40="","",SUMIFS(매출원본!$AV$8:$AV$1007,매출원본!$AX$8:$AX$1007,INDEX($R$8:$R$207,$U40),매출원본!$BA$8:$BA$1007,"포함"))</f>
        <v/>
      </c>
      <c r="H40" s="34">
        <f>IF(OR($U40="",$E$7=0),"",E40/$E$7)</f>
        <v/>
      </c>
      <c r="I40" s="33">
        <f>IF(OR($U40="",0&gt;=설정!$B$12),"",SUMIFS(매출원본!$AT$8:$AT$1007,매출원본!$AX$8:$AX$1007,INDEX($R$8:$R$207,$U40),매출원본!$BA$8:$BA$1007,"포함",매출원본!$AS$8:$AS$1007,"&gt;="&amp;EDATE(설정!$B$10,0),매출원본!$AS$8:$AS$1007,"&lt;="&amp;EOMONTH(설정!$B$10,0)))</f>
        <v/>
      </c>
      <c r="J40" s="33">
        <f>IF(OR($U40="",1&gt;=설정!$B$12),"",SUMIFS(매출원본!$AT$8:$AT$1007,매출원본!$AX$8:$AX$1007,INDEX($R$8:$R$207,$U40),매출원본!$BA$8:$BA$1007,"포함",매출원본!$AS$8:$AS$1007,"&gt;="&amp;EDATE(설정!$B$10,1),매출원본!$AS$8:$AS$1007,"&lt;="&amp;EOMONTH(설정!$B$10,1)))</f>
        <v/>
      </c>
      <c r="K40" s="33">
        <f>IF(OR($U40="",2&gt;=설정!$B$12),"",SUMIFS(매출원본!$AT$8:$AT$1007,매출원본!$AX$8:$AX$1007,INDEX($R$8:$R$207,$U40),매출원본!$BA$8:$BA$1007,"포함",매출원본!$AS$8:$AS$1007,"&gt;="&amp;EDATE(설정!$B$10,2),매출원본!$AS$8:$AS$1007,"&lt;="&amp;EOMONTH(설정!$B$10,2)))</f>
        <v/>
      </c>
      <c r="L40" s="33">
        <f>IF(OR($U40="",3&gt;=설정!$B$12),"",SUMIFS(매출원본!$AT$8:$AT$1007,매출원본!$AX$8:$AX$1007,INDEX($R$8:$R$207,$U40),매출원본!$BA$8:$BA$1007,"포함",매출원본!$AS$8:$AS$1007,"&gt;="&amp;EDATE(설정!$B$10,3),매출원본!$AS$8:$AS$1007,"&lt;="&amp;EOMONTH(설정!$B$10,3)))</f>
        <v/>
      </c>
      <c r="M40" s="33">
        <f>IF(OR($U40="",4&gt;=설정!$B$12),"",SUMIFS(매출원본!$AT$8:$AT$1007,매출원본!$AX$8:$AX$1007,INDEX($R$8:$R$207,$U40),매출원본!$BA$8:$BA$1007,"포함",매출원본!$AS$8:$AS$1007,"&gt;="&amp;EDATE(설정!$B$10,4),매출원본!$AS$8:$AS$1007,"&lt;="&amp;EOMONTH(설정!$B$10,4)))</f>
        <v/>
      </c>
      <c r="N40" s="33">
        <f>IF(OR($U40="",5&gt;=설정!$B$12),"",SUMIFS(매출원본!$AT$8:$AT$1007,매출원본!$AX$8:$AX$1007,INDEX($R$8:$R$207,$U40),매출원본!$BA$8:$BA$1007,"포함",매출원본!$AS$8:$AS$1007,"&gt;="&amp;EDATE(설정!$B$10,5),매출원본!$AS$8:$AS$1007,"&lt;="&amp;EOMONTH(설정!$B$10,5)))</f>
        <v/>
      </c>
      <c r="Q40" s="35" t="n">
        <v>33</v>
      </c>
      <c r="R40" s="35">
        <f>IFERROR(INDEX(매출원본!$AX$8:$AX$1007,MATCH($Q40,매출원본!$BD$8:$BD$1007,0)),"")</f>
        <v/>
      </c>
      <c r="S40" s="35">
        <f>IF($R40="","",SUMIFS(매출원본!$AT$8:$AT$1007,매출원본!$AX$8:$AX$1007,$R40,매출원본!$BA$8:$BA$1007,"포함"))</f>
        <v/>
      </c>
      <c r="T40" s="35">
        <f>IF($R40="","",$S40-$Q40/100000)</f>
        <v/>
      </c>
      <c r="U40" s="35">
        <f>IFERROR(MATCH(LARGE($T$8:$T$207,33),$T$8:$T$207,0),"")</f>
        <v/>
      </c>
    </row>
    <row r="41">
      <c r="A41" s="32">
        <f>IF($U41="","",34)</f>
        <v/>
      </c>
      <c r="B41" s="10">
        <f>IF($U41="","",IFERROR(INDEX(매출원본!$AZ$8:$AZ$1007,MATCH($U41,매출원본!$BD$8:$BD$1007,0)),""))</f>
        <v/>
      </c>
      <c r="C41" s="10">
        <f>IF($U41="","",IFERROR(INDEX(매출원본!$AY$8:$AY$1007,MATCH($U41,매출원본!$BD$8:$BD$1007,0)),""))</f>
        <v/>
      </c>
      <c r="D41" s="33">
        <f>IF($U41="","",COUNTIFS(매출원본!$AX$8:$AX$1007,INDEX($R$8:$R$207,$U41),매출원본!$BA$8:$BA$1007,"포함"))</f>
        <v/>
      </c>
      <c r="E41" s="33">
        <f>IF($U41="","",SUMIFS(매출원본!$AT$8:$AT$1007,매출원본!$AX$8:$AX$1007,INDEX($R$8:$R$207,$U41),매출원본!$BA$8:$BA$1007,"포함"))</f>
        <v/>
      </c>
      <c r="F41" s="33">
        <f>IF($U41="","",SUMIFS(매출원본!$AU$8:$AU$1007,매출원본!$AX$8:$AX$1007,INDEX($R$8:$R$207,$U41),매출원본!$BA$8:$BA$1007,"포함"))</f>
        <v/>
      </c>
      <c r="G41" s="33">
        <f>IF($U41="","",SUMIFS(매출원본!$AV$8:$AV$1007,매출원본!$AX$8:$AX$1007,INDEX($R$8:$R$207,$U41),매출원본!$BA$8:$BA$1007,"포함"))</f>
        <v/>
      </c>
      <c r="H41" s="34">
        <f>IF(OR($U41="",$E$7=0),"",E41/$E$7)</f>
        <v/>
      </c>
      <c r="I41" s="33">
        <f>IF(OR($U41="",0&gt;=설정!$B$12),"",SUMIFS(매출원본!$AT$8:$AT$1007,매출원본!$AX$8:$AX$1007,INDEX($R$8:$R$207,$U41),매출원본!$BA$8:$BA$1007,"포함",매출원본!$AS$8:$AS$1007,"&gt;="&amp;EDATE(설정!$B$10,0),매출원본!$AS$8:$AS$1007,"&lt;="&amp;EOMONTH(설정!$B$10,0)))</f>
        <v/>
      </c>
      <c r="J41" s="33">
        <f>IF(OR($U41="",1&gt;=설정!$B$12),"",SUMIFS(매출원본!$AT$8:$AT$1007,매출원본!$AX$8:$AX$1007,INDEX($R$8:$R$207,$U41),매출원본!$BA$8:$BA$1007,"포함",매출원본!$AS$8:$AS$1007,"&gt;="&amp;EDATE(설정!$B$10,1),매출원본!$AS$8:$AS$1007,"&lt;="&amp;EOMONTH(설정!$B$10,1)))</f>
        <v/>
      </c>
      <c r="K41" s="33">
        <f>IF(OR($U41="",2&gt;=설정!$B$12),"",SUMIFS(매출원본!$AT$8:$AT$1007,매출원본!$AX$8:$AX$1007,INDEX($R$8:$R$207,$U41),매출원본!$BA$8:$BA$1007,"포함",매출원본!$AS$8:$AS$1007,"&gt;="&amp;EDATE(설정!$B$10,2),매출원본!$AS$8:$AS$1007,"&lt;="&amp;EOMONTH(설정!$B$10,2)))</f>
        <v/>
      </c>
      <c r="L41" s="33">
        <f>IF(OR($U41="",3&gt;=설정!$B$12),"",SUMIFS(매출원본!$AT$8:$AT$1007,매출원본!$AX$8:$AX$1007,INDEX($R$8:$R$207,$U41),매출원본!$BA$8:$BA$1007,"포함",매출원본!$AS$8:$AS$1007,"&gt;="&amp;EDATE(설정!$B$10,3),매출원본!$AS$8:$AS$1007,"&lt;="&amp;EOMONTH(설정!$B$10,3)))</f>
        <v/>
      </c>
      <c r="M41" s="33">
        <f>IF(OR($U41="",4&gt;=설정!$B$12),"",SUMIFS(매출원본!$AT$8:$AT$1007,매출원본!$AX$8:$AX$1007,INDEX($R$8:$R$207,$U41),매출원본!$BA$8:$BA$1007,"포함",매출원본!$AS$8:$AS$1007,"&gt;="&amp;EDATE(설정!$B$10,4),매출원본!$AS$8:$AS$1007,"&lt;="&amp;EOMONTH(설정!$B$10,4)))</f>
        <v/>
      </c>
      <c r="N41" s="33">
        <f>IF(OR($U41="",5&gt;=설정!$B$12),"",SUMIFS(매출원본!$AT$8:$AT$1007,매출원본!$AX$8:$AX$1007,INDEX($R$8:$R$207,$U41),매출원본!$BA$8:$BA$1007,"포함",매출원본!$AS$8:$AS$1007,"&gt;="&amp;EDATE(설정!$B$10,5),매출원본!$AS$8:$AS$1007,"&lt;="&amp;EOMONTH(설정!$B$10,5)))</f>
        <v/>
      </c>
      <c r="Q41" s="35" t="n">
        <v>34</v>
      </c>
      <c r="R41" s="35">
        <f>IFERROR(INDEX(매출원본!$AX$8:$AX$1007,MATCH($Q41,매출원본!$BD$8:$BD$1007,0)),"")</f>
        <v/>
      </c>
      <c r="S41" s="35">
        <f>IF($R41="","",SUMIFS(매출원본!$AT$8:$AT$1007,매출원본!$AX$8:$AX$1007,$R41,매출원본!$BA$8:$BA$1007,"포함"))</f>
        <v/>
      </c>
      <c r="T41" s="35">
        <f>IF($R41="","",$S41-$Q41/100000)</f>
        <v/>
      </c>
      <c r="U41" s="35">
        <f>IFERROR(MATCH(LARGE($T$8:$T$207,34),$T$8:$T$207,0),"")</f>
        <v/>
      </c>
    </row>
    <row r="42">
      <c r="A42" s="32">
        <f>IF($U42="","",35)</f>
        <v/>
      </c>
      <c r="B42" s="10">
        <f>IF($U42="","",IFERROR(INDEX(매출원본!$AZ$8:$AZ$1007,MATCH($U42,매출원본!$BD$8:$BD$1007,0)),""))</f>
        <v/>
      </c>
      <c r="C42" s="10">
        <f>IF($U42="","",IFERROR(INDEX(매출원본!$AY$8:$AY$1007,MATCH($U42,매출원본!$BD$8:$BD$1007,0)),""))</f>
        <v/>
      </c>
      <c r="D42" s="33">
        <f>IF($U42="","",COUNTIFS(매출원본!$AX$8:$AX$1007,INDEX($R$8:$R$207,$U42),매출원본!$BA$8:$BA$1007,"포함"))</f>
        <v/>
      </c>
      <c r="E42" s="33">
        <f>IF($U42="","",SUMIFS(매출원본!$AT$8:$AT$1007,매출원본!$AX$8:$AX$1007,INDEX($R$8:$R$207,$U42),매출원본!$BA$8:$BA$1007,"포함"))</f>
        <v/>
      </c>
      <c r="F42" s="33">
        <f>IF($U42="","",SUMIFS(매출원본!$AU$8:$AU$1007,매출원본!$AX$8:$AX$1007,INDEX($R$8:$R$207,$U42),매출원본!$BA$8:$BA$1007,"포함"))</f>
        <v/>
      </c>
      <c r="G42" s="33">
        <f>IF($U42="","",SUMIFS(매출원본!$AV$8:$AV$1007,매출원본!$AX$8:$AX$1007,INDEX($R$8:$R$207,$U42),매출원본!$BA$8:$BA$1007,"포함"))</f>
        <v/>
      </c>
      <c r="H42" s="34">
        <f>IF(OR($U42="",$E$7=0),"",E42/$E$7)</f>
        <v/>
      </c>
      <c r="I42" s="33">
        <f>IF(OR($U42="",0&gt;=설정!$B$12),"",SUMIFS(매출원본!$AT$8:$AT$1007,매출원본!$AX$8:$AX$1007,INDEX($R$8:$R$207,$U42),매출원본!$BA$8:$BA$1007,"포함",매출원본!$AS$8:$AS$1007,"&gt;="&amp;EDATE(설정!$B$10,0),매출원본!$AS$8:$AS$1007,"&lt;="&amp;EOMONTH(설정!$B$10,0)))</f>
        <v/>
      </c>
      <c r="J42" s="33">
        <f>IF(OR($U42="",1&gt;=설정!$B$12),"",SUMIFS(매출원본!$AT$8:$AT$1007,매출원본!$AX$8:$AX$1007,INDEX($R$8:$R$207,$U42),매출원본!$BA$8:$BA$1007,"포함",매출원본!$AS$8:$AS$1007,"&gt;="&amp;EDATE(설정!$B$10,1),매출원본!$AS$8:$AS$1007,"&lt;="&amp;EOMONTH(설정!$B$10,1)))</f>
        <v/>
      </c>
      <c r="K42" s="33">
        <f>IF(OR($U42="",2&gt;=설정!$B$12),"",SUMIFS(매출원본!$AT$8:$AT$1007,매출원본!$AX$8:$AX$1007,INDEX($R$8:$R$207,$U42),매출원본!$BA$8:$BA$1007,"포함",매출원본!$AS$8:$AS$1007,"&gt;="&amp;EDATE(설정!$B$10,2),매출원본!$AS$8:$AS$1007,"&lt;="&amp;EOMONTH(설정!$B$10,2)))</f>
        <v/>
      </c>
      <c r="L42" s="33">
        <f>IF(OR($U42="",3&gt;=설정!$B$12),"",SUMIFS(매출원본!$AT$8:$AT$1007,매출원본!$AX$8:$AX$1007,INDEX($R$8:$R$207,$U42),매출원본!$BA$8:$BA$1007,"포함",매출원본!$AS$8:$AS$1007,"&gt;="&amp;EDATE(설정!$B$10,3),매출원본!$AS$8:$AS$1007,"&lt;="&amp;EOMONTH(설정!$B$10,3)))</f>
        <v/>
      </c>
      <c r="M42" s="33">
        <f>IF(OR($U42="",4&gt;=설정!$B$12),"",SUMIFS(매출원본!$AT$8:$AT$1007,매출원본!$AX$8:$AX$1007,INDEX($R$8:$R$207,$U42),매출원본!$BA$8:$BA$1007,"포함",매출원본!$AS$8:$AS$1007,"&gt;="&amp;EDATE(설정!$B$10,4),매출원본!$AS$8:$AS$1007,"&lt;="&amp;EOMONTH(설정!$B$10,4)))</f>
        <v/>
      </c>
      <c r="N42" s="33">
        <f>IF(OR($U42="",5&gt;=설정!$B$12),"",SUMIFS(매출원본!$AT$8:$AT$1007,매출원본!$AX$8:$AX$1007,INDEX($R$8:$R$207,$U42),매출원본!$BA$8:$BA$1007,"포함",매출원본!$AS$8:$AS$1007,"&gt;="&amp;EDATE(설정!$B$10,5),매출원본!$AS$8:$AS$1007,"&lt;="&amp;EOMONTH(설정!$B$10,5)))</f>
        <v/>
      </c>
      <c r="Q42" s="35" t="n">
        <v>35</v>
      </c>
      <c r="R42" s="35">
        <f>IFERROR(INDEX(매출원본!$AX$8:$AX$1007,MATCH($Q42,매출원본!$BD$8:$BD$1007,0)),"")</f>
        <v/>
      </c>
      <c r="S42" s="35">
        <f>IF($R42="","",SUMIFS(매출원본!$AT$8:$AT$1007,매출원본!$AX$8:$AX$1007,$R42,매출원본!$BA$8:$BA$1007,"포함"))</f>
        <v/>
      </c>
      <c r="T42" s="35">
        <f>IF($R42="","",$S42-$Q42/100000)</f>
        <v/>
      </c>
      <c r="U42" s="35">
        <f>IFERROR(MATCH(LARGE($T$8:$T$207,35),$T$8:$T$207,0),"")</f>
        <v/>
      </c>
    </row>
    <row r="43">
      <c r="A43" s="32">
        <f>IF($U43="","",36)</f>
        <v/>
      </c>
      <c r="B43" s="10">
        <f>IF($U43="","",IFERROR(INDEX(매출원본!$AZ$8:$AZ$1007,MATCH($U43,매출원본!$BD$8:$BD$1007,0)),""))</f>
        <v/>
      </c>
      <c r="C43" s="10">
        <f>IF($U43="","",IFERROR(INDEX(매출원본!$AY$8:$AY$1007,MATCH($U43,매출원본!$BD$8:$BD$1007,0)),""))</f>
        <v/>
      </c>
      <c r="D43" s="33">
        <f>IF($U43="","",COUNTIFS(매출원본!$AX$8:$AX$1007,INDEX($R$8:$R$207,$U43),매출원본!$BA$8:$BA$1007,"포함"))</f>
        <v/>
      </c>
      <c r="E43" s="33">
        <f>IF($U43="","",SUMIFS(매출원본!$AT$8:$AT$1007,매출원본!$AX$8:$AX$1007,INDEX($R$8:$R$207,$U43),매출원본!$BA$8:$BA$1007,"포함"))</f>
        <v/>
      </c>
      <c r="F43" s="33">
        <f>IF($U43="","",SUMIFS(매출원본!$AU$8:$AU$1007,매출원본!$AX$8:$AX$1007,INDEX($R$8:$R$207,$U43),매출원본!$BA$8:$BA$1007,"포함"))</f>
        <v/>
      </c>
      <c r="G43" s="33">
        <f>IF($U43="","",SUMIFS(매출원본!$AV$8:$AV$1007,매출원본!$AX$8:$AX$1007,INDEX($R$8:$R$207,$U43),매출원본!$BA$8:$BA$1007,"포함"))</f>
        <v/>
      </c>
      <c r="H43" s="34">
        <f>IF(OR($U43="",$E$7=0),"",E43/$E$7)</f>
        <v/>
      </c>
      <c r="I43" s="33">
        <f>IF(OR($U43="",0&gt;=설정!$B$12),"",SUMIFS(매출원본!$AT$8:$AT$1007,매출원본!$AX$8:$AX$1007,INDEX($R$8:$R$207,$U43),매출원본!$BA$8:$BA$1007,"포함",매출원본!$AS$8:$AS$1007,"&gt;="&amp;EDATE(설정!$B$10,0),매출원본!$AS$8:$AS$1007,"&lt;="&amp;EOMONTH(설정!$B$10,0)))</f>
        <v/>
      </c>
      <c r="J43" s="33">
        <f>IF(OR($U43="",1&gt;=설정!$B$12),"",SUMIFS(매출원본!$AT$8:$AT$1007,매출원본!$AX$8:$AX$1007,INDEX($R$8:$R$207,$U43),매출원본!$BA$8:$BA$1007,"포함",매출원본!$AS$8:$AS$1007,"&gt;="&amp;EDATE(설정!$B$10,1),매출원본!$AS$8:$AS$1007,"&lt;="&amp;EOMONTH(설정!$B$10,1)))</f>
        <v/>
      </c>
      <c r="K43" s="33">
        <f>IF(OR($U43="",2&gt;=설정!$B$12),"",SUMIFS(매출원본!$AT$8:$AT$1007,매출원본!$AX$8:$AX$1007,INDEX($R$8:$R$207,$U43),매출원본!$BA$8:$BA$1007,"포함",매출원본!$AS$8:$AS$1007,"&gt;="&amp;EDATE(설정!$B$10,2),매출원본!$AS$8:$AS$1007,"&lt;="&amp;EOMONTH(설정!$B$10,2)))</f>
        <v/>
      </c>
      <c r="L43" s="33">
        <f>IF(OR($U43="",3&gt;=설정!$B$12),"",SUMIFS(매출원본!$AT$8:$AT$1007,매출원본!$AX$8:$AX$1007,INDEX($R$8:$R$207,$U43),매출원본!$BA$8:$BA$1007,"포함",매출원본!$AS$8:$AS$1007,"&gt;="&amp;EDATE(설정!$B$10,3),매출원본!$AS$8:$AS$1007,"&lt;="&amp;EOMONTH(설정!$B$10,3)))</f>
        <v/>
      </c>
      <c r="M43" s="33">
        <f>IF(OR($U43="",4&gt;=설정!$B$12),"",SUMIFS(매출원본!$AT$8:$AT$1007,매출원본!$AX$8:$AX$1007,INDEX($R$8:$R$207,$U43),매출원본!$BA$8:$BA$1007,"포함",매출원본!$AS$8:$AS$1007,"&gt;="&amp;EDATE(설정!$B$10,4),매출원본!$AS$8:$AS$1007,"&lt;="&amp;EOMONTH(설정!$B$10,4)))</f>
        <v/>
      </c>
      <c r="N43" s="33">
        <f>IF(OR($U43="",5&gt;=설정!$B$12),"",SUMIFS(매출원본!$AT$8:$AT$1007,매출원본!$AX$8:$AX$1007,INDEX($R$8:$R$207,$U43),매출원본!$BA$8:$BA$1007,"포함",매출원본!$AS$8:$AS$1007,"&gt;="&amp;EDATE(설정!$B$10,5),매출원본!$AS$8:$AS$1007,"&lt;="&amp;EOMONTH(설정!$B$10,5)))</f>
        <v/>
      </c>
      <c r="Q43" s="35" t="n">
        <v>36</v>
      </c>
      <c r="R43" s="35">
        <f>IFERROR(INDEX(매출원본!$AX$8:$AX$1007,MATCH($Q43,매출원본!$BD$8:$BD$1007,0)),"")</f>
        <v/>
      </c>
      <c r="S43" s="35">
        <f>IF($R43="","",SUMIFS(매출원본!$AT$8:$AT$1007,매출원본!$AX$8:$AX$1007,$R43,매출원본!$BA$8:$BA$1007,"포함"))</f>
        <v/>
      </c>
      <c r="T43" s="35">
        <f>IF($R43="","",$S43-$Q43/100000)</f>
        <v/>
      </c>
      <c r="U43" s="35">
        <f>IFERROR(MATCH(LARGE($T$8:$T$207,36),$T$8:$T$207,0),"")</f>
        <v/>
      </c>
    </row>
    <row r="44">
      <c r="A44" s="32">
        <f>IF($U44="","",37)</f>
        <v/>
      </c>
      <c r="B44" s="10">
        <f>IF($U44="","",IFERROR(INDEX(매출원본!$AZ$8:$AZ$1007,MATCH($U44,매출원본!$BD$8:$BD$1007,0)),""))</f>
        <v/>
      </c>
      <c r="C44" s="10">
        <f>IF($U44="","",IFERROR(INDEX(매출원본!$AY$8:$AY$1007,MATCH($U44,매출원본!$BD$8:$BD$1007,0)),""))</f>
        <v/>
      </c>
      <c r="D44" s="33">
        <f>IF($U44="","",COUNTIFS(매출원본!$AX$8:$AX$1007,INDEX($R$8:$R$207,$U44),매출원본!$BA$8:$BA$1007,"포함"))</f>
        <v/>
      </c>
      <c r="E44" s="33">
        <f>IF($U44="","",SUMIFS(매출원본!$AT$8:$AT$1007,매출원본!$AX$8:$AX$1007,INDEX($R$8:$R$207,$U44),매출원본!$BA$8:$BA$1007,"포함"))</f>
        <v/>
      </c>
      <c r="F44" s="33">
        <f>IF($U44="","",SUMIFS(매출원본!$AU$8:$AU$1007,매출원본!$AX$8:$AX$1007,INDEX($R$8:$R$207,$U44),매출원본!$BA$8:$BA$1007,"포함"))</f>
        <v/>
      </c>
      <c r="G44" s="33">
        <f>IF($U44="","",SUMIFS(매출원본!$AV$8:$AV$1007,매출원본!$AX$8:$AX$1007,INDEX($R$8:$R$207,$U44),매출원본!$BA$8:$BA$1007,"포함"))</f>
        <v/>
      </c>
      <c r="H44" s="34">
        <f>IF(OR($U44="",$E$7=0),"",E44/$E$7)</f>
        <v/>
      </c>
      <c r="I44" s="33">
        <f>IF(OR($U44="",0&gt;=설정!$B$12),"",SUMIFS(매출원본!$AT$8:$AT$1007,매출원본!$AX$8:$AX$1007,INDEX($R$8:$R$207,$U44),매출원본!$BA$8:$BA$1007,"포함",매출원본!$AS$8:$AS$1007,"&gt;="&amp;EDATE(설정!$B$10,0),매출원본!$AS$8:$AS$1007,"&lt;="&amp;EOMONTH(설정!$B$10,0)))</f>
        <v/>
      </c>
      <c r="J44" s="33">
        <f>IF(OR($U44="",1&gt;=설정!$B$12),"",SUMIFS(매출원본!$AT$8:$AT$1007,매출원본!$AX$8:$AX$1007,INDEX($R$8:$R$207,$U44),매출원본!$BA$8:$BA$1007,"포함",매출원본!$AS$8:$AS$1007,"&gt;="&amp;EDATE(설정!$B$10,1),매출원본!$AS$8:$AS$1007,"&lt;="&amp;EOMONTH(설정!$B$10,1)))</f>
        <v/>
      </c>
      <c r="K44" s="33">
        <f>IF(OR($U44="",2&gt;=설정!$B$12),"",SUMIFS(매출원본!$AT$8:$AT$1007,매출원본!$AX$8:$AX$1007,INDEX($R$8:$R$207,$U44),매출원본!$BA$8:$BA$1007,"포함",매출원본!$AS$8:$AS$1007,"&gt;="&amp;EDATE(설정!$B$10,2),매출원본!$AS$8:$AS$1007,"&lt;="&amp;EOMONTH(설정!$B$10,2)))</f>
        <v/>
      </c>
      <c r="L44" s="33">
        <f>IF(OR($U44="",3&gt;=설정!$B$12),"",SUMIFS(매출원본!$AT$8:$AT$1007,매출원본!$AX$8:$AX$1007,INDEX($R$8:$R$207,$U44),매출원본!$BA$8:$BA$1007,"포함",매출원본!$AS$8:$AS$1007,"&gt;="&amp;EDATE(설정!$B$10,3),매출원본!$AS$8:$AS$1007,"&lt;="&amp;EOMONTH(설정!$B$10,3)))</f>
        <v/>
      </c>
      <c r="M44" s="33">
        <f>IF(OR($U44="",4&gt;=설정!$B$12),"",SUMIFS(매출원본!$AT$8:$AT$1007,매출원본!$AX$8:$AX$1007,INDEX($R$8:$R$207,$U44),매출원본!$BA$8:$BA$1007,"포함",매출원본!$AS$8:$AS$1007,"&gt;="&amp;EDATE(설정!$B$10,4),매출원본!$AS$8:$AS$1007,"&lt;="&amp;EOMONTH(설정!$B$10,4)))</f>
        <v/>
      </c>
      <c r="N44" s="33">
        <f>IF(OR($U44="",5&gt;=설정!$B$12),"",SUMIFS(매출원본!$AT$8:$AT$1007,매출원본!$AX$8:$AX$1007,INDEX($R$8:$R$207,$U44),매출원본!$BA$8:$BA$1007,"포함",매출원본!$AS$8:$AS$1007,"&gt;="&amp;EDATE(설정!$B$10,5),매출원본!$AS$8:$AS$1007,"&lt;="&amp;EOMONTH(설정!$B$10,5)))</f>
        <v/>
      </c>
      <c r="Q44" s="35" t="n">
        <v>37</v>
      </c>
      <c r="R44" s="35">
        <f>IFERROR(INDEX(매출원본!$AX$8:$AX$1007,MATCH($Q44,매출원본!$BD$8:$BD$1007,0)),"")</f>
        <v/>
      </c>
      <c r="S44" s="35">
        <f>IF($R44="","",SUMIFS(매출원본!$AT$8:$AT$1007,매출원본!$AX$8:$AX$1007,$R44,매출원본!$BA$8:$BA$1007,"포함"))</f>
        <v/>
      </c>
      <c r="T44" s="35">
        <f>IF($R44="","",$S44-$Q44/100000)</f>
        <v/>
      </c>
      <c r="U44" s="35">
        <f>IFERROR(MATCH(LARGE($T$8:$T$207,37),$T$8:$T$207,0),"")</f>
        <v/>
      </c>
    </row>
    <row r="45">
      <c r="A45" s="32">
        <f>IF($U45="","",38)</f>
        <v/>
      </c>
      <c r="B45" s="10">
        <f>IF($U45="","",IFERROR(INDEX(매출원본!$AZ$8:$AZ$1007,MATCH($U45,매출원본!$BD$8:$BD$1007,0)),""))</f>
        <v/>
      </c>
      <c r="C45" s="10">
        <f>IF($U45="","",IFERROR(INDEX(매출원본!$AY$8:$AY$1007,MATCH($U45,매출원본!$BD$8:$BD$1007,0)),""))</f>
        <v/>
      </c>
      <c r="D45" s="33">
        <f>IF($U45="","",COUNTIFS(매출원본!$AX$8:$AX$1007,INDEX($R$8:$R$207,$U45),매출원본!$BA$8:$BA$1007,"포함"))</f>
        <v/>
      </c>
      <c r="E45" s="33">
        <f>IF($U45="","",SUMIFS(매출원본!$AT$8:$AT$1007,매출원본!$AX$8:$AX$1007,INDEX($R$8:$R$207,$U45),매출원본!$BA$8:$BA$1007,"포함"))</f>
        <v/>
      </c>
      <c r="F45" s="33">
        <f>IF($U45="","",SUMIFS(매출원본!$AU$8:$AU$1007,매출원본!$AX$8:$AX$1007,INDEX($R$8:$R$207,$U45),매출원본!$BA$8:$BA$1007,"포함"))</f>
        <v/>
      </c>
      <c r="G45" s="33">
        <f>IF($U45="","",SUMIFS(매출원본!$AV$8:$AV$1007,매출원본!$AX$8:$AX$1007,INDEX($R$8:$R$207,$U45),매출원본!$BA$8:$BA$1007,"포함"))</f>
        <v/>
      </c>
      <c r="H45" s="34">
        <f>IF(OR($U45="",$E$7=0),"",E45/$E$7)</f>
        <v/>
      </c>
      <c r="I45" s="33">
        <f>IF(OR($U45="",0&gt;=설정!$B$12),"",SUMIFS(매출원본!$AT$8:$AT$1007,매출원본!$AX$8:$AX$1007,INDEX($R$8:$R$207,$U45),매출원본!$BA$8:$BA$1007,"포함",매출원본!$AS$8:$AS$1007,"&gt;="&amp;EDATE(설정!$B$10,0),매출원본!$AS$8:$AS$1007,"&lt;="&amp;EOMONTH(설정!$B$10,0)))</f>
        <v/>
      </c>
      <c r="J45" s="33">
        <f>IF(OR($U45="",1&gt;=설정!$B$12),"",SUMIFS(매출원본!$AT$8:$AT$1007,매출원본!$AX$8:$AX$1007,INDEX($R$8:$R$207,$U45),매출원본!$BA$8:$BA$1007,"포함",매출원본!$AS$8:$AS$1007,"&gt;="&amp;EDATE(설정!$B$10,1),매출원본!$AS$8:$AS$1007,"&lt;="&amp;EOMONTH(설정!$B$10,1)))</f>
        <v/>
      </c>
      <c r="K45" s="33">
        <f>IF(OR($U45="",2&gt;=설정!$B$12),"",SUMIFS(매출원본!$AT$8:$AT$1007,매출원본!$AX$8:$AX$1007,INDEX($R$8:$R$207,$U45),매출원본!$BA$8:$BA$1007,"포함",매출원본!$AS$8:$AS$1007,"&gt;="&amp;EDATE(설정!$B$10,2),매출원본!$AS$8:$AS$1007,"&lt;="&amp;EOMONTH(설정!$B$10,2)))</f>
        <v/>
      </c>
      <c r="L45" s="33">
        <f>IF(OR($U45="",3&gt;=설정!$B$12),"",SUMIFS(매출원본!$AT$8:$AT$1007,매출원본!$AX$8:$AX$1007,INDEX($R$8:$R$207,$U45),매출원본!$BA$8:$BA$1007,"포함",매출원본!$AS$8:$AS$1007,"&gt;="&amp;EDATE(설정!$B$10,3),매출원본!$AS$8:$AS$1007,"&lt;="&amp;EOMONTH(설정!$B$10,3)))</f>
        <v/>
      </c>
      <c r="M45" s="33">
        <f>IF(OR($U45="",4&gt;=설정!$B$12),"",SUMIFS(매출원본!$AT$8:$AT$1007,매출원본!$AX$8:$AX$1007,INDEX($R$8:$R$207,$U45),매출원본!$BA$8:$BA$1007,"포함",매출원본!$AS$8:$AS$1007,"&gt;="&amp;EDATE(설정!$B$10,4),매출원본!$AS$8:$AS$1007,"&lt;="&amp;EOMONTH(설정!$B$10,4)))</f>
        <v/>
      </c>
      <c r="N45" s="33">
        <f>IF(OR($U45="",5&gt;=설정!$B$12),"",SUMIFS(매출원본!$AT$8:$AT$1007,매출원본!$AX$8:$AX$1007,INDEX($R$8:$R$207,$U45),매출원본!$BA$8:$BA$1007,"포함",매출원본!$AS$8:$AS$1007,"&gt;="&amp;EDATE(설정!$B$10,5),매출원본!$AS$8:$AS$1007,"&lt;="&amp;EOMONTH(설정!$B$10,5)))</f>
        <v/>
      </c>
      <c r="Q45" s="35" t="n">
        <v>38</v>
      </c>
      <c r="R45" s="35">
        <f>IFERROR(INDEX(매출원본!$AX$8:$AX$1007,MATCH($Q45,매출원본!$BD$8:$BD$1007,0)),"")</f>
        <v/>
      </c>
      <c r="S45" s="35">
        <f>IF($R45="","",SUMIFS(매출원본!$AT$8:$AT$1007,매출원본!$AX$8:$AX$1007,$R45,매출원본!$BA$8:$BA$1007,"포함"))</f>
        <v/>
      </c>
      <c r="T45" s="35">
        <f>IF($R45="","",$S45-$Q45/100000)</f>
        <v/>
      </c>
      <c r="U45" s="35">
        <f>IFERROR(MATCH(LARGE($T$8:$T$207,38),$T$8:$T$207,0),"")</f>
        <v/>
      </c>
    </row>
    <row r="46">
      <c r="A46" s="32">
        <f>IF($U46="","",39)</f>
        <v/>
      </c>
      <c r="B46" s="10">
        <f>IF($U46="","",IFERROR(INDEX(매출원본!$AZ$8:$AZ$1007,MATCH($U46,매출원본!$BD$8:$BD$1007,0)),""))</f>
        <v/>
      </c>
      <c r="C46" s="10">
        <f>IF($U46="","",IFERROR(INDEX(매출원본!$AY$8:$AY$1007,MATCH($U46,매출원본!$BD$8:$BD$1007,0)),""))</f>
        <v/>
      </c>
      <c r="D46" s="33">
        <f>IF($U46="","",COUNTIFS(매출원본!$AX$8:$AX$1007,INDEX($R$8:$R$207,$U46),매출원본!$BA$8:$BA$1007,"포함"))</f>
        <v/>
      </c>
      <c r="E46" s="33">
        <f>IF($U46="","",SUMIFS(매출원본!$AT$8:$AT$1007,매출원본!$AX$8:$AX$1007,INDEX($R$8:$R$207,$U46),매출원본!$BA$8:$BA$1007,"포함"))</f>
        <v/>
      </c>
      <c r="F46" s="33">
        <f>IF($U46="","",SUMIFS(매출원본!$AU$8:$AU$1007,매출원본!$AX$8:$AX$1007,INDEX($R$8:$R$207,$U46),매출원본!$BA$8:$BA$1007,"포함"))</f>
        <v/>
      </c>
      <c r="G46" s="33">
        <f>IF($U46="","",SUMIFS(매출원본!$AV$8:$AV$1007,매출원본!$AX$8:$AX$1007,INDEX($R$8:$R$207,$U46),매출원본!$BA$8:$BA$1007,"포함"))</f>
        <v/>
      </c>
      <c r="H46" s="34">
        <f>IF(OR($U46="",$E$7=0),"",E46/$E$7)</f>
        <v/>
      </c>
      <c r="I46" s="33">
        <f>IF(OR($U46="",0&gt;=설정!$B$12),"",SUMIFS(매출원본!$AT$8:$AT$1007,매출원본!$AX$8:$AX$1007,INDEX($R$8:$R$207,$U46),매출원본!$BA$8:$BA$1007,"포함",매출원본!$AS$8:$AS$1007,"&gt;="&amp;EDATE(설정!$B$10,0),매출원본!$AS$8:$AS$1007,"&lt;="&amp;EOMONTH(설정!$B$10,0)))</f>
        <v/>
      </c>
      <c r="J46" s="33">
        <f>IF(OR($U46="",1&gt;=설정!$B$12),"",SUMIFS(매출원본!$AT$8:$AT$1007,매출원본!$AX$8:$AX$1007,INDEX($R$8:$R$207,$U46),매출원본!$BA$8:$BA$1007,"포함",매출원본!$AS$8:$AS$1007,"&gt;="&amp;EDATE(설정!$B$10,1),매출원본!$AS$8:$AS$1007,"&lt;="&amp;EOMONTH(설정!$B$10,1)))</f>
        <v/>
      </c>
      <c r="K46" s="33">
        <f>IF(OR($U46="",2&gt;=설정!$B$12),"",SUMIFS(매출원본!$AT$8:$AT$1007,매출원본!$AX$8:$AX$1007,INDEX($R$8:$R$207,$U46),매출원본!$BA$8:$BA$1007,"포함",매출원본!$AS$8:$AS$1007,"&gt;="&amp;EDATE(설정!$B$10,2),매출원본!$AS$8:$AS$1007,"&lt;="&amp;EOMONTH(설정!$B$10,2)))</f>
        <v/>
      </c>
      <c r="L46" s="33">
        <f>IF(OR($U46="",3&gt;=설정!$B$12),"",SUMIFS(매출원본!$AT$8:$AT$1007,매출원본!$AX$8:$AX$1007,INDEX($R$8:$R$207,$U46),매출원본!$BA$8:$BA$1007,"포함",매출원본!$AS$8:$AS$1007,"&gt;="&amp;EDATE(설정!$B$10,3),매출원본!$AS$8:$AS$1007,"&lt;="&amp;EOMONTH(설정!$B$10,3)))</f>
        <v/>
      </c>
      <c r="M46" s="33">
        <f>IF(OR($U46="",4&gt;=설정!$B$12),"",SUMIFS(매출원본!$AT$8:$AT$1007,매출원본!$AX$8:$AX$1007,INDEX($R$8:$R$207,$U46),매출원본!$BA$8:$BA$1007,"포함",매출원본!$AS$8:$AS$1007,"&gt;="&amp;EDATE(설정!$B$10,4),매출원본!$AS$8:$AS$1007,"&lt;="&amp;EOMONTH(설정!$B$10,4)))</f>
        <v/>
      </c>
      <c r="N46" s="33">
        <f>IF(OR($U46="",5&gt;=설정!$B$12),"",SUMIFS(매출원본!$AT$8:$AT$1007,매출원본!$AX$8:$AX$1007,INDEX($R$8:$R$207,$U46),매출원본!$BA$8:$BA$1007,"포함",매출원본!$AS$8:$AS$1007,"&gt;="&amp;EDATE(설정!$B$10,5),매출원본!$AS$8:$AS$1007,"&lt;="&amp;EOMONTH(설정!$B$10,5)))</f>
        <v/>
      </c>
      <c r="Q46" s="35" t="n">
        <v>39</v>
      </c>
      <c r="R46" s="35">
        <f>IFERROR(INDEX(매출원본!$AX$8:$AX$1007,MATCH($Q46,매출원본!$BD$8:$BD$1007,0)),"")</f>
        <v/>
      </c>
      <c r="S46" s="35">
        <f>IF($R46="","",SUMIFS(매출원본!$AT$8:$AT$1007,매출원본!$AX$8:$AX$1007,$R46,매출원본!$BA$8:$BA$1007,"포함"))</f>
        <v/>
      </c>
      <c r="T46" s="35">
        <f>IF($R46="","",$S46-$Q46/100000)</f>
        <v/>
      </c>
      <c r="U46" s="35">
        <f>IFERROR(MATCH(LARGE($T$8:$T$207,39),$T$8:$T$207,0),"")</f>
        <v/>
      </c>
    </row>
    <row r="47">
      <c r="A47" s="32">
        <f>IF($U47="","",40)</f>
        <v/>
      </c>
      <c r="B47" s="10">
        <f>IF($U47="","",IFERROR(INDEX(매출원본!$AZ$8:$AZ$1007,MATCH($U47,매출원본!$BD$8:$BD$1007,0)),""))</f>
        <v/>
      </c>
      <c r="C47" s="10">
        <f>IF($U47="","",IFERROR(INDEX(매출원본!$AY$8:$AY$1007,MATCH($U47,매출원본!$BD$8:$BD$1007,0)),""))</f>
        <v/>
      </c>
      <c r="D47" s="33">
        <f>IF($U47="","",COUNTIFS(매출원본!$AX$8:$AX$1007,INDEX($R$8:$R$207,$U47),매출원본!$BA$8:$BA$1007,"포함"))</f>
        <v/>
      </c>
      <c r="E47" s="33">
        <f>IF($U47="","",SUMIFS(매출원본!$AT$8:$AT$1007,매출원본!$AX$8:$AX$1007,INDEX($R$8:$R$207,$U47),매출원본!$BA$8:$BA$1007,"포함"))</f>
        <v/>
      </c>
      <c r="F47" s="33">
        <f>IF($U47="","",SUMIFS(매출원본!$AU$8:$AU$1007,매출원본!$AX$8:$AX$1007,INDEX($R$8:$R$207,$U47),매출원본!$BA$8:$BA$1007,"포함"))</f>
        <v/>
      </c>
      <c r="G47" s="33">
        <f>IF($U47="","",SUMIFS(매출원본!$AV$8:$AV$1007,매출원본!$AX$8:$AX$1007,INDEX($R$8:$R$207,$U47),매출원본!$BA$8:$BA$1007,"포함"))</f>
        <v/>
      </c>
      <c r="H47" s="34">
        <f>IF(OR($U47="",$E$7=0),"",E47/$E$7)</f>
        <v/>
      </c>
      <c r="I47" s="33">
        <f>IF(OR($U47="",0&gt;=설정!$B$12),"",SUMIFS(매출원본!$AT$8:$AT$1007,매출원본!$AX$8:$AX$1007,INDEX($R$8:$R$207,$U47),매출원본!$BA$8:$BA$1007,"포함",매출원본!$AS$8:$AS$1007,"&gt;="&amp;EDATE(설정!$B$10,0),매출원본!$AS$8:$AS$1007,"&lt;="&amp;EOMONTH(설정!$B$10,0)))</f>
        <v/>
      </c>
      <c r="J47" s="33">
        <f>IF(OR($U47="",1&gt;=설정!$B$12),"",SUMIFS(매출원본!$AT$8:$AT$1007,매출원본!$AX$8:$AX$1007,INDEX($R$8:$R$207,$U47),매출원본!$BA$8:$BA$1007,"포함",매출원본!$AS$8:$AS$1007,"&gt;="&amp;EDATE(설정!$B$10,1),매출원본!$AS$8:$AS$1007,"&lt;="&amp;EOMONTH(설정!$B$10,1)))</f>
        <v/>
      </c>
      <c r="K47" s="33">
        <f>IF(OR($U47="",2&gt;=설정!$B$12),"",SUMIFS(매출원본!$AT$8:$AT$1007,매출원본!$AX$8:$AX$1007,INDEX($R$8:$R$207,$U47),매출원본!$BA$8:$BA$1007,"포함",매출원본!$AS$8:$AS$1007,"&gt;="&amp;EDATE(설정!$B$10,2),매출원본!$AS$8:$AS$1007,"&lt;="&amp;EOMONTH(설정!$B$10,2)))</f>
        <v/>
      </c>
      <c r="L47" s="33">
        <f>IF(OR($U47="",3&gt;=설정!$B$12),"",SUMIFS(매출원본!$AT$8:$AT$1007,매출원본!$AX$8:$AX$1007,INDEX($R$8:$R$207,$U47),매출원본!$BA$8:$BA$1007,"포함",매출원본!$AS$8:$AS$1007,"&gt;="&amp;EDATE(설정!$B$10,3),매출원본!$AS$8:$AS$1007,"&lt;="&amp;EOMONTH(설정!$B$10,3)))</f>
        <v/>
      </c>
      <c r="M47" s="33">
        <f>IF(OR($U47="",4&gt;=설정!$B$12),"",SUMIFS(매출원본!$AT$8:$AT$1007,매출원본!$AX$8:$AX$1007,INDEX($R$8:$R$207,$U47),매출원본!$BA$8:$BA$1007,"포함",매출원본!$AS$8:$AS$1007,"&gt;="&amp;EDATE(설정!$B$10,4),매출원본!$AS$8:$AS$1007,"&lt;="&amp;EOMONTH(설정!$B$10,4)))</f>
        <v/>
      </c>
      <c r="N47" s="33">
        <f>IF(OR($U47="",5&gt;=설정!$B$12),"",SUMIFS(매출원본!$AT$8:$AT$1007,매출원본!$AX$8:$AX$1007,INDEX($R$8:$R$207,$U47),매출원본!$BA$8:$BA$1007,"포함",매출원본!$AS$8:$AS$1007,"&gt;="&amp;EDATE(설정!$B$10,5),매출원본!$AS$8:$AS$1007,"&lt;="&amp;EOMONTH(설정!$B$10,5)))</f>
        <v/>
      </c>
      <c r="Q47" s="35" t="n">
        <v>40</v>
      </c>
      <c r="R47" s="35">
        <f>IFERROR(INDEX(매출원본!$AX$8:$AX$1007,MATCH($Q47,매출원본!$BD$8:$BD$1007,0)),"")</f>
        <v/>
      </c>
      <c r="S47" s="35">
        <f>IF($R47="","",SUMIFS(매출원본!$AT$8:$AT$1007,매출원본!$AX$8:$AX$1007,$R47,매출원본!$BA$8:$BA$1007,"포함"))</f>
        <v/>
      </c>
      <c r="T47" s="35">
        <f>IF($R47="","",$S47-$Q47/100000)</f>
        <v/>
      </c>
      <c r="U47" s="35">
        <f>IFERROR(MATCH(LARGE($T$8:$T$207,40),$T$8:$T$207,0),"")</f>
        <v/>
      </c>
    </row>
    <row r="48">
      <c r="A48" s="32">
        <f>IF($U48="","",41)</f>
        <v/>
      </c>
      <c r="B48" s="10">
        <f>IF($U48="","",IFERROR(INDEX(매출원본!$AZ$8:$AZ$1007,MATCH($U48,매출원본!$BD$8:$BD$1007,0)),""))</f>
        <v/>
      </c>
      <c r="C48" s="10">
        <f>IF($U48="","",IFERROR(INDEX(매출원본!$AY$8:$AY$1007,MATCH($U48,매출원본!$BD$8:$BD$1007,0)),""))</f>
        <v/>
      </c>
      <c r="D48" s="33">
        <f>IF($U48="","",COUNTIFS(매출원본!$AX$8:$AX$1007,INDEX($R$8:$R$207,$U48),매출원본!$BA$8:$BA$1007,"포함"))</f>
        <v/>
      </c>
      <c r="E48" s="33">
        <f>IF($U48="","",SUMIFS(매출원본!$AT$8:$AT$1007,매출원본!$AX$8:$AX$1007,INDEX($R$8:$R$207,$U48),매출원본!$BA$8:$BA$1007,"포함"))</f>
        <v/>
      </c>
      <c r="F48" s="33">
        <f>IF($U48="","",SUMIFS(매출원본!$AU$8:$AU$1007,매출원본!$AX$8:$AX$1007,INDEX($R$8:$R$207,$U48),매출원본!$BA$8:$BA$1007,"포함"))</f>
        <v/>
      </c>
      <c r="G48" s="33">
        <f>IF($U48="","",SUMIFS(매출원본!$AV$8:$AV$1007,매출원본!$AX$8:$AX$1007,INDEX($R$8:$R$207,$U48),매출원본!$BA$8:$BA$1007,"포함"))</f>
        <v/>
      </c>
      <c r="H48" s="34">
        <f>IF(OR($U48="",$E$7=0),"",E48/$E$7)</f>
        <v/>
      </c>
      <c r="I48" s="33">
        <f>IF(OR($U48="",0&gt;=설정!$B$12),"",SUMIFS(매출원본!$AT$8:$AT$1007,매출원본!$AX$8:$AX$1007,INDEX($R$8:$R$207,$U48),매출원본!$BA$8:$BA$1007,"포함",매출원본!$AS$8:$AS$1007,"&gt;="&amp;EDATE(설정!$B$10,0),매출원본!$AS$8:$AS$1007,"&lt;="&amp;EOMONTH(설정!$B$10,0)))</f>
        <v/>
      </c>
      <c r="J48" s="33">
        <f>IF(OR($U48="",1&gt;=설정!$B$12),"",SUMIFS(매출원본!$AT$8:$AT$1007,매출원본!$AX$8:$AX$1007,INDEX($R$8:$R$207,$U48),매출원본!$BA$8:$BA$1007,"포함",매출원본!$AS$8:$AS$1007,"&gt;="&amp;EDATE(설정!$B$10,1),매출원본!$AS$8:$AS$1007,"&lt;="&amp;EOMONTH(설정!$B$10,1)))</f>
        <v/>
      </c>
      <c r="K48" s="33">
        <f>IF(OR($U48="",2&gt;=설정!$B$12),"",SUMIFS(매출원본!$AT$8:$AT$1007,매출원본!$AX$8:$AX$1007,INDEX($R$8:$R$207,$U48),매출원본!$BA$8:$BA$1007,"포함",매출원본!$AS$8:$AS$1007,"&gt;="&amp;EDATE(설정!$B$10,2),매출원본!$AS$8:$AS$1007,"&lt;="&amp;EOMONTH(설정!$B$10,2)))</f>
        <v/>
      </c>
      <c r="L48" s="33">
        <f>IF(OR($U48="",3&gt;=설정!$B$12),"",SUMIFS(매출원본!$AT$8:$AT$1007,매출원본!$AX$8:$AX$1007,INDEX($R$8:$R$207,$U48),매출원본!$BA$8:$BA$1007,"포함",매출원본!$AS$8:$AS$1007,"&gt;="&amp;EDATE(설정!$B$10,3),매출원본!$AS$8:$AS$1007,"&lt;="&amp;EOMONTH(설정!$B$10,3)))</f>
        <v/>
      </c>
      <c r="M48" s="33">
        <f>IF(OR($U48="",4&gt;=설정!$B$12),"",SUMIFS(매출원본!$AT$8:$AT$1007,매출원본!$AX$8:$AX$1007,INDEX($R$8:$R$207,$U48),매출원본!$BA$8:$BA$1007,"포함",매출원본!$AS$8:$AS$1007,"&gt;="&amp;EDATE(설정!$B$10,4),매출원본!$AS$8:$AS$1007,"&lt;="&amp;EOMONTH(설정!$B$10,4)))</f>
        <v/>
      </c>
      <c r="N48" s="33">
        <f>IF(OR($U48="",5&gt;=설정!$B$12),"",SUMIFS(매출원본!$AT$8:$AT$1007,매출원본!$AX$8:$AX$1007,INDEX($R$8:$R$207,$U48),매출원본!$BA$8:$BA$1007,"포함",매출원본!$AS$8:$AS$1007,"&gt;="&amp;EDATE(설정!$B$10,5),매출원본!$AS$8:$AS$1007,"&lt;="&amp;EOMONTH(설정!$B$10,5)))</f>
        <v/>
      </c>
      <c r="Q48" s="35" t="n">
        <v>41</v>
      </c>
      <c r="R48" s="35">
        <f>IFERROR(INDEX(매출원본!$AX$8:$AX$1007,MATCH($Q48,매출원본!$BD$8:$BD$1007,0)),"")</f>
        <v/>
      </c>
      <c r="S48" s="35">
        <f>IF($R48="","",SUMIFS(매출원본!$AT$8:$AT$1007,매출원본!$AX$8:$AX$1007,$R48,매출원본!$BA$8:$BA$1007,"포함"))</f>
        <v/>
      </c>
      <c r="T48" s="35">
        <f>IF($R48="","",$S48-$Q48/100000)</f>
        <v/>
      </c>
      <c r="U48" s="35">
        <f>IFERROR(MATCH(LARGE($T$8:$T$207,41),$T$8:$T$207,0),"")</f>
        <v/>
      </c>
    </row>
    <row r="49">
      <c r="A49" s="32">
        <f>IF($U49="","",42)</f>
        <v/>
      </c>
      <c r="B49" s="10">
        <f>IF($U49="","",IFERROR(INDEX(매출원본!$AZ$8:$AZ$1007,MATCH($U49,매출원본!$BD$8:$BD$1007,0)),""))</f>
        <v/>
      </c>
      <c r="C49" s="10">
        <f>IF($U49="","",IFERROR(INDEX(매출원본!$AY$8:$AY$1007,MATCH($U49,매출원본!$BD$8:$BD$1007,0)),""))</f>
        <v/>
      </c>
      <c r="D49" s="33">
        <f>IF($U49="","",COUNTIFS(매출원본!$AX$8:$AX$1007,INDEX($R$8:$R$207,$U49),매출원본!$BA$8:$BA$1007,"포함"))</f>
        <v/>
      </c>
      <c r="E49" s="33">
        <f>IF($U49="","",SUMIFS(매출원본!$AT$8:$AT$1007,매출원본!$AX$8:$AX$1007,INDEX($R$8:$R$207,$U49),매출원본!$BA$8:$BA$1007,"포함"))</f>
        <v/>
      </c>
      <c r="F49" s="33">
        <f>IF($U49="","",SUMIFS(매출원본!$AU$8:$AU$1007,매출원본!$AX$8:$AX$1007,INDEX($R$8:$R$207,$U49),매출원본!$BA$8:$BA$1007,"포함"))</f>
        <v/>
      </c>
      <c r="G49" s="33">
        <f>IF($U49="","",SUMIFS(매출원본!$AV$8:$AV$1007,매출원본!$AX$8:$AX$1007,INDEX($R$8:$R$207,$U49),매출원본!$BA$8:$BA$1007,"포함"))</f>
        <v/>
      </c>
      <c r="H49" s="34">
        <f>IF(OR($U49="",$E$7=0),"",E49/$E$7)</f>
        <v/>
      </c>
      <c r="I49" s="33">
        <f>IF(OR($U49="",0&gt;=설정!$B$12),"",SUMIFS(매출원본!$AT$8:$AT$1007,매출원본!$AX$8:$AX$1007,INDEX($R$8:$R$207,$U49),매출원본!$BA$8:$BA$1007,"포함",매출원본!$AS$8:$AS$1007,"&gt;="&amp;EDATE(설정!$B$10,0),매출원본!$AS$8:$AS$1007,"&lt;="&amp;EOMONTH(설정!$B$10,0)))</f>
        <v/>
      </c>
      <c r="J49" s="33">
        <f>IF(OR($U49="",1&gt;=설정!$B$12),"",SUMIFS(매출원본!$AT$8:$AT$1007,매출원본!$AX$8:$AX$1007,INDEX($R$8:$R$207,$U49),매출원본!$BA$8:$BA$1007,"포함",매출원본!$AS$8:$AS$1007,"&gt;="&amp;EDATE(설정!$B$10,1),매출원본!$AS$8:$AS$1007,"&lt;="&amp;EOMONTH(설정!$B$10,1)))</f>
        <v/>
      </c>
      <c r="K49" s="33">
        <f>IF(OR($U49="",2&gt;=설정!$B$12),"",SUMIFS(매출원본!$AT$8:$AT$1007,매출원본!$AX$8:$AX$1007,INDEX($R$8:$R$207,$U49),매출원본!$BA$8:$BA$1007,"포함",매출원본!$AS$8:$AS$1007,"&gt;="&amp;EDATE(설정!$B$10,2),매출원본!$AS$8:$AS$1007,"&lt;="&amp;EOMONTH(설정!$B$10,2)))</f>
        <v/>
      </c>
      <c r="L49" s="33">
        <f>IF(OR($U49="",3&gt;=설정!$B$12),"",SUMIFS(매출원본!$AT$8:$AT$1007,매출원본!$AX$8:$AX$1007,INDEX($R$8:$R$207,$U49),매출원본!$BA$8:$BA$1007,"포함",매출원본!$AS$8:$AS$1007,"&gt;="&amp;EDATE(설정!$B$10,3),매출원본!$AS$8:$AS$1007,"&lt;="&amp;EOMONTH(설정!$B$10,3)))</f>
        <v/>
      </c>
      <c r="M49" s="33">
        <f>IF(OR($U49="",4&gt;=설정!$B$12),"",SUMIFS(매출원본!$AT$8:$AT$1007,매출원본!$AX$8:$AX$1007,INDEX($R$8:$R$207,$U49),매출원본!$BA$8:$BA$1007,"포함",매출원본!$AS$8:$AS$1007,"&gt;="&amp;EDATE(설정!$B$10,4),매출원본!$AS$8:$AS$1007,"&lt;="&amp;EOMONTH(설정!$B$10,4)))</f>
        <v/>
      </c>
      <c r="N49" s="33">
        <f>IF(OR($U49="",5&gt;=설정!$B$12),"",SUMIFS(매출원본!$AT$8:$AT$1007,매출원본!$AX$8:$AX$1007,INDEX($R$8:$R$207,$U49),매출원본!$BA$8:$BA$1007,"포함",매출원본!$AS$8:$AS$1007,"&gt;="&amp;EDATE(설정!$B$10,5),매출원본!$AS$8:$AS$1007,"&lt;="&amp;EOMONTH(설정!$B$10,5)))</f>
        <v/>
      </c>
      <c r="Q49" s="35" t="n">
        <v>42</v>
      </c>
      <c r="R49" s="35">
        <f>IFERROR(INDEX(매출원본!$AX$8:$AX$1007,MATCH($Q49,매출원본!$BD$8:$BD$1007,0)),"")</f>
        <v/>
      </c>
      <c r="S49" s="35">
        <f>IF($R49="","",SUMIFS(매출원본!$AT$8:$AT$1007,매출원본!$AX$8:$AX$1007,$R49,매출원본!$BA$8:$BA$1007,"포함"))</f>
        <v/>
      </c>
      <c r="T49" s="35">
        <f>IF($R49="","",$S49-$Q49/100000)</f>
        <v/>
      </c>
      <c r="U49" s="35">
        <f>IFERROR(MATCH(LARGE($T$8:$T$207,42),$T$8:$T$207,0),"")</f>
        <v/>
      </c>
    </row>
    <row r="50">
      <c r="A50" s="32">
        <f>IF($U50="","",43)</f>
        <v/>
      </c>
      <c r="B50" s="10">
        <f>IF($U50="","",IFERROR(INDEX(매출원본!$AZ$8:$AZ$1007,MATCH($U50,매출원본!$BD$8:$BD$1007,0)),""))</f>
        <v/>
      </c>
      <c r="C50" s="10">
        <f>IF($U50="","",IFERROR(INDEX(매출원본!$AY$8:$AY$1007,MATCH($U50,매출원본!$BD$8:$BD$1007,0)),""))</f>
        <v/>
      </c>
      <c r="D50" s="33">
        <f>IF($U50="","",COUNTIFS(매출원본!$AX$8:$AX$1007,INDEX($R$8:$R$207,$U50),매출원본!$BA$8:$BA$1007,"포함"))</f>
        <v/>
      </c>
      <c r="E50" s="33">
        <f>IF($U50="","",SUMIFS(매출원본!$AT$8:$AT$1007,매출원본!$AX$8:$AX$1007,INDEX($R$8:$R$207,$U50),매출원본!$BA$8:$BA$1007,"포함"))</f>
        <v/>
      </c>
      <c r="F50" s="33">
        <f>IF($U50="","",SUMIFS(매출원본!$AU$8:$AU$1007,매출원본!$AX$8:$AX$1007,INDEX($R$8:$R$207,$U50),매출원본!$BA$8:$BA$1007,"포함"))</f>
        <v/>
      </c>
      <c r="G50" s="33">
        <f>IF($U50="","",SUMIFS(매출원본!$AV$8:$AV$1007,매출원본!$AX$8:$AX$1007,INDEX($R$8:$R$207,$U50),매출원본!$BA$8:$BA$1007,"포함"))</f>
        <v/>
      </c>
      <c r="H50" s="34">
        <f>IF(OR($U50="",$E$7=0),"",E50/$E$7)</f>
        <v/>
      </c>
      <c r="I50" s="33">
        <f>IF(OR($U50="",0&gt;=설정!$B$12),"",SUMIFS(매출원본!$AT$8:$AT$1007,매출원본!$AX$8:$AX$1007,INDEX($R$8:$R$207,$U50),매출원본!$BA$8:$BA$1007,"포함",매출원본!$AS$8:$AS$1007,"&gt;="&amp;EDATE(설정!$B$10,0),매출원본!$AS$8:$AS$1007,"&lt;="&amp;EOMONTH(설정!$B$10,0)))</f>
        <v/>
      </c>
      <c r="J50" s="33">
        <f>IF(OR($U50="",1&gt;=설정!$B$12),"",SUMIFS(매출원본!$AT$8:$AT$1007,매출원본!$AX$8:$AX$1007,INDEX($R$8:$R$207,$U50),매출원본!$BA$8:$BA$1007,"포함",매출원본!$AS$8:$AS$1007,"&gt;="&amp;EDATE(설정!$B$10,1),매출원본!$AS$8:$AS$1007,"&lt;="&amp;EOMONTH(설정!$B$10,1)))</f>
        <v/>
      </c>
      <c r="K50" s="33">
        <f>IF(OR($U50="",2&gt;=설정!$B$12),"",SUMIFS(매출원본!$AT$8:$AT$1007,매출원본!$AX$8:$AX$1007,INDEX($R$8:$R$207,$U50),매출원본!$BA$8:$BA$1007,"포함",매출원본!$AS$8:$AS$1007,"&gt;="&amp;EDATE(설정!$B$10,2),매출원본!$AS$8:$AS$1007,"&lt;="&amp;EOMONTH(설정!$B$10,2)))</f>
        <v/>
      </c>
      <c r="L50" s="33">
        <f>IF(OR($U50="",3&gt;=설정!$B$12),"",SUMIFS(매출원본!$AT$8:$AT$1007,매출원본!$AX$8:$AX$1007,INDEX($R$8:$R$207,$U50),매출원본!$BA$8:$BA$1007,"포함",매출원본!$AS$8:$AS$1007,"&gt;="&amp;EDATE(설정!$B$10,3),매출원본!$AS$8:$AS$1007,"&lt;="&amp;EOMONTH(설정!$B$10,3)))</f>
        <v/>
      </c>
      <c r="M50" s="33">
        <f>IF(OR($U50="",4&gt;=설정!$B$12),"",SUMIFS(매출원본!$AT$8:$AT$1007,매출원본!$AX$8:$AX$1007,INDEX($R$8:$R$207,$U50),매출원본!$BA$8:$BA$1007,"포함",매출원본!$AS$8:$AS$1007,"&gt;="&amp;EDATE(설정!$B$10,4),매출원본!$AS$8:$AS$1007,"&lt;="&amp;EOMONTH(설정!$B$10,4)))</f>
        <v/>
      </c>
      <c r="N50" s="33">
        <f>IF(OR($U50="",5&gt;=설정!$B$12),"",SUMIFS(매출원본!$AT$8:$AT$1007,매출원본!$AX$8:$AX$1007,INDEX($R$8:$R$207,$U50),매출원본!$BA$8:$BA$1007,"포함",매출원본!$AS$8:$AS$1007,"&gt;="&amp;EDATE(설정!$B$10,5),매출원본!$AS$8:$AS$1007,"&lt;="&amp;EOMONTH(설정!$B$10,5)))</f>
        <v/>
      </c>
      <c r="Q50" s="35" t="n">
        <v>43</v>
      </c>
      <c r="R50" s="35">
        <f>IFERROR(INDEX(매출원본!$AX$8:$AX$1007,MATCH($Q50,매출원본!$BD$8:$BD$1007,0)),"")</f>
        <v/>
      </c>
      <c r="S50" s="35">
        <f>IF($R50="","",SUMIFS(매출원본!$AT$8:$AT$1007,매출원본!$AX$8:$AX$1007,$R50,매출원본!$BA$8:$BA$1007,"포함"))</f>
        <v/>
      </c>
      <c r="T50" s="35">
        <f>IF($R50="","",$S50-$Q50/100000)</f>
        <v/>
      </c>
      <c r="U50" s="35">
        <f>IFERROR(MATCH(LARGE($T$8:$T$207,43),$T$8:$T$207,0),"")</f>
        <v/>
      </c>
    </row>
    <row r="51">
      <c r="A51" s="32">
        <f>IF($U51="","",44)</f>
        <v/>
      </c>
      <c r="B51" s="10">
        <f>IF($U51="","",IFERROR(INDEX(매출원본!$AZ$8:$AZ$1007,MATCH($U51,매출원본!$BD$8:$BD$1007,0)),""))</f>
        <v/>
      </c>
      <c r="C51" s="10">
        <f>IF($U51="","",IFERROR(INDEX(매출원본!$AY$8:$AY$1007,MATCH($U51,매출원본!$BD$8:$BD$1007,0)),""))</f>
        <v/>
      </c>
      <c r="D51" s="33">
        <f>IF($U51="","",COUNTIFS(매출원본!$AX$8:$AX$1007,INDEX($R$8:$R$207,$U51),매출원본!$BA$8:$BA$1007,"포함"))</f>
        <v/>
      </c>
      <c r="E51" s="33">
        <f>IF($U51="","",SUMIFS(매출원본!$AT$8:$AT$1007,매출원본!$AX$8:$AX$1007,INDEX($R$8:$R$207,$U51),매출원본!$BA$8:$BA$1007,"포함"))</f>
        <v/>
      </c>
      <c r="F51" s="33">
        <f>IF($U51="","",SUMIFS(매출원본!$AU$8:$AU$1007,매출원본!$AX$8:$AX$1007,INDEX($R$8:$R$207,$U51),매출원본!$BA$8:$BA$1007,"포함"))</f>
        <v/>
      </c>
      <c r="G51" s="33">
        <f>IF($U51="","",SUMIFS(매출원본!$AV$8:$AV$1007,매출원본!$AX$8:$AX$1007,INDEX($R$8:$R$207,$U51),매출원본!$BA$8:$BA$1007,"포함"))</f>
        <v/>
      </c>
      <c r="H51" s="34">
        <f>IF(OR($U51="",$E$7=0),"",E51/$E$7)</f>
        <v/>
      </c>
      <c r="I51" s="33">
        <f>IF(OR($U51="",0&gt;=설정!$B$12),"",SUMIFS(매출원본!$AT$8:$AT$1007,매출원본!$AX$8:$AX$1007,INDEX($R$8:$R$207,$U51),매출원본!$BA$8:$BA$1007,"포함",매출원본!$AS$8:$AS$1007,"&gt;="&amp;EDATE(설정!$B$10,0),매출원본!$AS$8:$AS$1007,"&lt;="&amp;EOMONTH(설정!$B$10,0)))</f>
        <v/>
      </c>
      <c r="J51" s="33">
        <f>IF(OR($U51="",1&gt;=설정!$B$12),"",SUMIFS(매출원본!$AT$8:$AT$1007,매출원본!$AX$8:$AX$1007,INDEX($R$8:$R$207,$U51),매출원본!$BA$8:$BA$1007,"포함",매출원본!$AS$8:$AS$1007,"&gt;="&amp;EDATE(설정!$B$10,1),매출원본!$AS$8:$AS$1007,"&lt;="&amp;EOMONTH(설정!$B$10,1)))</f>
        <v/>
      </c>
      <c r="K51" s="33">
        <f>IF(OR($U51="",2&gt;=설정!$B$12),"",SUMIFS(매출원본!$AT$8:$AT$1007,매출원본!$AX$8:$AX$1007,INDEX($R$8:$R$207,$U51),매출원본!$BA$8:$BA$1007,"포함",매출원본!$AS$8:$AS$1007,"&gt;="&amp;EDATE(설정!$B$10,2),매출원본!$AS$8:$AS$1007,"&lt;="&amp;EOMONTH(설정!$B$10,2)))</f>
        <v/>
      </c>
      <c r="L51" s="33">
        <f>IF(OR($U51="",3&gt;=설정!$B$12),"",SUMIFS(매출원본!$AT$8:$AT$1007,매출원본!$AX$8:$AX$1007,INDEX($R$8:$R$207,$U51),매출원본!$BA$8:$BA$1007,"포함",매출원본!$AS$8:$AS$1007,"&gt;="&amp;EDATE(설정!$B$10,3),매출원본!$AS$8:$AS$1007,"&lt;="&amp;EOMONTH(설정!$B$10,3)))</f>
        <v/>
      </c>
      <c r="M51" s="33">
        <f>IF(OR($U51="",4&gt;=설정!$B$12),"",SUMIFS(매출원본!$AT$8:$AT$1007,매출원본!$AX$8:$AX$1007,INDEX($R$8:$R$207,$U51),매출원본!$BA$8:$BA$1007,"포함",매출원본!$AS$8:$AS$1007,"&gt;="&amp;EDATE(설정!$B$10,4),매출원본!$AS$8:$AS$1007,"&lt;="&amp;EOMONTH(설정!$B$10,4)))</f>
        <v/>
      </c>
      <c r="N51" s="33">
        <f>IF(OR($U51="",5&gt;=설정!$B$12),"",SUMIFS(매출원본!$AT$8:$AT$1007,매출원본!$AX$8:$AX$1007,INDEX($R$8:$R$207,$U51),매출원본!$BA$8:$BA$1007,"포함",매출원본!$AS$8:$AS$1007,"&gt;="&amp;EDATE(설정!$B$10,5),매출원본!$AS$8:$AS$1007,"&lt;="&amp;EOMONTH(설정!$B$10,5)))</f>
        <v/>
      </c>
      <c r="Q51" s="35" t="n">
        <v>44</v>
      </c>
      <c r="R51" s="35">
        <f>IFERROR(INDEX(매출원본!$AX$8:$AX$1007,MATCH($Q51,매출원본!$BD$8:$BD$1007,0)),"")</f>
        <v/>
      </c>
      <c r="S51" s="35">
        <f>IF($R51="","",SUMIFS(매출원본!$AT$8:$AT$1007,매출원본!$AX$8:$AX$1007,$R51,매출원본!$BA$8:$BA$1007,"포함"))</f>
        <v/>
      </c>
      <c r="T51" s="35">
        <f>IF($R51="","",$S51-$Q51/100000)</f>
        <v/>
      </c>
      <c r="U51" s="35">
        <f>IFERROR(MATCH(LARGE($T$8:$T$207,44),$T$8:$T$207,0),"")</f>
        <v/>
      </c>
    </row>
    <row r="52">
      <c r="A52" s="32">
        <f>IF($U52="","",45)</f>
        <v/>
      </c>
      <c r="B52" s="10">
        <f>IF($U52="","",IFERROR(INDEX(매출원본!$AZ$8:$AZ$1007,MATCH($U52,매출원본!$BD$8:$BD$1007,0)),""))</f>
        <v/>
      </c>
      <c r="C52" s="10">
        <f>IF($U52="","",IFERROR(INDEX(매출원본!$AY$8:$AY$1007,MATCH($U52,매출원본!$BD$8:$BD$1007,0)),""))</f>
        <v/>
      </c>
      <c r="D52" s="33">
        <f>IF($U52="","",COUNTIFS(매출원본!$AX$8:$AX$1007,INDEX($R$8:$R$207,$U52),매출원본!$BA$8:$BA$1007,"포함"))</f>
        <v/>
      </c>
      <c r="E52" s="33">
        <f>IF($U52="","",SUMIFS(매출원본!$AT$8:$AT$1007,매출원본!$AX$8:$AX$1007,INDEX($R$8:$R$207,$U52),매출원본!$BA$8:$BA$1007,"포함"))</f>
        <v/>
      </c>
      <c r="F52" s="33">
        <f>IF($U52="","",SUMIFS(매출원본!$AU$8:$AU$1007,매출원본!$AX$8:$AX$1007,INDEX($R$8:$R$207,$U52),매출원본!$BA$8:$BA$1007,"포함"))</f>
        <v/>
      </c>
      <c r="G52" s="33">
        <f>IF($U52="","",SUMIFS(매출원본!$AV$8:$AV$1007,매출원본!$AX$8:$AX$1007,INDEX($R$8:$R$207,$U52),매출원본!$BA$8:$BA$1007,"포함"))</f>
        <v/>
      </c>
      <c r="H52" s="34">
        <f>IF(OR($U52="",$E$7=0),"",E52/$E$7)</f>
        <v/>
      </c>
      <c r="I52" s="33">
        <f>IF(OR($U52="",0&gt;=설정!$B$12),"",SUMIFS(매출원본!$AT$8:$AT$1007,매출원본!$AX$8:$AX$1007,INDEX($R$8:$R$207,$U52),매출원본!$BA$8:$BA$1007,"포함",매출원본!$AS$8:$AS$1007,"&gt;="&amp;EDATE(설정!$B$10,0),매출원본!$AS$8:$AS$1007,"&lt;="&amp;EOMONTH(설정!$B$10,0)))</f>
        <v/>
      </c>
      <c r="J52" s="33">
        <f>IF(OR($U52="",1&gt;=설정!$B$12),"",SUMIFS(매출원본!$AT$8:$AT$1007,매출원본!$AX$8:$AX$1007,INDEX($R$8:$R$207,$U52),매출원본!$BA$8:$BA$1007,"포함",매출원본!$AS$8:$AS$1007,"&gt;="&amp;EDATE(설정!$B$10,1),매출원본!$AS$8:$AS$1007,"&lt;="&amp;EOMONTH(설정!$B$10,1)))</f>
        <v/>
      </c>
      <c r="K52" s="33">
        <f>IF(OR($U52="",2&gt;=설정!$B$12),"",SUMIFS(매출원본!$AT$8:$AT$1007,매출원본!$AX$8:$AX$1007,INDEX($R$8:$R$207,$U52),매출원본!$BA$8:$BA$1007,"포함",매출원본!$AS$8:$AS$1007,"&gt;="&amp;EDATE(설정!$B$10,2),매출원본!$AS$8:$AS$1007,"&lt;="&amp;EOMONTH(설정!$B$10,2)))</f>
        <v/>
      </c>
      <c r="L52" s="33">
        <f>IF(OR($U52="",3&gt;=설정!$B$12),"",SUMIFS(매출원본!$AT$8:$AT$1007,매출원본!$AX$8:$AX$1007,INDEX($R$8:$R$207,$U52),매출원본!$BA$8:$BA$1007,"포함",매출원본!$AS$8:$AS$1007,"&gt;="&amp;EDATE(설정!$B$10,3),매출원본!$AS$8:$AS$1007,"&lt;="&amp;EOMONTH(설정!$B$10,3)))</f>
        <v/>
      </c>
      <c r="M52" s="33">
        <f>IF(OR($U52="",4&gt;=설정!$B$12),"",SUMIFS(매출원본!$AT$8:$AT$1007,매출원본!$AX$8:$AX$1007,INDEX($R$8:$R$207,$U52),매출원본!$BA$8:$BA$1007,"포함",매출원본!$AS$8:$AS$1007,"&gt;="&amp;EDATE(설정!$B$10,4),매출원본!$AS$8:$AS$1007,"&lt;="&amp;EOMONTH(설정!$B$10,4)))</f>
        <v/>
      </c>
      <c r="N52" s="33">
        <f>IF(OR($U52="",5&gt;=설정!$B$12),"",SUMIFS(매출원본!$AT$8:$AT$1007,매출원본!$AX$8:$AX$1007,INDEX($R$8:$R$207,$U52),매출원본!$BA$8:$BA$1007,"포함",매출원본!$AS$8:$AS$1007,"&gt;="&amp;EDATE(설정!$B$10,5),매출원본!$AS$8:$AS$1007,"&lt;="&amp;EOMONTH(설정!$B$10,5)))</f>
        <v/>
      </c>
      <c r="Q52" s="35" t="n">
        <v>45</v>
      </c>
      <c r="R52" s="35">
        <f>IFERROR(INDEX(매출원본!$AX$8:$AX$1007,MATCH($Q52,매출원본!$BD$8:$BD$1007,0)),"")</f>
        <v/>
      </c>
      <c r="S52" s="35">
        <f>IF($R52="","",SUMIFS(매출원본!$AT$8:$AT$1007,매출원본!$AX$8:$AX$1007,$R52,매출원본!$BA$8:$BA$1007,"포함"))</f>
        <v/>
      </c>
      <c r="T52" s="35">
        <f>IF($R52="","",$S52-$Q52/100000)</f>
        <v/>
      </c>
      <c r="U52" s="35">
        <f>IFERROR(MATCH(LARGE($T$8:$T$207,45),$T$8:$T$207,0),"")</f>
        <v/>
      </c>
    </row>
    <row r="53">
      <c r="A53" s="32">
        <f>IF($U53="","",46)</f>
        <v/>
      </c>
      <c r="B53" s="10">
        <f>IF($U53="","",IFERROR(INDEX(매출원본!$AZ$8:$AZ$1007,MATCH($U53,매출원본!$BD$8:$BD$1007,0)),""))</f>
        <v/>
      </c>
      <c r="C53" s="10">
        <f>IF($U53="","",IFERROR(INDEX(매출원본!$AY$8:$AY$1007,MATCH($U53,매출원본!$BD$8:$BD$1007,0)),""))</f>
        <v/>
      </c>
      <c r="D53" s="33">
        <f>IF($U53="","",COUNTIFS(매출원본!$AX$8:$AX$1007,INDEX($R$8:$R$207,$U53),매출원본!$BA$8:$BA$1007,"포함"))</f>
        <v/>
      </c>
      <c r="E53" s="33">
        <f>IF($U53="","",SUMIFS(매출원본!$AT$8:$AT$1007,매출원본!$AX$8:$AX$1007,INDEX($R$8:$R$207,$U53),매출원본!$BA$8:$BA$1007,"포함"))</f>
        <v/>
      </c>
      <c r="F53" s="33">
        <f>IF($U53="","",SUMIFS(매출원본!$AU$8:$AU$1007,매출원본!$AX$8:$AX$1007,INDEX($R$8:$R$207,$U53),매출원본!$BA$8:$BA$1007,"포함"))</f>
        <v/>
      </c>
      <c r="G53" s="33">
        <f>IF($U53="","",SUMIFS(매출원본!$AV$8:$AV$1007,매출원본!$AX$8:$AX$1007,INDEX($R$8:$R$207,$U53),매출원본!$BA$8:$BA$1007,"포함"))</f>
        <v/>
      </c>
      <c r="H53" s="34">
        <f>IF(OR($U53="",$E$7=0),"",E53/$E$7)</f>
        <v/>
      </c>
      <c r="I53" s="33">
        <f>IF(OR($U53="",0&gt;=설정!$B$12),"",SUMIFS(매출원본!$AT$8:$AT$1007,매출원본!$AX$8:$AX$1007,INDEX($R$8:$R$207,$U53),매출원본!$BA$8:$BA$1007,"포함",매출원본!$AS$8:$AS$1007,"&gt;="&amp;EDATE(설정!$B$10,0),매출원본!$AS$8:$AS$1007,"&lt;="&amp;EOMONTH(설정!$B$10,0)))</f>
        <v/>
      </c>
      <c r="J53" s="33">
        <f>IF(OR($U53="",1&gt;=설정!$B$12),"",SUMIFS(매출원본!$AT$8:$AT$1007,매출원본!$AX$8:$AX$1007,INDEX($R$8:$R$207,$U53),매출원본!$BA$8:$BA$1007,"포함",매출원본!$AS$8:$AS$1007,"&gt;="&amp;EDATE(설정!$B$10,1),매출원본!$AS$8:$AS$1007,"&lt;="&amp;EOMONTH(설정!$B$10,1)))</f>
        <v/>
      </c>
      <c r="K53" s="33">
        <f>IF(OR($U53="",2&gt;=설정!$B$12),"",SUMIFS(매출원본!$AT$8:$AT$1007,매출원본!$AX$8:$AX$1007,INDEX($R$8:$R$207,$U53),매출원본!$BA$8:$BA$1007,"포함",매출원본!$AS$8:$AS$1007,"&gt;="&amp;EDATE(설정!$B$10,2),매출원본!$AS$8:$AS$1007,"&lt;="&amp;EOMONTH(설정!$B$10,2)))</f>
        <v/>
      </c>
      <c r="L53" s="33">
        <f>IF(OR($U53="",3&gt;=설정!$B$12),"",SUMIFS(매출원본!$AT$8:$AT$1007,매출원본!$AX$8:$AX$1007,INDEX($R$8:$R$207,$U53),매출원본!$BA$8:$BA$1007,"포함",매출원본!$AS$8:$AS$1007,"&gt;="&amp;EDATE(설정!$B$10,3),매출원본!$AS$8:$AS$1007,"&lt;="&amp;EOMONTH(설정!$B$10,3)))</f>
        <v/>
      </c>
      <c r="M53" s="33">
        <f>IF(OR($U53="",4&gt;=설정!$B$12),"",SUMIFS(매출원본!$AT$8:$AT$1007,매출원본!$AX$8:$AX$1007,INDEX($R$8:$R$207,$U53),매출원본!$BA$8:$BA$1007,"포함",매출원본!$AS$8:$AS$1007,"&gt;="&amp;EDATE(설정!$B$10,4),매출원본!$AS$8:$AS$1007,"&lt;="&amp;EOMONTH(설정!$B$10,4)))</f>
        <v/>
      </c>
      <c r="N53" s="33">
        <f>IF(OR($U53="",5&gt;=설정!$B$12),"",SUMIFS(매출원본!$AT$8:$AT$1007,매출원본!$AX$8:$AX$1007,INDEX($R$8:$R$207,$U53),매출원본!$BA$8:$BA$1007,"포함",매출원본!$AS$8:$AS$1007,"&gt;="&amp;EDATE(설정!$B$10,5),매출원본!$AS$8:$AS$1007,"&lt;="&amp;EOMONTH(설정!$B$10,5)))</f>
        <v/>
      </c>
      <c r="Q53" s="35" t="n">
        <v>46</v>
      </c>
      <c r="R53" s="35">
        <f>IFERROR(INDEX(매출원본!$AX$8:$AX$1007,MATCH($Q53,매출원본!$BD$8:$BD$1007,0)),"")</f>
        <v/>
      </c>
      <c r="S53" s="35">
        <f>IF($R53="","",SUMIFS(매출원본!$AT$8:$AT$1007,매출원본!$AX$8:$AX$1007,$R53,매출원본!$BA$8:$BA$1007,"포함"))</f>
        <v/>
      </c>
      <c r="T53" s="35">
        <f>IF($R53="","",$S53-$Q53/100000)</f>
        <v/>
      </c>
      <c r="U53" s="35">
        <f>IFERROR(MATCH(LARGE($T$8:$T$207,46),$T$8:$T$207,0),"")</f>
        <v/>
      </c>
    </row>
    <row r="54">
      <c r="A54" s="32">
        <f>IF($U54="","",47)</f>
        <v/>
      </c>
      <c r="B54" s="10">
        <f>IF($U54="","",IFERROR(INDEX(매출원본!$AZ$8:$AZ$1007,MATCH($U54,매출원본!$BD$8:$BD$1007,0)),""))</f>
        <v/>
      </c>
      <c r="C54" s="10">
        <f>IF($U54="","",IFERROR(INDEX(매출원본!$AY$8:$AY$1007,MATCH($U54,매출원본!$BD$8:$BD$1007,0)),""))</f>
        <v/>
      </c>
      <c r="D54" s="33">
        <f>IF($U54="","",COUNTIFS(매출원본!$AX$8:$AX$1007,INDEX($R$8:$R$207,$U54),매출원본!$BA$8:$BA$1007,"포함"))</f>
        <v/>
      </c>
      <c r="E54" s="33">
        <f>IF($U54="","",SUMIFS(매출원본!$AT$8:$AT$1007,매출원본!$AX$8:$AX$1007,INDEX($R$8:$R$207,$U54),매출원본!$BA$8:$BA$1007,"포함"))</f>
        <v/>
      </c>
      <c r="F54" s="33">
        <f>IF($U54="","",SUMIFS(매출원본!$AU$8:$AU$1007,매출원본!$AX$8:$AX$1007,INDEX($R$8:$R$207,$U54),매출원본!$BA$8:$BA$1007,"포함"))</f>
        <v/>
      </c>
      <c r="G54" s="33">
        <f>IF($U54="","",SUMIFS(매출원본!$AV$8:$AV$1007,매출원본!$AX$8:$AX$1007,INDEX($R$8:$R$207,$U54),매출원본!$BA$8:$BA$1007,"포함"))</f>
        <v/>
      </c>
      <c r="H54" s="34">
        <f>IF(OR($U54="",$E$7=0),"",E54/$E$7)</f>
        <v/>
      </c>
      <c r="I54" s="33">
        <f>IF(OR($U54="",0&gt;=설정!$B$12),"",SUMIFS(매출원본!$AT$8:$AT$1007,매출원본!$AX$8:$AX$1007,INDEX($R$8:$R$207,$U54),매출원본!$BA$8:$BA$1007,"포함",매출원본!$AS$8:$AS$1007,"&gt;="&amp;EDATE(설정!$B$10,0),매출원본!$AS$8:$AS$1007,"&lt;="&amp;EOMONTH(설정!$B$10,0)))</f>
        <v/>
      </c>
      <c r="J54" s="33">
        <f>IF(OR($U54="",1&gt;=설정!$B$12),"",SUMIFS(매출원본!$AT$8:$AT$1007,매출원본!$AX$8:$AX$1007,INDEX($R$8:$R$207,$U54),매출원본!$BA$8:$BA$1007,"포함",매출원본!$AS$8:$AS$1007,"&gt;="&amp;EDATE(설정!$B$10,1),매출원본!$AS$8:$AS$1007,"&lt;="&amp;EOMONTH(설정!$B$10,1)))</f>
        <v/>
      </c>
      <c r="K54" s="33">
        <f>IF(OR($U54="",2&gt;=설정!$B$12),"",SUMIFS(매출원본!$AT$8:$AT$1007,매출원본!$AX$8:$AX$1007,INDEX($R$8:$R$207,$U54),매출원본!$BA$8:$BA$1007,"포함",매출원본!$AS$8:$AS$1007,"&gt;="&amp;EDATE(설정!$B$10,2),매출원본!$AS$8:$AS$1007,"&lt;="&amp;EOMONTH(설정!$B$10,2)))</f>
        <v/>
      </c>
      <c r="L54" s="33">
        <f>IF(OR($U54="",3&gt;=설정!$B$12),"",SUMIFS(매출원본!$AT$8:$AT$1007,매출원본!$AX$8:$AX$1007,INDEX($R$8:$R$207,$U54),매출원본!$BA$8:$BA$1007,"포함",매출원본!$AS$8:$AS$1007,"&gt;="&amp;EDATE(설정!$B$10,3),매출원본!$AS$8:$AS$1007,"&lt;="&amp;EOMONTH(설정!$B$10,3)))</f>
        <v/>
      </c>
      <c r="M54" s="33">
        <f>IF(OR($U54="",4&gt;=설정!$B$12),"",SUMIFS(매출원본!$AT$8:$AT$1007,매출원본!$AX$8:$AX$1007,INDEX($R$8:$R$207,$U54),매출원본!$BA$8:$BA$1007,"포함",매출원본!$AS$8:$AS$1007,"&gt;="&amp;EDATE(설정!$B$10,4),매출원본!$AS$8:$AS$1007,"&lt;="&amp;EOMONTH(설정!$B$10,4)))</f>
        <v/>
      </c>
      <c r="N54" s="33">
        <f>IF(OR($U54="",5&gt;=설정!$B$12),"",SUMIFS(매출원본!$AT$8:$AT$1007,매출원본!$AX$8:$AX$1007,INDEX($R$8:$R$207,$U54),매출원본!$BA$8:$BA$1007,"포함",매출원본!$AS$8:$AS$1007,"&gt;="&amp;EDATE(설정!$B$10,5),매출원본!$AS$8:$AS$1007,"&lt;="&amp;EOMONTH(설정!$B$10,5)))</f>
        <v/>
      </c>
      <c r="Q54" s="35" t="n">
        <v>47</v>
      </c>
      <c r="R54" s="35">
        <f>IFERROR(INDEX(매출원본!$AX$8:$AX$1007,MATCH($Q54,매출원본!$BD$8:$BD$1007,0)),"")</f>
        <v/>
      </c>
      <c r="S54" s="35">
        <f>IF($R54="","",SUMIFS(매출원본!$AT$8:$AT$1007,매출원본!$AX$8:$AX$1007,$R54,매출원본!$BA$8:$BA$1007,"포함"))</f>
        <v/>
      </c>
      <c r="T54" s="35">
        <f>IF($R54="","",$S54-$Q54/100000)</f>
        <v/>
      </c>
      <c r="U54" s="35">
        <f>IFERROR(MATCH(LARGE($T$8:$T$207,47),$T$8:$T$207,0),"")</f>
        <v/>
      </c>
    </row>
    <row r="55">
      <c r="A55" s="32">
        <f>IF($U55="","",48)</f>
        <v/>
      </c>
      <c r="B55" s="10">
        <f>IF($U55="","",IFERROR(INDEX(매출원본!$AZ$8:$AZ$1007,MATCH($U55,매출원본!$BD$8:$BD$1007,0)),""))</f>
        <v/>
      </c>
      <c r="C55" s="10">
        <f>IF($U55="","",IFERROR(INDEX(매출원본!$AY$8:$AY$1007,MATCH($U55,매출원본!$BD$8:$BD$1007,0)),""))</f>
        <v/>
      </c>
      <c r="D55" s="33">
        <f>IF($U55="","",COUNTIFS(매출원본!$AX$8:$AX$1007,INDEX($R$8:$R$207,$U55),매출원본!$BA$8:$BA$1007,"포함"))</f>
        <v/>
      </c>
      <c r="E55" s="33">
        <f>IF($U55="","",SUMIFS(매출원본!$AT$8:$AT$1007,매출원본!$AX$8:$AX$1007,INDEX($R$8:$R$207,$U55),매출원본!$BA$8:$BA$1007,"포함"))</f>
        <v/>
      </c>
      <c r="F55" s="33">
        <f>IF($U55="","",SUMIFS(매출원본!$AU$8:$AU$1007,매출원본!$AX$8:$AX$1007,INDEX($R$8:$R$207,$U55),매출원본!$BA$8:$BA$1007,"포함"))</f>
        <v/>
      </c>
      <c r="G55" s="33">
        <f>IF($U55="","",SUMIFS(매출원본!$AV$8:$AV$1007,매출원본!$AX$8:$AX$1007,INDEX($R$8:$R$207,$U55),매출원본!$BA$8:$BA$1007,"포함"))</f>
        <v/>
      </c>
      <c r="H55" s="34">
        <f>IF(OR($U55="",$E$7=0),"",E55/$E$7)</f>
        <v/>
      </c>
      <c r="I55" s="33">
        <f>IF(OR($U55="",0&gt;=설정!$B$12),"",SUMIFS(매출원본!$AT$8:$AT$1007,매출원본!$AX$8:$AX$1007,INDEX($R$8:$R$207,$U55),매출원본!$BA$8:$BA$1007,"포함",매출원본!$AS$8:$AS$1007,"&gt;="&amp;EDATE(설정!$B$10,0),매출원본!$AS$8:$AS$1007,"&lt;="&amp;EOMONTH(설정!$B$10,0)))</f>
        <v/>
      </c>
      <c r="J55" s="33">
        <f>IF(OR($U55="",1&gt;=설정!$B$12),"",SUMIFS(매출원본!$AT$8:$AT$1007,매출원본!$AX$8:$AX$1007,INDEX($R$8:$R$207,$U55),매출원본!$BA$8:$BA$1007,"포함",매출원본!$AS$8:$AS$1007,"&gt;="&amp;EDATE(설정!$B$10,1),매출원본!$AS$8:$AS$1007,"&lt;="&amp;EOMONTH(설정!$B$10,1)))</f>
        <v/>
      </c>
      <c r="K55" s="33">
        <f>IF(OR($U55="",2&gt;=설정!$B$12),"",SUMIFS(매출원본!$AT$8:$AT$1007,매출원본!$AX$8:$AX$1007,INDEX($R$8:$R$207,$U55),매출원본!$BA$8:$BA$1007,"포함",매출원본!$AS$8:$AS$1007,"&gt;="&amp;EDATE(설정!$B$10,2),매출원본!$AS$8:$AS$1007,"&lt;="&amp;EOMONTH(설정!$B$10,2)))</f>
        <v/>
      </c>
      <c r="L55" s="33">
        <f>IF(OR($U55="",3&gt;=설정!$B$12),"",SUMIFS(매출원본!$AT$8:$AT$1007,매출원본!$AX$8:$AX$1007,INDEX($R$8:$R$207,$U55),매출원본!$BA$8:$BA$1007,"포함",매출원본!$AS$8:$AS$1007,"&gt;="&amp;EDATE(설정!$B$10,3),매출원본!$AS$8:$AS$1007,"&lt;="&amp;EOMONTH(설정!$B$10,3)))</f>
        <v/>
      </c>
      <c r="M55" s="33">
        <f>IF(OR($U55="",4&gt;=설정!$B$12),"",SUMIFS(매출원본!$AT$8:$AT$1007,매출원본!$AX$8:$AX$1007,INDEX($R$8:$R$207,$U55),매출원본!$BA$8:$BA$1007,"포함",매출원본!$AS$8:$AS$1007,"&gt;="&amp;EDATE(설정!$B$10,4),매출원본!$AS$8:$AS$1007,"&lt;="&amp;EOMONTH(설정!$B$10,4)))</f>
        <v/>
      </c>
      <c r="N55" s="33">
        <f>IF(OR($U55="",5&gt;=설정!$B$12),"",SUMIFS(매출원본!$AT$8:$AT$1007,매출원본!$AX$8:$AX$1007,INDEX($R$8:$R$207,$U55),매출원본!$BA$8:$BA$1007,"포함",매출원본!$AS$8:$AS$1007,"&gt;="&amp;EDATE(설정!$B$10,5),매출원본!$AS$8:$AS$1007,"&lt;="&amp;EOMONTH(설정!$B$10,5)))</f>
        <v/>
      </c>
      <c r="Q55" s="35" t="n">
        <v>48</v>
      </c>
      <c r="R55" s="35">
        <f>IFERROR(INDEX(매출원본!$AX$8:$AX$1007,MATCH($Q55,매출원본!$BD$8:$BD$1007,0)),"")</f>
        <v/>
      </c>
      <c r="S55" s="35">
        <f>IF($R55="","",SUMIFS(매출원본!$AT$8:$AT$1007,매출원본!$AX$8:$AX$1007,$R55,매출원본!$BA$8:$BA$1007,"포함"))</f>
        <v/>
      </c>
      <c r="T55" s="35">
        <f>IF($R55="","",$S55-$Q55/100000)</f>
        <v/>
      </c>
      <c r="U55" s="35">
        <f>IFERROR(MATCH(LARGE($T$8:$T$207,48),$T$8:$T$207,0),"")</f>
        <v/>
      </c>
    </row>
    <row r="56">
      <c r="A56" s="32">
        <f>IF($U56="","",49)</f>
        <v/>
      </c>
      <c r="B56" s="10">
        <f>IF($U56="","",IFERROR(INDEX(매출원본!$AZ$8:$AZ$1007,MATCH($U56,매출원본!$BD$8:$BD$1007,0)),""))</f>
        <v/>
      </c>
      <c r="C56" s="10">
        <f>IF($U56="","",IFERROR(INDEX(매출원본!$AY$8:$AY$1007,MATCH($U56,매출원본!$BD$8:$BD$1007,0)),""))</f>
        <v/>
      </c>
      <c r="D56" s="33">
        <f>IF($U56="","",COUNTIFS(매출원본!$AX$8:$AX$1007,INDEX($R$8:$R$207,$U56),매출원본!$BA$8:$BA$1007,"포함"))</f>
        <v/>
      </c>
      <c r="E56" s="33">
        <f>IF($U56="","",SUMIFS(매출원본!$AT$8:$AT$1007,매출원본!$AX$8:$AX$1007,INDEX($R$8:$R$207,$U56),매출원본!$BA$8:$BA$1007,"포함"))</f>
        <v/>
      </c>
      <c r="F56" s="33">
        <f>IF($U56="","",SUMIFS(매출원본!$AU$8:$AU$1007,매출원본!$AX$8:$AX$1007,INDEX($R$8:$R$207,$U56),매출원본!$BA$8:$BA$1007,"포함"))</f>
        <v/>
      </c>
      <c r="G56" s="33">
        <f>IF($U56="","",SUMIFS(매출원본!$AV$8:$AV$1007,매출원본!$AX$8:$AX$1007,INDEX($R$8:$R$207,$U56),매출원본!$BA$8:$BA$1007,"포함"))</f>
        <v/>
      </c>
      <c r="H56" s="34">
        <f>IF(OR($U56="",$E$7=0),"",E56/$E$7)</f>
        <v/>
      </c>
      <c r="I56" s="33">
        <f>IF(OR($U56="",0&gt;=설정!$B$12),"",SUMIFS(매출원본!$AT$8:$AT$1007,매출원본!$AX$8:$AX$1007,INDEX($R$8:$R$207,$U56),매출원본!$BA$8:$BA$1007,"포함",매출원본!$AS$8:$AS$1007,"&gt;="&amp;EDATE(설정!$B$10,0),매출원본!$AS$8:$AS$1007,"&lt;="&amp;EOMONTH(설정!$B$10,0)))</f>
        <v/>
      </c>
      <c r="J56" s="33">
        <f>IF(OR($U56="",1&gt;=설정!$B$12),"",SUMIFS(매출원본!$AT$8:$AT$1007,매출원본!$AX$8:$AX$1007,INDEX($R$8:$R$207,$U56),매출원본!$BA$8:$BA$1007,"포함",매출원본!$AS$8:$AS$1007,"&gt;="&amp;EDATE(설정!$B$10,1),매출원본!$AS$8:$AS$1007,"&lt;="&amp;EOMONTH(설정!$B$10,1)))</f>
        <v/>
      </c>
      <c r="K56" s="33">
        <f>IF(OR($U56="",2&gt;=설정!$B$12),"",SUMIFS(매출원본!$AT$8:$AT$1007,매출원본!$AX$8:$AX$1007,INDEX($R$8:$R$207,$U56),매출원본!$BA$8:$BA$1007,"포함",매출원본!$AS$8:$AS$1007,"&gt;="&amp;EDATE(설정!$B$10,2),매출원본!$AS$8:$AS$1007,"&lt;="&amp;EOMONTH(설정!$B$10,2)))</f>
        <v/>
      </c>
      <c r="L56" s="33">
        <f>IF(OR($U56="",3&gt;=설정!$B$12),"",SUMIFS(매출원본!$AT$8:$AT$1007,매출원본!$AX$8:$AX$1007,INDEX($R$8:$R$207,$U56),매출원본!$BA$8:$BA$1007,"포함",매출원본!$AS$8:$AS$1007,"&gt;="&amp;EDATE(설정!$B$10,3),매출원본!$AS$8:$AS$1007,"&lt;="&amp;EOMONTH(설정!$B$10,3)))</f>
        <v/>
      </c>
      <c r="M56" s="33">
        <f>IF(OR($U56="",4&gt;=설정!$B$12),"",SUMIFS(매출원본!$AT$8:$AT$1007,매출원본!$AX$8:$AX$1007,INDEX($R$8:$R$207,$U56),매출원본!$BA$8:$BA$1007,"포함",매출원본!$AS$8:$AS$1007,"&gt;="&amp;EDATE(설정!$B$10,4),매출원본!$AS$8:$AS$1007,"&lt;="&amp;EOMONTH(설정!$B$10,4)))</f>
        <v/>
      </c>
      <c r="N56" s="33">
        <f>IF(OR($U56="",5&gt;=설정!$B$12),"",SUMIFS(매출원본!$AT$8:$AT$1007,매출원본!$AX$8:$AX$1007,INDEX($R$8:$R$207,$U56),매출원본!$BA$8:$BA$1007,"포함",매출원본!$AS$8:$AS$1007,"&gt;="&amp;EDATE(설정!$B$10,5),매출원본!$AS$8:$AS$1007,"&lt;="&amp;EOMONTH(설정!$B$10,5)))</f>
        <v/>
      </c>
      <c r="Q56" s="35" t="n">
        <v>49</v>
      </c>
      <c r="R56" s="35">
        <f>IFERROR(INDEX(매출원본!$AX$8:$AX$1007,MATCH($Q56,매출원본!$BD$8:$BD$1007,0)),"")</f>
        <v/>
      </c>
      <c r="S56" s="35">
        <f>IF($R56="","",SUMIFS(매출원본!$AT$8:$AT$1007,매출원본!$AX$8:$AX$1007,$R56,매출원본!$BA$8:$BA$1007,"포함"))</f>
        <v/>
      </c>
      <c r="T56" s="35">
        <f>IF($R56="","",$S56-$Q56/100000)</f>
        <v/>
      </c>
      <c r="U56" s="35">
        <f>IFERROR(MATCH(LARGE($T$8:$T$207,49),$T$8:$T$207,0),"")</f>
        <v/>
      </c>
    </row>
    <row r="57">
      <c r="A57" s="32">
        <f>IF($U57="","",50)</f>
        <v/>
      </c>
      <c r="B57" s="10">
        <f>IF($U57="","",IFERROR(INDEX(매출원본!$AZ$8:$AZ$1007,MATCH($U57,매출원본!$BD$8:$BD$1007,0)),""))</f>
        <v/>
      </c>
      <c r="C57" s="10">
        <f>IF($U57="","",IFERROR(INDEX(매출원본!$AY$8:$AY$1007,MATCH($U57,매출원본!$BD$8:$BD$1007,0)),""))</f>
        <v/>
      </c>
      <c r="D57" s="33">
        <f>IF($U57="","",COUNTIFS(매출원본!$AX$8:$AX$1007,INDEX($R$8:$R$207,$U57),매출원본!$BA$8:$BA$1007,"포함"))</f>
        <v/>
      </c>
      <c r="E57" s="33">
        <f>IF($U57="","",SUMIFS(매출원본!$AT$8:$AT$1007,매출원본!$AX$8:$AX$1007,INDEX($R$8:$R$207,$U57),매출원본!$BA$8:$BA$1007,"포함"))</f>
        <v/>
      </c>
      <c r="F57" s="33">
        <f>IF($U57="","",SUMIFS(매출원본!$AU$8:$AU$1007,매출원본!$AX$8:$AX$1007,INDEX($R$8:$R$207,$U57),매출원본!$BA$8:$BA$1007,"포함"))</f>
        <v/>
      </c>
      <c r="G57" s="33">
        <f>IF($U57="","",SUMIFS(매출원본!$AV$8:$AV$1007,매출원본!$AX$8:$AX$1007,INDEX($R$8:$R$207,$U57),매출원본!$BA$8:$BA$1007,"포함"))</f>
        <v/>
      </c>
      <c r="H57" s="34">
        <f>IF(OR($U57="",$E$7=0),"",E57/$E$7)</f>
        <v/>
      </c>
      <c r="I57" s="33">
        <f>IF(OR($U57="",0&gt;=설정!$B$12),"",SUMIFS(매출원본!$AT$8:$AT$1007,매출원본!$AX$8:$AX$1007,INDEX($R$8:$R$207,$U57),매출원본!$BA$8:$BA$1007,"포함",매출원본!$AS$8:$AS$1007,"&gt;="&amp;EDATE(설정!$B$10,0),매출원본!$AS$8:$AS$1007,"&lt;="&amp;EOMONTH(설정!$B$10,0)))</f>
        <v/>
      </c>
      <c r="J57" s="33">
        <f>IF(OR($U57="",1&gt;=설정!$B$12),"",SUMIFS(매출원본!$AT$8:$AT$1007,매출원본!$AX$8:$AX$1007,INDEX($R$8:$R$207,$U57),매출원본!$BA$8:$BA$1007,"포함",매출원본!$AS$8:$AS$1007,"&gt;="&amp;EDATE(설정!$B$10,1),매출원본!$AS$8:$AS$1007,"&lt;="&amp;EOMONTH(설정!$B$10,1)))</f>
        <v/>
      </c>
      <c r="K57" s="33">
        <f>IF(OR($U57="",2&gt;=설정!$B$12),"",SUMIFS(매출원본!$AT$8:$AT$1007,매출원본!$AX$8:$AX$1007,INDEX($R$8:$R$207,$U57),매출원본!$BA$8:$BA$1007,"포함",매출원본!$AS$8:$AS$1007,"&gt;="&amp;EDATE(설정!$B$10,2),매출원본!$AS$8:$AS$1007,"&lt;="&amp;EOMONTH(설정!$B$10,2)))</f>
        <v/>
      </c>
      <c r="L57" s="33">
        <f>IF(OR($U57="",3&gt;=설정!$B$12),"",SUMIFS(매출원본!$AT$8:$AT$1007,매출원본!$AX$8:$AX$1007,INDEX($R$8:$R$207,$U57),매출원본!$BA$8:$BA$1007,"포함",매출원본!$AS$8:$AS$1007,"&gt;="&amp;EDATE(설정!$B$10,3),매출원본!$AS$8:$AS$1007,"&lt;="&amp;EOMONTH(설정!$B$10,3)))</f>
        <v/>
      </c>
      <c r="M57" s="33">
        <f>IF(OR($U57="",4&gt;=설정!$B$12),"",SUMIFS(매출원본!$AT$8:$AT$1007,매출원본!$AX$8:$AX$1007,INDEX($R$8:$R$207,$U57),매출원본!$BA$8:$BA$1007,"포함",매출원본!$AS$8:$AS$1007,"&gt;="&amp;EDATE(설정!$B$10,4),매출원본!$AS$8:$AS$1007,"&lt;="&amp;EOMONTH(설정!$B$10,4)))</f>
        <v/>
      </c>
      <c r="N57" s="33">
        <f>IF(OR($U57="",5&gt;=설정!$B$12),"",SUMIFS(매출원본!$AT$8:$AT$1007,매출원본!$AX$8:$AX$1007,INDEX($R$8:$R$207,$U57),매출원본!$BA$8:$BA$1007,"포함",매출원본!$AS$8:$AS$1007,"&gt;="&amp;EDATE(설정!$B$10,5),매출원본!$AS$8:$AS$1007,"&lt;="&amp;EOMONTH(설정!$B$10,5)))</f>
        <v/>
      </c>
      <c r="Q57" s="35" t="n">
        <v>50</v>
      </c>
      <c r="R57" s="35">
        <f>IFERROR(INDEX(매출원본!$AX$8:$AX$1007,MATCH($Q57,매출원본!$BD$8:$BD$1007,0)),"")</f>
        <v/>
      </c>
      <c r="S57" s="35">
        <f>IF($R57="","",SUMIFS(매출원본!$AT$8:$AT$1007,매출원본!$AX$8:$AX$1007,$R57,매출원본!$BA$8:$BA$1007,"포함"))</f>
        <v/>
      </c>
      <c r="T57" s="35">
        <f>IF($R57="","",$S57-$Q57/100000)</f>
        <v/>
      </c>
      <c r="U57" s="35">
        <f>IFERROR(MATCH(LARGE($T$8:$T$207,50),$T$8:$T$207,0),"")</f>
        <v/>
      </c>
    </row>
    <row r="58">
      <c r="A58" s="32">
        <f>IF($U58="","",51)</f>
        <v/>
      </c>
      <c r="B58" s="10">
        <f>IF($U58="","",IFERROR(INDEX(매출원본!$AZ$8:$AZ$1007,MATCH($U58,매출원본!$BD$8:$BD$1007,0)),""))</f>
        <v/>
      </c>
      <c r="C58" s="10">
        <f>IF($U58="","",IFERROR(INDEX(매출원본!$AY$8:$AY$1007,MATCH($U58,매출원본!$BD$8:$BD$1007,0)),""))</f>
        <v/>
      </c>
      <c r="D58" s="33">
        <f>IF($U58="","",COUNTIFS(매출원본!$AX$8:$AX$1007,INDEX($R$8:$R$207,$U58),매출원본!$BA$8:$BA$1007,"포함"))</f>
        <v/>
      </c>
      <c r="E58" s="33">
        <f>IF($U58="","",SUMIFS(매출원본!$AT$8:$AT$1007,매출원본!$AX$8:$AX$1007,INDEX($R$8:$R$207,$U58),매출원본!$BA$8:$BA$1007,"포함"))</f>
        <v/>
      </c>
      <c r="F58" s="33">
        <f>IF($U58="","",SUMIFS(매출원본!$AU$8:$AU$1007,매출원본!$AX$8:$AX$1007,INDEX($R$8:$R$207,$U58),매출원본!$BA$8:$BA$1007,"포함"))</f>
        <v/>
      </c>
      <c r="G58" s="33">
        <f>IF($U58="","",SUMIFS(매출원본!$AV$8:$AV$1007,매출원본!$AX$8:$AX$1007,INDEX($R$8:$R$207,$U58),매출원본!$BA$8:$BA$1007,"포함"))</f>
        <v/>
      </c>
      <c r="H58" s="34">
        <f>IF(OR($U58="",$E$7=0),"",E58/$E$7)</f>
        <v/>
      </c>
      <c r="I58" s="33">
        <f>IF(OR($U58="",0&gt;=설정!$B$12),"",SUMIFS(매출원본!$AT$8:$AT$1007,매출원본!$AX$8:$AX$1007,INDEX($R$8:$R$207,$U58),매출원본!$BA$8:$BA$1007,"포함",매출원본!$AS$8:$AS$1007,"&gt;="&amp;EDATE(설정!$B$10,0),매출원본!$AS$8:$AS$1007,"&lt;="&amp;EOMONTH(설정!$B$10,0)))</f>
        <v/>
      </c>
      <c r="J58" s="33">
        <f>IF(OR($U58="",1&gt;=설정!$B$12),"",SUMIFS(매출원본!$AT$8:$AT$1007,매출원본!$AX$8:$AX$1007,INDEX($R$8:$R$207,$U58),매출원본!$BA$8:$BA$1007,"포함",매출원본!$AS$8:$AS$1007,"&gt;="&amp;EDATE(설정!$B$10,1),매출원본!$AS$8:$AS$1007,"&lt;="&amp;EOMONTH(설정!$B$10,1)))</f>
        <v/>
      </c>
      <c r="K58" s="33">
        <f>IF(OR($U58="",2&gt;=설정!$B$12),"",SUMIFS(매출원본!$AT$8:$AT$1007,매출원본!$AX$8:$AX$1007,INDEX($R$8:$R$207,$U58),매출원본!$BA$8:$BA$1007,"포함",매출원본!$AS$8:$AS$1007,"&gt;="&amp;EDATE(설정!$B$10,2),매출원본!$AS$8:$AS$1007,"&lt;="&amp;EOMONTH(설정!$B$10,2)))</f>
        <v/>
      </c>
      <c r="L58" s="33">
        <f>IF(OR($U58="",3&gt;=설정!$B$12),"",SUMIFS(매출원본!$AT$8:$AT$1007,매출원본!$AX$8:$AX$1007,INDEX($R$8:$R$207,$U58),매출원본!$BA$8:$BA$1007,"포함",매출원본!$AS$8:$AS$1007,"&gt;="&amp;EDATE(설정!$B$10,3),매출원본!$AS$8:$AS$1007,"&lt;="&amp;EOMONTH(설정!$B$10,3)))</f>
        <v/>
      </c>
      <c r="M58" s="33">
        <f>IF(OR($U58="",4&gt;=설정!$B$12),"",SUMIFS(매출원본!$AT$8:$AT$1007,매출원본!$AX$8:$AX$1007,INDEX($R$8:$R$207,$U58),매출원본!$BA$8:$BA$1007,"포함",매출원본!$AS$8:$AS$1007,"&gt;="&amp;EDATE(설정!$B$10,4),매출원본!$AS$8:$AS$1007,"&lt;="&amp;EOMONTH(설정!$B$10,4)))</f>
        <v/>
      </c>
      <c r="N58" s="33">
        <f>IF(OR($U58="",5&gt;=설정!$B$12),"",SUMIFS(매출원본!$AT$8:$AT$1007,매출원본!$AX$8:$AX$1007,INDEX($R$8:$R$207,$U58),매출원본!$BA$8:$BA$1007,"포함",매출원본!$AS$8:$AS$1007,"&gt;="&amp;EDATE(설정!$B$10,5),매출원본!$AS$8:$AS$1007,"&lt;="&amp;EOMONTH(설정!$B$10,5)))</f>
        <v/>
      </c>
      <c r="Q58" s="35" t="n">
        <v>51</v>
      </c>
      <c r="R58" s="35">
        <f>IFERROR(INDEX(매출원본!$AX$8:$AX$1007,MATCH($Q58,매출원본!$BD$8:$BD$1007,0)),"")</f>
        <v/>
      </c>
      <c r="S58" s="35">
        <f>IF($R58="","",SUMIFS(매출원본!$AT$8:$AT$1007,매출원본!$AX$8:$AX$1007,$R58,매출원본!$BA$8:$BA$1007,"포함"))</f>
        <v/>
      </c>
      <c r="T58" s="35">
        <f>IF($R58="","",$S58-$Q58/100000)</f>
        <v/>
      </c>
      <c r="U58" s="35">
        <f>IFERROR(MATCH(LARGE($T$8:$T$207,51),$T$8:$T$207,0),"")</f>
        <v/>
      </c>
    </row>
    <row r="59">
      <c r="A59" s="32">
        <f>IF($U59="","",52)</f>
        <v/>
      </c>
      <c r="B59" s="10">
        <f>IF($U59="","",IFERROR(INDEX(매출원본!$AZ$8:$AZ$1007,MATCH($U59,매출원본!$BD$8:$BD$1007,0)),""))</f>
        <v/>
      </c>
      <c r="C59" s="10">
        <f>IF($U59="","",IFERROR(INDEX(매출원본!$AY$8:$AY$1007,MATCH($U59,매출원본!$BD$8:$BD$1007,0)),""))</f>
        <v/>
      </c>
      <c r="D59" s="33">
        <f>IF($U59="","",COUNTIFS(매출원본!$AX$8:$AX$1007,INDEX($R$8:$R$207,$U59),매출원본!$BA$8:$BA$1007,"포함"))</f>
        <v/>
      </c>
      <c r="E59" s="33">
        <f>IF($U59="","",SUMIFS(매출원본!$AT$8:$AT$1007,매출원본!$AX$8:$AX$1007,INDEX($R$8:$R$207,$U59),매출원본!$BA$8:$BA$1007,"포함"))</f>
        <v/>
      </c>
      <c r="F59" s="33">
        <f>IF($U59="","",SUMIFS(매출원본!$AU$8:$AU$1007,매출원본!$AX$8:$AX$1007,INDEX($R$8:$R$207,$U59),매출원본!$BA$8:$BA$1007,"포함"))</f>
        <v/>
      </c>
      <c r="G59" s="33">
        <f>IF($U59="","",SUMIFS(매출원본!$AV$8:$AV$1007,매출원본!$AX$8:$AX$1007,INDEX($R$8:$R$207,$U59),매출원본!$BA$8:$BA$1007,"포함"))</f>
        <v/>
      </c>
      <c r="H59" s="34">
        <f>IF(OR($U59="",$E$7=0),"",E59/$E$7)</f>
        <v/>
      </c>
      <c r="I59" s="33">
        <f>IF(OR($U59="",0&gt;=설정!$B$12),"",SUMIFS(매출원본!$AT$8:$AT$1007,매출원본!$AX$8:$AX$1007,INDEX($R$8:$R$207,$U59),매출원본!$BA$8:$BA$1007,"포함",매출원본!$AS$8:$AS$1007,"&gt;="&amp;EDATE(설정!$B$10,0),매출원본!$AS$8:$AS$1007,"&lt;="&amp;EOMONTH(설정!$B$10,0)))</f>
        <v/>
      </c>
      <c r="J59" s="33">
        <f>IF(OR($U59="",1&gt;=설정!$B$12),"",SUMIFS(매출원본!$AT$8:$AT$1007,매출원본!$AX$8:$AX$1007,INDEX($R$8:$R$207,$U59),매출원본!$BA$8:$BA$1007,"포함",매출원본!$AS$8:$AS$1007,"&gt;="&amp;EDATE(설정!$B$10,1),매출원본!$AS$8:$AS$1007,"&lt;="&amp;EOMONTH(설정!$B$10,1)))</f>
        <v/>
      </c>
      <c r="K59" s="33">
        <f>IF(OR($U59="",2&gt;=설정!$B$12),"",SUMIFS(매출원본!$AT$8:$AT$1007,매출원본!$AX$8:$AX$1007,INDEX($R$8:$R$207,$U59),매출원본!$BA$8:$BA$1007,"포함",매출원본!$AS$8:$AS$1007,"&gt;="&amp;EDATE(설정!$B$10,2),매출원본!$AS$8:$AS$1007,"&lt;="&amp;EOMONTH(설정!$B$10,2)))</f>
        <v/>
      </c>
      <c r="L59" s="33">
        <f>IF(OR($U59="",3&gt;=설정!$B$12),"",SUMIFS(매출원본!$AT$8:$AT$1007,매출원본!$AX$8:$AX$1007,INDEX($R$8:$R$207,$U59),매출원본!$BA$8:$BA$1007,"포함",매출원본!$AS$8:$AS$1007,"&gt;="&amp;EDATE(설정!$B$10,3),매출원본!$AS$8:$AS$1007,"&lt;="&amp;EOMONTH(설정!$B$10,3)))</f>
        <v/>
      </c>
      <c r="M59" s="33">
        <f>IF(OR($U59="",4&gt;=설정!$B$12),"",SUMIFS(매출원본!$AT$8:$AT$1007,매출원본!$AX$8:$AX$1007,INDEX($R$8:$R$207,$U59),매출원본!$BA$8:$BA$1007,"포함",매출원본!$AS$8:$AS$1007,"&gt;="&amp;EDATE(설정!$B$10,4),매출원본!$AS$8:$AS$1007,"&lt;="&amp;EOMONTH(설정!$B$10,4)))</f>
        <v/>
      </c>
      <c r="N59" s="33">
        <f>IF(OR($U59="",5&gt;=설정!$B$12),"",SUMIFS(매출원본!$AT$8:$AT$1007,매출원본!$AX$8:$AX$1007,INDEX($R$8:$R$207,$U59),매출원본!$BA$8:$BA$1007,"포함",매출원본!$AS$8:$AS$1007,"&gt;="&amp;EDATE(설정!$B$10,5),매출원본!$AS$8:$AS$1007,"&lt;="&amp;EOMONTH(설정!$B$10,5)))</f>
        <v/>
      </c>
      <c r="Q59" s="35" t="n">
        <v>52</v>
      </c>
      <c r="R59" s="35">
        <f>IFERROR(INDEX(매출원본!$AX$8:$AX$1007,MATCH($Q59,매출원본!$BD$8:$BD$1007,0)),"")</f>
        <v/>
      </c>
      <c r="S59" s="35">
        <f>IF($R59="","",SUMIFS(매출원본!$AT$8:$AT$1007,매출원본!$AX$8:$AX$1007,$R59,매출원본!$BA$8:$BA$1007,"포함"))</f>
        <v/>
      </c>
      <c r="T59" s="35">
        <f>IF($R59="","",$S59-$Q59/100000)</f>
        <v/>
      </c>
      <c r="U59" s="35">
        <f>IFERROR(MATCH(LARGE($T$8:$T$207,52),$T$8:$T$207,0),"")</f>
        <v/>
      </c>
    </row>
    <row r="60">
      <c r="A60" s="32">
        <f>IF($U60="","",53)</f>
        <v/>
      </c>
      <c r="B60" s="10">
        <f>IF($U60="","",IFERROR(INDEX(매출원본!$AZ$8:$AZ$1007,MATCH($U60,매출원본!$BD$8:$BD$1007,0)),""))</f>
        <v/>
      </c>
      <c r="C60" s="10">
        <f>IF($U60="","",IFERROR(INDEX(매출원본!$AY$8:$AY$1007,MATCH($U60,매출원본!$BD$8:$BD$1007,0)),""))</f>
        <v/>
      </c>
      <c r="D60" s="33">
        <f>IF($U60="","",COUNTIFS(매출원본!$AX$8:$AX$1007,INDEX($R$8:$R$207,$U60),매출원본!$BA$8:$BA$1007,"포함"))</f>
        <v/>
      </c>
      <c r="E60" s="33">
        <f>IF($U60="","",SUMIFS(매출원본!$AT$8:$AT$1007,매출원본!$AX$8:$AX$1007,INDEX($R$8:$R$207,$U60),매출원본!$BA$8:$BA$1007,"포함"))</f>
        <v/>
      </c>
      <c r="F60" s="33">
        <f>IF($U60="","",SUMIFS(매출원본!$AU$8:$AU$1007,매출원본!$AX$8:$AX$1007,INDEX($R$8:$R$207,$U60),매출원본!$BA$8:$BA$1007,"포함"))</f>
        <v/>
      </c>
      <c r="G60" s="33">
        <f>IF($U60="","",SUMIFS(매출원본!$AV$8:$AV$1007,매출원본!$AX$8:$AX$1007,INDEX($R$8:$R$207,$U60),매출원본!$BA$8:$BA$1007,"포함"))</f>
        <v/>
      </c>
      <c r="H60" s="34">
        <f>IF(OR($U60="",$E$7=0),"",E60/$E$7)</f>
        <v/>
      </c>
      <c r="I60" s="33">
        <f>IF(OR($U60="",0&gt;=설정!$B$12),"",SUMIFS(매출원본!$AT$8:$AT$1007,매출원본!$AX$8:$AX$1007,INDEX($R$8:$R$207,$U60),매출원본!$BA$8:$BA$1007,"포함",매출원본!$AS$8:$AS$1007,"&gt;="&amp;EDATE(설정!$B$10,0),매출원본!$AS$8:$AS$1007,"&lt;="&amp;EOMONTH(설정!$B$10,0)))</f>
        <v/>
      </c>
      <c r="J60" s="33">
        <f>IF(OR($U60="",1&gt;=설정!$B$12),"",SUMIFS(매출원본!$AT$8:$AT$1007,매출원본!$AX$8:$AX$1007,INDEX($R$8:$R$207,$U60),매출원본!$BA$8:$BA$1007,"포함",매출원본!$AS$8:$AS$1007,"&gt;="&amp;EDATE(설정!$B$10,1),매출원본!$AS$8:$AS$1007,"&lt;="&amp;EOMONTH(설정!$B$10,1)))</f>
        <v/>
      </c>
      <c r="K60" s="33">
        <f>IF(OR($U60="",2&gt;=설정!$B$12),"",SUMIFS(매출원본!$AT$8:$AT$1007,매출원본!$AX$8:$AX$1007,INDEX($R$8:$R$207,$U60),매출원본!$BA$8:$BA$1007,"포함",매출원본!$AS$8:$AS$1007,"&gt;="&amp;EDATE(설정!$B$10,2),매출원본!$AS$8:$AS$1007,"&lt;="&amp;EOMONTH(설정!$B$10,2)))</f>
        <v/>
      </c>
      <c r="L60" s="33">
        <f>IF(OR($U60="",3&gt;=설정!$B$12),"",SUMIFS(매출원본!$AT$8:$AT$1007,매출원본!$AX$8:$AX$1007,INDEX($R$8:$R$207,$U60),매출원본!$BA$8:$BA$1007,"포함",매출원본!$AS$8:$AS$1007,"&gt;="&amp;EDATE(설정!$B$10,3),매출원본!$AS$8:$AS$1007,"&lt;="&amp;EOMONTH(설정!$B$10,3)))</f>
        <v/>
      </c>
      <c r="M60" s="33">
        <f>IF(OR($U60="",4&gt;=설정!$B$12),"",SUMIFS(매출원본!$AT$8:$AT$1007,매출원본!$AX$8:$AX$1007,INDEX($R$8:$R$207,$U60),매출원본!$BA$8:$BA$1007,"포함",매출원본!$AS$8:$AS$1007,"&gt;="&amp;EDATE(설정!$B$10,4),매출원본!$AS$8:$AS$1007,"&lt;="&amp;EOMONTH(설정!$B$10,4)))</f>
        <v/>
      </c>
      <c r="N60" s="33">
        <f>IF(OR($U60="",5&gt;=설정!$B$12),"",SUMIFS(매출원본!$AT$8:$AT$1007,매출원본!$AX$8:$AX$1007,INDEX($R$8:$R$207,$U60),매출원본!$BA$8:$BA$1007,"포함",매출원본!$AS$8:$AS$1007,"&gt;="&amp;EDATE(설정!$B$10,5),매출원본!$AS$8:$AS$1007,"&lt;="&amp;EOMONTH(설정!$B$10,5)))</f>
        <v/>
      </c>
      <c r="Q60" s="35" t="n">
        <v>53</v>
      </c>
      <c r="R60" s="35">
        <f>IFERROR(INDEX(매출원본!$AX$8:$AX$1007,MATCH($Q60,매출원본!$BD$8:$BD$1007,0)),"")</f>
        <v/>
      </c>
      <c r="S60" s="35">
        <f>IF($R60="","",SUMIFS(매출원본!$AT$8:$AT$1007,매출원본!$AX$8:$AX$1007,$R60,매출원본!$BA$8:$BA$1007,"포함"))</f>
        <v/>
      </c>
      <c r="T60" s="35">
        <f>IF($R60="","",$S60-$Q60/100000)</f>
        <v/>
      </c>
      <c r="U60" s="35">
        <f>IFERROR(MATCH(LARGE($T$8:$T$207,53),$T$8:$T$207,0),"")</f>
        <v/>
      </c>
    </row>
    <row r="61">
      <c r="A61" s="32">
        <f>IF($U61="","",54)</f>
        <v/>
      </c>
      <c r="B61" s="10">
        <f>IF($U61="","",IFERROR(INDEX(매출원본!$AZ$8:$AZ$1007,MATCH($U61,매출원본!$BD$8:$BD$1007,0)),""))</f>
        <v/>
      </c>
      <c r="C61" s="10">
        <f>IF($U61="","",IFERROR(INDEX(매출원본!$AY$8:$AY$1007,MATCH($U61,매출원본!$BD$8:$BD$1007,0)),""))</f>
        <v/>
      </c>
      <c r="D61" s="33">
        <f>IF($U61="","",COUNTIFS(매출원본!$AX$8:$AX$1007,INDEX($R$8:$R$207,$U61),매출원본!$BA$8:$BA$1007,"포함"))</f>
        <v/>
      </c>
      <c r="E61" s="33">
        <f>IF($U61="","",SUMIFS(매출원본!$AT$8:$AT$1007,매출원본!$AX$8:$AX$1007,INDEX($R$8:$R$207,$U61),매출원본!$BA$8:$BA$1007,"포함"))</f>
        <v/>
      </c>
      <c r="F61" s="33">
        <f>IF($U61="","",SUMIFS(매출원본!$AU$8:$AU$1007,매출원본!$AX$8:$AX$1007,INDEX($R$8:$R$207,$U61),매출원본!$BA$8:$BA$1007,"포함"))</f>
        <v/>
      </c>
      <c r="G61" s="33">
        <f>IF($U61="","",SUMIFS(매출원본!$AV$8:$AV$1007,매출원본!$AX$8:$AX$1007,INDEX($R$8:$R$207,$U61),매출원본!$BA$8:$BA$1007,"포함"))</f>
        <v/>
      </c>
      <c r="H61" s="34">
        <f>IF(OR($U61="",$E$7=0),"",E61/$E$7)</f>
        <v/>
      </c>
      <c r="I61" s="33">
        <f>IF(OR($U61="",0&gt;=설정!$B$12),"",SUMIFS(매출원본!$AT$8:$AT$1007,매출원본!$AX$8:$AX$1007,INDEX($R$8:$R$207,$U61),매출원본!$BA$8:$BA$1007,"포함",매출원본!$AS$8:$AS$1007,"&gt;="&amp;EDATE(설정!$B$10,0),매출원본!$AS$8:$AS$1007,"&lt;="&amp;EOMONTH(설정!$B$10,0)))</f>
        <v/>
      </c>
      <c r="J61" s="33">
        <f>IF(OR($U61="",1&gt;=설정!$B$12),"",SUMIFS(매출원본!$AT$8:$AT$1007,매출원본!$AX$8:$AX$1007,INDEX($R$8:$R$207,$U61),매출원본!$BA$8:$BA$1007,"포함",매출원본!$AS$8:$AS$1007,"&gt;="&amp;EDATE(설정!$B$10,1),매출원본!$AS$8:$AS$1007,"&lt;="&amp;EOMONTH(설정!$B$10,1)))</f>
        <v/>
      </c>
      <c r="K61" s="33">
        <f>IF(OR($U61="",2&gt;=설정!$B$12),"",SUMIFS(매출원본!$AT$8:$AT$1007,매출원본!$AX$8:$AX$1007,INDEX($R$8:$R$207,$U61),매출원본!$BA$8:$BA$1007,"포함",매출원본!$AS$8:$AS$1007,"&gt;="&amp;EDATE(설정!$B$10,2),매출원본!$AS$8:$AS$1007,"&lt;="&amp;EOMONTH(설정!$B$10,2)))</f>
        <v/>
      </c>
      <c r="L61" s="33">
        <f>IF(OR($U61="",3&gt;=설정!$B$12),"",SUMIFS(매출원본!$AT$8:$AT$1007,매출원본!$AX$8:$AX$1007,INDEX($R$8:$R$207,$U61),매출원본!$BA$8:$BA$1007,"포함",매출원본!$AS$8:$AS$1007,"&gt;="&amp;EDATE(설정!$B$10,3),매출원본!$AS$8:$AS$1007,"&lt;="&amp;EOMONTH(설정!$B$10,3)))</f>
        <v/>
      </c>
      <c r="M61" s="33">
        <f>IF(OR($U61="",4&gt;=설정!$B$12),"",SUMIFS(매출원본!$AT$8:$AT$1007,매출원본!$AX$8:$AX$1007,INDEX($R$8:$R$207,$U61),매출원본!$BA$8:$BA$1007,"포함",매출원본!$AS$8:$AS$1007,"&gt;="&amp;EDATE(설정!$B$10,4),매출원본!$AS$8:$AS$1007,"&lt;="&amp;EOMONTH(설정!$B$10,4)))</f>
        <v/>
      </c>
      <c r="N61" s="33">
        <f>IF(OR($U61="",5&gt;=설정!$B$12),"",SUMIFS(매출원본!$AT$8:$AT$1007,매출원본!$AX$8:$AX$1007,INDEX($R$8:$R$207,$U61),매출원본!$BA$8:$BA$1007,"포함",매출원본!$AS$8:$AS$1007,"&gt;="&amp;EDATE(설정!$B$10,5),매출원본!$AS$8:$AS$1007,"&lt;="&amp;EOMONTH(설정!$B$10,5)))</f>
        <v/>
      </c>
      <c r="Q61" s="35" t="n">
        <v>54</v>
      </c>
      <c r="R61" s="35">
        <f>IFERROR(INDEX(매출원본!$AX$8:$AX$1007,MATCH($Q61,매출원본!$BD$8:$BD$1007,0)),"")</f>
        <v/>
      </c>
      <c r="S61" s="35">
        <f>IF($R61="","",SUMIFS(매출원본!$AT$8:$AT$1007,매출원본!$AX$8:$AX$1007,$R61,매출원본!$BA$8:$BA$1007,"포함"))</f>
        <v/>
      </c>
      <c r="T61" s="35">
        <f>IF($R61="","",$S61-$Q61/100000)</f>
        <v/>
      </c>
      <c r="U61" s="35">
        <f>IFERROR(MATCH(LARGE($T$8:$T$207,54),$T$8:$T$207,0),"")</f>
        <v/>
      </c>
    </row>
    <row r="62">
      <c r="A62" s="32">
        <f>IF($U62="","",55)</f>
        <v/>
      </c>
      <c r="B62" s="10">
        <f>IF($U62="","",IFERROR(INDEX(매출원본!$AZ$8:$AZ$1007,MATCH($U62,매출원본!$BD$8:$BD$1007,0)),""))</f>
        <v/>
      </c>
      <c r="C62" s="10">
        <f>IF($U62="","",IFERROR(INDEX(매출원본!$AY$8:$AY$1007,MATCH($U62,매출원본!$BD$8:$BD$1007,0)),""))</f>
        <v/>
      </c>
      <c r="D62" s="33">
        <f>IF($U62="","",COUNTIFS(매출원본!$AX$8:$AX$1007,INDEX($R$8:$R$207,$U62),매출원본!$BA$8:$BA$1007,"포함"))</f>
        <v/>
      </c>
      <c r="E62" s="33">
        <f>IF($U62="","",SUMIFS(매출원본!$AT$8:$AT$1007,매출원본!$AX$8:$AX$1007,INDEX($R$8:$R$207,$U62),매출원본!$BA$8:$BA$1007,"포함"))</f>
        <v/>
      </c>
      <c r="F62" s="33">
        <f>IF($U62="","",SUMIFS(매출원본!$AU$8:$AU$1007,매출원본!$AX$8:$AX$1007,INDEX($R$8:$R$207,$U62),매출원본!$BA$8:$BA$1007,"포함"))</f>
        <v/>
      </c>
      <c r="G62" s="33">
        <f>IF($U62="","",SUMIFS(매출원본!$AV$8:$AV$1007,매출원본!$AX$8:$AX$1007,INDEX($R$8:$R$207,$U62),매출원본!$BA$8:$BA$1007,"포함"))</f>
        <v/>
      </c>
      <c r="H62" s="34">
        <f>IF(OR($U62="",$E$7=0),"",E62/$E$7)</f>
        <v/>
      </c>
      <c r="I62" s="33">
        <f>IF(OR($U62="",0&gt;=설정!$B$12),"",SUMIFS(매출원본!$AT$8:$AT$1007,매출원본!$AX$8:$AX$1007,INDEX($R$8:$R$207,$U62),매출원본!$BA$8:$BA$1007,"포함",매출원본!$AS$8:$AS$1007,"&gt;="&amp;EDATE(설정!$B$10,0),매출원본!$AS$8:$AS$1007,"&lt;="&amp;EOMONTH(설정!$B$10,0)))</f>
        <v/>
      </c>
      <c r="J62" s="33">
        <f>IF(OR($U62="",1&gt;=설정!$B$12),"",SUMIFS(매출원본!$AT$8:$AT$1007,매출원본!$AX$8:$AX$1007,INDEX($R$8:$R$207,$U62),매출원본!$BA$8:$BA$1007,"포함",매출원본!$AS$8:$AS$1007,"&gt;="&amp;EDATE(설정!$B$10,1),매출원본!$AS$8:$AS$1007,"&lt;="&amp;EOMONTH(설정!$B$10,1)))</f>
        <v/>
      </c>
      <c r="K62" s="33">
        <f>IF(OR($U62="",2&gt;=설정!$B$12),"",SUMIFS(매출원본!$AT$8:$AT$1007,매출원본!$AX$8:$AX$1007,INDEX($R$8:$R$207,$U62),매출원본!$BA$8:$BA$1007,"포함",매출원본!$AS$8:$AS$1007,"&gt;="&amp;EDATE(설정!$B$10,2),매출원본!$AS$8:$AS$1007,"&lt;="&amp;EOMONTH(설정!$B$10,2)))</f>
        <v/>
      </c>
      <c r="L62" s="33">
        <f>IF(OR($U62="",3&gt;=설정!$B$12),"",SUMIFS(매출원본!$AT$8:$AT$1007,매출원본!$AX$8:$AX$1007,INDEX($R$8:$R$207,$U62),매출원본!$BA$8:$BA$1007,"포함",매출원본!$AS$8:$AS$1007,"&gt;="&amp;EDATE(설정!$B$10,3),매출원본!$AS$8:$AS$1007,"&lt;="&amp;EOMONTH(설정!$B$10,3)))</f>
        <v/>
      </c>
      <c r="M62" s="33">
        <f>IF(OR($U62="",4&gt;=설정!$B$12),"",SUMIFS(매출원본!$AT$8:$AT$1007,매출원본!$AX$8:$AX$1007,INDEX($R$8:$R$207,$U62),매출원본!$BA$8:$BA$1007,"포함",매출원본!$AS$8:$AS$1007,"&gt;="&amp;EDATE(설정!$B$10,4),매출원본!$AS$8:$AS$1007,"&lt;="&amp;EOMONTH(설정!$B$10,4)))</f>
        <v/>
      </c>
      <c r="N62" s="33">
        <f>IF(OR($U62="",5&gt;=설정!$B$12),"",SUMIFS(매출원본!$AT$8:$AT$1007,매출원본!$AX$8:$AX$1007,INDEX($R$8:$R$207,$U62),매출원본!$BA$8:$BA$1007,"포함",매출원본!$AS$8:$AS$1007,"&gt;="&amp;EDATE(설정!$B$10,5),매출원본!$AS$8:$AS$1007,"&lt;="&amp;EOMONTH(설정!$B$10,5)))</f>
        <v/>
      </c>
      <c r="Q62" s="35" t="n">
        <v>55</v>
      </c>
      <c r="R62" s="35">
        <f>IFERROR(INDEX(매출원본!$AX$8:$AX$1007,MATCH($Q62,매출원본!$BD$8:$BD$1007,0)),"")</f>
        <v/>
      </c>
      <c r="S62" s="35">
        <f>IF($R62="","",SUMIFS(매출원본!$AT$8:$AT$1007,매출원본!$AX$8:$AX$1007,$R62,매출원본!$BA$8:$BA$1007,"포함"))</f>
        <v/>
      </c>
      <c r="T62" s="35">
        <f>IF($R62="","",$S62-$Q62/100000)</f>
        <v/>
      </c>
      <c r="U62" s="35">
        <f>IFERROR(MATCH(LARGE($T$8:$T$207,55),$T$8:$T$207,0),"")</f>
        <v/>
      </c>
    </row>
    <row r="63">
      <c r="A63" s="32">
        <f>IF($U63="","",56)</f>
        <v/>
      </c>
      <c r="B63" s="10">
        <f>IF($U63="","",IFERROR(INDEX(매출원본!$AZ$8:$AZ$1007,MATCH($U63,매출원본!$BD$8:$BD$1007,0)),""))</f>
        <v/>
      </c>
      <c r="C63" s="10">
        <f>IF($U63="","",IFERROR(INDEX(매출원본!$AY$8:$AY$1007,MATCH($U63,매출원본!$BD$8:$BD$1007,0)),""))</f>
        <v/>
      </c>
      <c r="D63" s="33">
        <f>IF($U63="","",COUNTIFS(매출원본!$AX$8:$AX$1007,INDEX($R$8:$R$207,$U63),매출원본!$BA$8:$BA$1007,"포함"))</f>
        <v/>
      </c>
      <c r="E63" s="33">
        <f>IF($U63="","",SUMIFS(매출원본!$AT$8:$AT$1007,매출원본!$AX$8:$AX$1007,INDEX($R$8:$R$207,$U63),매출원본!$BA$8:$BA$1007,"포함"))</f>
        <v/>
      </c>
      <c r="F63" s="33">
        <f>IF($U63="","",SUMIFS(매출원본!$AU$8:$AU$1007,매출원본!$AX$8:$AX$1007,INDEX($R$8:$R$207,$U63),매출원본!$BA$8:$BA$1007,"포함"))</f>
        <v/>
      </c>
      <c r="G63" s="33">
        <f>IF($U63="","",SUMIFS(매출원본!$AV$8:$AV$1007,매출원본!$AX$8:$AX$1007,INDEX($R$8:$R$207,$U63),매출원본!$BA$8:$BA$1007,"포함"))</f>
        <v/>
      </c>
      <c r="H63" s="34">
        <f>IF(OR($U63="",$E$7=0),"",E63/$E$7)</f>
        <v/>
      </c>
      <c r="I63" s="33">
        <f>IF(OR($U63="",0&gt;=설정!$B$12),"",SUMIFS(매출원본!$AT$8:$AT$1007,매출원본!$AX$8:$AX$1007,INDEX($R$8:$R$207,$U63),매출원본!$BA$8:$BA$1007,"포함",매출원본!$AS$8:$AS$1007,"&gt;="&amp;EDATE(설정!$B$10,0),매출원본!$AS$8:$AS$1007,"&lt;="&amp;EOMONTH(설정!$B$10,0)))</f>
        <v/>
      </c>
      <c r="J63" s="33">
        <f>IF(OR($U63="",1&gt;=설정!$B$12),"",SUMIFS(매출원본!$AT$8:$AT$1007,매출원본!$AX$8:$AX$1007,INDEX($R$8:$R$207,$U63),매출원본!$BA$8:$BA$1007,"포함",매출원본!$AS$8:$AS$1007,"&gt;="&amp;EDATE(설정!$B$10,1),매출원본!$AS$8:$AS$1007,"&lt;="&amp;EOMONTH(설정!$B$10,1)))</f>
        <v/>
      </c>
      <c r="K63" s="33">
        <f>IF(OR($U63="",2&gt;=설정!$B$12),"",SUMIFS(매출원본!$AT$8:$AT$1007,매출원본!$AX$8:$AX$1007,INDEX($R$8:$R$207,$U63),매출원본!$BA$8:$BA$1007,"포함",매출원본!$AS$8:$AS$1007,"&gt;="&amp;EDATE(설정!$B$10,2),매출원본!$AS$8:$AS$1007,"&lt;="&amp;EOMONTH(설정!$B$10,2)))</f>
        <v/>
      </c>
      <c r="L63" s="33">
        <f>IF(OR($U63="",3&gt;=설정!$B$12),"",SUMIFS(매출원본!$AT$8:$AT$1007,매출원본!$AX$8:$AX$1007,INDEX($R$8:$R$207,$U63),매출원본!$BA$8:$BA$1007,"포함",매출원본!$AS$8:$AS$1007,"&gt;="&amp;EDATE(설정!$B$10,3),매출원본!$AS$8:$AS$1007,"&lt;="&amp;EOMONTH(설정!$B$10,3)))</f>
        <v/>
      </c>
      <c r="M63" s="33">
        <f>IF(OR($U63="",4&gt;=설정!$B$12),"",SUMIFS(매출원본!$AT$8:$AT$1007,매출원본!$AX$8:$AX$1007,INDEX($R$8:$R$207,$U63),매출원본!$BA$8:$BA$1007,"포함",매출원본!$AS$8:$AS$1007,"&gt;="&amp;EDATE(설정!$B$10,4),매출원본!$AS$8:$AS$1007,"&lt;="&amp;EOMONTH(설정!$B$10,4)))</f>
        <v/>
      </c>
      <c r="N63" s="33">
        <f>IF(OR($U63="",5&gt;=설정!$B$12),"",SUMIFS(매출원본!$AT$8:$AT$1007,매출원본!$AX$8:$AX$1007,INDEX($R$8:$R$207,$U63),매출원본!$BA$8:$BA$1007,"포함",매출원본!$AS$8:$AS$1007,"&gt;="&amp;EDATE(설정!$B$10,5),매출원본!$AS$8:$AS$1007,"&lt;="&amp;EOMONTH(설정!$B$10,5)))</f>
        <v/>
      </c>
      <c r="Q63" s="35" t="n">
        <v>56</v>
      </c>
      <c r="R63" s="35">
        <f>IFERROR(INDEX(매출원본!$AX$8:$AX$1007,MATCH($Q63,매출원본!$BD$8:$BD$1007,0)),"")</f>
        <v/>
      </c>
      <c r="S63" s="35">
        <f>IF($R63="","",SUMIFS(매출원본!$AT$8:$AT$1007,매출원본!$AX$8:$AX$1007,$R63,매출원본!$BA$8:$BA$1007,"포함"))</f>
        <v/>
      </c>
      <c r="T63" s="35">
        <f>IF($R63="","",$S63-$Q63/100000)</f>
        <v/>
      </c>
      <c r="U63" s="35">
        <f>IFERROR(MATCH(LARGE($T$8:$T$207,56),$T$8:$T$207,0),"")</f>
        <v/>
      </c>
    </row>
    <row r="64">
      <c r="A64" s="32">
        <f>IF($U64="","",57)</f>
        <v/>
      </c>
      <c r="B64" s="10">
        <f>IF($U64="","",IFERROR(INDEX(매출원본!$AZ$8:$AZ$1007,MATCH($U64,매출원본!$BD$8:$BD$1007,0)),""))</f>
        <v/>
      </c>
      <c r="C64" s="10">
        <f>IF($U64="","",IFERROR(INDEX(매출원본!$AY$8:$AY$1007,MATCH($U64,매출원본!$BD$8:$BD$1007,0)),""))</f>
        <v/>
      </c>
      <c r="D64" s="33">
        <f>IF($U64="","",COUNTIFS(매출원본!$AX$8:$AX$1007,INDEX($R$8:$R$207,$U64),매출원본!$BA$8:$BA$1007,"포함"))</f>
        <v/>
      </c>
      <c r="E64" s="33">
        <f>IF($U64="","",SUMIFS(매출원본!$AT$8:$AT$1007,매출원본!$AX$8:$AX$1007,INDEX($R$8:$R$207,$U64),매출원본!$BA$8:$BA$1007,"포함"))</f>
        <v/>
      </c>
      <c r="F64" s="33">
        <f>IF($U64="","",SUMIFS(매출원본!$AU$8:$AU$1007,매출원본!$AX$8:$AX$1007,INDEX($R$8:$R$207,$U64),매출원본!$BA$8:$BA$1007,"포함"))</f>
        <v/>
      </c>
      <c r="G64" s="33">
        <f>IF($U64="","",SUMIFS(매출원본!$AV$8:$AV$1007,매출원본!$AX$8:$AX$1007,INDEX($R$8:$R$207,$U64),매출원본!$BA$8:$BA$1007,"포함"))</f>
        <v/>
      </c>
      <c r="H64" s="34">
        <f>IF(OR($U64="",$E$7=0),"",E64/$E$7)</f>
        <v/>
      </c>
      <c r="I64" s="33">
        <f>IF(OR($U64="",0&gt;=설정!$B$12),"",SUMIFS(매출원본!$AT$8:$AT$1007,매출원본!$AX$8:$AX$1007,INDEX($R$8:$R$207,$U64),매출원본!$BA$8:$BA$1007,"포함",매출원본!$AS$8:$AS$1007,"&gt;="&amp;EDATE(설정!$B$10,0),매출원본!$AS$8:$AS$1007,"&lt;="&amp;EOMONTH(설정!$B$10,0)))</f>
        <v/>
      </c>
      <c r="J64" s="33">
        <f>IF(OR($U64="",1&gt;=설정!$B$12),"",SUMIFS(매출원본!$AT$8:$AT$1007,매출원본!$AX$8:$AX$1007,INDEX($R$8:$R$207,$U64),매출원본!$BA$8:$BA$1007,"포함",매출원본!$AS$8:$AS$1007,"&gt;="&amp;EDATE(설정!$B$10,1),매출원본!$AS$8:$AS$1007,"&lt;="&amp;EOMONTH(설정!$B$10,1)))</f>
        <v/>
      </c>
      <c r="K64" s="33">
        <f>IF(OR($U64="",2&gt;=설정!$B$12),"",SUMIFS(매출원본!$AT$8:$AT$1007,매출원본!$AX$8:$AX$1007,INDEX($R$8:$R$207,$U64),매출원본!$BA$8:$BA$1007,"포함",매출원본!$AS$8:$AS$1007,"&gt;="&amp;EDATE(설정!$B$10,2),매출원본!$AS$8:$AS$1007,"&lt;="&amp;EOMONTH(설정!$B$10,2)))</f>
        <v/>
      </c>
      <c r="L64" s="33">
        <f>IF(OR($U64="",3&gt;=설정!$B$12),"",SUMIFS(매출원본!$AT$8:$AT$1007,매출원본!$AX$8:$AX$1007,INDEX($R$8:$R$207,$U64),매출원본!$BA$8:$BA$1007,"포함",매출원본!$AS$8:$AS$1007,"&gt;="&amp;EDATE(설정!$B$10,3),매출원본!$AS$8:$AS$1007,"&lt;="&amp;EOMONTH(설정!$B$10,3)))</f>
        <v/>
      </c>
      <c r="M64" s="33">
        <f>IF(OR($U64="",4&gt;=설정!$B$12),"",SUMIFS(매출원본!$AT$8:$AT$1007,매출원본!$AX$8:$AX$1007,INDEX($R$8:$R$207,$U64),매출원본!$BA$8:$BA$1007,"포함",매출원본!$AS$8:$AS$1007,"&gt;="&amp;EDATE(설정!$B$10,4),매출원본!$AS$8:$AS$1007,"&lt;="&amp;EOMONTH(설정!$B$10,4)))</f>
        <v/>
      </c>
      <c r="N64" s="33">
        <f>IF(OR($U64="",5&gt;=설정!$B$12),"",SUMIFS(매출원본!$AT$8:$AT$1007,매출원본!$AX$8:$AX$1007,INDEX($R$8:$R$207,$U64),매출원본!$BA$8:$BA$1007,"포함",매출원본!$AS$8:$AS$1007,"&gt;="&amp;EDATE(설정!$B$10,5),매출원본!$AS$8:$AS$1007,"&lt;="&amp;EOMONTH(설정!$B$10,5)))</f>
        <v/>
      </c>
      <c r="Q64" s="35" t="n">
        <v>57</v>
      </c>
      <c r="R64" s="35">
        <f>IFERROR(INDEX(매출원본!$AX$8:$AX$1007,MATCH($Q64,매출원본!$BD$8:$BD$1007,0)),"")</f>
        <v/>
      </c>
      <c r="S64" s="35">
        <f>IF($R64="","",SUMIFS(매출원본!$AT$8:$AT$1007,매출원본!$AX$8:$AX$1007,$R64,매출원본!$BA$8:$BA$1007,"포함"))</f>
        <v/>
      </c>
      <c r="T64" s="35">
        <f>IF($R64="","",$S64-$Q64/100000)</f>
        <v/>
      </c>
      <c r="U64" s="35">
        <f>IFERROR(MATCH(LARGE($T$8:$T$207,57),$T$8:$T$207,0),"")</f>
        <v/>
      </c>
    </row>
    <row r="65">
      <c r="A65" s="32">
        <f>IF($U65="","",58)</f>
        <v/>
      </c>
      <c r="B65" s="10">
        <f>IF($U65="","",IFERROR(INDEX(매출원본!$AZ$8:$AZ$1007,MATCH($U65,매출원본!$BD$8:$BD$1007,0)),""))</f>
        <v/>
      </c>
      <c r="C65" s="10">
        <f>IF($U65="","",IFERROR(INDEX(매출원본!$AY$8:$AY$1007,MATCH($U65,매출원본!$BD$8:$BD$1007,0)),""))</f>
        <v/>
      </c>
      <c r="D65" s="33">
        <f>IF($U65="","",COUNTIFS(매출원본!$AX$8:$AX$1007,INDEX($R$8:$R$207,$U65),매출원본!$BA$8:$BA$1007,"포함"))</f>
        <v/>
      </c>
      <c r="E65" s="33">
        <f>IF($U65="","",SUMIFS(매출원본!$AT$8:$AT$1007,매출원본!$AX$8:$AX$1007,INDEX($R$8:$R$207,$U65),매출원본!$BA$8:$BA$1007,"포함"))</f>
        <v/>
      </c>
      <c r="F65" s="33">
        <f>IF($U65="","",SUMIFS(매출원본!$AU$8:$AU$1007,매출원본!$AX$8:$AX$1007,INDEX($R$8:$R$207,$U65),매출원본!$BA$8:$BA$1007,"포함"))</f>
        <v/>
      </c>
      <c r="G65" s="33">
        <f>IF($U65="","",SUMIFS(매출원본!$AV$8:$AV$1007,매출원본!$AX$8:$AX$1007,INDEX($R$8:$R$207,$U65),매출원본!$BA$8:$BA$1007,"포함"))</f>
        <v/>
      </c>
      <c r="H65" s="34">
        <f>IF(OR($U65="",$E$7=0),"",E65/$E$7)</f>
        <v/>
      </c>
      <c r="I65" s="33">
        <f>IF(OR($U65="",0&gt;=설정!$B$12),"",SUMIFS(매출원본!$AT$8:$AT$1007,매출원본!$AX$8:$AX$1007,INDEX($R$8:$R$207,$U65),매출원본!$BA$8:$BA$1007,"포함",매출원본!$AS$8:$AS$1007,"&gt;="&amp;EDATE(설정!$B$10,0),매출원본!$AS$8:$AS$1007,"&lt;="&amp;EOMONTH(설정!$B$10,0)))</f>
        <v/>
      </c>
      <c r="J65" s="33">
        <f>IF(OR($U65="",1&gt;=설정!$B$12),"",SUMIFS(매출원본!$AT$8:$AT$1007,매출원본!$AX$8:$AX$1007,INDEX($R$8:$R$207,$U65),매출원본!$BA$8:$BA$1007,"포함",매출원본!$AS$8:$AS$1007,"&gt;="&amp;EDATE(설정!$B$10,1),매출원본!$AS$8:$AS$1007,"&lt;="&amp;EOMONTH(설정!$B$10,1)))</f>
        <v/>
      </c>
      <c r="K65" s="33">
        <f>IF(OR($U65="",2&gt;=설정!$B$12),"",SUMIFS(매출원본!$AT$8:$AT$1007,매출원본!$AX$8:$AX$1007,INDEX($R$8:$R$207,$U65),매출원본!$BA$8:$BA$1007,"포함",매출원본!$AS$8:$AS$1007,"&gt;="&amp;EDATE(설정!$B$10,2),매출원본!$AS$8:$AS$1007,"&lt;="&amp;EOMONTH(설정!$B$10,2)))</f>
        <v/>
      </c>
      <c r="L65" s="33">
        <f>IF(OR($U65="",3&gt;=설정!$B$12),"",SUMIFS(매출원본!$AT$8:$AT$1007,매출원본!$AX$8:$AX$1007,INDEX($R$8:$R$207,$U65),매출원본!$BA$8:$BA$1007,"포함",매출원본!$AS$8:$AS$1007,"&gt;="&amp;EDATE(설정!$B$10,3),매출원본!$AS$8:$AS$1007,"&lt;="&amp;EOMONTH(설정!$B$10,3)))</f>
        <v/>
      </c>
      <c r="M65" s="33">
        <f>IF(OR($U65="",4&gt;=설정!$B$12),"",SUMIFS(매출원본!$AT$8:$AT$1007,매출원본!$AX$8:$AX$1007,INDEX($R$8:$R$207,$U65),매출원본!$BA$8:$BA$1007,"포함",매출원본!$AS$8:$AS$1007,"&gt;="&amp;EDATE(설정!$B$10,4),매출원본!$AS$8:$AS$1007,"&lt;="&amp;EOMONTH(설정!$B$10,4)))</f>
        <v/>
      </c>
      <c r="N65" s="33">
        <f>IF(OR($U65="",5&gt;=설정!$B$12),"",SUMIFS(매출원본!$AT$8:$AT$1007,매출원본!$AX$8:$AX$1007,INDEX($R$8:$R$207,$U65),매출원본!$BA$8:$BA$1007,"포함",매출원본!$AS$8:$AS$1007,"&gt;="&amp;EDATE(설정!$B$10,5),매출원본!$AS$8:$AS$1007,"&lt;="&amp;EOMONTH(설정!$B$10,5)))</f>
        <v/>
      </c>
      <c r="Q65" s="35" t="n">
        <v>58</v>
      </c>
      <c r="R65" s="35">
        <f>IFERROR(INDEX(매출원본!$AX$8:$AX$1007,MATCH($Q65,매출원본!$BD$8:$BD$1007,0)),"")</f>
        <v/>
      </c>
      <c r="S65" s="35">
        <f>IF($R65="","",SUMIFS(매출원본!$AT$8:$AT$1007,매출원본!$AX$8:$AX$1007,$R65,매출원본!$BA$8:$BA$1007,"포함"))</f>
        <v/>
      </c>
      <c r="T65" s="35">
        <f>IF($R65="","",$S65-$Q65/100000)</f>
        <v/>
      </c>
      <c r="U65" s="35">
        <f>IFERROR(MATCH(LARGE($T$8:$T$207,58),$T$8:$T$207,0),"")</f>
        <v/>
      </c>
    </row>
    <row r="66">
      <c r="A66" s="32">
        <f>IF($U66="","",59)</f>
        <v/>
      </c>
      <c r="B66" s="10">
        <f>IF($U66="","",IFERROR(INDEX(매출원본!$AZ$8:$AZ$1007,MATCH($U66,매출원본!$BD$8:$BD$1007,0)),""))</f>
        <v/>
      </c>
      <c r="C66" s="10">
        <f>IF($U66="","",IFERROR(INDEX(매출원본!$AY$8:$AY$1007,MATCH($U66,매출원본!$BD$8:$BD$1007,0)),""))</f>
        <v/>
      </c>
      <c r="D66" s="33">
        <f>IF($U66="","",COUNTIFS(매출원본!$AX$8:$AX$1007,INDEX($R$8:$R$207,$U66),매출원본!$BA$8:$BA$1007,"포함"))</f>
        <v/>
      </c>
      <c r="E66" s="33">
        <f>IF($U66="","",SUMIFS(매출원본!$AT$8:$AT$1007,매출원본!$AX$8:$AX$1007,INDEX($R$8:$R$207,$U66),매출원본!$BA$8:$BA$1007,"포함"))</f>
        <v/>
      </c>
      <c r="F66" s="33">
        <f>IF($U66="","",SUMIFS(매출원본!$AU$8:$AU$1007,매출원본!$AX$8:$AX$1007,INDEX($R$8:$R$207,$U66),매출원본!$BA$8:$BA$1007,"포함"))</f>
        <v/>
      </c>
      <c r="G66" s="33">
        <f>IF($U66="","",SUMIFS(매출원본!$AV$8:$AV$1007,매출원본!$AX$8:$AX$1007,INDEX($R$8:$R$207,$U66),매출원본!$BA$8:$BA$1007,"포함"))</f>
        <v/>
      </c>
      <c r="H66" s="34">
        <f>IF(OR($U66="",$E$7=0),"",E66/$E$7)</f>
        <v/>
      </c>
      <c r="I66" s="33">
        <f>IF(OR($U66="",0&gt;=설정!$B$12),"",SUMIFS(매출원본!$AT$8:$AT$1007,매출원본!$AX$8:$AX$1007,INDEX($R$8:$R$207,$U66),매출원본!$BA$8:$BA$1007,"포함",매출원본!$AS$8:$AS$1007,"&gt;="&amp;EDATE(설정!$B$10,0),매출원본!$AS$8:$AS$1007,"&lt;="&amp;EOMONTH(설정!$B$10,0)))</f>
        <v/>
      </c>
      <c r="J66" s="33">
        <f>IF(OR($U66="",1&gt;=설정!$B$12),"",SUMIFS(매출원본!$AT$8:$AT$1007,매출원본!$AX$8:$AX$1007,INDEX($R$8:$R$207,$U66),매출원본!$BA$8:$BA$1007,"포함",매출원본!$AS$8:$AS$1007,"&gt;="&amp;EDATE(설정!$B$10,1),매출원본!$AS$8:$AS$1007,"&lt;="&amp;EOMONTH(설정!$B$10,1)))</f>
        <v/>
      </c>
      <c r="K66" s="33">
        <f>IF(OR($U66="",2&gt;=설정!$B$12),"",SUMIFS(매출원본!$AT$8:$AT$1007,매출원본!$AX$8:$AX$1007,INDEX($R$8:$R$207,$U66),매출원본!$BA$8:$BA$1007,"포함",매출원본!$AS$8:$AS$1007,"&gt;="&amp;EDATE(설정!$B$10,2),매출원본!$AS$8:$AS$1007,"&lt;="&amp;EOMONTH(설정!$B$10,2)))</f>
        <v/>
      </c>
      <c r="L66" s="33">
        <f>IF(OR($U66="",3&gt;=설정!$B$12),"",SUMIFS(매출원본!$AT$8:$AT$1007,매출원본!$AX$8:$AX$1007,INDEX($R$8:$R$207,$U66),매출원본!$BA$8:$BA$1007,"포함",매출원본!$AS$8:$AS$1007,"&gt;="&amp;EDATE(설정!$B$10,3),매출원본!$AS$8:$AS$1007,"&lt;="&amp;EOMONTH(설정!$B$10,3)))</f>
        <v/>
      </c>
      <c r="M66" s="33">
        <f>IF(OR($U66="",4&gt;=설정!$B$12),"",SUMIFS(매출원본!$AT$8:$AT$1007,매출원본!$AX$8:$AX$1007,INDEX($R$8:$R$207,$U66),매출원본!$BA$8:$BA$1007,"포함",매출원본!$AS$8:$AS$1007,"&gt;="&amp;EDATE(설정!$B$10,4),매출원본!$AS$8:$AS$1007,"&lt;="&amp;EOMONTH(설정!$B$10,4)))</f>
        <v/>
      </c>
      <c r="N66" s="33">
        <f>IF(OR($U66="",5&gt;=설정!$B$12),"",SUMIFS(매출원본!$AT$8:$AT$1007,매출원본!$AX$8:$AX$1007,INDEX($R$8:$R$207,$U66),매출원본!$BA$8:$BA$1007,"포함",매출원본!$AS$8:$AS$1007,"&gt;="&amp;EDATE(설정!$B$10,5),매출원본!$AS$8:$AS$1007,"&lt;="&amp;EOMONTH(설정!$B$10,5)))</f>
        <v/>
      </c>
      <c r="Q66" s="35" t="n">
        <v>59</v>
      </c>
      <c r="R66" s="35">
        <f>IFERROR(INDEX(매출원본!$AX$8:$AX$1007,MATCH($Q66,매출원본!$BD$8:$BD$1007,0)),"")</f>
        <v/>
      </c>
      <c r="S66" s="35">
        <f>IF($R66="","",SUMIFS(매출원본!$AT$8:$AT$1007,매출원본!$AX$8:$AX$1007,$R66,매출원본!$BA$8:$BA$1007,"포함"))</f>
        <v/>
      </c>
      <c r="T66" s="35">
        <f>IF($R66="","",$S66-$Q66/100000)</f>
        <v/>
      </c>
      <c r="U66" s="35">
        <f>IFERROR(MATCH(LARGE($T$8:$T$207,59),$T$8:$T$207,0),"")</f>
        <v/>
      </c>
    </row>
    <row r="67">
      <c r="A67" s="32">
        <f>IF($U67="","",60)</f>
        <v/>
      </c>
      <c r="B67" s="10">
        <f>IF($U67="","",IFERROR(INDEX(매출원본!$AZ$8:$AZ$1007,MATCH($U67,매출원본!$BD$8:$BD$1007,0)),""))</f>
        <v/>
      </c>
      <c r="C67" s="10">
        <f>IF($U67="","",IFERROR(INDEX(매출원본!$AY$8:$AY$1007,MATCH($U67,매출원본!$BD$8:$BD$1007,0)),""))</f>
        <v/>
      </c>
      <c r="D67" s="33">
        <f>IF($U67="","",COUNTIFS(매출원본!$AX$8:$AX$1007,INDEX($R$8:$R$207,$U67),매출원본!$BA$8:$BA$1007,"포함"))</f>
        <v/>
      </c>
      <c r="E67" s="33">
        <f>IF($U67="","",SUMIFS(매출원본!$AT$8:$AT$1007,매출원본!$AX$8:$AX$1007,INDEX($R$8:$R$207,$U67),매출원본!$BA$8:$BA$1007,"포함"))</f>
        <v/>
      </c>
      <c r="F67" s="33">
        <f>IF($U67="","",SUMIFS(매출원본!$AU$8:$AU$1007,매출원본!$AX$8:$AX$1007,INDEX($R$8:$R$207,$U67),매출원본!$BA$8:$BA$1007,"포함"))</f>
        <v/>
      </c>
      <c r="G67" s="33">
        <f>IF($U67="","",SUMIFS(매출원본!$AV$8:$AV$1007,매출원본!$AX$8:$AX$1007,INDEX($R$8:$R$207,$U67),매출원본!$BA$8:$BA$1007,"포함"))</f>
        <v/>
      </c>
      <c r="H67" s="34">
        <f>IF(OR($U67="",$E$7=0),"",E67/$E$7)</f>
        <v/>
      </c>
      <c r="I67" s="33">
        <f>IF(OR($U67="",0&gt;=설정!$B$12),"",SUMIFS(매출원본!$AT$8:$AT$1007,매출원본!$AX$8:$AX$1007,INDEX($R$8:$R$207,$U67),매출원본!$BA$8:$BA$1007,"포함",매출원본!$AS$8:$AS$1007,"&gt;="&amp;EDATE(설정!$B$10,0),매출원본!$AS$8:$AS$1007,"&lt;="&amp;EOMONTH(설정!$B$10,0)))</f>
        <v/>
      </c>
      <c r="J67" s="33">
        <f>IF(OR($U67="",1&gt;=설정!$B$12),"",SUMIFS(매출원본!$AT$8:$AT$1007,매출원본!$AX$8:$AX$1007,INDEX($R$8:$R$207,$U67),매출원본!$BA$8:$BA$1007,"포함",매출원본!$AS$8:$AS$1007,"&gt;="&amp;EDATE(설정!$B$10,1),매출원본!$AS$8:$AS$1007,"&lt;="&amp;EOMONTH(설정!$B$10,1)))</f>
        <v/>
      </c>
      <c r="K67" s="33">
        <f>IF(OR($U67="",2&gt;=설정!$B$12),"",SUMIFS(매출원본!$AT$8:$AT$1007,매출원본!$AX$8:$AX$1007,INDEX($R$8:$R$207,$U67),매출원본!$BA$8:$BA$1007,"포함",매출원본!$AS$8:$AS$1007,"&gt;="&amp;EDATE(설정!$B$10,2),매출원본!$AS$8:$AS$1007,"&lt;="&amp;EOMONTH(설정!$B$10,2)))</f>
        <v/>
      </c>
      <c r="L67" s="33">
        <f>IF(OR($U67="",3&gt;=설정!$B$12),"",SUMIFS(매출원본!$AT$8:$AT$1007,매출원본!$AX$8:$AX$1007,INDEX($R$8:$R$207,$U67),매출원본!$BA$8:$BA$1007,"포함",매출원본!$AS$8:$AS$1007,"&gt;="&amp;EDATE(설정!$B$10,3),매출원본!$AS$8:$AS$1007,"&lt;="&amp;EOMONTH(설정!$B$10,3)))</f>
        <v/>
      </c>
      <c r="M67" s="33">
        <f>IF(OR($U67="",4&gt;=설정!$B$12),"",SUMIFS(매출원본!$AT$8:$AT$1007,매출원본!$AX$8:$AX$1007,INDEX($R$8:$R$207,$U67),매출원본!$BA$8:$BA$1007,"포함",매출원본!$AS$8:$AS$1007,"&gt;="&amp;EDATE(설정!$B$10,4),매출원본!$AS$8:$AS$1007,"&lt;="&amp;EOMONTH(설정!$B$10,4)))</f>
        <v/>
      </c>
      <c r="N67" s="33">
        <f>IF(OR($U67="",5&gt;=설정!$B$12),"",SUMIFS(매출원본!$AT$8:$AT$1007,매출원본!$AX$8:$AX$1007,INDEX($R$8:$R$207,$U67),매출원본!$BA$8:$BA$1007,"포함",매출원본!$AS$8:$AS$1007,"&gt;="&amp;EDATE(설정!$B$10,5),매출원본!$AS$8:$AS$1007,"&lt;="&amp;EOMONTH(설정!$B$10,5)))</f>
        <v/>
      </c>
      <c r="Q67" s="35" t="n">
        <v>60</v>
      </c>
      <c r="R67" s="35">
        <f>IFERROR(INDEX(매출원본!$AX$8:$AX$1007,MATCH($Q67,매출원본!$BD$8:$BD$1007,0)),"")</f>
        <v/>
      </c>
      <c r="S67" s="35">
        <f>IF($R67="","",SUMIFS(매출원본!$AT$8:$AT$1007,매출원본!$AX$8:$AX$1007,$R67,매출원본!$BA$8:$BA$1007,"포함"))</f>
        <v/>
      </c>
      <c r="T67" s="35">
        <f>IF($R67="","",$S67-$Q67/100000)</f>
        <v/>
      </c>
      <c r="U67" s="35">
        <f>IFERROR(MATCH(LARGE($T$8:$T$207,60),$T$8:$T$207,0),"")</f>
        <v/>
      </c>
    </row>
    <row r="68">
      <c r="A68" s="32">
        <f>IF($U68="","",61)</f>
        <v/>
      </c>
      <c r="B68" s="10">
        <f>IF($U68="","",IFERROR(INDEX(매출원본!$AZ$8:$AZ$1007,MATCH($U68,매출원본!$BD$8:$BD$1007,0)),""))</f>
        <v/>
      </c>
      <c r="C68" s="10">
        <f>IF($U68="","",IFERROR(INDEX(매출원본!$AY$8:$AY$1007,MATCH($U68,매출원본!$BD$8:$BD$1007,0)),""))</f>
        <v/>
      </c>
      <c r="D68" s="33">
        <f>IF($U68="","",COUNTIFS(매출원본!$AX$8:$AX$1007,INDEX($R$8:$R$207,$U68),매출원본!$BA$8:$BA$1007,"포함"))</f>
        <v/>
      </c>
      <c r="E68" s="33">
        <f>IF($U68="","",SUMIFS(매출원본!$AT$8:$AT$1007,매출원본!$AX$8:$AX$1007,INDEX($R$8:$R$207,$U68),매출원본!$BA$8:$BA$1007,"포함"))</f>
        <v/>
      </c>
      <c r="F68" s="33">
        <f>IF($U68="","",SUMIFS(매출원본!$AU$8:$AU$1007,매출원본!$AX$8:$AX$1007,INDEX($R$8:$R$207,$U68),매출원본!$BA$8:$BA$1007,"포함"))</f>
        <v/>
      </c>
      <c r="G68" s="33">
        <f>IF($U68="","",SUMIFS(매출원본!$AV$8:$AV$1007,매출원본!$AX$8:$AX$1007,INDEX($R$8:$R$207,$U68),매출원본!$BA$8:$BA$1007,"포함"))</f>
        <v/>
      </c>
      <c r="H68" s="34">
        <f>IF(OR($U68="",$E$7=0),"",E68/$E$7)</f>
        <v/>
      </c>
      <c r="I68" s="33">
        <f>IF(OR($U68="",0&gt;=설정!$B$12),"",SUMIFS(매출원본!$AT$8:$AT$1007,매출원본!$AX$8:$AX$1007,INDEX($R$8:$R$207,$U68),매출원본!$BA$8:$BA$1007,"포함",매출원본!$AS$8:$AS$1007,"&gt;="&amp;EDATE(설정!$B$10,0),매출원본!$AS$8:$AS$1007,"&lt;="&amp;EOMONTH(설정!$B$10,0)))</f>
        <v/>
      </c>
      <c r="J68" s="33">
        <f>IF(OR($U68="",1&gt;=설정!$B$12),"",SUMIFS(매출원본!$AT$8:$AT$1007,매출원본!$AX$8:$AX$1007,INDEX($R$8:$R$207,$U68),매출원본!$BA$8:$BA$1007,"포함",매출원본!$AS$8:$AS$1007,"&gt;="&amp;EDATE(설정!$B$10,1),매출원본!$AS$8:$AS$1007,"&lt;="&amp;EOMONTH(설정!$B$10,1)))</f>
        <v/>
      </c>
      <c r="K68" s="33">
        <f>IF(OR($U68="",2&gt;=설정!$B$12),"",SUMIFS(매출원본!$AT$8:$AT$1007,매출원본!$AX$8:$AX$1007,INDEX($R$8:$R$207,$U68),매출원본!$BA$8:$BA$1007,"포함",매출원본!$AS$8:$AS$1007,"&gt;="&amp;EDATE(설정!$B$10,2),매출원본!$AS$8:$AS$1007,"&lt;="&amp;EOMONTH(설정!$B$10,2)))</f>
        <v/>
      </c>
      <c r="L68" s="33">
        <f>IF(OR($U68="",3&gt;=설정!$B$12),"",SUMIFS(매출원본!$AT$8:$AT$1007,매출원본!$AX$8:$AX$1007,INDEX($R$8:$R$207,$U68),매출원본!$BA$8:$BA$1007,"포함",매출원본!$AS$8:$AS$1007,"&gt;="&amp;EDATE(설정!$B$10,3),매출원본!$AS$8:$AS$1007,"&lt;="&amp;EOMONTH(설정!$B$10,3)))</f>
        <v/>
      </c>
      <c r="M68" s="33">
        <f>IF(OR($U68="",4&gt;=설정!$B$12),"",SUMIFS(매출원본!$AT$8:$AT$1007,매출원본!$AX$8:$AX$1007,INDEX($R$8:$R$207,$U68),매출원본!$BA$8:$BA$1007,"포함",매출원본!$AS$8:$AS$1007,"&gt;="&amp;EDATE(설정!$B$10,4),매출원본!$AS$8:$AS$1007,"&lt;="&amp;EOMONTH(설정!$B$10,4)))</f>
        <v/>
      </c>
      <c r="N68" s="33">
        <f>IF(OR($U68="",5&gt;=설정!$B$12),"",SUMIFS(매출원본!$AT$8:$AT$1007,매출원본!$AX$8:$AX$1007,INDEX($R$8:$R$207,$U68),매출원본!$BA$8:$BA$1007,"포함",매출원본!$AS$8:$AS$1007,"&gt;="&amp;EDATE(설정!$B$10,5),매출원본!$AS$8:$AS$1007,"&lt;="&amp;EOMONTH(설정!$B$10,5)))</f>
        <v/>
      </c>
      <c r="Q68" s="35" t="n">
        <v>61</v>
      </c>
      <c r="R68" s="35">
        <f>IFERROR(INDEX(매출원본!$AX$8:$AX$1007,MATCH($Q68,매출원본!$BD$8:$BD$1007,0)),"")</f>
        <v/>
      </c>
      <c r="S68" s="35">
        <f>IF($R68="","",SUMIFS(매출원본!$AT$8:$AT$1007,매출원본!$AX$8:$AX$1007,$R68,매출원본!$BA$8:$BA$1007,"포함"))</f>
        <v/>
      </c>
      <c r="T68" s="35">
        <f>IF($R68="","",$S68-$Q68/100000)</f>
        <v/>
      </c>
      <c r="U68" s="35">
        <f>IFERROR(MATCH(LARGE($T$8:$T$207,61),$T$8:$T$207,0),"")</f>
        <v/>
      </c>
    </row>
    <row r="69">
      <c r="A69" s="32">
        <f>IF($U69="","",62)</f>
        <v/>
      </c>
      <c r="B69" s="10">
        <f>IF($U69="","",IFERROR(INDEX(매출원본!$AZ$8:$AZ$1007,MATCH($U69,매출원본!$BD$8:$BD$1007,0)),""))</f>
        <v/>
      </c>
      <c r="C69" s="10">
        <f>IF($U69="","",IFERROR(INDEX(매출원본!$AY$8:$AY$1007,MATCH($U69,매출원본!$BD$8:$BD$1007,0)),""))</f>
        <v/>
      </c>
      <c r="D69" s="33">
        <f>IF($U69="","",COUNTIFS(매출원본!$AX$8:$AX$1007,INDEX($R$8:$R$207,$U69),매출원본!$BA$8:$BA$1007,"포함"))</f>
        <v/>
      </c>
      <c r="E69" s="33">
        <f>IF($U69="","",SUMIFS(매출원본!$AT$8:$AT$1007,매출원본!$AX$8:$AX$1007,INDEX($R$8:$R$207,$U69),매출원본!$BA$8:$BA$1007,"포함"))</f>
        <v/>
      </c>
      <c r="F69" s="33">
        <f>IF($U69="","",SUMIFS(매출원본!$AU$8:$AU$1007,매출원본!$AX$8:$AX$1007,INDEX($R$8:$R$207,$U69),매출원본!$BA$8:$BA$1007,"포함"))</f>
        <v/>
      </c>
      <c r="G69" s="33">
        <f>IF($U69="","",SUMIFS(매출원본!$AV$8:$AV$1007,매출원본!$AX$8:$AX$1007,INDEX($R$8:$R$207,$U69),매출원본!$BA$8:$BA$1007,"포함"))</f>
        <v/>
      </c>
      <c r="H69" s="34">
        <f>IF(OR($U69="",$E$7=0),"",E69/$E$7)</f>
        <v/>
      </c>
      <c r="I69" s="33">
        <f>IF(OR($U69="",0&gt;=설정!$B$12),"",SUMIFS(매출원본!$AT$8:$AT$1007,매출원본!$AX$8:$AX$1007,INDEX($R$8:$R$207,$U69),매출원본!$BA$8:$BA$1007,"포함",매출원본!$AS$8:$AS$1007,"&gt;="&amp;EDATE(설정!$B$10,0),매출원본!$AS$8:$AS$1007,"&lt;="&amp;EOMONTH(설정!$B$10,0)))</f>
        <v/>
      </c>
      <c r="J69" s="33">
        <f>IF(OR($U69="",1&gt;=설정!$B$12),"",SUMIFS(매출원본!$AT$8:$AT$1007,매출원본!$AX$8:$AX$1007,INDEX($R$8:$R$207,$U69),매출원본!$BA$8:$BA$1007,"포함",매출원본!$AS$8:$AS$1007,"&gt;="&amp;EDATE(설정!$B$10,1),매출원본!$AS$8:$AS$1007,"&lt;="&amp;EOMONTH(설정!$B$10,1)))</f>
        <v/>
      </c>
      <c r="K69" s="33">
        <f>IF(OR($U69="",2&gt;=설정!$B$12),"",SUMIFS(매출원본!$AT$8:$AT$1007,매출원본!$AX$8:$AX$1007,INDEX($R$8:$R$207,$U69),매출원본!$BA$8:$BA$1007,"포함",매출원본!$AS$8:$AS$1007,"&gt;="&amp;EDATE(설정!$B$10,2),매출원본!$AS$8:$AS$1007,"&lt;="&amp;EOMONTH(설정!$B$10,2)))</f>
        <v/>
      </c>
      <c r="L69" s="33">
        <f>IF(OR($U69="",3&gt;=설정!$B$12),"",SUMIFS(매출원본!$AT$8:$AT$1007,매출원본!$AX$8:$AX$1007,INDEX($R$8:$R$207,$U69),매출원본!$BA$8:$BA$1007,"포함",매출원본!$AS$8:$AS$1007,"&gt;="&amp;EDATE(설정!$B$10,3),매출원본!$AS$8:$AS$1007,"&lt;="&amp;EOMONTH(설정!$B$10,3)))</f>
        <v/>
      </c>
      <c r="M69" s="33">
        <f>IF(OR($U69="",4&gt;=설정!$B$12),"",SUMIFS(매출원본!$AT$8:$AT$1007,매출원본!$AX$8:$AX$1007,INDEX($R$8:$R$207,$U69),매출원본!$BA$8:$BA$1007,"포함",매출원본!$AS$8:$AS$1007,"&gt;="&amp;EDATE(설정!$B$10,4),매출원본!$AS$8:$AS$1007,"&lt;="&amp;EOMONTH(설정!$B$10,4)))</f>
        <v/>
      </c>
      <c r="N69" s="33">
        <f>IF(OR($U69="",5&gt;=설정!$B$12),"",SUMIFS(매출원본!$AT$8:$AT$1007,매출원본!$AX$8:$AX$1007,INDEX($R$8:$R$207,$U69),매출원본!$BA$8:$BA$1007,"포함",매출원본!$AS$8:$AS$1007,"&gt;="&amp;EDATE(설정!$B$10,5),매출원본!$AS$8:$AS$1007,"&lt;="&amp;EOMONTH(설정!$B$10,5)))</f>
        <v/>
      </c>
      <c r="Q69" s="35" t="n">
        <v>62</v>
      </c>
      <c r="R69" s="35">
        <f>IFERROR(INDEX(매출원본!$AX$8:$AX$1007,MATCH($Q69,매출원본!$BD$8:$BD$1007,0)),"")</f>
        <v/>
      </c>
      <c r="S69" s="35">
        <f>IF($R69="","",SUMIFS(매출원본!$AT$8:$AT$1007,매출원본!$AX$8:$AX$1007,$R69,매출원본!$BA$8:$BA$1007,"포함"))</f>
        <v/>
      </c>
      <c r="T69" s="35">
        <f>IF($R69="","",$S69-$Q69/100000)</f>
        <v/>
      </c>
      <c r="U69" s="35">
        <f>IFERROR(MATCH(LARGE($T$8:$T$207,62),$T$8:$T$207,0),"")</f>
        <v/>
      </c>
    </row>
    <row r="70">
      <c r="A70" s="32">
        <f>IF($U70="","",63)</f>
        <v/>
      </c>
      <c r="B70" s="10">
        <f>IF($U70="","",IFERROR(INDEX(매출원본!$AZ$8:$AZ$1007,MATCH($U70,매출원본!$BD$8:$BD$1007,0)),""))</f>
        <v/>
      </c>
      <c r="C70" s="10">
        <f>IF($U70="","",IFERROR(INDEX(매출원본!$AY$8:$AY$1007,MATCH($U70,매출원본!$BD$8:$BD$1007,0)),""))</f>
        <v/>
      </c>
      <c r="D70" s="33">
        <f>IF($U70="","",COUNTIFS(매출원본!$AX$8:$AX$1007,INDEX($R$8:$R$207,$U70),매출원본!$BA$8:$BA$1007,"포함"))</f>
        <v/>
      </c>
      <c r="E70" s="33">
        <f>IF($U70="","",SUMIFS(매출원본!$AT$8:$AT$1007,매출원본!$AX$8:$AX$1007,INDEX($R$8:$R$207,$U70),매출원본!$BA$8:$BA$1007,"포함"))</f>
        <v/>
      </c>
      <c r="F70" s="33">
        <f>IF($U70="","",SUMIFS(매출원본!$AU$8:$AU$1007,매출원본!$AX$8:$AX$1007,INDEX($R$8:$R$207,$U70),매출원본!$BA$8:$BA$1007,"포함"))</f>
        <v/>
      </c>
      <c r="G70" s="33">
        <f>IF($U70="","",SUMIFS(매출원본!$AV$8:$AV$1007,매출원본!$AX$8:$AX$1007,INDEX($R$8:$R$207,$U70),매출원본!$BA$8:$BA$1007,"포함"))</f>
        <v/>
      </c>
      <c r="H70" s="34">
        <f>IF(OR($U70="",$E$7=0),"",E70/$E$7)</f>
        <v/>
      </c>
      <c r="I70" s="33">
        <f>IF(OR($U70="",0&gt;=설정!$B$12),"",SUMIFS(매출원본!$AT$8:$AT$1007,매출원본!$AX$8:$AX$1007,INDEX($R$8:$R$207,$U70),매출원본!$BA$8:$BA$1007,"포함",매출원본!$AS$8:$AS$1007,"&gt;="&amp;EDATE(설정!$B$10,0),매출원본!$AS$8:$AS$1007,"&lt;="&amp;EOMONTH(설정!$B$10,0)))</f>
        <v/>
      </c>
      <c r="J70" s="33">
        <f>IF(OR($U70="",1&gt;=설정!$B$12),"",SUMIFS(매출원본!$AT$8:$AT$1007,매출원본!$AX$8:$AX$1007,INDEX($R$8:$R$207,$U70),매출원본!$BA$8:$BA$1007,"포함",매출원본!$AS$8:$AS$1007,"&gt;="&amp;EDATE(설정!$B$10,1),매출원본!$AS$8:$AS$1007,"&lt;="&amp;EOMONTH(설정!$B$10,1)))</f>
        <v/>
      </c>
      <c r="K70" s="33">
        <f>IF(OR($U70="",2&gt;=설정!$B$12),"",SUMIFS(매출원본!$AT$8:$AT$1007,매출원본!$AX$8:$AX$1007,INDEX($R$8:$R$207,$U70),매출원본!$BA$8:$BA$1007,"포함",매출원본!$AS$8:$AS$1007,"&gt;="&amp;EDATE(설정!$B$10,2),매출원본!$AS$8:$AS$1007,"&lt;="&amp;EOMONTH(설정!$B$10,2)))</f>
        <v/>
      </c>
      <c r="L70" s="33">
        <f>IF(OR($U70="",3&gt;=설정!$B$12),"",SUMIFS(매출원본!$AT$8:$AT$1007,매출원본!$AX$8:$AX$1007,INDEX($R$8:$R$207,$U70),매출원본!$BA$8:$BA$1007,"포함",매출원본!$AS$8:$AS$1007,"&gt;="&amp;EDATE(설정!$B$10,3),매출원본!$AS$8:$AS$1007,"&lt;="&amp;EOMONTH(설정!$B$10,3)))</f>
        <v/>
      </c>
      <c r="M70" s="33">
        <f>IF(OR($U70="",4&gt;=설정!$B$12),"",SUMIFS(매출원본!$AT$8:$AT$1007,매출원본!$AX$8:$AX$1007,INDEX($R$8:$R$207,$U70),매출원본!$BA$8:$BA$1007,"포함",매출원본!$AS$8:$AS$1007,"&gt;="&amp;EDATE(설정!$B$10,4),매출원본!$AS$8:$AS$1007,"&lt;="&amp;EOMONTH(설정!$B$10,4)))</f>
        <v/>
      </c>
      <c r="N70" s="33">
        <f>IF(OR($U70="",5&gt;=설정!$B$12),"",SUMIFS(매출원본!$AT$8:$AT$1007,매출원본!$AX$8:$AX$1007,INDEX($R$8:$R$207,$U70),매출원본!$BA$8:$BA$1007,"포함",매출원본!$AS$8:$AS$1007,"&gt;="&amp;EDATE(설정!$B$10,5),매출원본!$AS$8:$AS$1007,"&lt;="&amp;EOMONTH(설정!$B$10,5)))</f>
        <v/>
      </c>
      <c r="Q70" s="35" t="n">
        <v>63</v>
      </c>
      <c r="R70" s="35">
        <f>IFERROR(INDEX(매출원본!$AX$8:$AX$1007,MATCH($Q70,매출원본!$BD$8:$BD$1007,0)),"")</f>
        <v/>
      </c>
      <c r="S70" s="35">
        <f>IF($R70="","",SUMIFS(매출원본!$AT$8:$AT$1007,매출원본!$AX$8:$AX$1007,$R70,매출원본!$BA$8:$BA$1007,"포함"))</f>
        <v/>
      </c>
      <c r="T70" s="35">
        <f>IF($R70="","",$S70-$Q70/100000)</f>
        <v/>
      </c>
      <c r="U70" s="35">
        <f>IFERROR(MATCH(LARGE($T$8:$T$207,63),$T$8:$T$207,0),"")</f>
        <v/>
      </c>
    </row>
    <row r="71">
      <c r="A71" s="32">
        <f>IF($U71="","",64)</f>
        <v/>
      </c>
      <c r="B71" s="10">
        <f>IF($U71="","",IFERROR(INDEX(매출원본!$AZ$8:$AZ$1007,MATCH($U71,매출원본!$BD$8:$BD$1007,0)),""))</f>
        <v/>
      </c>
      <c r="C71" s="10">
        <f>IF($U71="","",IFERROR(INDEX(매출원본!$AY$8:$AY$1007,MATCH($U71,매출원본!$BD$8:$BD$1007,0)),""))</f>
        <v/>
      </c>
      <c r="D71" s="33">
        <f>IF($U71="","",COUNTIFS(매출원본!$AX$8:$AX$1007,INDEX($R$8:$R$207,$U71),매출원본!$BA$8:$BA$1007,"포함"))</f>
        <v/>
      </c>
      <c r="E71" s="33">
        <f>IF($U71="","",SUMIFS(매출원본!$AT$8:$AT$1007,매출원본!$AX$8:$AX$1007,INDEX($R$8:$R$207,$U71),매출원본!$BA$8:$BA$1007,"포함"))</f>
        <v/>
      </c>
      <c r="F71" s="33">
        <f>IF($U71="","",SUMIFS(매출원본!$AU$8:$AU$1007,매출원본!$AX$8:$AX$1007,INDEX($R$8:$R$207,$U71),매출원본!$BA$8:$BA$1007,"포함"))</f>
        <v/>
      </c>
      <c r="G71" s="33">
        <f>IF($U71="","",SUMIFS(매출원본!$AV$8:$AV$1007,매출원본!$AX$8:$AX$1007,INDEX($R$8:$R$207,$U71),매출원본!$BA$8:$BA$1007,"포함"))</f>
        <v/>
      </c>
      <c r="H71" s="34">
        <f>IF(OR($U71="",$E$7=0),"",E71/$E$7)</f>
        <v/>
      </c>
      <c r="I71" s="33">
        <f>IF(OR($U71="",0&gt;=설정!$B$12),"",SUMIFS(매출원본!$AT$8:$AT$1007,매출원본!$AX$8:$AX$1007,INDEX($R$8:$R$207,$U71),매출원본!$BA$8:$BA$1007,"포함",매출원본!$AS$8:$AS$1007,"&gt;="&amp;EDATE(설정!$B$10,0),매출원본!$AS$8:$AS$1007,"&lt;="&amp;EOMONTH(설정!$B$10,0)))</f>
        <v/>
      </c>
      <c r="J71" s="33">
        <f>IF(OR($U71="",1&gt;=설정!$B$12),"",SUMIFS(매출원본!$AT$8:$AT$1007,매출원본!$AX$8:$AX$1007,INDEX($R$8:$R$207,$U71),매출원본!$BA$8:$BA$1007,"포함",매출원본!$AS$8:$AS$1007,"&gt;="&amp;EDATE(설정!$B$10,1),매출원본!$AS$8:$AS$1007,"&lt;="&amp;EOMONTH(설정!$B$10,1)))</f>
        <v/>
      </c>
      <c r="K71" s="33">
        <f>IF(OR($U71="",2&gt;=설정!$B$12),"",SUMIFS(매출원본!$AT$8:$AT$1007,매출원본!$AX$8:$AX$1007,INDEX($R$8:$R$207,$U71),매출원본!$BA$8:$BA$1007,"포함",매출원본!$AS$8:$AS$1007,"&gt;="&amp;EDATE(설정!$B$10,2),매출원본!$AS$8:$AS$1007,"&lt;="&amp;EOMONTH(설정!$B$10,2)))</f>
        <v/>
      </c>
      <c r="L71" s="33">
        <f>IF(OR($U71="",3&gt;=설정!$B$12),"",SUMIFS(매출원본!$AT$8:$AT$1007,매출원본!$AX$8:$AX$1007,INDEX($R$8:$R$207,$U71),매출원본!$BA$8:$BA$1007,"포함",매출원본!$AS$8:$AS$1007,"&gt;="&amp;EDATE(설정!$B$10,3),매출원본!$AS$8:$AS$1007,"&lt;="&amp;EOMONTH(설정!$B$10,3)))</f>
        <v/>
      </c>
      <c r="M71" s="33">
        <f>IF(OR($U71="",4&gt;=설정!$B$12),"",SUMIFS(매출원본!$AT$8:$AT$1007,매출원본!$AX$8:$AX$1007,INDEX($R$8:$R$207,$U71),매출원본!$BA$8:$BA$1007,"포함",매출원본!$AS$8:$AS$1007,"&gt;="&amp;EDATE(설정!$B$10,4),매출원본!$AS$8:$AS$1007,"&lt;="&amp;EOMONTH(설정!$B$10,4)))</f>
        <v/>
      </c>
      <c r="N71" s="33">
        <f>IF(OR($U71="",5&gt;=설정!$B$12),"",SUMIFS(매출원본!$AT$8:$AT$1007,매출원본!$AX$8:$AX$1007,INDEX($R$8:$R$207,$U71),매출원본!$BA$8:$BA$1007,"포함",매출원본!$AS$8:$AS$1007,"&gt;="&amp;EDATE(설정!$B$10,5),매출원본!$AS$8:$AS$1007,"&lt;="&amp;EOMONTH(설정!$B$10,5)))</f>
        <v/>
      </c>
      <c r="Q71" s="35" t="n">
        <v>64</v>
      </c>
      <c r="R71" s="35">
        <f>IFERROR(INDEX(매출원본!$AX$8:$AX$1007,MATCH($Q71,매출원본!$BD$8:$BD$1007,0)),"")</f>
        <v/>
      </c>
      <c r="S71" s="35">
        <f>IF($R71="","",SUMIFS(매출원본!$AT$8:$AT$1007,매출원본!$AX$8:$AX$1007,$R71,매출원본!$BA$8:$BA$1007,"포함"))</f>
        <v/>
      </c>
      <c r="T71" s="35">
        <f>IF($R71="","",$S71-$Q71/100000)</f>
        <v/>
      </c>
      <c r="U71" s="35">
        <f>IFERROR(MATCH(LARGE($T$8:$T$207,64),$T$8:$T$207,0),"")</f>
        <v/>
      </c>
    </row>
    <row r="72">
      <c r="A72" s="32">
        <f>IF($U72="","",65)</f>
        <v/>
      </c>
      <c r="B72" s="10">
        <f>IF($U72="","",IFERROR(INDEX(매출원본!$AZ$8:$AZ$1007,MATCH($U72,매출원본!$BD$8:$BD$1007,0)),""))</f>
        <v/>
      </c>
      <c r="C72" s="10">
        <f>IF($U72="","",IFERROR(INDEX(매출원본!$AY$8:$AY$1007,MATCH($U72,매출원본!$BD$8:$BD$1007,0)),""))</f>
        <v/>
      </c>
      <c r="D72" s="33">
        <f>IF($U72="","",COUNTIFS(매출원본!$AX$8:$AX$1007,INDEX($R$8:$R$207,$U72),매출원본!$BA$8:$BA$1007,"포함"))</f>
        <v/>
      </c>
      <c r="E72" s="33">
        <f>IF($U72="","",SUMIFS(매출원본!$AT$8:$AT$1007,매출원본!$AX$8:$AX$1007,INDEX($R$8:$R$207,$U72),매출원본!$BA$8:$BA$1007,"포함"))</f>
        <v/>
      </c>
      <c r="F72" s="33">
        <f>IF($U72="","",SUMIFS(매출원본!$AU$8:$AU$1007,매출원본!$AX$8:$AX$1007,INDEX($R$8:$R$207,$U72),매출원본!$BA$8:$BA$1007,"포함"))</f>
        <v/>
      </c>
      <c r="G72" s="33">
        <f>IF($U72="","",SUMIFS(매출원본!$AV$8:$AV$1007,매출원본!$AX$8:$AX$1007,INDEX($R$8:$R$207,$U72),매출원본!$BA$8:$BA$1007,"포함"))</f>
        <v/>
      </c>
      <c r="H72" s="34">
        <f>IF(OR($U72="",$E$7=0),"",E72/$E$7)</f>
        <v/>
      </c>
      <c r="I72" s="33">
        <f>IF(OR($U72="",0&gt;=설정!$B$12),"",SUMIFS(매출원본!$AT$8:$AT$1007,매출원본!$AX$8:$AX$1007,INDEX($R$8:$R$207,$U72),매출원본!$BA$8:$BA$1007,"포함",매출원본!$AS$8:$AS$1007,"&gt;="&amp;EDATE(설정!$B$10,0),매출원본!$AS$8:$AS$1007,"&lt;="&amp;EOMONTH(설정!$B$10,0)))</f>
        <v/>
      </c>
      <c r="J72" s="33">
        <f>IF(OR($U72="",1&gt;=설정!$B$12),"",SUMIFS(매출원본!$AT$8:$AT$1007,매출원본!$AX$8:$AX$1007,INDEX($R$8:$R$207,$U72),매출원본!$BA$8:$BA$1007,"포함",매출원본!$AS$8:$AS$1007,"&gt;="&amp;EDATE(설정!$B$10,1),매출원본!$AS$8:$AS$1007,"&lt;="&amp;EOMONTH(설정!$B$10,1)))</f>
        <v/>
      </c>
      <c r="K72" s="33">
        <f>IF(OR($U72="",2&gt;=설정!$B$12),"",SUMIFS(매출원본!$AT$8:$AT$1007,매출원본!$AX$8:$AX$1007,INDEX($R$8:$R$207,$U72),매출원본!$BA$8:$BA$1007,"포함",매출원본!$AS$8:$AS$1007,"&gt;="&amp;EDATE(설정!$B$10,2),매출원본!$AS$8:$AS$1007,"&lt;="&amp;EOMONTH(설정!$B$10,2)))</f>
        <v/>
      </c>
      <c r="L72" s="33">
        <f>IF(OR($U72="",3&gt;=설정!$B$12),"",SUMIFS(매출원본!$AT$8:$AT$1007,매출원본!$AX$8:$AX$1007,INDEX($R$8:$R$207,$U72),매출원본!$BA$8:$BA$1007,"포함",매출원본!$AS$8:$AS$1007,"&gt;="&amp;EDATE(설정!$B$10,3),매출원본!$AS$8:$AS$1007,"&lt;="&amp;EOMONTH(설정!$B$10,3)))</f>
        <v/>
      </c>
      <c r="M72" s="33">
        <f>IF(OR($U72="",4&gt;=설정!$B$12),"",SUMIFS(매출원본!$AT$8:$AT$1007,매출원본!$AX$8:$AX$1007,INDEX($R$8:$R$207,$U72),매출원본!$BA$8:$BA$1007,"포함",매출원본!$AS$8:$AS$1007,"&gt;="&amp;EDATE(설정!$B$10,4),매출원본!$AS$8:$AS$1007,"&lt;="&amp;EOMONTH(설정!$B$10,4)))</f>
        <v/>
      </c>
      <c r="N72" s="33">
        <f>IF(OR($U72="",5&gt;=설정!$B$12),"",SUMIFS(매출원본!$AT$8:$AT$1007,매출원본!$AX$8:$AX$1007,INDEX($R$8:$R$207,$U72),매출원본!$BA$8:$BA$1007,"포함",매출원본!$AS$8:$AS$1007,"&gt;="&amp;EDATE(설정!$B$10,5),매출원본!$AS$8:$AS$1007,"&lt;="&amp;EOMONTH(설정!$B$10,5)))</f>
        <v/>
      </c>
      <c r="Q72" s="35" t="n">
        <v>65</v>
      </c>
      <c r="R72" s="35">
        <f>IFERROR(INDEX(매출원본!$AX$8:$AX$1007,MATCH($Q72,매출원본!$BD$8:$BD$1007,0)),"")</f>
        <v/>
      </c>
      <c r="S72" s="35">
        <f>IF($R72="","",SUMIFS(매출원본!$AT$8:$AT$1007,매출원본!$AX$8:$AX$1007,$R72,매출원본!$BA$8:$BA$1007,"포함"))</f>
        <v/>
      </c>
      <c r="T72" s="35">
        <f>IF($R72="","",$S72-$Q72/100000)</f>
        <v/>
      </c>
      <c r="U72" s="35">
        <f>IFERROR(MATCH(LARGE($T$8:$T$207,65),$T$8:$T$207,0),"")</f>
        <v/>
      </c>
    </row>
    <row r="73">
      <c r="A73" s="32">
        <f>IF($U73="","",66)</f>
        <v/>
      </c>
      <c r="B73" s="10">
        <f>IF($U73="","",IFERROR(INDEX(매출원본!$AZ$8:$AZ$1007,MATCH($U73,매출원본!$BD$8:$BD$1007,0)),""))</f>
        <v/>
      </c>
      <c r="C73" s="10">
        <f>IF($U73="","",IFERROR(INDEX(매출원본!$AY$8:$AY$1007,MATCH($U73,매출원본!$BD$8:$BD$1007,0)),""))</f>
        <v/>
      </c>
      <c r="D73" s="33">
        <f>IF($U73="","",COUNTIFS(매출원본!$AX$8:$AX$1007,INDEX($R$8:$R$207,$U73),매출원본!$BA$8:$BA$1007,"포함"))</f>
        <v/>
      </c>
      <c r="E73" s="33">
        <f>IF($U73="","",SUMIFS(매출원본!$AT$8:$AT$1007,매출원본!$AX$8:$AX$1007,INDEX($R$8:$R$207,$U73),매출원본!$BA$8:$BA$1007,"포함"))</f>
        <v/>
      </c>
      <c r="F73" s="33">
        <f>IF($U73="","",SUMIFS(매출원본!$AU$8:$AU$1007,매출원본!$AX$8:$AX$1007,INDEX($R$8:$R$207,$U73),매출원본!$BA$8:$BA$1007,"포함"))</f>
        <v/>
      </c>
      <c r="G73" s="33">
        <f>IF($U73="","",SUMIFS(매출원본!$AV$8:$AV$1007,매출원본!$AX$8:$AX$1007,INDEX($R$8:$R$207,$U73),매출원본!$BA$8:$BA$1007,"포함"))</f>
        <v/>
      </c>
      <c r="H73" s="34">
        <f>IF(OR($U73="",$E$7=0),"",E73/$E$7)</f>
        <v/>
      </c>
      <c r="I73" s="33">
        <f>IF(OR($U73="",0&gt;=설정!$B$12),"",SUMIFS(매출원본!$AT$8:$AT$1007,매출원본!$AX$8:$AX$1007,INDEX($R$8:$R$207,$U73),매출원본!$BA$8:$BA$1007,"포함",매출원본!$AS$8:$AS$1007,"&gt;="&amp;EDATE(설정!$B$10,0),매출원본!$AS$8:$AS$1007,"&lt;="&amp;EOMONTH(설정!$B$10,0)))</f>
        <v/>
      </c>
      <c r="J73" s="33">
        <f>IF(OR($U73="",1&gt;=설정!$B$12),"",SUMIFS(매출원본!$AT$8:$AT$1007,매출원본!$AX$8:$AX$1007,INDEX($R$8:$R$207,$U73),매출원본!$BA$8:$BA$1007,"포함",매출원본!$AS$8:$AS$1007,"&gt;="&amp;EDATE(설정!$B$10,1),매출원본!$AS$8:$AS$1007,"&lt;="&amp;EOMONTH(설정!$B$10,1)))</f>
        <v/>
      </c>
      <c r="K73" s="33">
        <f>IF(OR($U73="",2&gt;=설정!$B$12),"",SUMIFS(매출원본!$AT$8:$AT$1007,매출원본!$AX$8:$AX$1007,INDEX($R$8:$R$207,$U73),매출원본!$BA$8:$BA$1007,"포함",매출원본!$AS$8:$AS$1007,"&gt;="&amp;EDATE(설정!$B$10,2),매출원본!$AS$8:$AS$1007,"&lt;="&amp;EOMONTH(설정!$B$10,2)))</f>
        <v/>
      </c>
      <c r="L73" s="33">
        <f>IF(OR($U73="",3&gt;=설정!$B$12),"",SUMIFS(매출원본!$AT$8:$AT$1007,매출원본!$AX$8:$AX$1007,INDEX($R$8:$R$207,$U73),매출원본!$BA$8:$BA$1007,"포함",매출원본!$AS$8:$AS$1007,"&gt;="&amp;EDATE(설정!$B$10,3),매출원본!$AS$8:$AS$1007,"&lt;="&amp;EOMONTH(설정!$B$10,3)))</f>
        <v/>
      </c>
      <c r="M73" s="33">
        <f>IF(OR($U73="",4&gt;=설정!$B$12),"",SUMIFS(매출원본!$AT$8:$AT$1007,매출원본!$AX$8:$AX$1007,INDEX($R$8:$R$207,$U73),매출원본!$BA$8:$BA$1007,"포함",매출원본!$AS$8:$AS$1007,"&gt;="&amp;EDATE(설정!$B$10,4),매출원본!$AS$8:$AS$1007,"&lt;="&amp;EOMONTH(설정!$B$10,4)))</f>
        <v/>
      </c>
      <c r="N73" s="33">
        <f>IF(OR($U73="",5&gt;=설정!$B$12),"",SUMIFS(매출원본!$AT$8:$AT$1007,매출원본!$AX$8:$AX$1007,INDEX($R$8:$R$207,$U73),매출원본!$BA$8:$BA$1007,"포함",매출원본!$AS$8:$AS$1007,"&gt;="&amp;EDATE(설정!$B$10,5),매출원본!$AS$8:$AS$1007,"&lt;="&amp;EOMONTH(설정!$B$10,5)))</f>
        <v/>
      </c>
      <c r="Q73" s="35" t="n">
        <v>66</v>
      </c>
      <c r="R73" s="35">
        <f>IFERROR(INDEX(매출원본!$AX$8:$AX$1007,MATCH($Q73,매출원본!$BD$8:$BD$1007,0)),"")</f>
        <v/>
      </c>
      <c r="S73" s="35">
        <f>IF($R73="","",SUMIFS(매출원본!$AT$8:$AT$1007,매출원본!$AX$8:$AX$1007,$R73,매출원본!$BA$8:$BA$1007,"포함"))</f>
        <v/>
      </c>
      <c r="T73" s="35">
        <f>IF($R73="","",$S73-$Q73/100000)</f>
        <v/>
      </c>
      <c r="U73" s="35">
        <f>IFERROR(MATCH(LARGE($T$8:$T$207,66),$T$8:$T$207,0),"")</f>
        <v/>
      </c>
    </row>
    <row r="74">
      <c r="A74" s="32">
        <f>IF($U74="","",67)</f>
        <v/>
      </c>
      <c r="B74" s="10">
        <f>IF($U74="","",IFERROR(INDEX(매출원본!$AZ$8:$AZ$1007,MATCH($U74,매출원본!$BD$8:$BD$1007,0)),""))</f>
        <v/>
      </c>
      <c r="C74" s="10">
        <f>IF($U74="","",IFERROR(INDEX(매출원본!$AY$8:$AY$1007,MATCH($U74,매출원본!$BD$8:$BD$1007,0)),""))</f>
        <v/>
      </c>
      <c r="D74" s="33">
        <f>IF($U74="","",COUNTIFS(매출원본!$AX$8:$AX$1007,INDEX($R$8:$R$207,$U74),매출원본!$BA$8:$BA$1007,"포함"))</f>
        <v/>
      </c>
      <c r="E74" s="33">
        <f>IF($U74="","",SUMIFS(매출원본!$AT$8:$AT$1007,매출원본!$AX$8:$AX$1007,INDEX($R$8:$R$207,$U74),매출원본!$BA$8:$BA$1007,"포함"))</f>
        <v/>
      </c>
      <c r="F74" s="33">
        <f>IF($U74="","",SUMIFS(매출원본!$AU$8:$AU$1007,매출원본!$AX$8:$AX$1007,INDEX($R$8:$R$207,$U74),매출원본!$BA$8:$BA$1007,"포함"))</f>
        <v/>
      </c>
      <c r="G74" s="33">
        <f>IF($U74="","",SUMIFS(매출원본!$AV$8:$AV$1007,매출원본!$AX$8:$AX$1007,INDEX($R$8:$R$207,$U74),매출원본!$BA$8:$BA$1007,"포함"))</f>
        <v/>
      </c>
      <c r="H74" s="34">
        <f>IF(OR($U74="",$E$7=0),"",E74/$E$7)</f>
        <v/>
      </c>
      <c r="I74" s="33">
        <f>IF(OR($U74="",0&gt;=설정!$B$12),"",SUMIFS(매출원본!$AT$8:$AT$1007,매출원본!$AX$8:$AX$1007,INDEX($R$8:$R$207,$U74),매출원본!$BA$8:$BA$1007,"포함",매출원본!$AS$8:$AS$1007,"&gt;="&amp;EDATE(설정!$B$10,0),매출원본!$AS$8:$AS$1007,"&lt;="&amp;EOMONTH(설정!$B$10,0)))</f>
        <v/>
      </c>
      <c r="J74" s="33">
        <f>IF(OR($U74="",1&gt;=설정!$B$12),"",SUMIFS(매출원본!$AT$8:$AT$1007,매출원본!$AX$8:$AX$1007,INDEX($R$8:$R$207,$U74),매출원본!$BA$8:$BA$1007,"포함",매출원본!$AS$8:$AS$1007,"&gt;="&amp;EDATE(설정!$B$10,1),매출원본!$AS$8:$AS$1007,"&lt;="&amp;EOMONTH(설정!$B$10,1)))</f>
        <v/>
      </c>
      <c r="K74" s="33">
        <f>IF(OR($U74="",2&gt;=설정!$B$12),"",SUMIFS(매출원본!$AT$8:$AT$1007,매출원본!$AX$8:$AX$1007,INDEX($R$8:$R$207,$U74),매출원본!$BA$8:$BA$1007,"포함",매출원본!$AS$8:$AS$1007,"&gt;="&amp;EDATE(설정!$B$10,2),매출원본!$AS$8:$AS$1007,"&lt;="&amp;EOMONTH(설정!$B$10,2)))</f>
        <v/>
      </c>
      <c r="L74" s="33">
        <f>IF(OR($U74="",3&gt;=설정!$B$12),"",SUMIFS(매출원본!$AT$8:$AT$1007,매출원본!$AX$8:$AX$1007,INDEX($R$8:$R$207,$U74),매출원본!$BA$8:$BA$1007,"포함",매출원본!$AS$8:$AS$1007,"&gt;="&amp;EDATE(설정!$B$10,3),매출원본!$AS$8:$AS$1007,"&lt;="&amp;EOMONTH(설정!$B$10,3)))</f>
        <v/>
      </c>
      <c r="M74" s="33">
        <f>IF(OR($U74="",4&gt;=설정!$B$12),"",SUMIFS(매출원본!$AT$8:$AT$1007,매출원본!$AX$8:$AX$1007,INDEX($R$8:$R$207,$U74),매출원본!$BA$8:$BA$1007,"포함",매출원본!$AS$8:$AS$1007,"&gt;="&amp;EDATE(설정!$B$10,4),매출원본!$AS$8:$AS$1007,"&lt;="&amp;EOMONTH(설정!$B$10,4)))</f>
        <v/>
      </c>
      <c r="N74" s="33">
        <f>IF(OR($U74="",5&gt;=설정!$B$12),"",SUMIFS(매출원본!$AT$8:$AT$1007,매출원본!$AX$8:$AX$1007,INDEX($R$8:$R$207,$U74),매출원본!$BA$8:$BA$1007,"포함",매출원본!$AS$8:$AS$1007,"&gt;="&amp;EDATE(설정!$B$10,5),매출원본!$AS$8:$AS$1007,"&lt;="&amp;EOMONTH(설정!$B$10,5)))</f>
        <v/>
      </c>
      <c r="Q74" s="35" t="n">
        <v>67</v>
      </c>
      <c r="R74" s="35">
        <f>IFERROR(INDEX(매출원본!$AX$8:$AX$1007,MATCH($Q74,매출원본!$BD$8:$BD$1007,0)),"")</f>
        <v/>
      </c>
      <c r="S74" s="35">
        <f>IF($R74="","",SUMIFS(매출원본!$AT$8:$AT$1007,매출원본!$AX$8:$AX$1007,$R74,매출원본!$BA$8:$BA$1007,"포함"))</f>
        <v/>
      </c>
      <c r="T74" s="35">
        <f>IF($R74="","",$S74-$Q74/100000)</f>
        <v/>
      </c>
      <c r="U74" s="35">
        <f>IFERROR(MATCH(LARGE($T$8:$T$207,67),$T$8:$T$207,0),"")</f>
        <v/>
      </c>
    </row>
    <row r="75">
      <c r="A75" s="32">
        <f>IF($U75="","",68)</f>
        <v/>
      </c>
      <c r="B75" s="10">
        <f>IF($U75="","",IFERROR(INDEX(매출원본!$AZ$8:$AZ$1007,MATCH($U75,매출원본!$BD$8:$BD$1007,0)),""))</f>
        <v/>
      </c>
      <c r="C75" s="10">
        <f>IF($U75="","",IFERROR(INDEX(매출원본!$AY$8:$AY$1007,MATCH($U75,매출원본!$BD$8:$BD$1007,0)),""))</f>
        <v/>
      </c>
      <c r="D75" s="33">
        <f>IF($U75="","",COUNTIFS(매출원본!$AX$8:$AX$1007,INDEX($R$8:$R$207,$U75),매출원본!$BA$8:$BA$1007,"포함"))</f>
        <v/>
      </c>
      <c r="E75" s="33">
        <f>IF($U75="","",SUMIFS(매출원본!$AT$8:$AT$1007,매출원본!$AX$8:$AX$1007,INDEX($R$8:$R$207,$U75),매출원본!$BA$8:$BA$1007,"포함"))</f>
        <v/>
      </c>
      <c r="F75" s="33">
        <f>IF($U75="","",SUMIFS(매출원본!$AU$8:$AU$1007,매출원본!$AX$8:$AX$1007,INDEX($R$8:$R$207,$U75),매출원본!$BA$8:$BA$1007,"포함"))</f>
        <v/>
      </c>
      <c r="G75" s="33">
        <f>IF($U75="","",SUMIFS(매출원본!$AV$8:$AV$1007,매출원본!$AX$8:$AX$1007,INDEX($R$8:$R$207,$U75),매출원본!$BA$8:$BA$1007,"포함"))</f>
        <v/>
      </c>
      <c r="H75" s="34">
        <f>IF(OR($U75="",$E$7=0),"",E75/$E$7)</f>
        <v/>
      </c>
      <c r="I75" s="33">
        <f>IF(OR($U75="",0&gt;=설정!$B$12),"",SUMIFS(매출원본!$AT$8:$AT$1007,매출원본!$AX$8:$AX$1007,INDEX($R$8:$R$207,$U75),매출원본!$BA$8:$BA$1007,"포함",매출원본!$AS$8:$AS$1007,"&gt;="&amp;EDATE(설정!$B$10,0),매출원본!$AS$8:$AS$1007,"&lt;="&amp;EOMONTH(설정!$B$10,0)))</f>
        <v/>
      </c>
      <c r="J75" s="33">
        <f>IF(OR($U75="",1&gt;=설정!$B$12),"",SUMIFS(매출원본!$AT$8:$AT$1007,매출원본!$AX$8:$AX$1007,INDEX($R$8:$R$207,$U75),매출원본!$BA$8:$BA$1007,"포함",매출원본!$AS$8:$AS$1007,"&gt;="&amp;EDATE(설정!$B$10,1),매출원본!$AS$8:$AS$1007,"&lt;="&amp;EOMONTH(설정!$B$10,1)))</f>
        <v/>
      </c>
      <c r="K75" s="33">
        <f>IF(OR($U75="",2&gt;=설정!$B$12),"",SUMIFS(매출원본!$AT$8:$AT$1007,매출원본!$AX$8:$AX$1007,INDEX($R$8:$R$207,$U75),매출원본!$BA$8:$BA$1007,"포함",매출원본!$AS$8:$AS$1007,"&gt;="&amp;EDATE(설정!$B$10,2),매출원본!$AS$8:$AS$1007,"&lt;="&amp;EOMONTH(설정!$B$10,2)))</f>
        <v/>
      </c>
      <c r="L75" s="33">
        <f>IF(OR($U75="",3&gt;=설정!$B$12),"",SUMIFS(매출원본!$AT$8:$AT$1007,매출원본!$AX$8:$AX$1007,INDEX($R$8:$R$207,$U75),매출원본!$BA$8:$BA$1007,"포함",매출원본!$AS$8:$AS$1007,"&gt;="&amp;EDATE(설정!$B$10,3),매출원본!$AS$8:$AS$1007,"&lt;="&amp;EOMONTH(설정!$B$10,3)))</f>
        <v/>
      </c>
      <c r="M75" s="33">
        <f>IF(OR($U75="",4&gt;=설정!$B$12),"",SUMIFS(매출원본!$AT$8:$AT$1007,매출원본!$AX$8:$AX$1007,INDEX($R$8:$R$207,$U75),매출원본!$BA$8:$BA$1007,"포함",매출원본!$AS$8:$AS$1007,"&gt;="&amp;EDATE(설정!$B$10,4),매출원본!$AS$8:$AS$1007,"&lt;="&amp;EOMONTH(설정!$B$10,4)))</f>
        <v/>
      </c>
      <c r="N75" s="33">
        <f>IF(OR($U75="",5&gt;=설정!$B$12),"",SUMIFS(매출원본!$AT$8:$AT$1007,매출원본!$AX$8:$AX$1007,INDEX($R$8:$R$207,$U75),매출원본!$BA$8:$BA$1007,"포함",매출원본!$AS$8:$AS$1007,"&gt;="&amp;EDATE(설정!$B$10,5),매출원본!$AS$8:$AS$1007,"&lt;="&amp;EOMONTH(설정!$B$10,5)))</f>
        <v/>
      </c>
      <c r="Q75" s="35" t="n">
        <v>68</v>
      </c>
      <c r="R75" s="35">
        <f>IFERROR(INDEX(매출원본!$AX$8:$AX$1007,MATCH($Q75,매출원본!$BD$8:$BD$1007,0)),"")</f>
        <v/>
      </c>
      <c r="S75" s="35">
        <f>IF($R75="","",SUMIFS(매출원본!$AT$8:$AT$1007,매출원본!$AX$8:$AX$1007,$R75,매출원본!$BA$8:$BA$1007,"포함"))</f>
        <v/>
      </c>
      <c r="T75" s="35">
        <f>IF($R75="","",$S75-$Q75/100000)</f>
        <v/>
      </c>
      <c r="U75" s="35">
        <f>IFERROR(MATCH(LARGE($T$8:$T$207,68),$T$8:$T$207,0),"")</f>
        <v/>
      </c>
    </row>
    <row r="76">
      <c r="A76" s="32">
        <f>IF($U76="","",69)</f>
        <v/>
      </c>
      <c r="B76" s="10">
        <f>IF($U76="","",IFERROR(INDEX(매출원본!$AZ$8:$AZ$1007,MATCH($U76,매출원본!$BD$8:$BD$1007,0)),""))</f>
        <v/>
      </c>
      <c r="C76" s="10">
        <f>IF($U76="","",IFERROR(INDEX(매출원본!$AY$8:$AY$1007,MATCH($U76,매출원본!$BD$8:$BD$1007,0)),""))</f>
        <v/>
      </c>
      <c r="D76" s="33">
        <f>IF($U76="","",COUNTIFS(매출원본!$AX$8:$AX$1007,INDEX($R$8:$R$207,$U76),매출원본!$BA$8:$BA$1007,"포함"))</f>
        <v/>
      </c>
      <c r="E76" s="33">
        <f>IF($U76="","",SUMIFS(매출원본!$AT$8:$AT$1007,매출원본!$AX$8:$AX$1007,INDEX($R$8:$R$207,$U76),매출원본!$BA$8:$BA$1007,"포함"))</f>
        <v/>
      </c>
      <c r="F76" s="33">
        <f>IF($U76="","",SUMIFS(매출원본!$AU$8:$AU$1007,매출원본!$AX$8:$AX$1007,INDEX($R$8:$R$207,$U76),매출원본!$BA$8:$BA$1007,"포함"))</f>
        <v/>
      </c>
      <c r="G76" s="33">
        <f>IF($U76="","",SUMIFS(매출원본!$AV$8:$AV$1007,매출원본!$AX$8:$AX$1007,INDEX($R$8:$R$207,$U76),매출원본!$BA$8:$BA$1007,"포함"))</f>
        <v/>
      </c>
      <c r="H76" s="34">
        <f>IF(OR($U76="",$E$7=0),"",E76/$E$7)</f>
        <v/>
      </c>
      <c r="I76" s="33">
        <f>IF(OR($U76="",0&gt;=설정!$B$12),"",SUMIFS(매출원본!$AT$8:$AT$1007,매출원본!$AX$8:$AX$1007,INDEX($R$8:$R$207,$U76),매출원본!$BA$8:$BA$1007,"포함",매출원본!$AS$8:$AS$1007,"&gt;="&amp;EDATE(설정!$B$10,0),매출원본!$AS$8:$AS$1007,"&lt;="&amp;EOMONTH(설정!$B$10,0)))</f>
        <v/>
      </c>
      <c r="J76" s="33">
        <f>IF(OR($U76="",1&gt;=설정!$B$12),"",SUMIFS(매출원본!$AT$8:$AT$1007,매출원본!$AX$8:$AX$1007,INDEX($R$8:$R$207,$U76),매출원본!$BA$8:$BA$1007,"포함",매출원본!$AS$8:$AS$1007,"&gt;="&amp;EDATE(설정!$B$10,1),매출원본!$AS$8:$AS$1007,"&lt;="&amp;EOMONTH(설정!$B$10,1)))</f>
        <v/>
      </c>
      <c r="K76" s="33">
        <f>IF(OR($U76="",2&gt;=설정!$B$12),"",SUMIFS(매출원본!$AT$8:$AT$1007,매출원본!$AX$8:$AX$1007,INDEX($R$8:$R$207,$U76),매출원본!$BA$8:$BA$1007,"포함",매출원본!$AS$8:$AS$1007,"&gt;="&amp;EDATE(설정!$B$10,2),매출원본!$AS$8:$AS$1007,"&lt;="&amp;EOMONTH(설정!$B$10,2)))</f>
        <v/>
      </c>
      <c r="L76" s="33">
        <f>IF(OR($U76="",3&gt;=설정!$B$12),"",SUMIFS(매출원본!$AT$8:$AT$1007,매출원본!$AX$8:$AX$1007,INDEX($R$8:$R$207,$U76),매출원본!$BA$8:$BA$1007,"포함",매출원본!$AS$8:$AS$1007,"&gt;="&amp;EDATE(설정!$B$10,3),매출원본!$AS$8:$AS$1007,"&lt;="&amp;EOMONTH(설정!$B$10,3)))</f>
        <v/>
      </c>
      <c r="M76" s="33">
        <f>IF(OR($U76="",4&gt;=설정!$B$12),"",SUMIFS(매출원본!$AT$8:$AT$1007,매출원본!$AX$8:$AX$1007,INDEX($R$8:$R$207,$U76),매출원본!$BA$8:$BA$1007,"포함",매출원본!$AS$8:$AS$1007,"&gt;="&amp;EDATE(설정!$B$10,4),매출원본!$AS$8:$AS$1007,"&lt;="&amp;EOMONTH(설정!$B$10,4)))</f>
        <v/>
      </c>
      <c r="N76" s="33">
        <f>IF(OR($U76="",5&gt;=설정!$B$12),"",SUMIFS(매출원본!$AT$8:$AT$1007,매출원본!$AX$8:$AX$1007,INDEX($R$8:$R$207,$U76),매출원본!$BA$8:$BA$1007,"포함",매출원본!$AS$8:$AS$1007,"&gt;="&amp;EDATE(설정!$B$10,5),매출원본!$AS$8:$AS$1007,"&lt;="&amp;EOMONTH(설정!$B$10,5)))</f>
        <v/>
      </c>
      <c r="Q76" s="35" t="n">
        <v>69</v>
      </c>
      <c r="R76" s="35">
        <f>IFERROR(INDEX(매출원본!$AX$8:$AX$1007,MATCH($Q76,매출원본!$BD$8:$BD$1007,0)),"")</f>
        <v/>
      </c>
      <c r="S76" s="35">
        <f>IF($R76="","",SUMIFS(매출원본!$AT$8:$AT$1007,매출원본!$AX$8:$AX$1007,$R76,매출원본!$BA$8:$BA$1007,"포함"))</f>
        <v/>
      </c>
      <c r="T76" s="35">
        <f>IF($R76="","",$S76-$Q76/100000)</f>
        <v/>
      </c>
      <c r="U76" s="35">
        <f>IFERROR(MATCH(LARGE($T$8:$T$207,69),$T$8:$T$207,0),"")</f>
        <v/>
      </c>
    </row>
    <row r="77">
      <c r="A77" s="32">
        <f>IF($U77="","",70)</f>
        <v/>
      </c>
      <c r="B77" s="10">
        <f>IF($U77="","",IFERROR(INDEX(매출원본!$AZ$8:$AZ$1007,MATCH($U77,매출원본!$BD$8:$BD$1007,0)),""))</f>
        <v/>
      </c>
      <c r="C77" s="10">
        <f>IF($U77="","",IFERROR(INDEX(매출원본!$AY$8:$AY$1007,MATCH($U77,매출원본!$BD$8:$BD$1007,0)),""))</f>
        <v/>
      </c>
      <c r="D77" s="33">
        <f>IF($U77="","",COUNTIFS(매출원본!$AX$8:$AX$1007,INDEX($R$8:$R$207,$U77),매출원본!$BA$8:$BA$1007,"포함"))</f>
        <v/>
      </c>
      <c r="E77" s="33">
        <f>IF($U77="","",SUMIFS(매출원본!$AT$8:$AT$1007,매출원본!$AX$8:$AX$1007,INDEX($R$8:$R$207,$U77),매출원본!$BA$8:$BA$1007,"포함"))</f>
        <v/>
      </c>
      <c r="F77" s="33">
        <f>IF($U77="","",SUMIFS(매출원본!$AU$8:$AU$1007,매출원본!$AX$8:$AX$1007,INDEX($R$8:$R$207,$U77),매출원본!$BA$8:$BA$1007,"포함"))</f>
        <v/>
      </c>
      <c r="G77" s="33">
        <f>IF($U77="","",SUMIFS(매출원본!$AV$8:$AV$1007,매출원본!$AX$8:$AX$1007,INDEX($R$8:$R$207,$U77),매출원본!$BA$8:$BA$1007,"포함"))</f>
        <v/>
      </c>
      <c r="H77" s="34">
        <f>IF(OR($U77="",$E$7=0),"",E77/$E$7)</f>
        <v/>
      </c>
      <c r="I77" s="33">
        <f>IF(OR($U77="",0&gt;=설정!$B$12),"",SUMIFS(매출원본!$AT$8:$AT$1007,매출원본!$AX$8:$AX$1007,INDEX($R$8:$R$207,$U77),매출원본!$BA$8:$BA$1007,"포함",매출원본!$AS$8:$AS$1007,"&gt;="&amp;EDATE(설정!$B$10,0),매출원본!$AS$8:$AS$1007,"&lt;="&amp;EOMONTH(설정!$B$10,0)))</f>
        <v/>
      </c>
      <c r="J77" s="33">
        <f>IF(OR($U77="",1&gt;=설정!$B$12),"",SUMIFS(매출원본!$AT$8:$AT$1007,매출원본!$AX$8:$AX$1007,INDEX($R$8:$R$207,$U77),매출원본!$BA$8:$BA$1007,"포함",매출원본!$AS$8:$AS$1007,"&gt;="&amp;EDATE(설정!$B$10,1),매출원본!$AS$8:$AS$1007,"&lt;="&amp;EOMONTH(설정!$B$10,1)))</f>
        <v/>
      </c>
      <c r="K77" s="33">
        <f>IF(OR($U77="",2&gt;=설정!$B$12),"",SUMIFS(매출원본!$AT$8:$AT$1007,매출원본!$AX$8:$AX$1007,INDEX($R$8:$R$207,$U77),매출원본!$BA$8:$BA$1007,"포함",매출원본!$AS$8:$AS$1007,"&gt;="&amp;EDATE(설정!$B$10,2),매출원본!$AS$8:$AS$1007,"&lt;="&amp;EOMONTH(설정!$B$10,2)))</f>
        <v/>
      </c>
      <c r="L77" s="33">
        <f>IF(OR($U77="",3&gt;=설정!$B$12),"",SUMIFS(매출원본!$AT$8:$AT$1007,매출원본!$AX$8:$AX$1007,INDEX($R$8:$R$207,$U77),매출원본!$BA$8:$BA$1007,"포함",매출원본!$AS$8:$AS$1007,"&gt;="&amp;EDATE(설정!$B$10,3),매출원본!$AS$8:$AS$1007,"&lt;="&amp;EOMONTH(설정!$B$10,3)))</f>
        <v/>
      </c>
      <c r="M77" s="33">
        <f>IF(OR($U77="",4&gt;=설정!$B$12),"",SUMIFS(매출원본!$AT$8:$AT$1007,매출원본!$AX$8:$AX$1007,INDEX($R$8:$R$207,$U77),매출원본!$BA$8:$BA$1007,"포함",매출원본!$AS$8:$AS$1007,"&gt;="&amp;EDATE(설정!$B$10,4),매출원본!$AS$8:$AS$1007,"&lt;="&amp;EOMONTH(설정!$B$10,4)))</f>
        <v/>
      </c>
      <c r="N77" s="33">
        <f>IF(OR($U77="",5&gt;=설정!$B$12),"",SUMIFS(매출원본!$AT$8:$AT$1007,매출원본!$AX$8:$AX$1007,INDEX($R$8:$R$207,$U77),매출원본!$BA$8:$BA$1007,"포함",매출원본!$AS$8:$AS$1007,"&gt;="&amp;EDATE(설정!$B$10,5),매출원본!$AS$8:$AS$1007,"&lt;="&amp;EOMONTH(설정!$B$10,5)))</f>
        <v/>
      </c>
      <c r="Q77" s="35" t="n">
        <v>70</v>
      </c>
      <c r="R77" s="35">
        <f>IFERROR(INDEX(매출원본!$AX$8:$AX$1007,MATCH($Q77,매출원본!$BD$8:$BD$1007,0)),"")</f>
        <v/>
      </c>
      <c r="S77" s="35">
        <f>IF($R77="","",SUMIFS(매출원본!$AT$8:$AT$1007,매출원본!$AX$8:$AX$1007,$R77,매출원본!$BA$8:$BA$1007,"포함"))</f>
        <v/>
      </c>
      <c r="T77" s="35">
        <f>IF($R77="","",$S77-$Q77/100000)</f>
        <v/>
      </c>
      <c r="U77" s="35">
        <f>IFERROR(MATCH(LARGE($T$8:$T$207,70),$T$8:$T$207,0),"")</f>
        <v/>
      </c>
    </row>
    <row r="78">
      <c r="A78" s="32">
        <f>IF($U78="","",71)</f>
        <v/>
      </c>
      <c r="B78" s="10">
        <f>IF($U78="","",IFERROR(INDEX(매출원본!$AZ$8:$AZ$1007,MATCH($U78,매출원본!$BD$8:$BD$1007,0)),""))</f>
        <v/>
      </c>
      <c r="C78" s="10">
        <f>IF($U78="","",IFERROR(INDEX(매출원본!$AY$8:$AY$1007,MATCH($U78,매출원본!$BD$8:$BD$1007,0)),""))</f>
        <v/>
      </c>
      <c r="D78" s="33">
        <f>IF($U78="","",COUNTIFS(매출원본!$AX$8:$AX$1007,INDEX($R$8:$R$207,$U78),매출원본!$BA$8:$BA$1007,"포함"))</f>
        <v/>
      </c>
      <c r="E78" s="33">
        <f>IF($U78="","",SUMIFS(매출원본!$AT$8:$AT$1007,매출원본!$AX$8:$AX$1007,INDEX($R$8:$R$207,$U78),매출원본!$BA$8:$BA$1007,"포함"))</f>
        <v/>
      </c>
      <c r="F78" s="33">
        <f>IF($U78="","",SUMIFS(매출원본!$AU$8:$AU$1007,매출원본!$AX$8:$AX$1007,INDEX($R$8:$R$207,$U78),매출원본!$BA$8:$BA$1007,"포함"))</f>
        <v/>
      </c>
      <c r="G78" s="33">
        <f>IF($U78="","",SUMIFS(매출원본!$AV$8:$AV$1007,매출원본!$AX$8:$AX$1007,INDEX($R$8:$R$207,$U78),매출원본!$BA$8:$BA$1007,"포함"))</f>
        <v/>
      </c>
      <c r="H78" s="34">
        <f>IF(OR($U78="",$E$7=0),"",E78/$E$7)</f>
        <v/>
      </c>
      <c r="I78" s="33">
        <f>IF(OR($U78="",0&gt;=설정!$B$12),"",SUMIFS(매출원본!$AT$8:$AT$1007,매출원본!$AX$8:$AX$1007,INDEX($R$8:$R$207,$U78),매출원본!$BA$8:$BA$1007,"포함",매출원본!$AS$8:$AS$1007,"&gt;="&amp;EDATE(설정!$B$10,0),매출원본!$AS$8:$AS$1007,"&lt;="&amp;EOMONTH(설정!$B$10,0)))</f>
        <v/>
      </c>
      <c r="J78" s="33">
        <f>IF(OR($U78="",1&gt;=설정!$B$12),"",SUMIFS(매출원본!$AT$8:$AT$1007,매출원본!$AX$8:$AX$1007,INDEX($R$8:$R$207,$U78),매출원본!$BA$8:$BA$1007,"포함",매출원본!$AS$8:$AS$1007,"&gt;="&amp;EDATE(설정!$B$10,1),매출원본!$AS$8:$AS$1007,"&lt;="&amp;EOMONTH(설정!$B$10,1)))</f>
        <v/>
      </c>
      <c r="K78" s="33">
        <f>IF(OR($U78="",2&gt;=설정!$B$12),"",SUMIFS(매출원본!$AT$8:$AT$1007,매출원본!$AX$8:$AX$1007,INDEX($R$8:$R$207,$U78),매출원본!$BA$8:$BA$1007,"포함",매출원본!$AS$8:$AS$1007,"&gt;="&amp;EDATE(설정!$B$10,2),매출원본!$AS$8:$AS$1007,"&lt;="&amp;EOMONTH(설정!$B$10,2)))</f>
        <v/>
      </c>
      <c r="L78" s="33">
        <f>IF(OR($U78="",3&gt;=설정!$B$12),"",SUMIFS(매출원본!$AT$8:$AT$1007,매출원본!$AX$8:$AX$1007,INDEX($R$8:$R$207,$U78),매출원본!$BA$8:$BA$1007,"포함",매출원본!$AS$8:$AS$1007,"&gt;="&amp;EDATE(설정!$B$10,3),매출원본!$AS$8:$AS$1007,"&lt;="&amp;EOMONTH(설정!$B$10,3)))</f>
        <v/>
      </c>
      <c r="M78" s="33">
        <f>IF(OR($U78="",4&gt;=설정!$B$12),"",SUMIFS(매출원본!$AT$8:$AT$1007,매출원본!$AX$8:$AX$1007,INDEX($R$8:$R$207,$U78),매출원본!$BA$8:$BA$1007,"포함",매출원본!$AS$8:$AS$1007,"&gt;="&amp;EDATE(설정!$B$10,4),매출원본!$AS$8:$AS$1007,"&lt;="&amp;EOMONTH(설정!$B$10,4)))</f>
        <v/>
      </c>
      <c r="N78" s="33">
        <f>IF(OR($U78="",5&gt;=설정!$B$12),"",SUMIFS(매출원본!$AT$8:$AT$1007,매출원본!$AX$8:$AX$1007,INDEX($R$8:$R$207,$U78),매출원본!$BA$8:$BA$1007,"포함",매출원본!$AS$8:$AS$1007,"&gt;="&amp;EDATE(설정!$B$10,5),매출원본!$AS$8:$AS$1007,"&lt;="&amp;EOMONTH(설정!$B$10,5)))</f>
        <v/>
      </c>
      <c r="Q78" s="35" t="n">
        <v>71</v>
      </c>
      <c r="R78" s="35">
        <f>IFERROR(INDEX(매출원본!$AX$8:$AX$1007,MATCH($Q78,매출원본!$BD$8:$BD$1007,0)),"")</f>
        <v/>
      </c>
      <c r="S78" s="35">
        <f>IF($R78="","",SUMIFS(매출원본!$AT$8:$AT$1007,매출원본!$AX$8:$AX$1007,$R78,매출원본!$BA$8:$BA$1007,"포함"))</f>
        <v/>
      </c>
      <c r="T78" s="35">
        <f>IF($R78="","",$S78-$Q78/100000)</f>
        <v/>
      </c>
      <c r="U78" s="35">
        <f>IFERROR(MATCH(LARGE($T$8:$T$207,71),$T$8:$T$207,0),"")</f>
        <v/>
      </c>
    </row>
    <row r="79">
      <c r="A79" s="32">
        <f>IF($U79="","",72)</f>
        <v/>
      </c>
      <c r="B79" s="10">
        <f>IF($U79="","",IFERROR(INDEX(매출원본!$AZ$8:$AZ$1007,MATCH($U79,매출원본!$BD$8:$BD$1007,0)),""))</f>
        <v/>
      </c>
      <c r="C79" s="10">
        <f>IF($U79="","",IFERROR(INDEX(매출원본!$AY$8:$AY$1007,MATCH($U79,매출원본!$BD$8:$BD$1007,0)),""))</f>
        <v/>
      </c>
      <c r="D79" s="33">
        <f>IF($U79="","",COUNTIFS(매출원본!$AX$8:$AX$1007,INDEX($R$8:$R$207,$U79),매출원본!$BA$8:$BA$1007,"포함"))</f>
        <v/>
      </c>
      <c r="E79" s="33">
        <f>IF($U79="","",SUMIFS(매출원본!$AT$8:$AT$1007,매출원본!$AX$8:$AX$1007,INDEX($R$8:$R$207,$U79),매출원본!$BA$8:$BA$1007,"포함"))</f>
        <v/>
      </c>
      <c r="F79" s="33">
        <f>IF($U79="","",SUMIFS(매출원본!$AU$8:$AU$1007,매출원본!$AX$8:$AX$1007,INDEX($R$8:$R$207,$U79),매출원본!$BA$8:$BA$1007,"포함"))</f>
        <v/>
      </c>
      <c r="G79" s="33">
        <f>IF($U79="","",SUMIFS(매출원본!$AV$8:$AV$1007,매출원본!$AX$8:$AX$1007,INDEX($R$8:$R$207,$U79),매출원본!$BA$8:$BA$1007,"포함"))</f>
        <v/>
      </c>
      <c r="H79" s="34">
        <f>IF(OR($U79="",$E$7=0),"",E79/$E$7)</f>
        <v/>
      </c>
      <c r="I79" s="33">
        <f>IF(OR($U79="",0&gt;=설정!$B$12),"",SUMIFS(매출원본!$AT$8:$AT$1007,매출원본!$AX$8:$AX$1007,INDEX($R$8:$R$207,$U79),매출원본!$BA$8:$BA$1007,"포함",매출원본!$AS$8:$AS$1007,"&gt;="&amp;EDATE(설정!$B$10,0),매출원본!$AS$8:$AS$1007,"&lt;="&amp;EOMONTH(설정!$B$10,0)))</f>
        <v/>
      </c>
      <c r="J79" s="33">
        <f>IF(OR($U79="",1&gt;=설정!$B$12),"",SUMIFS(매출원본!$AT$8:$AT$1007,매출원본!$AX$8:$AX$1007,INDEX($R$8:$R$207,$U79),매출원본!$BA$8:$BA$1007,"포함",매출원본!$AS$8:$AS$1007,"&gt;="&amp;EDATE(설정!$B$10,1),매출원본!$AS$8:$AS$1007,"&lt;="&amp;EOMONTH(설정!$B$10,1)))</f>
        <v/>
      </c>
      <c r="K79" s="33">
        <f>IF(OR($U79="",2&gt;=설정!$B$12),"",SUMIFS(매출원본!$AT$8:$AT$1007,매출원본!$AX$8:$AX$1007,INDEX($R$8:$R$207,$U79),매출원본!$BA$8:$BA$1007,"포함",매출원본!$AS$8:$AS$1007,"&gt;="&amp;EDATE(설정!$B$10,2),매출원본!$AS$8:$AS$1007,"&lt;="&amp;EOMONTH(설정!$B$10,2)))</f>
        <v/>
      </c>
      <c r="L79" s="33">
        <f>IF(OR($U79="",3&gt;=설정!$B$12),"",SUMIFS(매출원본!$AT$8:$AT$1007,매출원본!$AX$8:$AX$1007,INDEX($R$8:$R$207,$U79),매출원본!$BA$8:$BA$1007,"포함",매출원본!$AS$8:$AS$1007,"&gt;="&amp;EDATE(설정!$B$10,3),매출원본!$AS$8:$AS$1007,"&lt;="&amp;EOMONTH(설정!$B$10,3)))</f>
        <v/>
      </c>
      <c r="M79" s="33">
        <f>IF(OR($U79="",4&gt;=설정!$B$12),"",SUMIFS(매출원본!$AT$8:$AT$1007,매출원본!$AX$8:$AX$1007,INDEX($R$8:$R$207,$U79),매출원본!$BA$8:$BA$1007,"포함",매출원본!$AS$8:$AS$1007,"&gt;="&amp;EDATE(설정!$B$10,4),매출원본!$AS$8:$AS$1007,"&lt;="&amp;EOMONTH(설정!$B$10,4)))</f>
        <v/>
      </c>
      <c r="N79" s="33">
        <f>IF(OR($U79="",5&gt;=설정!$B$12),"",SUMIFS(매출원본!$AT$8:$AT$1007,매출원본!$AX$8:$AX$1007,INDEX($R$8:$R$207,$U79),매출원본!$BA$8:$BA$1007,"포함",매출원본!$AS$8:$AS$1007,"&gt;="&amp;EDATE(설정!$B$10,5),매출원본!$AS$8:$AS$1007,"&lt;="&amp;EOMONTH(설정!$B$10,5)))</f>
        <v/>
      </c>
      <c r="Q79" s="35" t="n">
        <v>72</v>
      </c>
      <c r="R79" s="35">
        <f>IFERROR(INDEX(매출원본!$AX$8:$AX$1007,MATCH($Q79,매출원본!$BD$8:$BD$1007,0)),"")</f>
        <v/>
      </c>
      <c r="S79" s="35">
        <f>IF($R79="","",SUMIFS(매출원본!$AT$8:$AT$1007,매출원본!$AX$8:$AX$1007,$R79,매출원본!$BA$8:$BA$1007,"포함"))</f>
        <v/>
      </c>
      <c r="T79" s="35">
        <f>IF($R79="","",$S79-$Q79/100000)</f>
        <v/>
      </c>
      <c r="U79" s="35">
        <f>IFERROR(MATCH(LARGE($T$8:$T$207,72),$T$8:$T$207,0),"")</f>
        <v/>
      </c>
    </row>
    <row r="80">
      <c r="A80" s="32">
        <f>IF($U80="","",73)</f>
        <v/>
      </c>
      <c r="B80" s="10">
        <f>IF($U80="","",IFERROR(INDEX(매출원본!$AZ$8:$AZ$1007,MATCH($U80,매출원본!$BD$8:$BD$1007,0)),""))</f>
        <v/>
      </c>
      <c r="C80" s="10">
        <f>IF($U80="","",IFERROR(INDEX(매출원본!$AY$8:$AY$1007,MATCH($U80,매출원본!$BD$8:$BD$1007,0)),""))</f>
        <v/>
      </c>
      <c r="D80" s="33">
        <f>IF($U80="","",COUNTIFS(매출원본!$AX$8:$AX$1007,INDEX($R$8:$R$207,$U80),매출원본!$BA$8:$BA$1007,"포함"))</f>
        <v/>
      </c>
      <c r="E80" s="33">
        <f>IF($U80="","",SUMIFS(매출원본!$AT$8:$AT$1007,매출원본!$AX$8:$AX$1007,INDEX($R$8:$R$207,$U80),매출원본!$BA$8:$BA$1007,"포함"))</f>
        <v/>
      </c>
      <c r="F80" s="33">
        <f>IF($U80="","",SUMIFS(매출원본!$AU$8:$AU$1007,매출원본!$AX$8:$AX$1007,INDEX($R$8:$R$207,$U80),매출원본!$BA$8:$BA$1007,"포함"))</f>
        <v/>
      </c>
      <c r="G80" s="33">
        <f>IF($U80="","",SUMIFS(매출원본!$AV$8:$AV$1007,매출원본!$AX$8:$AX$1007,INDEX($R$8:$R$207,$U80),매출원본!$BA$8:$BA$1007,"포함"))</f>
        <v/>
      </c>
      <c r="H80" s="34">
        <f>IF(OR($U80="",$E$7=0),"",E80/$E$7)</f>
        <v/>
      </c>
      <c r="I80" s="33">
        <f>IF(OR($U80="",0&gt;=설정!$B$12),"",SUMIFS(매출원본!$AT$8:$AT$1007,매출원본!$AX$8:$AX$1007,INDEX($R$8:$R$207,$U80),매출원본!$BA$8:$BA$1007,"포함",매출원본!$AS$8:$AS$1007,"&gt;="&amp;EDATE(설정!$B$10,0),매출원본!$AS$8:$AS$1007,"&lt;="&amp;EOMONTH(설정!$B$10,0)))</f>
        <v/>
      </c>
      <c r="J80" s="33">
        <f>IF(OR($U80="",1&gt;=설정!$B$12),"",SUMIFS(매출원본!$AT$8:$AT$1007,매출원본!$AX$8:$AX$1007,INDEX($R$8:$R$207,$U80),매출원본!$BA$8:$BA$1007,"포함",매출원본!$AS$8:$AS$1007,"&gt;="&amp;EDATE(설정!$B$10,1),매출원본!$AS$8:$AS$1007,"&lt;="&amp;EOMONTH(설정!$B$10,1)))</f>
        <v/>
      </c>
      <c r="K80" s="33">
        <f>IF(OR($U80="",2&gt;=설정!$B$12),"",SUMIFS(매출원본!$AT$8:$AT$1007,매출원본!$AX$8:$AX$1007,INDEX($R$8:$R$207,$U80),매출원본!$BA$8:$BA$1007,"포함",매출원본!$AS$8:$AS$1007,"&gt;="&amp;EDATE(설정!$B$10,2),매출원본!$AS$8:$AS$1007,"&lt;="&amp;EOMONTH(설정!$B$10,2)))</f>
        <v/>
      </c>
      <c r="L80" s="33">
        <f>IF(OR($U80="",3&gt;=설정!$B$12),"",SUMIFS(매출원본!$AT$8:$AT$1007,매출원본!$AX$8:$AX$1007,INDEX($R$8:$R$207,$U80),매출원본!$BA$8:$BA$1007,"포함",매출원본!$AS$8:$AS$1007,"&gt;="&amp;EDATE(설정!$B$10,3),매출원본!$AS$8:$AS$1007,"&lt;="&amp;EOMONTH(설정!$B$10,3)))</f>
        <v/>
      </c>
      <c r="M80" s="33">
        <f>IF(OR($U80="",4&gt;=설정!$B$12),"",SUMIFS(매출원본!$AT$8:$AT$1007,매출원본!$AX$8:$AX$1007,INDEX($R$8:$R$207,$U80),매출원본!$BA$8:$BA$1007,"포함",매출원본!$AS$8:$AS$1007,"&gt;="&amp;EDATE(설정!$B$10,4),매출원본!$AS$8:$AS$1007,"&lt;="&amp;EOMONTH(설정!$B$10,4)))</f>
        <v/>
      </c>
      <c r="N80" s="33">
        <f>IF(OR($U80="",5&gt;=설정!$B$12),"",SUMIFS(매출원본!$AT$8:$AT$1007,매출원본!$AX$8:$AX$1007,INDEX($R$8:$R$207,$U80),매출원본!$BA$8:$BA$1007,"포함",매출원본!$AS$8:$AS$1007,"&gt;="&amp;EDATE(설정!$B$10,5),매출원본!$AS$8:$AS$1007,"&lt;="&amp;EOMONTH(설정!$B$10,5)))</f>
        <v/>
      </c>
      <c r="Q80" s="35" t="n">
        <v>73</v>
      </c>
      <c r="R80" s="35">
        <f>IFERROR(INDEX(매출원본!$AX$8:$AX$1007,MATCH($Q80,매출원본!$BD$8:$BD$1007,0)),"")</f>
        <v/>
      </c>
      <c r="S80" s="35">
        <f>IF($R80="","",SUMIFS(매출원본!$AT$8:$AT$1007,매출원본!$AX$8:$AX$1007,$R80,매출원본!$BA$8:$BA$1007,"포함"))</f>
        <v/>
      </c>
      <c r="T80" s="35">
        <f>IF($R80="","",$S80-$Q80/100000)</f>
        <v/>
      </c>
      <c r="U80" s="35">
        <f>IFERROR(MATCH(LARGE($T$8:$T$207,73),$T$8:$T$207,0),"")</f>
        <v/>
      </c>
    </row>
    <row r="81">
      <c r="A81" s="32">
        <f>IF($U81="","",74)</f>
        <v/>
      </c>
      <c r="B81" s="10">
        <f>IF($U81="","",IFERROR(INDEX(매출원본!$AZ$8:$AZ$1007,MATCH($U81,매출원본!$BD$8:$BD$1007,0)),""))</f>
        <v/>
      </c>
      <c r="C81" s="10">
        <f>IF($U81="","",IFERROR(INDEX(매출원본!$AY$8:$AY$1007,MATCH($U81,매출원본!$BD$8:$BD$1007,0)),""))</f>
        <v/>
      </c>
      <c r="D81" s="33">
        <f>IF($U81="","",COUNTIFS(매출원본!$AX$8:$AX$1007,INDEX($R$8:$R$207,$U81),매출원본!$BA$8:$BA$1007,"포함"))</f>
        <v/>
      </c>
      <c r="E81" s="33">
        <f>IF($U81="","",SUMIFS(매출원본!$AT$8:$AT$1007,매출원본!$AX$8:$AX$1007,INDEX($R$8:$R$207,$U81),매출원본!$BA$8:$BA$1007,"포함"))</f>
        <v/>
      </c>
      <c r="F81" s="33">
        <f>IF($U81="","",SUMIFS(매출원본!$AU$8:$AU$1007,매출원본!$AX$8:$AX$1007,INDEX($R$8:$R$207,$U81),매출원본!$BA$8:$BA$1007,"포함"))</f>
        <v/>
      </c>
      <c r="G81" s="33">
        <f>IF($U81="","",SUMIFS(매출원본!$AV$8:$AV$1007,매출원본!$AX$8:$AX$1007,INDEX($R$8:$R$207,$U81),매출원본!$BA$8:$BA$1007,"포함"))</f>
        <v/>
      </c>
      <c r="H81" s="34">
        <f>IF(OR($U81="",$E$7=0),"",E81/$E$7)</f>
        <v/>
      </c>
      <c r="I81" s="33">
        <f>IF(OR($U81="",0&gt;=설정!$B$12),"",SUMIFS(매출원본!$AT$8:$AT$1007,매출원본!$AX$8:$AX$1007,INDEX($R$8:$R$207,$U81),매출원본!$BA$8:$BA$1007,"포함",매출원본!$AS$8:$AS$1007,"&gt;="&amp;EDATE(설정!$B$10,0),매출원본!$AS$8:$AS$1007,"&lt;="&amp;EOMONTH(설정!$B$10,0)))</f>
        <v/>
      </c>
      <c r="J81" s="33">
        <f>IF(OR($U81="",1&gt;=설정!$B$12),"",SUMIFS(매출원본!$AT$8:$AT$1007,매출원본!$AX$8:$AX$1007,INDEX($R$8:$R$207,$U81),매출원본!$BA$8:$BA$1007,"포함",매출원본!$AS$8:$AS$1007,"&gt;="&amp;EDATE(설정!$B$10,1),매출원본!$AS$8:$AS$1007,"&lt;="&amp;EOMONTH(설정!$B$10,1)))</f>
        <v/>
      </c>
      <c r="K81" s="33">
        <f>IF(OR($U81="",2&gt;=설정!$B$12),"",SUMIFS(매출원본!$AT$8:$AT$1007,매출원본!$AX$8:$AX$1007,INDEX($R$8:$R$207,$U81),매출원본!$BA$8:$BA$1007,"포함",매출원본!$AS$8:$AS$1007,"&gt;="&amp;EDATE(설정!$B$10,2),매출원본!$AS$8:$AS$1007,"&lt;="&amp;EOMONTH(설정!$B$10,2)))</f>
        <v/>
      </c>
      <c r="L81" s="33">
        <f>IF(OR($U81="",3&gt;=설정!$B$12),"",SUMIFS(매출원본!$AT$8:$AT$1007,매출원본!$AX$8:$AX$1007,INDEX($R$8:$R$207,$U81),매출원본!$BA$8:$BA$1007,"포함",매출원본!$AS$8:$AS$1007,"&gt;="&amp;EDATE(설정!$B$10,3),매출원본!$AS$8:$AS$1007,"&lt;="&amp;EOMONTH(설정!$B$10,3)))</f>
        <v/>
      </c>
      <c r="M81" s="33">
        <f>IF(OR($U81="",4&gt;=설정!$B$12),"",SUMIFS(매출원본!$AT$8:$AT$1007,매출원본!$AX$8:$AX$1007,INDEX($R$8:$R$207,$U81),매출원본!$BA$8:$BA$1007,"포함",매출원본!$AS$8:$AS$1007,"&gt;="&amp;EDATE(설정!$B$10,4),매출원본!$AS$8:$AS$1007,"&lt;="&amp;EOMONTH(설정!$B$10,4)))</f>
        <v/>
      </c>
      <c r="N81" s="33">
        <f>IF(OR($U81="",5&gt;=설정!$B$12),"",SUMIFS(매출원본!$AT$8:$AT$1007,매출원본!$AX$8:$AX$1007,INDEX($R$8:$R$207,$U81),매출원본!$BA$8:$BA$1007,"포함",매출원본!$AS$8:$AS$1007,"&gt;="&amp;EDATE(설정!$B$10,5),매출원본!$AS$8:$AS$1007,"&lt;="&amp;EOMONTH(설정!$B$10,5)))</f>
        <v/>
      </c>
      <c r="Q81" s="35" t="n">
        <v>74</v>
      </c>
      <c r="R81" s="35">
        <f>IFERROR(INDEX(매출원본!$AX$8:$AX$1007,MATCH($Q81,매출원본!$BD$8:$BD$1007,0)),"")</f>
        <v/>
      </c>
      <c r="S81" s="35">
        <f>IF($R81="","",SUMIFS(매출원본!$AT$8:$AT$1007,매출원본!$AX$8:$AX$1007,$R81,매출원본!$BA$8:$BA$1007,"포함"))</f>
        <v/>
      </c>
      <c r="T81" s="35">
        <f>IF($R81="","",$S81-$Q81/100000)</f>
        <v/>
      </c>
      <c r="U81" s="35">
        <f>IFERROR(MATCH(LARGE($T$8:$T$207,74),$T$8:$T$207,0),"")</f>
        <v/>
      </c>
    </row>
    <row r="82">
      <c r="A82" s="32">
        <f>IF($U82="","",75)</f>
        <v/>
      </c>
      <c r="B82" s="10">
        <f>IF($U82="","",IFERROR(INDEX(매출원본!$AZ$8:$AZ$1007,MATCH($U82,매출원본!$BD$8:$BD$1007,0)),""))</f>
        <v/>
      </c>
      <c r="C82" s="10">
        <f>IF($U82="","",IFERROR(INDEX(매출원본!$AY$8:$AY$1007,MATCH($U82,매출원본!$BD$8:$BD$1007,0)),""))</f>
        <v/>
      </c>
      <c r="D82" s="33">
        <f>IF($U82="","",COUNTIFS(매출원본!$AX$8:$AX$1007,INDEX($R$8:$R$207,$U82),매출원본!$BA$8:$BA$1007,"포함"))</f>
        <v/>
      </c>
      <c r="E82" s="33">
        <f>IF($U82="","",SUMIFS(매출원본!$AT$8:$AT$1007,매출원본!$AX$8:$AX$1007,INDEX($R$8:$R$207,$U82),매출원본!$BA$8:$BA$1007,"포함"))</f>
        <v/>
      </c>
      <c r="F82" s="33">
        <f>IF($U82="","",SUMIFS(매출원본!$AU$8:$AU$1007,매출원본!$AX$8:$AX$1007,INDEX($R$8:$R$207,$U82),매출원본!$BA$8:$BA$1007,"포함"))</f>
        <v/>
      </c>
      <c r="G82" s="33">
        <f>IF($U82="","",SUMIFS(매출원본!$AV$8:$AV$1007,매출원본!$AX$8:$AX$1007,INDEX($R$8:$R$207,$U82),매출원본!$BA$8:$BA$1007,"포함"))</f>
        <v/>
      </c>
      <c r="H82" s="34">
        <f>IF(OR($U82="",$E$7=0),"",E82/$E$7)</f>
        <v/>
      </c>
      <c r="I82" s="33">
        <f>IF(OR($U82="",0&gt;=설정!$B$12),"",SUMIFS(매출원본!$AT$8:$AT$1007,매출원본!$AX$8:$AX$1007,INDEX($R$8:$R$207,$U82),매출원본!$BA$8:$BA$1007,"포함",매출원본!$AS$8:$AS$1007,"&gt;="&amp;EDATE(설정!$B$10,0),매출원본!$AS$8:$AS$1007,"&lt;="&amp;EOMONTH(설정!$B$10,0)))</f>
        <v/>
      </c>
      <c r="J82" s="33">
        <f>IF(OR($U82="",1&gt;=설정!$B$12),"",SUMIFS(매출원본!$AT$8:$AT$1007,매출원본!$AX$8:$AX$1007,INDEX($R$8:$R$207,$U82),매출원본!$BA$8:$BA$1007,"포함",매출원본!$AS$8:$AS$1007,"&gt;="&amp;EDATE(설정!$B$10,1),매출원본!$AS$8:$AS$1007,"&lt;="&amp;EOMONTH(설정!$B$10,1)))</f>
        <v/>
      </c>
      <c r="K82" s="33">
        <f>IF(OR($U82="",2&gt;=설정!$B$12),"",SUMIFS(매출원본!$AT$8:$AT$1007,매출원본!$AX$8:$AX$1007,INDEX($R$8:$R$207,$U82),매출원본!$BA$8:$BA$1007,"포함",매출원본!$AS$8:$AS$1007,"&gt;="&amp;EDATE(설정!$B$10,2),매출원본!$AS$8:$AS$1007,"&lt;="&amp;EOMONTH(설정!$B$10,2)))</f>
        <v/>
      </c>
      <c r="L82" s="33">
        <f>IF(OR($U82="",3&gt;=설정!$B$12),"",SUMIFS(매출원본!$AT$8:$AT$1007,매출원본!$AX$8:$AX$1007,INDEX($R$8:$R$207,$U82),매출원본!$BA$8:$BA$1007,"포함",매출원본!$AS$8:$AS$1007,"&gt;="&amp;EDATE(설정!$B$10,3),매출원본!$AS$8:$AS$1007,"&lt;="&amp;EOMONTH(설정!$B$10,3)))</f>
        <v/>
      </c>
      <c r="M82" s="33">
        <f>IF(OR($U82="",4&gt;=설정!$B$12),"",SUMIFS(매출원본!$AT$8:$AT$1007,매출원본!$AX$8:$AX$1007,INDEX($R$8:$R$207,$U82),매출원본!$BA$8:$BA$1007,"포함",매출원본!$AS$8:$AS$1007,"&gt;="&amp;EDATE(설정!$B$10,4),매출원본!$AS$8:$AS$1007,"&lt;="&amp;EOMONTH(설정!$B$10,4)))</f>
        <v/>
      </c>
      <c r="N82" s="33">
        <f>IF(OR($U82="",5&gt;=설정!$B$12),"",SUMIFS(매출원본!$AT$8:$AT$1007,매출원본!$AX$8:$AX$1007,INDEX($R$8:$R$207,$U82),매출원본!$BA$8:$BA$1007,"포함",매출원본!$AS$8:$AS$1007,"&gt;="&amp;EDATE(설정!$B$10,5),매출원본!$AS$8:$AS$1007,"&lt;="&amp;EOMONTH(설정!$B$10,5)))</f>
        <v/>
      </c>
      <c r="Q82" s="35" t="n">
        <v>75</v>
      </c>
      <c r="R82" s="35">
        <f>IFERROR(INDEX(매출원본!$AX$8:$AX$1007,MATCH($Q82,매출원본!$BD$8:$BD$1007,0)),"")</f>
        <v/>
      </c>
      <c r="S82" s="35">
        <f>IF($R82="","",SUMIFS(매출원본!$AT$8:$AT$1007,매출원본!$AX$8:$AX$1007,$R82,매출원본!$BA$8:$BA$1007,"포함"))</f>
        <v/>
      </c>
      <c r="T82" s="35">
        <f>IF($R82="","",$S82-$Q82/100000)</f>
        <v/>
      </c>
      <c r="U82" s="35">
        <f>IFERROR(MATCH(LARGE($T$8:$T$207,75),$T$8:$T$207,0),"")</f>
        <v/>
      </c>
    </row>
    <row r="83">
      <c r="A83" s="32">
        <f>IF($U83="","",76)</f>
        <v/>
      </c>
      <c r="B83" s="10">
        <f>IF($U83="","",IFERROR(INDEX(매출원본!$AZ$8:$AZ$1007,MATCH($U83,매출원본!$BD$8:$BD$1007,0)),""))</f>
        <v/>
      </c>
      <c r="C83" s="10">
        <f>IF($U83="","",IFERROR(INDEX(매출원본!$AY$8:$AY$1007,MATCH($U83,매출원본!$BD$8:$BD$1007,0)),""))</f>
        <v/>
      </c>
      <c r="D83" s="33">
        <f>IF($U83="","",COUNTIFS(매출원본!$AX$8:$AX$1007,INDEX($R$8:$R$207,$U83),매출원본!$BA$8:$BA$1007,"포함"))</f>
        <v/>
      </c>
      <c r="E83" s="33">
        <f>IF($U83="","",SUMIFS(매출원본!$AT$8:$AT$1007,매출원본!$AX$8:$AX$1007,INDEX($R$8:$R$207,$U83),매출원본!$BA$8:$BA$1007,"포함"))</f>
        <v/>
      </c>
      <c r="F83" s="33">
        <f>IF($U83="","",SUMIFS(매출원본!$AU$8:$AU$1007,매출원본!$AX$8:$AX$1007,INDEX($R$8:$R$207,$U83),매출원본!$BA$8:$BA$1007,"포함"))</f>
        <v/>
      </c>
      <c r="G83" s="33">
        <f>IF($U83="","",SUMIFS(매출원본!$AV$8:$AV$1007,매출원본!$AX$8:$AX$1007,INDEX($R$8:$R$207,$U83),매출원본!$BA$8:$BA$1007,"포함"))</f>
        <v/>
      </c>
      <c r="H83" s="34">
        <f>IF(OR($U83="",$E$7=0),"",E83/$E$7)</f>
        <v/>
      </c>
      <c r="I83" s="33">
        <f>IF(OR($U83="",0&gt;=설정!$B$12),"",SUMIFS(매출원본!$AT$8:$AT$1007,매출원본!$AX$8:$AX$1007,INDEX($R$8:$R$207,$U83),매출원본!$BA$8:$BA$1007,"포함",매출원본!$AS$8:$AS$1007,"&gt;="&amp;EDATE(설정!$B$10,0),매출원본!$AS$8:$AS$1007,"&lt;="&amp;EOMONTH(설정!$B$10,0)))</f>
        <v/>
      </c>
      <c r="J83" s="33">
        <f>IF(OR($U83="",1&gt;=설정!$B$12),"",SUMIFS(매출원본!$AT$8:$AT$1007,매출원본!$AX$8:$AX$1007,INDEX($R$8:$R$207,$U83),매출원본!$BA$8:$BA$1007,"포함",매출원본!$AS$8:$AS$1007,"&gt;="&amp;EDATE(설정!$B$10,1),매출원본!$AS$8:$AS$1007,"&lt;="&amp;EOMONTH(설정!$B$10,1)))</f>
        <v/>
      </c>
      <c r="K83" s="33">
        <f>IF(OR($U83="",2&gt;=설정!$B$12),"",SUMIFS(매출원본!$AT$8:$AT$1007,매출원본!$AX$8:$AX$1007,INDEX($R$8:$R$207,$U83),매출원본!$BA$8:$BA$1007,"포함",매출원본!$AS$8:$AS$1007,"&gt;="&amp;EDATE(설정!$B$10,2),매출원본!$AS$8:$AS$1007,"&lt;="&amp;EOMONTH(설정!$B$10,2)))</f>
        <v/>
      </c>
      <c r="L83" s="33">
        <f>IF(OR($U83="",3&gt;=설정!$B$12),"",SUMIFS(매출원본!$AT$8:$AT$1007,매출원본!$AX$8:$AX$1007,INDEX($R$8:$R$207,$U83),매출원본!$BA$8:$BA$1007,"포함",매출원본!$AS$8:$AS$1007,"&gt;="&amp;EDATE(설정!$B$10,3),매출원본!$AS$8:$AS$1007,"&lt;="&amp;EOMONTH(설정!$B$10,3)))</f>
        <v/>
      </c>
      <c r="M83" s="33">
        <f>IF(OR($U83="",4&gt;=설정!$B$12),"",SUMIFS(매출원본!$AT$8:$AT$1007,매출원본!$AX$8:$AX$1007,INDEX($R$8:$R$207,$U83),매출원본!$BA$8:$BA$1007,"포함",매출원본!$AS$8:$AS$1007,"&gt;="&amp;EDATE(설정!$B$10,4),매출원본!$AS$8:$AS$1007,"&lt;="&amp;EOMONTH(설정!$B$10,4)))</f>
        <v/>
      </c>
      <c r="N83" s="33">
        <f>IF(OR($U83="",5&gt;=설정!$B$12),"",SUMIFS(매출원본!$AT$8:$AT$1007,매출원본!$AX$8:$AX$1007,INDEX($R$8:$R$207,$U83),매출원본!$BA$8:$BA$1007,"포함",매출원본!$AS$8:$AS$1007,"&gt;="&amp;EDATE(설정!$B$10,5),매출원본!$AS$8:$AS$1007,"&lt;="&amp;EOMONTH(설정!$B$10,5)))</f>
        <v/>
      </c>
      <c r="Q83" s="35" t="n">
        <v>76</v>
      </c>
      <c r="R83" s="35">
        <f>IFERROR(INDEX(매출원본!$AX$8:$AX$1007,MATCH($Q83,매출원본!$BD$8:$BD$1007,0)),"")</f>
        <v/>
      </c>
      <c r="S83" s="35">
        <f>IF($R83="","",SUMIFS(매출원본!$AT$8:$AT$1007,매출원본!$AX$8:$AX$1007,$R83,매출원본!$BA$8:$BA$1007,"포함"))</f>
        <v/>
      </c>
      <c r="T83" s="35">
        <f>IF($R83="","",$S83-$Q83/100000)</f>
        <v/>
      </c>
      <c r="U83" s="35">
        <f>IFERROR(MATCH(LARGE($T$8:$T$207,76),$T$8:$T$207,0),"")</f>
        <v/>
      </c>
    </row>
    <row r="84">
      <c r="A84" s="32">
        <f>IF($U84="","",77)</f>
        <v/>
      </c>
      <c r="B84" s="10">
        <f>IF($U84="","",IFERROR(INDEX(매출원본!$AZ$8:$AZ$1007,MATCH($U84,매출원본!$BD$8:$BD$1007,0)),""))</f>
        <v/>
      </c>
      <c r="C84" s="10">
        <f>IF($U84="","",IFERROR(INDEX(매출원본!$AY$8:$AY$1007,MATCH($U84,매출원본!$BD$8:$BD$1007,0)),""))</f>
        <v/>
      </c>
      <c r="D84" s="33">
        <f>IF($U84="","",COUNTIFS(매출원본!$AX$8:$AX$1007,INDEX($R$8:$R$207,$U84),매출원본!$BA$8:$BA$1007,"포함"))</f>
        <v/>
      </c>
      <c r="E84" s="33">
        <f>IF($U84="","",SUMIFS(매출원본!$AT$8:$AT$1007,매출원본!$AX$8:$AX$1007,INDEX($R$8:$R$207,$U84),매출원본!$BA$8:$BA$1007,"포함"))</f>
        <v/>
      </c>
      <c r="F84" s="33">
        <f>IF($U84="","",SUMIFS(매출원본!$AU$8:$AU$1007,매출원본!$AX$8:$AX$1007,INDEX($R$8:$R$207,$U84),매출원본!$BA$8:$BA$1007,"포함"))</f>
        <v/>
      </c>
      <c r="G84" s="33">
        <f>IF($U84="","",SUMIFS(매출원본!$AV$8:$AV$1007,매출원본!$AX$8:$AX$1007,INDEX($R$8:$R$207,$U84),매출원본!$BA$8:$BA$1007,"포함"))</f>
        <v/>
      </c>
      <c r="H84" s="34">
        <f>IF(OR($U84="",$E$7=0),"",E84/$E$7)</f>
        <v/>
      </c>
      <c r="I84" s="33">
        <f>IF(OR($U84="",0&gt;=설정!$B$12),"",SUMIFS(매출원본!$AT$8:$AT$1007,매출원본!$AX$8:$AX$1007,INDEX($R$8:$R$207,$U84),매출원본!$BA$8:$BA$1007,"포함",매출원본!$AS$8:$AS$1007,"&gt;="&amp;EDATE(설정!$B$10,0),매출원본!$AS$8:$AS$1007,"&lt;="&amp;EOMONTH(설정!$B$10,0)))</f>
        <v/>
      </c>
      <c r="J84" s="33">
        <f>IF(OR($U84="",1&gt;=설정!$B$12),"",SUMIFS(매출원본!$AT$8:$AT$1007,매출원본!$AX$8:$AX$1007,INDEX($R$8:$R$207,$U84),매출원본!$BA$8:$BA$1007,"포함",매출원본!$AS$8:$AS$1007,"&gt;="&amp;EDATE(설정!$B$10,1),매출원본!$AS$8:$AS$1007,"&lt;="&amp;EOMONTH(설정!$B$10,1)))</f>
        <v/>
      </c>
      <c r="K84" s="33">
        <f>IF(OR($U84="",2&gt;=설정!$B$12),"",SUMIFS(매출원본!$AT$8:$AT$1007,매출원본!$AX$8:$AX$1007,INDEX($R$8:$R$207,$U84),매출원본!$BA$8:$BA$1007,"포함",매출원본!$AS$8:$AS$1007,"&gt;="&amp;EDATE(설정!$B$10,2),매출원본!$AS$8:$AS$1007,"&lt;="&amp;EOMONTH(설정!$B$10,2)))</f>
        <v/>
      </c>
      <c r="L84" s="33">
        <f>IF(OR($U84="",3&gt;=설정!$B$12),"",SUMIFS(매출원본!$AT$8:$AT$1007,매출원본!$AX$8:$AX$1007,INDEX($R$8:$R$207,$U84),매출원본!$BA$8:$BA$1007,"포함",매출원본!$AS$8:$AS$1007,"&gt;="&amp;EDATE(설정!$B$10,3),매출원본!$AS$8:$AS$1007,"&lt;="&amp;EOMONTH(설정!$B$10,3)))</f>
        <v/>
      </c>
      <c r="M84" s="33">
        <f>IF(OR($U84="",4&gt;=설정!$B$12),"",SUMIFS(매출원본!$AT$8:$AT$1007,매출원본!$AX$8:$AX$1007,INDEX($R$8:$R$207,$U84),매출원본!$BA$8:$BA$1007,"포함",매출원본!$AS$8:$AS$1007,"&gt;="&amp;EDATE(설정!$B$10,4),매출원본!$AS$8:$AS$1007,"&lt;="&amp;EOMONTH(설정!$B$10,4)))</f>
        <v/>
      </c>
      <c r="N84" s="33">
        <f>IF(OR($U84="",5&gt;=설정!$B$12),"",SUMIFS(매출원본!$AT$8:$AT$1007,매출원본!$AX$8:$AX$1007,INDEX($R$8:$R$207,$U84),매출원본!$BA$8:$BA$1007,"포함",매출원본!$AS$8:$AS$1007,"&gt;="&amp;EDATE(설정!$B$10,5),매출원본!$AS$8:$AS$1007,"&lt;="&amp;EOMONTH(설정!$B$10,5)))</f>
        <v/>
      </c>
      <c r="Q84" s="35" t="n">
        <v>77</v>
      </c>
      <c r="R84" s="35">
        <f>IFERROR(INDEX(매출원본!$AX$8:$AX$1007,MATCH($Q84,매출원본!$BD$8:$BD$1007,0)),"")</f>
        <v/>
      </c>
      <c r="S84" s="35">
        <f>IF($R84="","",SUMIFS(매출원본!$AT$8:$AT$1007,매출원본!$AX$8:$AX$1007,$R84,매출원본!$BA$8:$BA$1007,"포함"))</f>
        <v/>
      </c>
      <c r="T84" s="35">
        <f>IF($R84="","",$S84-$Q84/100000)</f>
        <v/>
      </c>
      <c r="U84" s="35">
        <f>IFERROR(MATCH(LARGE($T$8:$T$207,77),$T$8:$T$207,0),"")</f>
        <v/>
      </c>
    </row>
    <row r="85">
      <c r="A85" s="32">
        <f>IF($U85="","",78)</f>
        <v/>
      </c>
      <c r="B85" s="10">
        <f>IF($U85="","",IFERROR(INDEX(매출원본!$AZ$8:$AZ$1007,MATCH($U85,매출원본!$BD$8:$BD$1007,0)),""))</f>
        <v/>
      </c>
      <c r="C85" s="10">
        <f>IF($U85="","",IFERROR(INDEX(매출원본!$AY$8:$AY$1007,MATCH($U85,매출원본!$BD$8:$BD$1007,0)),""))</f>
        <v/>
      </c>
      <c r="D85" s="33">
        <f>IF($U85="","",COUNTIFS(매출원본!$AX$8:$AX$1007,INDEX($R$8:$R$207,$U85),매출원본!$BA$8:$BA$1007,"포함"))</f>
        <v/>
      </c>
      <c r="E85" s="33">
        <f>IF($U85="","",SUMIFS(매출원본!$AT$8:$AT$1007,매출원본!$AX$8:$AX$1007,INDEX($R$8:$R$207,$U85),매출원본!$BA$8:$BA$1007,"포함"))</f>
        <v/>
      </c>
      <c r="F85" s="33">
        <f>IF($U85="","",SUMIFS(매출원본!$AU$8:$AU$1007,매출원본!$AX$8:$AX$1007,INDEX($R$8:$R$207,$U85),매출원본!$BA$8:$BA$1007,"포함"))</f>
        <v/>
      </c>
      <c r="G85" s="33">
        <f>IF($U85="","",SUMIFS(매출원본!$AV$8:$AV$1007,매출원본!$AX$8:$AX$1007,INDEX($R$8:$R$207,$U85),매출원본!$BA$8:$BA$1007,"포함"))</f>
        <v/>
      </c>
      <c r="H85" s="34">
        <f>IF(OR($U85="",$E$7=0),"",E85/$E$7)</f>
        <v/>
      </c>
      <c r="I85" s="33">
        <f>IF(OR($U85="",0&gt;=설정!$B$12),"",SUMIFS(매출원본!$AT$8:$AT$1007,매출원본!$AX$8:$AX$1007,INDEX($R$8:$R$207,$U85),매출원본!$BA$8:$BA$1007,"포함",매출원본!$AS$8:$AS$1007,"&gt;="&amp;EDATE(설정!$B$10,0),매출원본!$AS$8:$AS$1007,"&lt;="&amp;EOMONTH(설정!$B$10,0)))</f>
        <v/>
      </c>
      <c r="J85" s="33">
        <f>IF(OR($U85="",1&gt;=설정!$B$12),"",SUMIFS(매출원본!$AT$8:$AT$1007,매출원본!$AX$8:$AX$1007,INDEX($R$8:$R$207,$U85),매출원본!$BA$8:$BA$1007,"포함",매출원본!$AS$8:$AS$1007,"&gt;="&amp;EDATE(설정!$B$10,1),매출원본!$AS$8:$AS$1007,"&lt;="&amp;EOMONTH(설정!$B$10,1)))</f>
        <v/>
      </c>
      <c r="K85" s="33">
        <f>IF(OR($U85="",2&gt;=설정!$B$12),"",SUMIFS(매출원본!$AT$8:$AT$1007,매출원본!$AX$8:$AX$1007,INDEX($R$8:$R$207,$U85),매출원본!$BA$8:$BA$1007,"포함",매출원본!$AS$8:$AS$1007,"&gt;="&amp;EDATE(설정!$B$10,2),매출원본!$AS$8:$AS$1007,"&lt;="&amp;EOMONTH(설정!$B$10,2)))</f>
        <v/>
      </c>
      <c r="L85" s="33">
        <f>IF(OR($U85="",3&gt;=설정!$B$12),"",SUMIFS(매출원본!$AT$8:$AT$1007,매출원본!$AX$8:$AX$1007,INDEX($R$8:$R$207,$U85),매출원본!$BA$8:$BA$1007,"포함",매출원본!$AS$8:$AS$1007,"&gt;="&amp;EDATE(설정!$B$10,3),매출원본!$AS$8:$AS$1007,"&lt;="&amp;EOMONTH(설정!$B$10,3)))</f>
        <v/>
      </c>
      <c r="M85" s="33">
        <f>IF(OR($U85="",4&gt;=설정!$B$12),"",SUMIFS(매출원본!$AT$8:$AT$1007,매출원본!$AX$8:$AX$1007,INDEX($R$8:$R$207,$U85),매출원본!$BA$8:$BA$1007,"포함",매출원본!$AS$8:$AS$1007,"&gt;="&amp;EDATE(설정!$B$10,4),매출원본!$AS$8:$AS$1007,"&lt;="&amp;EOMONTH(설정!$B$10,4)))</f>
        <v/>
      </c>
      <c r="N85" s="33">
        <f>IF(OR($U85="",5&gt;=설정!$B$12),"",SUMIFS(매출원본!$AT$8:$AT$1007,매출원본!$AX$8:$AX$1007,INDEX($R$8:$R$207,$U85),매출원본!$BA$8:$BA$1007,"포함",매출원본!$AS$8:$AS$1007,"&gt;="&amp;EDATE(설정!$B$10,5),매출원본!$AS$8:$AS$1007,"&lt;="&amp;EOMONTH(설정!$B$10,5)))</f>
        <v/>
      </c>
      <c r="Q85" s="35" t="n">
        <v>78</v>
      </c>
      <c r="R85" s="35">
        <f>IFERROR(INDEX(매출원본!$AX$8:$AX$1007,MATCH($Q85,매출원본!$BD$8:$BD$1007,0)),"")</f>
        <v/>
      </c>
      <c r="S85" s="35">
        <f>IF($R85="","",SUMIFS(매출원본!$AT$8:$AT$1007,매출원본!$AX$8:$AX$1007,$R85,매출원본!$BA$8:$BA$1007,"포함"))</f>
        <v/>
      </c>
      <c r="T85" s="35">
        <f>IF($R85="","",$S85-$Q85/100000)</f>
        <v/>
      </c>
      <c r="U85" s="35">
        <f>IFERROR(MATCH(LARGE($T$8:$T$207,78),$T$8:$T$207,0),"")</f>
        <v/>
      </c>
    </row>
    <row r="86">
      <c r="A86" s="32">
        <f>IF($U86="","",79)</f>
        <v/>
      </c>
      <c r="B86" s="10">
        <f>IF($U86="","",IFERROR(INDEX(매출원본!$AZ$8:$AZ$1007,MATCH($U86,매출원본!$BD$8:$BD$1007,0)),""))</f>
        <v/>
      </c>
      <c r="C86" s="10">
        <f>IF($U86="","",IFERROR(INDEX(매출원본!$AY$8:$AY$1007,MATCH($U86,매출원본!$BD$8:$BD$1007,0)),""))</f>
        <v/>
      </c>
      <c r="D86" s="33">
        <f>IF($U86="","",COUNTIFS(매출원본!$AX$8:$AX$1007,INDEX($R$8:$R$207,$U86),매출원본!$BA$8:$BA$1007,"포함"))</f>
        <v/>
      </c>
      <c r="E86" s="33">
        <f>IF($U86="","",SUMIFS(매출원본!$AT$8:$AT$1007,매출원본!$AX$8:$AX$1007,INDEX($R$8:$R$207,$U86),매출원본!$BA$8:$BA$1007,"포함"))</f>
        <v/>
      </c>
      <c r="F86" s="33">
        <f>IF($U86="","",SUMIFS(매출원본!$AU$8:$AU$1007,매출원본!$AX$8:$AX$1007,INDEX($R$8:$R$207,$U86),매출원본!$BA$8:$BA$1007,"포함"))</f>
        <v/>
      </c>
      <c r="G86" s="33">
        <f>IF($U86="","",SUMIFS(매출원본!$AV$8:$AV$1007,매출원본!$AX$8:$AX$1007,INDEX($R$8:$R$207,$U86),매출원본!$BA$8:$BA$1007,"포함"))</f>
        <v/>
      </c>
      <c r="H86" s="34">
        <f>IF(OR($U86="",$E$7=0),"",E86/$E$7)</f>
        <v/>
      </c>
      <c r="I86" s="33">
        <f>IF(OR($U86="",0&gt;=설정!$B$12),"",SUMIFS(매출원본!$AT$8:$AT$1007,매출원본!$AX$8:$AX$1007,INDEX($R$8:$R$207,$U86),매출원본!$BA$8:$BA$1007,"포함",매출원본!$AS$8:$AS$1007,"&gt;="&amp;EDATE(설정!$B$10,0),매출원본!$AS$8:$AS$1007,"&lt;="&amp;EOMONTH(설정!$B$10,0)))</f>
        <v/>
      </c>
      <c r="J86" s="33">
        <f>IF(OR($U86="",1&gt;=설정!$B$12),"",SUMIFS(매출원본!$AT$8:$AT$1007,매출원본!$AX$8:$AX$1007,INDEX($R$8:$R$207,$U86),매출원본!$BA$8:$BA$1007,"포함",매출원본!$AS$8:$AS$1007,"&gt;="&amp;EDATE(설정!$B$10,1),매출원본!$AS$8:$AS$1007,"&lt;="&amp;EOMONTH(설정!$B$10,1)))</f>
        <v/>
      </c>
      <c r="K86" s="33">
        <f>IF(OR($U86="",2&gt;=설정!$B$12),"",SUMIFS(매출원본!$AT$8:$AT$1007,매출원본!$AX$8:$AX$1007,INDEX($R$8:$R$207,$U86),매출원본!$BA$8:$BA$1007,"포함",매출원본!$AS$8:$AS$1007,"&gt;="&amp;EDATE(설정!$B$10,2),매출원본!$AS$8:$AS$1007,"&lt;="&amp;EOMONTH(설정!$B$10,2)))</f>
        <v/>
      </c>
      <c r="L86" s="33">
        <f>IF(OR($U86="",3&gt;=설정!$B$12),"",SUMIFS(매출원본!$AT$8:$AT$1007,매출원본!$AX$8:$AX$1007,INDEX($R$8:$R$207,$U86),매출원본!$BA$8:$BA$1007,"포함",매출원본!$AS$8:$AS$1007,"&gt;="&amp;EDATE(설정!$B$10,3),매출원본!$AS$8:$AS$1007,"&lt;="&amp;EOMONTH(설정!$B$10,3)))</f>
        <v/>
      </c>
      <c r="M86" s="33">
        <f>IF(OR($U86="",4&gt;=설정!$B$12),"",SUMIFS(매출원본!$AT$8:$AT$1007,매출원본!$AX$8:$AX$1007,INDEX($R$8:$R$207,$U86),매출원본!$BA$8:$BA$1007,"포함",매출원본!$AS$8:$AS$1007,"&gt;="&amp;EDATE(설정!$B$10,4),매출원본!$AS$8:$AS$1007,"&lt;="&amp;EOMONTH(설정!$B$10,4)))</f>
        <v/>
      </c>
      <c r="N86" s="33">
        <f>IF(OR($U86="",5&gt;=설정!$B$12),"",SUMIFS(매출원본!$AT$8:$AT$1007,매출원본!$AX$8:$AX$1007,INDEX($R$8:$R$207,$U86),매출원본!$BA$8:$BA$1007,"포함",매출원본!$AS$8:$AS$1007,"&gt;="&amp;EDATE(설정!$B$10,5),매출원본!$AS$8:$AS$1007,"&lt;="&amp;EOMONTH(설정!$B$10,5)))</f>
        <v/>
      </c>
      <c r="Q86" s="35" t="n">
        <v>79</v>
      </c>
      <c r="R86" s="35">
        <f>IFERROR(INDEX(매출원본!$AX$8:$AX$1007,MATCH($Q86,매출원본!$BD$8:$BD$1007,0)),"")</f>
        <v/>
      </c>
      <c r="S86" s="35">
        <f>IF($R86="","",SUMIFS(매출원본!$AT$8:$AT$1007,매출원본!$AX$8:$AX$1007,$R86,매출원본!$BA$8:$BA$1007,"포함"))</f>
        <v/>
      </c>
      <c r="T86" s="35">
        <f>IF($R86="","",$S86-$Q86/100000)</f>
        <v/>
      </c>
      <c r="U86" s="35">
        <f>IFERROR(MATCH(LARGE($T$8:$T$207,79),$T$8:$T$207,0),"")</f>
        <v/>
      </c>
    </row>
    <row r="87">
      <c r="A87" s="32">
        <f>IF($U87="","",80)</f>
        <v/>
      </c>
      <c r="B87" s="10">
        <f>IF($U87="","",IFERROR(INDEX(매출원본!$AZ$8:$AZ$1007,MATCH($U87,매출원본!$BD$8:$BD$1007,0)),""))</f>
        <v/>
      </c>
      <c r="C87" s="10">
        <f>IF($U87="","",IFERROR(INDEX(매출원본!$AY$8:$AY$1007,MATCH($U87,매출원본!$BD$8:$BD$1007,0)),""))</f>
        <v/>
      </c>
      <c r="D87" s="33">
        <f>IF($U87="","",COUNTIFS(매출원본!$AX$8:$AX$1007,INDEX($R$8:$R$207,$U87),매출원본!$BA$8:$BA$1007,"포함"))</f>
        <v/>
      </c>
      <c r="E87" s="33">
        <f>IF($U87="","",SUMIFS(매출원본!$AT$8:$AT$1007,매출원본!$AX$8:$AX$1007,INDEX($R$8:$R$207,$U87),매출원본!$BA$8:$BA$1007,"포함"))</f>
        <v/>
      </c>
      <c r="F87" s="33">
        <f>IF($U87="","",SUMIFS(매출원본!$AU$8:$AU$1007,매출원본!$AX$8:$AX$1007,INDEX($R$8:$R$207,$U87),매출원본!$BA$8:$BA$1007,"포함"))</f>
        <v/>
      </c>
      <c r="G87" s="33">
        <f>IF($U87="","",SUMIFS(매출원본!$AV$8:$AV$1007,매출원본!$AX$8:$AX$1007,INDEX($R$8:$R$207,$U87),매출원본!$BA$8:$BA$1007,"포함"))</f>
        <v/>
      </c>
      <c r="H87" s="34">
        <f>IF(OR($U87="",$E$7=0),"",E87/$E$7)</f>
        <v/>
      </c>
      <c r="I87" s="33">
        <f>IF(OR($U87="",0&gt;=설정!$B$12),"",SUMIFS(매출원본!$AT$8:$AT$1007,매출원본!$AX$8:$AX$1007,INDEX($R$8:$R$207,$U87),매출원본!$BA$8:$BA$1007,"포함",매출원본!$AS$8:$AS$1007,"&gt;="&amp;EDATE(설정!$B$10,0),매출원본!$AS$8:$AS$1007,"&lt;="&amp;EOMONTH(설정!$B$10,0)))</f>
        <v/>
      </c>
      <c r="J87" s="33">
        <f>IF(OR($U87="",1&gt;=설정!$B$12),"",SUMIFS(매출원본!$AT$8:$AT$1007,매출원본!$AX$8:$AX$1007,INDEX($R$8:$R$207,$U87),매출원본!$BA$8:$BA$1007,"포함",매출원본!$AS$8:$AS$1007,"&gt;="&amp;EDATE(설정!$B$10,1),매출원본!$AS$8:$AS$1007,"&lt;="&amp;EOMONTH(설정!$B$10,1)))</f>
        <v/>
      </c>
      <c r="K87" s="33">
        <f>IF(OR($U87="",2&gt;=설정!$B$12),"",SUMIFS(매출원본!$AT$8:$AT$1007,매출원본!$AX$8:$AX$1007,INDEX($R$8:$R$207,$U87),매출원본!$BA$8:$BA$1007,"포함",매출원본!$AS$8:$AS$1007,"&gt;="&amp;EDATE(설정!$B$10,2),매출원본!$AS$8:$AS$1007,"&lt;="&amp;EOMONTH(설정!$B$10,2)))</f>
        <v/>
      </c>
      <c r="L87" s="33">
        <f>IF(OR($U87="",3&gt;=설정!$B$12),"",SUMIFS(매출원본!$AT$8:$AT$1007,매출원본!$AX$8:$AX$1007,INDEX($R$8:$R$207,$U87),매출원본!$BA$8:$BA$1007,"포함",매출원본!$AS$8:$AS$1007,"&gt;="&amp;EDATE(설정!$B$10,3),매출원본!$AS$8:$AS$1007,"&lt;="&amp;EOMONTH(설정!$B$10,3)))</f>
        <v/>
      </c>
      <c r="M87" s="33">
        <f>IF(OR($U87="",4&gt;=설정!$B$12),"",SUMIFS(매출원본!$AT$8:$AT$1007,매출원본!$AX$8:$AX$1007,INDEX($R$8:$R$207,$U87),매출원본!$BA$8:$BA$1007,"포함",매출원본!$AS$8:$AS$1007,"&gt;="&amp;EDATE(설정!$B$10,4),매출원본!$AS$8:$AS$1007,"&lt;="&amp;EOMONTH(설정!$B$10,4)))</f>
        <v/>
      </c>
      <c r="N87" s="33">
        <f>IF(OR($U87="",5&gt;=설정!$B$12),"",SUMIFS(매출원본!$AT$8:$AT$1007,매출원본!$AX$8:$AX$1007,INDEX($R$8:$R$207,$U87),매출원본!$BA$8:$BA$1007,"포함",매출원본!$AS$8:$AS$1007,"&gt;="&amp;EDATE(설정!$B$10,5),매출원본!$AS$8:$AS$1007,"&lt;="&amp;EOMONTH(설정!$B$10,5)))</f>
        <v/>
      </c>
      <c r="Q87" s="35" t="n">
        <v>80</v>
      </c>
      <c r="R87" s="35">
        <f>IFERROR(INDEX(매출원본!$AX$8:$AX$1007,MATCH($Q87,매출원본!$BD$8:$BD$1007,0)),"")</f>
        <v/>
      </c>
      <c r="S87" s="35">
        <f>IF($R87="","",SUMIFS(매출원본!$AT$8:$AT$1007,매출원본!$AX$8:$AX$1007,$R87,매출원본!$BA$8:$BA$1007,"포함"))</f>
        <v/>
      </c>
      <c r="T87" s="35">
        <f>IF($R87="","",$S87-$Q87/100000)</f>
        <v/>
      </c>
      <c r="U87" s="35">
        <f>IFERROR(MATCH(LARGE($T$8:$T$207,80),$T$8:$T$207,0),"")</f>
        <v/>
      </c>
    </row>
    <row r="88">
      <c r="A88" s="32">
        <f>IF($U88="","",81)</f>
        <v/>
      </c>
      <c r="B88" s="10">
        <f>IF($U88="","",IFERROR(INDEX(매출원본!$AZ$8:$AZ$1007,MATCH($U88,매출원본!$BD$8:$BD$1007,0)),""))</f>
        <v/>
      </c>
      <c r="C88" s="10">
        <f>IF($U88="","",IFERROR(INDEX(매출원본!$AY$8:$AY$1007,MATCH($U88,매출원본!$BD$8:$BD$1007,0)),""))</f>
        <v/>
      </c>
      <c r="D88" s="33">
        <f>IF($U88="","",COUNTIFS(매출원본!$AX$8:$AX$1007,INDEX($R$8:$R$207,$U88),매출원본!$BA$8:$BA$1007,"포함"))</f>
        <v/>
      </c>
      <c r="E88" s="33">
        <f>IF($U88="","",SUMIFS(매출원본!$AT$8:$AT$1007,매출원본!$AX$8:$AX$1007,INDEX($R$8:$R$207,$U88),매출원본!$BA$8:$BA$1007,"포함"))</f>
        <v/>
      </c>
      <c r="F88" s="33">
        <f>IF($U88="","",SUMIFS(매출원본!$AU$8:$AU$1007,매출원본!$AX$8:$AX$1007,INDEX($R$8:$R$207,$U88),매출원본!$BA$8:$BA$1007,"포함"))</f>
        <v/>
      </c>
      <c r="G88" s="33">
        <f>IF($U88="","",SUMIFS(매출원본!$AV$8:$AV$1007,매출원본!$AX$8:$AX$1007,INDEX($R$8:$R$207,$U88),매출원본!$BA$8:$BA$1007,"포함"))</f>
        <v/>
      </c>
      <c r="H88" s="34">
        <f>IF(OR($U88="",$E$7=0),"",E88/$E$7)</f>
        <v/>
      </c>
      <c r="I88" s="33">
        <f>IF(OR($U88="",0&gt;=설정!$B$12),"",SUMIFS(매출원본!$AT$8:$AT$1007,매출원본!$AX$8:$AX$1007,INDEX($R$8:$R$207,$U88),매출원본!$BA$8:$BA$1007,"포함",매출원본!$AS$8:$AS$1007,"&gt;="&amp;EDATE(설정!$B$10,0),매출원본!$AS$8:$AS$1007,"&lt;="&amp;EOMONTH(설정!$B$10,0)))</f>
        <v/>
      </c>
      <c r="J88" s="33">
        <f>IF(OR($U88="",1&gt;=설정!$B$12),"",SUMIFS(매출원본!$AT$8:$AT$1007,매출원본!$AX$8:$AX$1007,INDEX($R$8:$R$207,$U88),매출원본!$BA$8:$BA$1007,"포함",매출원본!$AS$8:$AS$1007,"&gt;="&amp;EDATE(설정!$B$10,1),매출원본!$AS$8:$AS$1007,"&lt;="&amp;EOMONTH(설정!$B$10,1)))</f>
        <v/>
      </c>
      <c r="K88" s="33">
        <f>IF(OR($U88="",2&gt;=설정!$B$12),"",SUMIFS(매출원본!$AT$8:$AT$1007,매출원본!$AX$8:$AX$1007,INDEX($R$8:$R$207,$U88),매출원본!$BA$8:$BA$1007,"포함",매출원본!$AS$8:$AS$1007,"&gt;="&amp;EDATE(설정!$B$10,2),매출원본!$AS$8:$AS$1007,"&lt;="&amp;EOMONTH(설정!$B$10,2)))</f>
        <v/>
      </c>
      <c r="L88" s="33">
        <f>IF(OR($U88="",3&gt;=설정!$B$12),"",SUMIFS(매출원본!$AT$8:$AT$1007,매출원본!$AX$8:$AX$1007,INDEX($R$8:$R$207,$U88),매출원본!$BA$8:$BA$1007,"포함",매출원본!$AS$8:$AS$1007,"&gt;="&amp;EDATE(설정!$B$10,3),매출원본!$AS$8:$AS$1007,"&lt;="&amp;EOMONTH(설정!$B$10,3)))</f>
        <v/>
      </c>
      <c r="M88" s="33">
        <f>IF(OR($U88="",4&gt;=설정!$B$12),"",SUMIFS(매출원본!$AT$8:$AT$1007,매출원본!$AX$8:$AX$1007,INDEX($R$8:$R$207,$U88),매출원본!$BA$8:$BA$1007,"포함",매출원본!$AS$8:$AS$1007,"&gt;="&amp;EDATE(설정!$B$10,4),매출원본!$AS$8:$AS$1007,"&lt;="&amp;EOMONTH(설정!$B$10,4)))</f>
        <v/>
      </c>
      <c r="N88" s="33">
        <f>IF(OR($U88="",5&gt;=설정!$B$12),"",SUMIFS(매출원본!$AT$8:$AT$1007,매출원본!$AX$8:$AX$1007,INDEX($R$8:$R$207,$U88),매출원본!$BA$8:$BA$1007,"포함",매출원본!$AS$8:$AS$1007,"&gt;="&amp;EDATE(설정!$B$10,5),매출원본!$AS$8:$AS$1007,"&lt;="&amp;EOMONTH(설정!$B$10,5)))</f>
        <v/>
      </c>
      <c r="Q88" s="35" t="n">
        <v>81</v>
      </c>
      <c r="R88" s="35">
        <f>IFERROR(INDEX(매출원본!$AX$8:$AX$1007,MATCH($Q88,매출원본!$BD$8:$BD$1007,0)),"")</f>
        <v/>
      </c>
      <c r="S88" s="35">
        <f>IF($R88="","",SUMIFS(매출원본!$AT$8:$AT$1007,매출원본!$AX$8:$AX$1007,$R88,매출원본!$BA$8:$BA$1007,"포함"))</f>
        <v/>
      </c>
      <c r="T88" s="35">
        <f>IF($R88="","",$S88-$Q88/100000)</f>
        <v/>
      </c>
      <c r="U88" s="35">
        <f>IFERROR(MATCH(LARGE($T$8:$T$207,81),$T$8:$T$207,0),"")</f>
        <v/>
      </c>
    </row>
    <row r="89">
      <c r="A89" s="32">
        <f>IF($U89="","",82)</f>
        <v/>
      </c>
      <c r="B89" s="10">
        <f>IF($U89="","",IFERROR(INDEX(매출원본!$AZ$8:$AZ$1007,MATCH($U89,매출원본!$BD$8:$BD$1007,0)),""))</f>
        <v/>
      </c>
      <c r="C89" s="10">
        <f>IF($U89="","",IFERROR(INDEX(매출원본!$AY$8:$AY$1007,MATCH($U89,매출원본!$BD$8:$BD$1007,0)),""))</f>
        <v/>
      </c>
      <c r="D89" s="33">
        <f>IF($U89="","",COUNTIFS(매출원본!$AX$8:$AX$1007,INDEX($R$8:$R$207,$U89),매출원본!$BA$8:$BA$1007,"포함"))</f>
        <v/>
      </c>
      <c r="E89" s="33">
        <f>IF($U89="","",SUMIFS(매출원본!$AT$8:$AT$1007,매출원본!$AX$8:$AX$1007,INDEX($R$8:$R$207,$U89),매출원본!$BA$8:$BA$1007,"포함"))</f>
        <v/>
      </c>
      <c r="F89" s="33">
        <f>IF($U89="","",SUMIFS(매출원본!$AU$8:$AU$1007,매출원본!$AX$8:$AX$1007,INDEX($R$8:$R$207,$U89),매출원본!$BA$8:$BA$1007,"포함"))</f>
        <v/>
      </c>
      <c r="G89" s="33">
        <f>IF($U89="","",SUMIFS(매출원본!$AV$8:$AV$1007,매출원본!$AX$8:$AX$1007,INDEX($R$8:$R$207,$U89),매출원본!$BA$8:$BA$1007,"포함"))</f>
        <v/>
      </c>
      <c r="H89" s="34">
        <f>IF(OR($U89="",$E$7=0),"",E89/$E$7)</f>
        <v/>
      </c>
      <c r="I89" s="33">
        <f>IF(OR($U89="",0&gt;=설정!$B$12),"",SUMIFS(매출원본!$AT$8:$AT$1007,매출원본!$AX$8:$AX$1007,INDEX($R$8:$R$207,$U89),매출원본!$BA$8:$BA$1007,"포함",매출원본!$AS$8:$AS$1007,"&gt;="&amp;EDATE(설정!$B$10,0),매출원본!$AS$8:$AS$1007,"&lt;="&amp;EOMONTH(설정!$B$10,0)))</f>
        <v/>
      </c>
      <c r="J89" s="33">
        <f>IF(OR($U89="",1&gt;=설정!$B$12),"",SUMIFS(매출원본!$AT$8:$AT$1007,매출원본!$AX$8:$AX$1007,INDEX($R$8:$R$207,$U89),매출원본!$BA$8:$BA$1007,"포함",매출원본!$AS$8:$AS$1007,"&gt;="&amp;EDATE(설정!$B$10,1),매출원본!$AS$8:$AS$1007,"&lt;="&amp;EOMONTH(설정!$B$10,1)))</f>
        <v/>
      </c>
      <c r="K89" s="33">
        <f>IF(OR($U89="",2&gt;=설정!$B$12),"",SUMIFS(매출원본!$AT$8:$AT$1007,매출원본!$AX$8:$AX$1007,INDEX($R$8:$R$207,$U89),매출원본!$BA$8:$BA$1007,"포함",매출원본!$AS$8:$AS$1007,"&gt;="&amp;EDATE(설정!$B$10,2),매출원본!$AS$8:$AS$1007,"&lt;="&amp;EOMONTH(설정!$B$10,2)))</f>
        <v/>
      </c>
      <c r="L89" s="33">
        <f>IF(OR($U89="",3&gt;=설정!$B$12),"",SUMIFS(매출원본!$AT$8:$AT$1007,매출원본!$AX$8:$AX$1007,INDEX($R$8:$R$207,$U89),매출원본!$BA$8:$BA$1007,"포함",매출원본!$AS$8:$AS$1007,"&gt;="&amp;EDATE(설정!$B$10,3),매출원본!$AS$8:$AS$1007,"&lt;="&amp;EOMONTH(설정!$B$10,3)))</f>
        <v/>
      </c>
      <c r="M89" s="33">
        <f>IF(OR($U89="",4&gt;=설정!$B$12),"",SUMIFS(매출원본!$AT$8:$AT$1007,매출원본!$AX$8:$AX$1007,INDEX($R$8:$R$207,$U89),매출원본!$BA$8:$BA$1007,"포함",매출원본!$AS$8:$AS$1007,"&gt;="&amp;EDATE(설정!$B$10,4),매출원본!$AS$8:$AS$1007,"&lt;="&amp;EOMONTH(설정!$B$10,4)))</f>
        <v/>
      </c>
      <c r="N89" s="33">
        <f>IF(OR($U89="",5&gt;=설정!$B$12),"",SUMIFS(매출원본!$AT$8:$AT$1007,매출원본!$AX$8:$AX$1007,INDEX($R$8:$R$207,$U89),매출원본!$BA$8:$BA$1007,"포함",매출원본!$AS$8:$AS$1007,"&gt;="&amp;EDATE(설정!$B$10,5),매출원본!$AS$8:$AS$1007,"&lt;="&amp;EOMONTH(설정!$B$10,5)))</f>
        <v/>
      </c>
      <c r="Q89" s="35" t="n">
        <v>82</v>
      </c>
      <c r="R89" s="35">
        <f>IFERROR(INDEX(매출원본!$AX$8:$AX$1007,MATCH($Q89,매출원본!$BD$8:$BD$1007,0)),"")</f>
        <v/>
      </c>
      <c r="S89" s="35">
        <f>IF($R89="","",SUMIFS(매출원본!$AT$8:$AT$1007,매출원본!$AX$8:$AX$1007,$R89,매출원본!$BA$8:$BA$1007,"포함"))</f>
        <v/>
      </c>
      <c r="T89" s="35">
        <f>IF($R89="","",$S89-$Q89/100000)</f>
        <v/>
      </c>
      <c r="U89" s="35">
        <f>IFERROR(MATCH(LARGE($T$8:$T$207,82),$T$8:$T$207,0),"")</f>
        <v/>
      </c>
    </row>
    <row r="90">
      <c r="A90" s="32">
        <f>IF($U90="","",83)</f>
        <v/>
      </c>
      <c r="B90" s="10">
        <f>IF($U90="","",IFERROR(INDEX(매출원본!$AZ$8:$AZ$1007,MATCH($U90,매출원본!$BD$8:$BD$1007,0)),""))</f>
        <v/>
      </c>
      <c r="C90" s="10">
        <f>IF($U90="","",IFERROR(INDEX(매출원본!$AY$8:$AY$1007,MATCH($U90,매출원본!$BD$8:$BD$1007,0)),""))</f>
        <v/>
      </c>
      <c r="D90" s="33">
        <f>IF($U90="","",COUNTIFS(매출원본!$AX$8:$AX$1007,INDEX($R$8:$R$207,$U90),매출원본!$BA$8:$BA$1007,"포함"))</f>
        <v/>
      </c>
      <c r="E90" s="33">
        <f>IF($U90="","",SUMIFS(매출원본!$AT$8:$AT$1007,매출원본!$AX$8:$AX$1007,INDEX($R$8:$R$207,$U90),매출원본!$BA$8:$BA$1007,"포함"))</f>
        <v/>
      </c>
      <c r="F90" s="33">
        <f>IF($U90="","",SUMIFS(매출원본!$AU$8:$AU$1007,매출원본!$AX$8:$AX$1007,INDEX($R$8:$R$207,$U90),매출원본!$BA$8:$BA$1007,"포함"))</f>
        <v/>
      </c>
      <c r="G90" s="33">
        <f>IF($U90="","",SUMIFS(매출원본!$AV$8:$AV$1007,매출원본!$AX$8:$AX$1007,INDEX($R$8:$R$207,$U90),매출원본!$BA$8:$BA$1007,"포함"))</f>
        <v/>
      </c>
      <c r="H90" s="34">
        <f>IF(OR($U90="",$E$7=0),"",E90/$E$7)</f>
        <v/>
      </c>
      <c r="I90" s="33">
        <f>IF(OR($U90="",0&gt;=설정!$B$12),"",SUMIFS(매출원본!$AT$8:$AT$1007,매출원본!$AX$8:$AX$1007,INDEX($R$8:$R$207,$U90),매출원본!$BA$8:$BA$1007,"포함",매출원본!$AS$8:$AS$1007,"&gt;="&amp;EDATE(설정!$B$10,0),매출원본!$AS$8:$AS$1007,"&lt;="&amp;EOMONTH(설정!$B$10,0)))</f>
        <v/>
      </c>
      <c r="J90" s="33">
        <f>IF(OR($U90="",1&gt;=설정!$B$12),"",SUMIFS(매출원본!$AT$8:$AT$1007,매출원본!$AX$8:$AX$1007,INDEX($R$8:$R$207,$U90),매출원본!$BA$8:$BA$1007,"포함",매출원본!$AS$8:$AS$1007,"&gt;="&amp;EDATE(설정!$B$10,1),매출원본!$AS$8:$AS$1007,"&lt;="&amp;EOMONTH(설정!$B$10,1)))</f>
        <v/>
      </c>
      <c r="K90" s="33">
        <f>IF(OR($U90="",2&gt;=설정!$B$12),"",SUMIFS(매출원본!$AT$8:$AT$1007,매출원본!$AX$8:$AX$1007,INDEX($R$8:$R$207,$U90),매출원본!$BA$8:$BA$1007,"포함",매출원본!$AS$8:$AS$1007,"&gt;="&amp;EDATE(설정!$B$10,2),매출원본!$AS$8:$AS$1007,"&lt;="&amp;EOMONTH(설정!$B$10,2)))</f>
        <v/>
      </c>
      <c r="L90" s="33">
        <f>IF(OR($U90="",3&gt;=설정!$B$12),"",SUMIFS(매출원본!$AT$8:$AT$1007,매출원본!$AX$8:$AX$1007,INDEX($R$8:$R$207,$U90),매출원본!$BA$8:$BA$1007,"포함",매출원본!$AS$8:$AS$1007,"&gt;="&amp;EDATE(설정!$B$10,3),매출원본!$AS$8:$AS$1007,"&lt;="&amp;EOMONTH(설정!$B$10,3)))</f>
        <v/>
      </c>
      <c r="M90" s="33">
        <f>IF(OR($U90="",4&gt;=설정!$B$12),"",SUMIFS(매출원본!$AT$8:$AT$1007,매출원본!$AX$8:$AX$1007,INDEX($R$8:$R$207,$U90),매출원본!$BA$8:$BA$1007,"포함",매출원본!$AS$8:$AS$1007,"&gt;="&amp;EDATE(설정!$B$10,4),매출원본!$AS$8:$AS$1007,"&lt;="&amp;EOMONTH(설정!$B$10,4)))</f>
        <v/>
      </c>
      <c r="N90" s="33">
        <f>IF(OR($U90="",5&gt;=설정!$B$12),"",SUMIFS(매출원본!$AT$8:$AT$1007,매출원본!$AX$8:$AX$1007,INDEX($R$8:$R$207,$U90),매출원본!$BA$8:$BA$1007,"포함",매출원본!$AS$8:$AS$1007,"&gt;="&amp;EDATE(설정!$B$10,5),매출원본!$AS$8:$AS$1007,"&lt;="&amp;EOMONTH(설정!$B$10,5)))</f>
        <v/>
      </c>
      <c r="Q90" s="35" t="n">
        <v>83</v>
      </c>
      <c r="R90" s="35">
        <f>IFERROR(INDEX(매출원본!$AX$8:$AX$1007,MATCH($Q90,매출원본!$BD$8:$BD$1007,0)),"")</f>
        <v/>
      </c>
      <c r="S90" s="35">
        <f>IF($R90="","",SUMIFS(매출원본!$AT$8:$AT$1007,매출원본!$AX$8:$AX$1007,$R90,매출원본!$BA$8:$BA$1007,"포함"))</f>
        <v/>
      </c>
      <c r="T90" s="35">
        <f>IF($R90="","",$S90-$Q90/100000)</f>
        <v/>
      </c>
      <c r="U90" s="35">
        <f>IFERROR(MATCH(LARGE($T$8:$T$207,83),$T$8:$T$207,0),"")</f>
        <v/>
      </c>
    </row>
    <row r="91">
      <c r="A91" s="32">
        <f>IF($U91="","",84)</f>
        <v/>
      </c>
      <c r="B91" s="10">
        <f>IF($U91="","",IFERROR(INDEX(매출원본!$AZ$8:$AZ$1007,MATCH($U91,매출원본!$BD$8:$BD$1007,0)),""))</f>
        <v/>
      </c>
      <c r="C91" s="10">
        <f>IF($U91="","",IFERROR(INDEX(매출원본!$AY$8:$AY$1007,MATCH($U91,매출원본!$BD$8:$BD$1007,0)),""))</f>
        <v/>
      </c>
      <c r="D91" s="33">
        <f>IF($U91="","",COUNTIFS(매출원본!$AX$8:$AX$1007,INDEX($R$8:$R$207,$U91),매출원본!$BA$8:$BA$1007,"포함"))</f>
        <v/>
      </c>
      <c r="E91" s="33">
        <f>IF($U91="","",SUMIFS(매출원본!$AT$8:$AT$1007,매출원본!$AX$8:$AX$1007,INDEX($R$8:$R$207,$U91),매출원본!$BA$8:$BA$1007,"포함"))</f>
        <v/>
      </c>
      <c r="F91" s="33">
        <f>IF($U91="","",SUMIFS(매출원본!$AU$8:$AU$1007,매출원본!$AX$8:$AX$1007,INDEX($R$8:$R$207,$U91),매출원본!$BA$8:$BA$1007,"포함"))</f>
        <v/>
      </c>
      <c r="G91" s="33">
        <f>IF($U91="","",SUMIFS(매출원본!$AV$8:$AV$1007,매출원본!$AX$8:$AX$1007,INDEX($R$8:$R$207,$U91),매출원본!$BA$8:$BA$1007,"포함"))</f>
        <v/>
      </c>
      <c r="H91" s="34">
        <f>IF(OR($U91="",$E$7=0),"",E91/$E$7)</f>
        <v/>
      </c>
      <c r="I91" s="33">
        <f>IF(OR($U91="",0&gt;=설정!$B$12),"",SUMIFS(매출원본!$AT$8:$AT$1007,매출원본!$AX$8:$AX$1007,INDEX($R$8:$R$207,$U91),매출원본!$BA$8:$BA$1007,"포함",매출원본!$AS$8:$AS$1007,"&gt;="&amp;EDATE(설정!$B$10,0),매출원본!$AS$8:$AS$1007,"&lt;="&amp;EOMONTH(설정!$B$10,0)))</f>
        <v/>
      </c>
      <c r="J91" s="33">
        <f>IF(OR($U91="",1&gt;=설정!$B$12),"",SUMIFS(매출원본!$AT$8:$AT$1007,매출원본!$AX$8:$AX$1007,INDEX($R$8:$R$207,$U91),매출원본!$BA$8:$BA$1007,"포함",매출원본!$AS$8:$AS$1007,"&gt;="&amp;EDATE(설정!$B$10,1),매출원본!$AS$8:$AS$1007,"&lt;="&amp;EOMONTH(설정!$B$10,1)))</f>
        <v/>
      </c>
      <c r="K91" s="33">
        <f>IF(OR($U91="",2&gt;=설정!$B$12),"",SUMIFS(매출원본!$AT$8:$AT$1007,매출원본!$AX$8:$AX$1007,INDEX($R$8:$R$207,$U91),매출원본!$BA$8:$BA$1007,"포함",매출원본!$AS$8:$AS$1007,"&gt;="&amp;EDATE(설정!$B$10,2),매출원본!$AS$8:$AS$1007,"&lt;="&amp;EOMONTH(설정!$B$10,2)))</f>
        <v/>
      </c>
      <c r="L91" s="33">
        <f>IF(OR($U91="",3&gt;=설정!$B$12),"",SUMIFS(매출원본!$AT$8:$AT$1007,매출원본!$AX$8:$AX$1007,INDEX($R$8:$R$207,$U91),매출원본!$BA$8:$BA$1007,"포함",매출원본!$AS$8:$AS$1007,"&gt;="&amp;EDATE(설정!$B$10,3),매출원본!$AS$8:$AS$1007,"&lt;="&amp;EOMONTH(설정!$B$10,3)))</f>
        <v/>
      </c>
      <c r="M91" s="33">
        <f>IF(OR($U91="",4&gt;=설정!$B$12),"",SUMIFS(매출원본!$AT$8:$AT$1007,매출원본!$AX$8:$AX$1007,INDEX($R$8:$R$207,$U91),매출원본!$BA$8:$BA$1007,"포함",매출원본!$AS$8:$AS$1007,"&gt;="&amp;EDATE(설정!$B$10,4),매출원본!$AS$8:$AS$1007,"&lt;="&amp;EOMONTH(설정!$B$10,4)))</f>
        <v/>
      </c>
      <c r="N91" s="33">
        <f>IF(OR($U91="",5&gt;=설정!$B$12),"",SUMIFS(매출원본!$AT$8:$AT$1007,매출원본!$AX$8:$AX$1007,INDEX($R$8:$R$207,$U91),매출원본!$BA$8:$BA$1007,"포함",매출원본!$AS$8:$AS$1007,"&gt;="&amp;EDATE(설정!$B$10,5),매출원본!$AS$8:$AS$1007,"&lt;="&amp;EOMONTH(설정!$B$10,5)))</f>
        <v/>
      </c>
      <c r="Q91" s="35" t="n">
        <v>84</v>
      </c>
      <c r="R91" s="35">
        <f>IFERROR(INDEX(매출원본!$AX$8:$AX$1007,MATCH($Q91,매출원본!$BD$8:$BD$1007,0)),"")</f>
        <v/>
      </c>
      <c r="S91" s="35">
        <f>IF($R91="","",SUMIFS(매출원본!$AT$8:$AT$1007,매출원본!$AX$8:$AX$1007,$R91,매출원본!$BA$8:$BA$1007,"포함"))</f>
        <v/>
      </c>
      <c r="T91" s="35">
        <f>IF($R91="","",$S91-$Q91/100000)</f>
        <v/>
      </c>
      <c r="U91" s="35">
        <f>IFERROR(MATCH(LARGE($T$8:$T$207,84),$T$8:$T$207,0),"")</f>
        <v/>
      </c>
    </row>
    <row r="92">
      <c r="A92" s="32">
        <f>IF($U92="","",85)</f>
        <v/>
      </c>
      <c r="B92" s="10">
        <f>IF($U92="","",IFERROR(INDEX(매출원본!$AZ$8:$AZ$1007,MATCH($U92,매출원본!$BD$8:$BD$1007,0)),""))</f>
        <v/>
      </c>
      <c r="C92" s="10">
        <f>IF($U92="","",IFERROR(INDEX(매출원본!$AY$8:$AY$1007,MATCH($U92,매출원본!$BD$8:$BD$1007,0)),""))</f>
        <v/>
      </c>
      <c r="D92" s="33">
        <f>IF($U92="","",COUNTIFS(매출원본!$AX$8:$AX$1007,INDEX($R$8:$R$207,$U92),매출원본!$BA$8:$BA$1007,"포함"))</f>
        <v/>
      </c>
      <c r="E92" s="33">
        <f>IF($U92="","",SUMIFS(매출원본!$AT$8:$AT$1007,매출원본!$AX$8:$AX$1007,INDEX($R$8:$R$207,$U92),매출원본!$BA$8:$BA$1007,"포함"))</f>
        <v/>
      </c>
      <c r="F92" s="33">
        <f>IF($U92="","",SUMIFS(매출원본!$AU$8:$AU$1007,매출원본!$AX$8:$AX$1007,INDEX($R$8:$R$207,$U92),매출원본!$BA$8:$BA$1007,"포함"))</f>
        <v/>
      </c>
      <c r="G92" s="33">
        <f>IF($U92="","",SUMIFS(매출원본!$AV$8:$AV$1007,매출원본!$AX$8:$AX$1007,INDEX($R$8:$R$207,$U92),매출원본!$BA$8:$BA$1007,"포함"))</f>
        <v/>
      </c>
      <c r="H92" s="34">
        <f>IF(OR($U92="",$E$7=0),"",E92/$E$7)</f>
        <v/>
      </c>
      <c r="I92" s="33">
        <f>IF(OR($U92="",0&gt;=설정!$B$12),"",SUMIFS(매출원본!$AT$8:$AT$1007,매출원본!$AX$8:$AX$1007,INDEX($R$8:$R$207,$U92),매출원본!$BA$8:$BA$1007,"포함",매출원본!$AS$8:$AS$1007,"&gt;="&amp;EDATE(설정!$B$10,0),매출원본!$AS$8:$AS$1007,"&lt;="&amp;EOMONTH(설정!$B$10,0)))</f>
        <v/>
      </c>
      <c r="J92" s="33">
        <f>IF(OR($U92="",1&gt;=설정!$B$12),"",SUMIFS(매출원본!$AT$8:$AT$1007,매출원본!$AX$8:$AX$1007,INDEX($R$8:$R$207,$U92),매출원본!$BA$8:$BA$1007,"포함",매출원본!$AS$8:$AS$1007,"&gt;="&amp;EDATE(설정!$B$10,1),매출원본!$AS$8:$AS$1007,"&lt;="&amp;EOMONTH(설정!$B$10,1)))</f>
        <v/>
      </c>
      <c r="K92" s="33">
        <f>IF(OR($U92="",2&gt;=설정!$B$12),"",SUMIFS(매출원본!$AT$8:$AT$1007,매출원본!$AX$8:$AX$1007,INDEX($R$8:$R$207,$U92),매출원본!$BA$8:$BA$1007,"포함",매출원본!$AS$8:$AS$1007,"&gt;="&amp;EDATE(설정!$B$10,2),매출원본!$AS$8:$AS$1007,"&lt;="&amp;EOMONTH(설정!$B$10,2)))</f>
        <v/>
      </c>
      <c r="L92" s="33">
        <f>IF(OR($U92="",3&gt;=설정!$B$12),"",SUMIFS(매출원본!$AT$8:$AT$1007,매출원본!$AX$8:$AX$1007,INDEX($R$8:$R$207,$U92),매출원본!$BA$8:$BA$1007,"포함",매출원본!$AS$8:$AS$1007,"&gt;="&amp;EDATE(설정!$B$10,3),매출원본!$AS$8:$AS$1007,"&lt;="&amp;EOMONTH(설정!$B$10,3)))</f>
        <v/>
      </c>
      <c r="M92" s="33">
        <f>IF(OR($U92="",4&gt;=설정!$B$12),"",SUMIFS(매출원본!$AT$8:$AT$1007,매출원본!$AX$8:$AX$1007,INDEX($R$8:$R$207,$U92),매출원본!$BA$8:$BA$1007,"포함",매출원본!$AS$8:$AS$1007,"&gt;="&amp;EDATE(설정!$B$10,4),매출원본!$AS$8:$AS$1007,"&lt;="&amp;EOMONTH(설정!$B$10,4)))</f>
        <v/>
      </c>
      <c r="N92" s="33">
        <f>IF(OR($U92="",5&gt;=설정!$B$12),"",SUMIFS(매출원본!$AT$8:$AT$1007,매출원본!$AX$8:$AX$1007,INDEX($R$8:$R$207,$U92),매출원본!$BA$8:$BA$1007,"포함",매출원본!$AS$8:$AS$1007,"&gt;="&amp;EDATE(설정!$B$10,5),매출원본!$AS$8:$AS$1007,"&lt;="&amp;EOMONTH(설정!$B$10,5)))</f>
        <v/>
      </c>
      <c r="Q92" s="35" t="n">
        <v>85</v>
      </c>
      <c r="R92" s="35">
        <f>IFERROR(INDEX(매출원본!$AX$8:$AX$1007,MATCH($Q92,매출원본!$BD$8:$BD$1007,0)),"")</f>
        <v/>
      </c>
      <c r="S92" s="35">
        <f>IF($R92="","",SUMIFS(매출원본!$AT$8:$AT$1007,매출원본!$AX$8:$AX$1007,$R92,매출원본!$BA$8:$BA$1007,"포함"))</f>
        <v/>
      </c>
      <c r="T92" s="35">
        <f>IF($R92="","",$S92-$Q92/100000)</f>
        <v/>
      </c>
      <c r="U92" s="35">
        <f>IFERROR(MATCH(LARGE($T$8:$T$207,85),$T$8:$T$207,0),"")</f>
        <v/>
      </c>
    </row>
    <row r="93">
      <c r="A93" s="32">
        <f>IF($U93="","",86)</f>
        <v/>
      </c>
      <c r="B93" s="10">
        <f>IF($U93="","",IFERROR(INDEX(매출원본!$AZ$8:$AZ$1007,MATCH($U93,매출원본!$BD$8:$BD$1007,0)),""))</f>
        <v/>
      </c>
      <c r="C93" s="10">
        <f>IF($U93="","",IFERROR(INDEX(매출원본!$AY$8:$AY$1007,MATCH($U93,매출원본!$BD$8:$BD$1007,0)),""))</f>
        <v/>
      </c>
      <c r="D93" s="33">
        <f>IF($U93="","",COUNTIFS(매출원본!$AX$8:$AX$1007,INDEX($R$8:$R$207,$U93),매출원본!$BA$8:$BA$1007,"포함"))</f>
        <v/>
      </c>
      <c r="E93" s="33">
        <f>IF($U93="","",SUMIFS(매출원본!$AT$8:$AT$1007,매출원본!$AX$8:$AX$1007,INDEX($R$8:$R$207,$U93),매출원본!$BA$8:$BA$1007,"포함"))</f>
        <v/>
      </c>
      <c r="F93" s="33">
        <f>IF($U93="","",SUMIFS(매출원본!$AU$8:$AU$1007,매출원본!$AX$8:$AX$1007,INDEX($R$8:$R$207,$U93),매출원본!$BA$8:$BA$1007,"포함"))</f>
        <v/>
      </c>
      <c r="G93" s="33">
        <f>IF($U93="","",SUMIFS(매출원본!$AV$8:$AV$1007,매출원본!$AX$8:$AX$1007,INDEX($R$8:$R$207,$U93),매출원본!$BA$8:$BA$1007,"포함"))</f>
        <v/>
      </c>
      <c r="H93" s="34">
        <f>IF(OR($U93="",$E$7=0),"",E93/$E$7)</f>
        <v/>
      </c>
      <c r="I93" s="33">
        <f>IF(OR($U93="",0&gt;=설정!$B$12),"",SUMIFS(매출원본!$AT$8:$AT$1007,매출원본!$AX$8:$AX$1007,INDEX($R$8:$R$207,$U93),매출원본!$BA$8:$BA$1007,"포함",매출원본!$AS$8:$AS$1007,"&gt;="&amp;EDATE(설정!$B$10,0),매출원본!$AS$8:$AS$1007,"&lt;="&amp;EOMONTH(설정!$B$10,0)))</f>
        <v/>
      </c>
      <c r="J93" s="33">
        <f>IF(OR($U93="",1&gt;=설정!$B$12),"",SUMIFS(매출원본!$AT$8:$AT$1007,매출원본!$AX$8:$AX$1007,INDEX($R$8:$R$207,$U93),매출원본!$BA$8:$BA$1007,"포함",매출원본!$AS$8:$AS$1007,"&gt;="&amp;EDATE(설정!$B$10,1),매출원본!$AS$8:$AS$1007,"&lt;="&amp;EOMONTH(설정!$B$10,1)))</f>
        <v/>
      </c>
      <c r="K93" s="33">
        <f>IF(OR($U93="",2&gt;=설정!$B$12),"",SUMIFS(매출원본!$AT$8:$AT$1007,매출원본!$AX$8:$AX$1007,INDEX($R$8:$R$207,$U93),매출원본!$BA$8:$BA$1007,"포함",매출원본!$AS$8:$AS$1007,"&gt;="&amp;EDATE(설정!$B$10,2),매출원본!$AS$8:$AS$1007,"&lt;="&amp;EOMONTH(설정!$B$10,2)))</f>
        <v/>
      </c>
      <c r="L93" s="33">
        <f>IF(OR($U93="",3&gt;=설정!$B$12),"",SUMIFS(매출원본!$AT$8:$AT$1007,매출원본!$AX$8:$AX$1007,INDEX($R$8:$R$207,$U93),매출원본!$BA$8:$BA$1007,"포함",매출원본!$AS$8:$AS$1007,"&gt;="&amp;EDATE(설정!$B$10,3),매출원본!$AS$8:$AS$1007,"&lt;="&amp;EOMONTH(설정!$B$10,3)))</f>
        <v/>
      </c>
      <c r="M93" s="33">
        <f>IF(OR($U93="",4&gt;=설정!$B$12),"",SUMIFS(매출원본!$AT$8:$AT$1007,매출원본!$AX$8:$AX$1007,INDEX($R$8:$R$207,$U93),매출원본!$BA$8:$BA$1007,"포함",매출원본!$AS$8:$AS$1007,"&gt;="&amp;EDATE(설정!$B$10,4),매출원본!$AS$8:$AS$1007,"&lt;="&amp;EOMONTH(설정!$B$10,4)))</f>
        <v/>
      </c>
      <c r="N93" s="33">
        <f>IF(OR($U93="",5&gt;=설정!$B$12),"",SUMIFS(매출원본!$AT$8:$AT$1007,매출원본!$AX$8:$AX$1007,INDEX($R$8:$R$207,$U93),매출원본!$BA$8:$BA$1007,"포함",매출원본!$AS$8:$AS$1007,"&gt;="&amp;EDATE(설정!$B$10,5),매출원본!$AS$8:$AS$1007,"&lt;="&amp;EOMONTH(설정!$B$10,5)))</f>
        <v/>
      </c>
      <c r="Q93" s="35" t="n">
        <v>86</v>
      </c>
      <c r="R93" s="35">
        <f>IFERROR(INDEX(매출원본!$AX$8:$AX$1007,MATCH($Q93,매출원본!$BD$8:$BD$1007,0)),"")</f>
        <v/>
      </c>
      <c r="S93" s="35">
        <f>IF($R93="","",SUMIFS(매출원본!$AT$8:$AT$1007,매출원본!$AX$8:$AX$1007,$R93,매출원본!$BA$8:$BA$1007,"포함"))</f>
        <v/>
      </c>
      <c r="T93" s="35">
        <f>IF($R93="","",$S93-$Q93/100000)</f>
        <v/>
      </c>
      <c r="U93" s="35">
        <f>IFERROR(MATCH(LARGE($T$8:$T$207,86),$T$8:$T$207,0),"")</f>
        <v/>
      </c>
    </row>
    <row r="94">
      <c r="A94" s="32">
        <f>IF($U94="","",87)</f>
        <v/>
      </c>
      <c r="B94" s="10">
        <f>IF($U94="","",IFERROR(INDEX(매출원본!$AZ$8:$AZ$1007,MATCH($U94,매출원본!$BD$8:$BD$1007,0)),""))</f>
        <v/>
      </c>
      <c r="C94" s="10">
        <f>IF($U94="","",IFERROR(INDEX(매출원본!$AY$8:$AY$1007,MATCH($U94,매출원본!$BD$8:$BD$1007,0)),""))</f>
        <v/>
      </c>
      <c r="D94" s="33">
        <f>IF($U94="","",COUNTIFS(매출원본!$AX$8:$AX$1007,INDEX($R$8:$R$207,$U94),매출원본!$BA$8:$BA$1007,"포함"))</f>
        <v/>
      </c>
      <c r="E94" s="33">
        <f>IF($U94="","",SUMIFS(매출원본!$AT$8:$AT$1007,매출원본!$AX$8:$AX$1007,INDEX($R$8:$R$207,$U94),매출원본!$BA$8:$BA$1007,"포함"))</f>
        <v/>
      </c>
      <c r="F94" s="33">
        <f>IF($U94="","",SUMIFS(매출원본!$AU$8:$AU$1007,매출원본!$AX$8:$AX$1007,INDEX($R$8:$R$207,$U94),매출원본!$BA$8:$BA$1007,"포함"))</f>
        <v/>
      </c>
      <c r="G94" s="33">
        <f>IF($U94="","",SUMIFS(매출원본!$AV$8:$AV$1007,매출원본!$AX$8:$AX$1007,INDEX($R$8:$R$207,$U94),매출원본!$BA$8:$BA$1007,"포함"))</f>
        <v/>
      </c>
      <c r="H94" s="34">
        <f>IF(OR($U94="",$E$7=0),"",E94/$E$7)</f>
        <v/>
      </c>
      <c r="I94" s="33">
        <f>IF(OR($U94="",0&gt;=설정!$B$12),"",SUMIFS(매출원본!$AT$8:$AT$1007,매출원본!$AX$8:$AX$1007,INDEX($R$8:$R$207,$U94),매출원본!$BA$8:$BA$1007,"포함",매출원본!$AS$8:$AS$1007,"&gt;="&amp;EDATE(설정!$B$10,0),매출원본!$AS$8:$AS$1007,"&lt;="&amp;EOMONTH(설정!$B$10,0)))</f>
        <v/>
      </c>
      <c r="J94" s="33">
        <f>IF(OR($U94="",1&gt;=설정!$B$12),"",SUMIFS(매출원본!$AT$8:$AT$1007,매출원본!$AX$8:$AX$1007,INDEX($R$8:$R$207,$U94),매출원본!$BA$8:$BA$1007,"포함",매출원본!$AS$8:$AS$1007,"&gt;="&amp;EDATE(설정!$B$10,1),매출원본!$AS$8:$AS$1007,"&lt;="&amp;EOMONTH(설정!$B$10,1)))</f>
        <v/>
      </c>
      <c r="K94" s="33">
        <f>IF(OR($U94="",2&gt;=설정!$B$12),"",SUMIFS(매출원본!$AT$8:$AT$1007,매출원본!$AX$8:$AX$1007,INDEX($R$8:$R$207,$U94),매출원본!$BA$8:$BA$1007,"포함",매출원본!$AS$8:$AS$1007,"&gt;="&amp;EDATE(설정!$B$10,2),매출원본!$AS$8:$AS$1007,"&lt;="&amp;EOMONTH(설정!$B$10,2)))</f>
        <v/>
      </c>
      <c r="L94" s="33">
        <f>IF(OR($U94="",3&gt;=설정!$B$12),"",SUMIFS(매출원본!$AT$8:$AT$1007,매출원본!$AX$8:$AX$1007,INDEX($R$8:$R$207,$U94),매출원본!$BA$8:$BA$1007,"포함",매출원본!$AS$8:$AS$1007,"&gt;="&amp;EDATE(설정!$B$10,3),매출원본!$AS$8:$AS$1007,"&lt;="&amp;EOMONTH(설정!$B$10,3)))</f>
        <v/>
      </c>
      <c r="M94" s="33">
        <f>IF(OR($U94="",4&gt;=설정!$B$12),"",SUMIFS(매출원본!$AT$8:$AT$1007,매출원본!$AX$8:$AX$1007,INDEX($R$8:$R$207,$U94),매출원본!$BA$8:$BA$1007,"포함",매출원본!$AS$8:$AS$1007,"&gt;="&amp;EDATE(설정!$B$10,4),매출원본!$AS$8:$AS$1007,"&lt;="&amp;EOMONTH(설정!$B$10,4)))</f>
        <v/>
      </c>
      <c r="N94" s="33">
        <f>IF(OR($U94="",5&gt;=설정!$B$12),"",SUMIFS(매출원본!$AT$8:$AT$1007,매출원본!$AX$8:$AX$1007,INDEX($R$8:$R$207,$U94),매출원본!$BA$8:$BA$1007,"포함",매출원본!$AS$8:$AS$1007,"&gt;="&amp;EDATE(설정!$B$10,5),매출원본!$AS$8:$AS$1007,"&lt;="&amp;EOMONTH(설정!$B$10,5)))</f>
        <v/>
      </c>
      <c r="Q94" s="35" t="n">
        <v>87</v>
      </c>
      <c r="R94" s="35">
        <f>IFERROR(INDEX(매출원본!$AX$8:$AX$1007,MATCH($Q94,매출원본!$BD$8:$BD$1007,0)),"")</f>
        <v/>
      </c>
      <c r="S94" s="35">
        <f>IF($R94="","",SUMIFS(매출원본!$AT$8:$AT$1007,매출원본!$AX$8:$AX$1007,$R94,매출원본!$BA$8:$BA$1007,"포함"))</f>
        <v/>
      </c>
      <c r="T94" s="35">
        <f>IF($R94="","",$S94-$Q94/100000)</f>
        <v/>
      </c>
      <c r="U94" s="35">
        <f>IFERROR(MATCH(LARGE($T$8:$T$207,87),$T$8:$T$207,0),"")</f>
        <v/>
      </c>
    </row>
    <row r="95">
      <c r="A95" s="32">
        <f>IF($U95="","",88)</f>
        <v/>
      </c>
      <c r="B95" s="10">
        <f>IF($U95="","",IFERROR(INDEX(매출원본!$AZ$8:$AZ$1007,MATCH($U95,매출원본!$BD$8:$BD$1007,0)),""))</f>
        <v/>
      </c>
      <c r="C95" s="10">
        <f>IF($U95="","",IFERROR(INDEX(매출원본!$AY$8:$AY$1007,MATCH($U95,매출원본!$BD$8:$BD$1007,0)),""))</f>
        <v/>
      </c>
      <c r="D95" s="33">
        <f>IF($U95="","",COUNTIFS(매출원본!$AX$8:$AX$1007,INDEX($R$8:$R$207,$U95),매출원본!$BA$8:$BA$1007,"포함"))</f>
        <v/>
      </c>
      <c r="E95" s="33">
        <f>IF($U95="","",SUMIFS(매출원본!$AT$8:$AT$1007,매출원본!$AX$8:$AX$1007,INDEX($R$8:$R$207,$U95),매출원본!$BA$8:$BA$1007,"포함"))</f>
        <v/>
      </c>
      <c r="F95" s="33">
        <f>IF($U95="","",SUMIFS(매출원본!$AU$8:$AU$1007,매출원본!$AX$8:$AX$1007,INDEX($R$8:$R$207,$U95),매출원본!$BA$8:$BA$1007,"포함"))</f>
        <v/>
      </c>
      <c r="G95" s="33">
        <f>IF($U95="","",SUMIFS(매출원본!$AV$8:$AV$1007,매출원본!$AX$8:$AX$1007,INDEX($R$8:$R$207,$U95),매출원본!$BA$8:$BA$1007,"포함"))</f>
        <v/>
      </c>
      <c r="H95" s="34">
        <f>IF(OR($U95="",$E$7=0),"",E95/$E$7)</f>
        <v/>
      </c>
      <c r="I95" s="33">
        <f>IF(OR($U95="",0&gt;=설정!$B$12),"",SUMIFS(매출원본!$AT$8:$AT$1007,매출원본!$AX$8:$AX$1007,INDEX($R$8:$R$207,$U95),매출원본!$BA$8:$BA$1007,"포함",매출원본!$AS$8:$AS$1007,"&gt;="&amp;EDATE(설정!$B$10,0),매출원본!$AS$8:$AS$1007,"&lt;="&amp;EOMONTH(설정!$B$10,0)))</f>
        <v/>
      </c>
      <c r="J95" s="33">
        <f>IF(OR($U95="",1&gt;=설정!$B$12),"",SUMIFS(매출원본!$AT$8:$AT$1007,매출원본!$AX$8:$AX$1007,INDEX($R$8:$R$207,$U95),매출원본!$BA$8:$BA$1007,"포함",매출원본!$AS$8:$AS$1007,"&gt;="&amp;EDATE(설정!$B$10,1),매출원본!$AS$8:$AS$1007,"&lt;="&amp;EOMONTH(설정!$B$10,1)))</f>
        <v/>
      </c>
      <c r="K95" s="33">
        <f>IF(OR($U95="",2&gt;=설정!$B$12),"",SUMIFS(매출원본!$AT$8:$AT$1007,매출원본!$AX$8:$AX$1007,INDEX($R$8:$R$207,$U95),매출원본!$BA$8:$BA$1007,"포함",매출원본!$AS$8:$AS$1007,"&gt;="&amp;EDATE(설정!$B$10,2),매출원본!$AS$8:$AS$1007,"&lt;="&amp;EOMONTH(설정!$B$10,2)))</f>
        <v/>
      </c>
      <c r="L95" s="33">
        <f>IF(OR($U95="",3&gt;=설정!$B$12),"",SUMIFS(매출원본!$AT$8:$AT$1007,매출원본!$AX$8:$AX$1007,INDEX($R$8:$R$207,$U95),매출원본!$BA$8:$BA$1007,"포함",매출원본!$AS$8:$AS$1007,"&gt;="&amp;EDATE(설정!$B$10,3),매출원본!$AS$8:$AS$1007,"&lt;="&amp;EOMONTH(설정!$B$10,3)))</f>
        <v/>
      </c>
      <c r="M95" s="33">
        <f>IF(OR($U95="",4&gt;=설정!$B$12),"",SUMIFS(매출원본!$AT$8:$AT$1007,매출원본!$AX$8:$AX$1007,INDEX($R$8:$R$207,$U95),매출원본!$BA$8:$BA$1007,"포함",매출원본!$AS$8:$AS$1007,"&gt;="&amp;EDATE(설정!$B$10,4),매출원본!$AS$8:$AS$1007,"&lt;="&amp;EOMONTH(설정!$B$10,4)))</f>
        <v/>
      </c>
      <c r="N95" s="33">
        <f>IF(OR($U95="",5&gt;=설정!$B$12),"",SUMIFS(매출원본!$AT$8:$AT$1007,매출원본!$AX$8:$AX$1007,INDEX($R$8:$R$207,$U95),매출원본!$BA$8:$BA$1007,"포함",매출원본!$AS$8:$AS$1007,"&gt;="&amp;EDATE(설정!$B$10,5),매출원본!$AS$8:$AS$1007,"&lt;="&amp;EOMONTH(설정!$B$10,5)))</f>
        <v/>
      </c>
      <c r="Q95" s="35" t="n">
        <v>88</v>
      </c>
      <c r="R95" s="35">
        <f>IFERROR(INDEX(매출원본!$AX$8:$AX$1007,MATCH($Q95,매출원본!$BD$8:$BD$1007,0)),"")</f>
        <v/>
      </c>
      <c r="S95" s="35">
        <f>IF($R95="","",SUMIFS(매출원본!$AT$8:$AT$1007,매출원본!$AX$8:$AX$1007,$R95,매출원본!$BA$8:$BA$1007,"포함"))</f>
        <v/>
      </c>
      <c r="T95" s="35">
        <f>IF($R95="","",$S95-$Q95/100000)</f>
        <v/>
      </c>
      <c r="U95" s="35">
        <f>IFERROR(MATCH(LARGE($T$8:$T$207,88),$T$8:$T$207,0),"")</f>
        <v/>
      </c>
    </row>
    <row r="96">
      <c r="A96" s="32">
        <f>IF($U96="","",89)</f>
        <v/>
      </c>
      <c r="B96" s="10">
        <f>IF($U96="","",IFERROR(INDEX(매출원본!$AZ$8:$AZ$1007,MATCH($U96,매출원본!$BD$8:$BD$1007,0)),""))</f>
        <v/>
      </c>
      <c r="C96" s="10">
        <f>IF($U96="","",IFERROR(INDEX(매출원본!$AY$8:$AY$1007,MATCH($U96,매출원본!$BD$8:$BD$1007,0)),""))</f>
        <v/>
      </c>
      <c r="D96" s="33">
        <f>IF($U96="","",COUNTIFS(매출원본!$AX$8:$AX$1007,INDEX($R$8:$R$207,$U96),매출원본!$BA$8:$BA$1007,"포함"))</f>
        <v/>
      </c>
      <c r="E96" s="33">
        <f>IF($U96="","",SUMIFS(매출원본!$AT$8:$AT$1007,매출원본!$AX$8:$AX$1007,INDEX($R$8:$R$207,$U96),매출원본!$BA$8:$BA$1007,"포함"))</f>
        <v/>
      </c>
      <c r="F96" s="33">
        <f>IF($U96="","",SUMIFS(매출원본!$AU$8:$AU$1007,매출원본!$AX$8:$AX$1007,INDEX($R$8:$R$207,$U96),매출원본!$BA$8:$BA$1007,"포함"))</f>
        <v/>
      </c>
      <c r="G96" s="33">
        <f>IF($U96="","",SUMIFS(매출원본!$AV$8:$AV$1007,매출원본!$AX$8:$AX$1007,INDEX($R$8:$R$207,$U96),매출원본!$BA$8:$BA$1007,"포함"))</f>
        <v/>
      </c>
      <c r="H96" s="34">
        <f>IF(OR($U96="",$E$7=0),"",E96/$E$7)</f>
        <v/>
      </c>
      <c r="I96" s="33">
        <f>IF(OR($U96="",0&gt;=설정!$B$12),"",SUMIFS(매출원본!$AT$8:$AT$1007,매출원본!$AX$8:$AX$1007,INDEX($R$8:$R$207,$U96),매출원본!$BA$8:$BA$1007,"포함",매출원본!$AS$8:$AS$1007,"&gt;="&amp;EDATE(설정!$B$10,0),매출원본!$AS$8:$AS$1007,"&lt;="&amp;EOMONTH(설정!$B$10,0)))</f>
        <v/>
      </c>
      <c r="J96" s="33">
        <f>IF(OR($U96="",1&gt;=설정!$B$12),"",SUMIFS(매출원본!$AT$8:$AT$1007,매출원본!$AX$8:$AX$1007,INDEX($R$8:$R$207,$U96),매출원본!$BA$8:$BA$1007,"포함",매출원본!$AS$8:$AS$1007,"&gt;="&amp;EDATE(설정!$B$10,1),매출원본!$AS$8:$AS$1007,"&lt;="&amp;EOMONTH(설정!$B$10,1)))</f>
        <v/>
      </c>
      <c r="K96" s="33">
        <f>IF(OR($U96="",2&gt;=설정!$B$12),"",SUMIFS(매출원본!$AT$8:$AT$1007,매출원본!$AX$8:$AX$1007,INDEX($R$8:$R$207,$U96),매출원본!$BA$8:$BA$1007,"포함",매출원본!$AS$8:$AS$1007,"&gt;="&amp;EDATE(설정!$B$10,2),매출원본!$AS$8:$AS$1007,"&lt;="&amp;EOMONTH(설정!$B$10,2)))</f>
        <v/>
      </c>
      <c r="L96" s="33">
        <f>IF(OR($U96="",3&gt;=설정!$B$12),"",SUMIFS(매출원본!$AT$8:$AT$1007,매출원본!$AX$8:$AX$1007,INDEX($R$8:$R$207,$U96),매출원본!$BA$8:$BA$1007,"포함",매출원본!$AS$8:$AS$1007,"&gt;="&amp;EDATE(설정!$B$10,3),매출원본!$AS$8:$AS$1007,"&lt;="&amp;EOMONTH(설정!$B$10,3)))</f>
        <v/>
      </c>
      <c r="M96" s="33">
        <f>IF(OR($U96="",4&gt;=설정!$B$12),"",SUMIFS(매출원본!$AT$8:$AT$1007,매출원본!$AX$8:$AX$1007,INDEX($R$8:$R$207,$U96),매출원본!$BA$8:$BA$1007,"포함",매출원본!$AS$8:$AS$1007,"&gt;="&amp;EDATE(설정!$B$10,4),매출원본!$AS$8:$AS$1007,"&lt;="&amp;EOMONTH(설정!$B$10,4)))</f>
        <v/>
      </c>
      <c r="N96" s="33">
        <f>IF(OR($U96="",5&gt;=설정!$B$12),"",SUMIFS(매출원본!$AT$8:$AT$1007,매출원본!$AX$8:$AX$1007,INDEX($R$8:$R$207,$U96),매출원본!$BA$8:$BA$1007,"포함",매출원본!$AS$8:$AS$1007,"&gt;="&amp;EDATE(설정!$B$10,5),매출원본!$AS$8:$AS$1007,"&lt;="&amp;EOMONTH(설정!$B$10,5)))</f>
        <v/>
      </c>
      <c r="Q96" s="35" t="n">
        <v>89</v>
      </c>
      <c r="R96" s="35">
        <f>IFERROR(INDEX(매출원본!$AX$8:$AX$1007,MATCH($Q96,매출원본!$BD$8:$BD$1007,0)),"")</f>
        <v/>
      </c>
      <c r="S96" s="35">
        <f>IF($R96="","",SUMIFS(매출원본!$AT$8:$AT$1007,매출원본!$AX$8:$AX$1007,$R96,매출원본!$BA$8:$BA$1007,"포함"))</f>
        <v/>
      </c>
      <c r="T96" s="35">
        <f>IF($R96="","",$S96-$Q96/100000)</f>
        <v/>
      </c>
      <c r="U96" s="35">
        <f>IFERROR(MATCH(LARGE($T$8:$T$207,89),$T$8:$T$207,0),"")</f>
        <v/>
      </c>
    </row>
    <row r="97">
      <c r="A97" s="32">
        <f>IF($U97="","",90)</f>
        <v/>
      </c>
      <c r="B97" s="10">
        <f>IF($U97="","",IFERROR(INDEX(매출원본!$AZ$8:$AZ$1007,MATCH($U97,매출원본!$BD$8:$BD$1007,0)),""))</f>
        <v/>
      </c>
      <c r="C97" s="10">
        <f>IF($U97="","",IFERROR(INDEX(매출원본!$AY$8:$AY$1007,MATCH($U97,매출원본!$BD$8:$BD$1007,0)),""))</f>
        <v/>
      </c>
      <c r="D97" s="33">
        <f>IF($U97="","",COUNTIFS(매출원본!$AX$8:$AX$1007,INDEX($R$8:$R$207,$U97),매출원본!$BA$8:$BA$1007,"포함"))</f>
        <v/>
      </c>
      <c r="E97" s="33">
        <f>IF($U97="","",SUMIFS(매출원본!$AT$8:$AT$1007,매출원본!$AX$8:$AX$1007,INDEX($R$8:$R$207,$U97),매출원본!$BA$8:$BA$1007,"포함"))</f>
        <v/>
      </c>
      <c r="F97" s="33">
        <f>IF($U97="","",SUMIFS(매출원본!$AU$8:$AU$1007,매출원본!$AX$8:$AX$1007,INDEX($R$8:$R$207,$U97),매출원본!$BA$8:$BA$1007,"포함"))</f>
        <v/>
      </c>
      <c r="G97" s="33">
        <f>IF($U97="","",SUMIFS(매출원본!$AV$8:$AV$1007,매출원본!$AX$8:$AX$1007,INDEX($R$8:$R$207,$U97),매출원본!$BA$8:$BA$1007,"포함"))</f>
        <v/>
      </c>
      <c r="H97" s="34">
        <f>IF(OR($U97="",$E$7=0),"",E97/$E$7)</f>
        <v/>
      </c>
      <c r="I97" s="33">
        <f>IF(OR($U97="",0&gt;=설정!$B$12),"",SUMIFS(매출원본!$AT$8:$AT$1007,매출원본!$AX$8:$AX$1007,INDEX($R$8:$R$207,$U97),매출원본!$BA$8:$BA$1007,"포함",매출원본!$AS$8:$AS$1007,"&gt;="&amp;EDATE(설정!$B$10,0),매출원본!$AS$8:$AS$1007,"&lt;="&amp;EOMONTH(설정!$B$10,0)))</f>
        <v/>
      </c>
      <c r="J97" s="33">
        <f>IF(OR($U97="",1&gt;=설정!$B$12),"",SUMIFS(매출원본!$AT$8:$AT$1007,매출원본!$AX$8:$AX$1007,INDEX($R$8:$R$207,$U97),매출원본!$BA$8:$BA$1007,"포함",매출원본!$AS$8:$AS$1007,"&gt;="&amp;EDATE(설정!$B$10,1),매출원본!$AS$8:$AS$1007,"&lt;="&amp;EOMONTH(설정!$B$10,1)))</f>
        <v/>
      </c>
      <c r="K97" s="33">
        <f>IF(OR($U97="",2&gt;=설정!$B$12),"",SUMIFS(매출원본!$AT$8:$AT$1007,매출원본!$AX$8:$AX$1007,INDEX($R$8:$R$207,$U97),매출원본!$BA$8:$BA$1007,"포함",매출원본!$AS$8:$AS$1007,"&gt;="&amp;EDATE(설정!$B$10,2),매출원본!$AS$8:$AS$1007,"&lt;="&amp;EOMONTH(설정!$B$10,2)))</f>
        <v/>
      </c>
      <c r="L97" s="33">
        <f>IF(OR($U97="",3&gt;=설정!$B$12),"",SUMIFS(매출원본!$AT$8:$AT$1007,매출원본!$AX$8:$AX$1007,INDEX($R$8:$R$207,$U97),매출원본!$BA$8:$BA$1007,"포함",매출원본!$AS$8:$AS$1007,"&gt;="&amp;EDATE(설정!$B$10,3),매출원본!$AS$8:$AS$1007,"&lt;="&amp;EOMONTH(설정!$B$10,3)))</f>
        <v/>
      </c>
      <c r="M97" s="33">
        <f>IF(OR($U97="",4&gt;=설정!$B$12),"",SUMIFS(매출원본!$AT$8:$AT$1007,매출원본!$AX$8:$AX$1007,INDEX($R$8:$R$207,$U97),매출원본!$BA$8:$BA$1007,"포함",매출원본!$AS$8:$AS$1007,"&gt;="&amp;EDATE(설정!$B$10,4),매출원본!$AS$8:$AS$1007,"&lt;="&amp;EOMONTH(설정!$B$10,4)))</f>
        <v/>
      </c>
      <c r="N97" s="33">
        <f>IF(OR($U97="",5&gt;=설정!$B$12),"",SUMIFS(매출원본!$AT$8:$AT$1007,매출원본!$AX$8:$AX$1007,INDEX($R$8:$R$207,$U97),매출원본!$BA$8:$BA$1007,"포함",매출원본!$AS$8:$AS$1007,"&gt;="&amp;EDATE(설정!$B$10,5),매출원본!$AS$8:$AS$1007,"&lt;="&amp;EOMONTH(설정!$B$10,5)))</f>
        <v/>
      </c>
      <c r="Q97" s="35" t="n">
        <v>90</v>
      </c>
      <c r="R97" s="35">
        <f>IFERROR(INDEX(매출원본!$AX$8:$AX$1007,MATCH($Q97,매출원본!$BD$8:$BD$1007,0)),"")</f>
        <v/>
      </c>
      <c r="S97" s="35">
        <f>IF($R97="","",SUMIFS(매출원본!$AT$8:$AT$1007,매출원본!$AX$8:$AX$1007,$R97,매출원본!$BA$8:$BA$1007,"포함"))</f>
        <v/>
      </c>
      <c r="T97" s="35">
        <f>IF($R97="","",$S97-$Q97/100000)</f>
        <v/>
      </c>
      <c r="U97" s="35">
        <f>IFERROR(MATCH(LARGE($T$8:$T$207,90),$T$8:$T$207,0),"")</f>
        <v/>
      </c>
    </row>
    <row r="98">
      <c r="A98" s="32">
        <f>IF($U98="","",91)</f>
        <v/>
      </c>
      <c r="B98" s="10">
        <f>IF($U98="","",IFERROR(INDEX(매출원본!$AZ$8:$AZ$1007,MATCH($U98,매출원본!$BD$8:$BD$1007,0)),""))</f>
        <v/>
      </c>
      <c r="C98" s="10">
        <f>IF($U98="","",IFERROR(INDEX(매출원본!$AY$8:$AY$1007,MATCH($U98,매출원본!$BD$8:$BD$1007,0)),""))</f>
        <v/>
      </c>
      <c r="D98" s="33">
        <f>IF($U98="","",COUNTIFS(매출원본!$AX$8:$AX$1007,INDEX($R$8:$R$207,$U98),매출원본!$BA$8:$BA$1007,"포함"))</f>
        <v/>
      </c>
      <c r="E98" s="33">
        <f>IF($U98="","",SUMIFS(매출원본!$AT$8:$AT$1007,매출원본!$AX$8:$AX$1007,INDEX($R$8:$R$207,$U98),매출원본!$BA$8:$BA$1007,"포함"))</f>
        <v/>
      </c>
      <c r="F98" s="33">
        <f>IF($U98="","",SUMIFS(매출원본!$AU$8:$AU$1007,매출원본!$AX$8:$AX$1007,INDEX($R$8:$R$207,$U98),매출원본!$BA$8:$BA$1007,"포함"))</f>
        <v/>
      </c>
      <c r="G98" s="33">
        <f>IF($U98="","",SUMIFS(매출원본!$AV$8:$AV$1007,매출원본!$AX$8:$AX$1007,INDEX($R$8:$R$207,$U98),매출원본!$BA$8:$BA$1007,"포함"))</f>
        <v/>
      </c>
      <c r="H98" s="34">
        <f>IF(OR($U98="",$E$7=0),"",E98/$E$7)</f>
        <v/>
      </c>
      <c r="I98" s="33">
        <f>IF(OR($U98="",0&gt;=설정!$B$12),"",SUMIFS(매출원본!$AT$8:$AT$1007,매출원본!$AX$8:$AX$1007,INDEX($R$8:$R$207,$U98),매출원본!$BA$8:$BA$1007,"포함",매출원본!$AS$8:$AS$1007,"&gt;="&amp;EDATE(설정!$B$10,0),매출원본!$AS$8:$AS$1007,"&lt;="&amp;EOMONTH(설정!$B$10,0)))</f>
        <v/>
      </c>
      <c r="J98" s="33">
        <f>IF(OR($U98="",1&gt;=설정!$B$12),"",SUMIFS(매출원본!$AT$8:$AT$1007,매출원본!$AX$8:$AX$1007,INDEX($R$8:$R$207,$U98),매출원본!$BA$8:$BA$1007,"포함",매출원본!$AS$8:$AS$1007,"&gt;="&amp;EDATE(설정!$B$10,1),매출원본!$AS$8:$AS$1007,"&lt;="&amp;EOMONTH(설정!$B$10,1)))</f>
        <v/>
      </c>
      <c r="K98" s="33">
        <f>IF(OR($U98="",2&gt;=설정!$B$12),"",SUMIFS(매출원본!$AT$8:$AT$1007,매출원본!$AX$8:$AX$1007,INDEX($R$8:$R$207,$U98),매출원본!$BA$8:$BA$1007,"포함",매출원본!$AS$8:$AS$1007,"&gt;="&amp;EDATE(설정!$B$10,2),매출원본!$AS$8:$AS$1007,"&lt;="&amp;EOMONTH(설정!$B$10,2)))</f>
        <v/>
      </c>
      <c r="L98" s="33">
        <f>IF(OR($U98="",3&gt;=설정!$B$12),"",SUMIFS(매출원본!$AT$8:$AT$1007,매출원본!$AX$8:$AX$1007,INDEX($R$8:$R$207,$U98),매출원본!$BA$8:$BA$1007,"포함",매출원본!$AS$8:$AS$1007,"&gt;="&amp;EDATE(설정!$B$10,3),매출원본!$AS$8:$AS$1007,"&lt;="&amp;EOMONTH(설정!$B$10,3)))</f>
        <v/>
      </c>
      <c r="M98" s="33">
        <f>IF(OR($U98="",4&gt;=설정!$B$12),"",SUMIFS(매출원본!$AT$8:$AT$1007,매출원본!$AX$8:$AX$1007,INDEX($R$8:$R$207,$U98),매출원본!$BA$8:$BA$1007,"포함",매출원본!$AS$8:$AS$1007,"&gt;="&amp;EDATE(설정!$B$10,4),매출원본!$AS$8:$AS$1007,"&lt;="&amp;EOMONTH(설정!$B$10,4)))</f>
        <v/>
      </c>
      <c r="N98" s="33">
        <f>IF(OR($U98="",5&gt;=설정!$B$12),"",SUMIFS(매출원본!$AT$8:$AT$1007,매출원본!$AX$8:$AX$1007,INDEX($R$8:$R$207,$U98),매출원본!$BA$8:$BA$1007,"포함",매출원본!$AS$8:$AS$1007,"&gt;="&amp;EDATE(설정!$B$10,5),매출원본!$AS$8:$AS$1007,"&lt;="&amp;EOMONTH(설정!$B$10,5)))</f>
        <v/>
      </c>
      <c r="Q98" s="35" t="n">
        <v>91</v>
      </c>
      <c r="R98" s="35">
        <f>IFERROR(INDEX(매출원본!$AX$8:$AX$1007,MATCH($Q98,매출원본!$BD$8:$BD$1007,0)),"")</f>
        <v/>
      </c>
      <c r="S98" s="35">
        <f>IF($R98="","",SUMIFS(매출원본!$AT$8:$AT$1007,매출원본!$AX$8:$AX$1007,$R98,매출원본!$BA$8:$BA$1007,"포함"))</f>
        <v/>
      </c>
      <c r="T98" s="35">
        <f>IF($R98="","",$S98-$Q98/100000)</f>
        <v/>
      </c>
      <c r="U98" s="35">
        <f>IFERROR(MATCH(LARGE($T$8:$T$207,91),$T$8:$T$207,0),"")</f>
        <v/>
      </c>
    </row>
    <row r="99">
      <c r="A99" s="32">
        <f>IF($U99="","",92)</f>
        <v/>
      </c>
      <c r="B99" s="10">
        <f>IF($U99="","",IFERROR(INDEX(매출원본!$AZ$8:$AZ$1007,MATCH($U99,매출원본!$BD$8:$BD$1007,0)),""))</f>
        <v/>
      </c>
      <c r="C99" s="10">
        <f>IF($U99="","",IFERROR(INDEX(매출원본!$AY$8:$AY$1007,MATCH($U99,매출원본!$BD$8:$BD$1007,0)),""))</f>
        <v/>
      </c>
      <c r="D99" s="33">
        <f>IF($U99="","",COUNTIFS(매출원본!$AX$8:$AX$1007,INDEX($R$8:$R$207,$U99),매출원본!$BA$8:$BA$1007,"포함"))</f>
        <v/>
      </c>
      <c r="E99" s="33">
        <f>IF($U99="","",SUMIFS(매출원본!$AT$8:$AT$1007,매출원본!$AX$8:$AX$1007,INDEX($R$8:$R$207,$U99),매출원본!$BA$8:$BA$1007,"포함"))</f>
        <v/>
      </c>
      <c r="F99" s="33">
        <f>IF($U99="","",SUMIFS(매출원본!$AU$8:$AU$1007,매출원본!$AX$8:$AX$1007,INDEX($R$8:$R$207,$U99),매출원본!$BA$8:$BA$1007,"포함"))</f>
        <v/>
      </c>
      <c r="G99" s="33">
        <f>IF($U99="","",SUMIFS(매출원본!$AV$8:$AV$1007,매출원본!$AX$8:$AX$1007,INDEX($R$8:$R$207,$U99),매출원본!$BA$8:$BA$1007,"포함"))</f>
        <v/>
      </c>
      <c r="H99" s="34">
        <f>IF(OR($U99="",$E$7=0),"",E99/$E$7)</f>
        <v/>
      </c>
      <c r="I99" s="33">
        <f>IF(OR($U99="",0&gt;=설정!$B$12),"",SUMIFS(매출원본!$AT$8:$AT$1007,매출원본!$AX$8:$AX$1007,INDEX($R$8:$R$207,$U99),매출원본!$BA$8:$BA$1007,"포함",매출원본!$AS$8:$AS$1007,"&gt;="&amp;EDATE(설정!$B$10,0),매출원본!$AS$8:$AS$1007,"&lt;="&amp;EOMONTH(설정!$B$10,0)))</f>
        <v/>
      </c>
      <c r="J99" s="33">
        <f>IF(OR($U99="",1&gt;=설정!$B$12),"",SUMIFS(매출원본!$AT$8:$AT$1007,매출원본!$AX$8:$AX$1007,INDEX($R$8:$R$207,$U99),매출원본!$BA$8:$BA$1007,"포함",매출원본!$AS$8:$AS$1007,"&gt;="&amp;EDATE(설정!$B$10,1),매출원본!$AS$8:$AS$1007,"&lt;="&amp;EOMONTH(설정!$B$10,1)))</f>
        <v/>
      </c>
      <c r="K99" s="33">
        <f>IF(OR($U99="",2&gt;=설정!$B$12),"",SUMIFS(매출원본!$AT$8:$AT$1007,매출원본!$AX$8:$AX$1007,INDEX($R$8:$R$207,$U99),매출원본!$BA$8:$BA$1007,"포함",매출원본!$AS$8:$AS$1007,"&gt;="&amp;EDATE(설정!$B$10,2),매출원본!$AS$8:$AS$1007,"&lt;="&amp;EOMONTH(설정!$B$10,2)))</f>
        <v/>
      </c>
      <c r="L99" s="33">
        <f>IF(OR($U99="",3&gt;=설정!$B$12),"",SUMIFS(매출원본!$AT$8:$AT$1007,매출원본!$AX$8:$AX$1007,INDEX($R$8:$R$207,$U99),매출원본!$BA$8:$BA$1007,"포함",매출원본!$AS$8:$AS$1007,"&gt;="&amp;EDATE(설정!$B$10,3),매출원본!$AS$8:$AS$1007,"&lt;="&amp;EOMONTH(설정!$B$10,3)))</f>
        <v/>
      </c>
      <c r="M99" s="33">
        <f>IF(OR($U99="",4&gt;=설정!$B$12),"",SUMIFS(매출원본!$AT$8:$AT$1007,매출원본!$AX$8:$AX$1007,INDEX($R$8:$R$207,$U99),매출원본!$BA$8:$BA$1007,"포함",매출원본!$AS$8:$AS$1007,"&gt;="&amp;EDATE(설정!$B$10,4),매출원본!$AS$8:$AS$1007,"&lt;="&amp;EOMONTH(설정!$B$10,4)))</f>
        <v/>
      </c>
      <c r="N99" s="33">
        <f>IF(OR($U99="",5&gt;=설정!$B$12),"",SUMIFS(매출원본!$AT$8:$AT$1007,매출원본!$AX$8:$AX$1007,INDEX($R$8:$R$207,$U99),매출원본!$BA$8:$BA$1007,"포함",매출원본!$AS$8:$AS$1007,"&gt;="&amp;EDATE(설정!$B$10,5),매출원본!$AS$8:$AS$1007,"&lt;="&amp;EOMONTH(설정!$B$10,5)))</f>
        <v/>
      </c>
      <c r="Q99" s="35" t="n">
        <v>92</v>
      </c>
      <c r="R99" s="35">
        <f>IFERROR(INDEX(매출원본!$AX$8:$AX$1007,MATCH($Q99,매출원본!$BD$8:$BD$1007,0)),"")</f>
        <v/>
      </c>
      <c r="S99" s="35">
        <f>IF($R99="","",SUMIFS(매출원본!$AT$8:$AT$1007,매출원본!$AX$8:$AX$1007,$R99,매출원본!$BA$8:$BA$1007,"포함"))</f>
        <v/>
      </c>
      <c r="T99" s="35">
        <f>IF($R99="","",$S99-$Q99/100000)</f>
        <v/>
      </c>
      <c r="U99" s="35">
        <f>IFERROR(MATCH(LARGE($T$8:$T$207,92),$T$8:$T$207,0),"")</f>
        <v/>
      </c>
    </row>
    <row r="100">
      <c r="A100" s="32">
        <f>IF($U100="","",93)</f>
        <v/>
      </c>
      <c r="B100" s="10">
        <f>IF($U100="","",IFERROR(INDEX(매출원본!$AZ$8:$AZ$1007,MATCH($U100,매출원본!$BD$8:$BD$1007,0)),""))</f>
        <v/>
      </c>
      <c r="C100" s="10">
        <f>IF($U100="","",IFERROR(INDEX(매출원본!$AY$8:$AY$1007,MATCH($U100,매출원본!$BD$8:$BD$1007,0)),""))</f>
        <v/>
      </c>
      <c r="D100" s="33">
        <f>IF($U100="","",COUNTIFS(매출원본!$AX$8:$AX$1007,INDEX($R$8:$R$207,$U100),매출원본!$BA$8:$BA$1007,"포함"))</f>
        <v/>
      </c>
      <c r="E100" s="33">
        <f>IF($U100="","",SUMIFS(매출원본!$AT$8:$AT$1007,매출원본!$AX$8:$AX$1007,INDEX($R$8:$R$207,$U100),매출원본!$BA$8:$BA$1007,"포함"))</f>
        <v/>
      </c>
      <c r="F100" s="33">
        <f>IF($U100="","",SUMIFS(매출원본!$AU$8:$AU$1007,매출원본!$AX$8:$AX$1007,INDEX($R$8:$R$207,$U100),매출원본!$BA$8:$BA$1007,"포함"))</f>
        <v/>
      </c>
      <c r="G100" s="33">
        <f>IF($U100="","",SUMIFS(매출원본!$AV$8:$AV$1007,매출원본!$AX$8:$AX$1007,INDEX($R$8:$R$207,$U100),매출원본!$BA$8:$BA$1007,"포함"))</f>
        <v/>
      </c>
      <c r="H100" s="34">
        <f>IF(OR($U100="",$E$7=0),"",E100/$E$7)</f>
        <v/>
      </c>
      <c r="I100" s="33">
        <f>IF(OR($U100="",0&gt;=설정!$B$12),"",SUMIFS(매출원본!$AT$8:$AT$1007,매출원본!$AX$8:$AX$1007,INDEX($R$8:$R$207,$U100),매출원본!$BA$8:$BA$1007,"포함",매출원본!$AS$8:$AS$1007,"&gt;="&amp;EDATE(설정!$B$10,0),매출원본!$AS$8:$AS$1007,"&lt;="&amp;EOMONTH(설정!$B$10,0)))</f>
        <v/>
      </c>
      <c r="J100" s="33">
        <f>IF(OR($U100="",1&gt;=설정!$B$12),"",SUMIFS(매출원본!$AT$8:$AT$1007,매출원본!$AX$8:$AX$1007,INDEX($R$8:$R$207,$U100),매출원본!$BA$8:$BA$1007,"포함",매출원본!$AS$8:$AS$1007,"&gt;="&amp;EDATE(설정!$B$10,1),매출원본!$AS$8:$AS$1007,"&lt;="&amp;EOMONTH(설정!$B$10,1)))</f>
        <v/>
      </c>
      <c r="K100" s="33">
        <f>IF(OR($U100="",2&gt;=설정!$B$12),"",SUMIFS(매출원본!$AT$8:$AT$1007,매출원본!$AX$8:$AX$1007,INDEX($R$8:$R$207,$U100),매출원본!$BA$8:$BA$1007,"포함",매출원본!$AS$8:$AS$1007,"&gt;="&amp;EDATE(설정!$B$10,2),매출원본!$AS$8:$AS$1007,"&lt;="&amp;EOMONTH(설정!$B$10,2)))</f>
        <v/>
      </c>
      <c r="L100" s="33">
        <f>IF(OR($U100="",3&gt;=설정!$B$12),"",SUMIFS(매출원본!$AT$8:$AT$1007,매출원본!$AX$8:$AX$1007,INDEX($R$8:$R$207,$U100),매출원본!$BA$8:$BA$1007,"포함",매출원본!$AS$8:$AS$1007,"&gt;="&amp;EDATE(설정!$B$10,3),매출원본!$AS$8:$AS$1007,"&lt;="&amp;EOMONTH(설정!$B$10,3)))</f>
        <v/>
      </c>
      <c r="M100" s="33">
        <f>IF(OR($U100="",4&gt;=설정!$B$12),"",SUMIFS(매출원본!$AT$8:$AT$1007,매출원본!$AX$8:$AX$1007,INDEX($R$8:$R$207,$U100),매출원본!$BA$8:$BA$1007,"포함",매출원본!$AS$8:$AS$1007,"&gt;="&amp;EDATE(설정!$B$10,4),매출원본!$AS$8:$AS$1007,"&lt;="&amp;EOMONTH(설정!$B$10,4)))</f>
        <v/>
      </c>
      <c r="N100" s="33">
        <f>IF(OR($U100="",5&gt;=설정!$B$12),"",SUMIFS(매출원본!$AT$8:$AT$1007,매출원본!$AX$8:$AX$1007,INDEX($R$8:$R$207,$U100),매출원본!$BA$8:$BA$1007,"포함",매출원본!$AS$8:$AS$1007,"&gt;="&amp;EDATE(설정!$B$10,5),매출원본!$AS$8:$AS$1007,"&lt;="&amp;EOMONTH(설정!$B$10,5)))</f>
        <v/>
      </c>
      <c r="Q100" s="35" t="n">
        <v>93</v>
      </c>
      <c r="R100" s="35">
        <f>IFERROR(INDEX(매출원본!$AX$8:$AX$1007,MATCH($Q100,매출원본!$BD$8:$BD$1007,0)),"")</f>
        <v/>
      </c>
      <c r="S100" s="35">
        <f>IF($R100="","",SUMIFS(매출원본!$AT$8:$AT$1007,매출원본!$AX$8:$AX$1007,$R100,매출원본!$BA$8:$BA$1007,"포함"))</f>
        <v/>
      </c>
      <c r="T100" s="35">
        <f>IF($R100="","",$S100-$Q100/100000)</f>
        <v/>
      </c>
      <c r="U100" s="35">
        <f>IFERROR(MATCH(LARGE($T$8:$T$207,93),$T$8:$T$207,0),"")</f>
        <v/>
      </c>
    </row>
    <row r="101">
      <c r="A101" s="32">
        <f>IF($U101="","",94)</f>
        <v/>
      </c>
      <c r="B101" s="10">
        <f>IF($U101="","",IFERROR(INDEX(매출원본!$AZ$8:$AZ$1007,MATCH($U101,매출원본!$BD$8:$BD$1007,0)),""))</f>
        <v/>
      </c>
      <c r="C101" s="10">
        <f>IF($U101="","",IFERROR(INDEX(매출원본!$AY$8:$AY$1007,MATCH($U101,매출원본!$BD$8:$BD$1007,0)),""))</f>
        <v/>
      </c>
      <c r="D101" s="33">
        <f>IF($U101="","",COUNTIFS(매출원본!$AX$8:$AX$1007,INDEX($R$8:$R$207,$U101),매출원본!$BA$8:$BA$1007,"포함"))</f>
        <v/>
      </c>
      <c r="E101" s="33">
        <f>IF($U101="","",SUMIFS(매출원본!$AT$8:$AT$1007,매출원본!$AX$8:$AX$1007,INDEX($R$8:$R$207,$U101),매출원본!$BA$8:$BA$1007,"포함"))</f>
        <v/>
      </c>
      <c r="F101" s="33">
        <f>IF($U101="","",SUMIFS(매출원본!$AU$8:$AU$1007,매출원본!$AX$8:$AX$1007,INDEX($R$8:$R$207,$U101),매출원본!$BA$8:$BA$1007,"포함"))</f>
        <v/>
      </c>
      <c r="G101" s="33">
        <f>IF($U101="","",SUMIFS(매출원본!$AV$8:$AV$1007,매출원본!$AX$8:$AX$1007,INDEX($R$8:$R$207,$U101),매출원본!$BA$8:$BA$1007,"포함"))</f>
        <v/>
      </c>
      <c r="H101" s="34">
        <f>IF(OR($U101="",$E$7=0),"",E101/$E$7)</f>
        <v/>
      </c>
      <c r="I101" s="33">
        <f>IF(OR($U101="",0&gt;=설정!$B$12),"",SUMIFS(매출원본!$AT$8:$AT$1007,매출원본!$AX$8:$AX$1007,INDEX($R$8:$R$207,$U101),매출원본!$BA$8:$BA$1007,"포함",매출원본!$AS$8:$AS$1007,"&gt;="&amp;EDATE(설정!$B$10,0),매출원본!$AS$8:$AS$1007,"&lt;="&amp;EOMONTH(설정!$B$10,0)))</f>
        <v/>
      </c>
      <c r="J101" s="33">
        <f>IF(OR($U101="",1&gt;=설정!$B$12),"",SUMIFS(매출원본!$AT$8:$AT$1007,매출원본!$AX$8:$AX$1007,INDEX($R$8:$R$207,$U101),매출원본!$BA$8:$BA$1007,"포함",매출원본!$AS$8:$AS$1007,"&gt;="&amp;EDATE(설정!$B$10,1),매출원본!$AS$8:$AS$1007,"&lt;="&amp;EOMONTH(설정!$B$10,1)))</f>
        <v/>
      </c>
      <c r="K101" s="33">
        <f>IF(OR($U101="",2&gt;=설정!$B$12),"",SUMIFS(매출원본!$AT$8:$AT$1007,매출원본!$AX$8:$AX$1007,INDEX($R$8:$R$207,$U101),매출원본!$BA$8:$BA$1007,"포함",매출원본!$AS$8:$AS$1007,"&gt;="&amp;EDATE(설정!$B$10,2),매출원본!$AS$8:$AS$1007,"&lt;="&amp;EOMONTH(설정!$B$10,2)))</f>
        <v/>
      </c>
      <c r="L101" s="33">
        <f>IF(OR($U101="",3&gt;=설정!$B$12),"",SUMIFS(매출원본!$AT$8:$AT$1007,매출원본!$AX$8:$AX$1007,INDEX($R$8:$R$207,$U101),매출원본!$BA$8:$BA$1007,"포함",매출원본!$AS$8:$AS$1007,"&gt;="&amp;EDATE(설정!$B$10,3),매출원본!$AS$8:$AS$1007,"&lt;="&amp;EOMONTH(설정!$B$10,3)))</f>
        <v/>
      </c>
      <c r="M101" s="33">
        <f>IF(OR($U101="",4&gt;=설정!$B$12),"",SUMIFS(매출원본!$AT$8:$AT$1007,매출원본!$AX$8:$AX$1007,INDEX($R$8:$R$207,$U101),매출원본!$BA$8:$BA$1007,"포함",매출원본!$AS$8:$AS$1007,"&gt;="&amp;EDATE(설정!$B$10,4),매출원본!$AS$8:$AS$1007,"&lt;="&amp;EOMONTH(설정!$B$10,4)))</f>
        <v/>
      </c>
      <c r="N101" s="33">
        <f>IF(OR($U101="",5&gt;=설정!$B$12),"",SUMIFS(매출원본!$AT$8:$AT$1007,매출원본!$AX$8:$AX$1007,INDEX($R$8:$R$207,$U101),매출원본!$BA$8:$BA$1007,"포함",매출원본!$AS$8:$AS$1007,"&gt;="&amp;EDATE(설정!$B$10,5),매출원본!$AS$8:$AS$1007,"&lt;="&amp;EOMONTH(설정!$B$10,5)))</f>
        <v/>
      </c>
      <c r="Q101" s="35" t="n">
        <v>94</v>
      </c>
      <c r="R101" s="35">
        <f>IFERROR(INDEX(매출원본!$AX$8:$AX$1007,MATCH($Q101,매출원본!$BD$8:$BD$1007,0)),"")</f>
        <v/>
      </c>
      <c r="S101" s="35">
        <f>IF($R101="","",SUMIFS(매출원본!$AT$8:$AT$1007,매출원본!$AX$8:$AX$1007,$R101,매출원본!$BA$8:$BA$1007,"포함"))</f>
        <v/>
      </c>
      <c r="T101" s="35">
        <f>IF($R101="","",$S101-$Q101/100000)</f>
        <v/>
      </c>
      <c r="U101" s="35">
        <f>IFERROR(MATCH(LARGE($T$8:$T$207,94),$T$8:$T$207,0),"")</f>
        <v/>
      </c>
    </row>
    <row r="102">
      <c r="A102" s="32">
        <f>IF($U102="","",95)</f>
        <v/>
      </c>
      <c r="B102" s="10">
        <f>IF($U102="","",IFERROR(INDEX(매출원본!$AZ$8:$AZ$1007,MATCH($U102,매출원본!$BD$8:$BD$1007,0)),""))</f>
        <v/>
      </c>
      <c r="C102" s="10">
        <f>IF($U102="","",IFERROR(INDEX(매출원본!$AY$8:$AY$1007,MATCH($U102,매출원본!$BD$8:$BD$1007,0)),""))</f>
        <v/>
      </c>
      <c r="D102" s="33">
        <f>IF($U102="","",COUNTIFS(매출원본!$AX$8:$AX$1007,INDEX($R$8:$R$207,$U102),매출원본!$BA$8:$BA$1007,"포함"))</f>
        <v/>
      </c>
      <c r="E102" s="33">
        <f>IF($U102="","",SUMIFS(매출원본!$AT$8:$AT$1007,매출원본!$AX$8:$AX$1007,INDEX($R$8:$R$207,$U102),매출원본!$BA$8:$BA$1007,"포함"))</f>
        <v/>
      </c>
      <c r="F102" s="33">
        <f>IF($U102="","",SUMIFS(매출원본!$AU$8:$AU$1007,매출원본!$AX$8:$AX$1007,INDEX($R$8:$R$207,$U102),매출원본!$BA$8:$BA$1007,"포함"))</f>
        <v/>
      </c>
      <c r="G102" s="33">
        <f>IF($U102="","",SUMIFS(매출원본!$AV$8:$AV$1007,매출원본!$AX$8:$AX$1007,INDEX($R$8:$R$207,$U102),매출원본!$BA$8:$BA$1007,"포함"))</f>
        <v/>
      </c>
      <c r="H102" s="34">
        <f>IF(OR($U102="",$E$7=0),"",E102/$E$7)</f>
        <v/>
      </c>
      <c r="I102" s="33">
        <f>IF(OR($U102="",0&gt;=설정!$B$12),"",SUMIFS(매출원본!$AT$8:$AT$1007,매출원본!$AX$8:$AX$1007,INDEX($R$8:$R$207,$U102),매출원본!$BA$8:$BA$1007,"포함",매출원본!$AS$8:$AS$1007,"&gt;="&amp;EDATE(설정!$B$10,0),매출원본!$AS$8:$AS$1007,"&lt;="&amp;EOMONTH(설정!$B$10,0)))</f>
        <v/>
      </c>
      <c r="J102" s="33">
        <f>IF(OR($U102="",1&gt;=설정!$B$12),"",SUMIFS(매출원본!$AT$8:$AT$1007,매출원본!$AX$8:$AX$1007,INDEX($R$8:$R$207,$U102),매출원본!$BA$8:$BA$1007,"포함",매출원본!$AS$8:$AS$1007,"&gt;="&amp;EDATE(설정!$B$10,1),매출원본!$AS$8:$AS$1007,"&lt;="&amp;EOMONTH(설정!$B$10,1)))</f>
        <v/>
      </c>
      <c r="K102" s="33">
        <f>IF(OR($U102="",2&gt;=설정!$B$12),"",SUMIFS(매출원본!$AT$8:$AT$1007,매출원본!$AX$8:$AX$1007,INDEX($R$8:$R$207,$U102),매출원본!$BA$8:$BA$1007,"포함",매출원본!$AS$8:$AS$1007,"&gt;="&amp;EDATE(설정!$B$10,2),매출원본!$AS$8:$AS$1007,"&lt;="&amp;EOMONTH(설정!$B$10,2)))</f>
        <v/>
      </c>
      <c r="L102" s="33">
        <f>IF(OR($U102="",3&gt;=설정!$B$12),"",SUMIFS(매출원본!$AT$8:$AT$1007,매출원본!$AX$8:$AX$1007,INDEX($R$8:$R$207,$U102),매출원본!$BA$8:$BA$1007,"포함",매출원본!$AS$8:$AS$1007,"&gt;="&amp;EDATE(설정!$B$10,3),매출원본!$AS$8:$AS$1007,"&lt;="&amp;EOMONTH(설정!$B$10,3)))</f>
        <v/>
      </c>
      <c r="M102" s="33">
        <f>IF(OR($U102="",4&gt;=설정!$B$12),"",SUMIFS(매출원본!$AT$8:$AT$1007,매출원본!$AX$8:$AX$1007,INDEX($R$8:$R$207,$U102),매출원본!$BA$8:$BA$1007,"포함",매출원본!$AS$8:$AS$1007,"&gt;="&amp;EDATE(설정!$B$10,4),매출원본!$AS$8:$AS$1007,"&lt;="&amp;EOMONTH(설정!$B$10,4)))</f>
        <v/>
      </c>
      <c r="N102" s="33">
        <f>IF(OR($U102="",5&gt;=설정!$B$12),"",SUMIFS(매출원본!$AT$8:$AT$1007,매출원본!$AX$8:$AX$1007,INDEX($R$8:$R$207,$U102),매출원본!$BA$8:$BA$1007,"포함",매출원본!$AS$8:$AS$1007,"&gt;="&amp;EDATE(설정!$B$10,5),매출원본!$AS$8:$AS$1007,"&lt;="&amp;EOMONTH(설정!$B$10,5)))</f>
        <v/>
      </c>
      <c r="Q102" s="35" t="n">
        <v>95</v>
      </c>
      <c r="R102" s="35">
        <f>IFERROR(INDEX(매출원본!$AX$8:$AX$1007,MATCH($Q102,매출원본!$BD$8:$BD$1007,0)),"")</f>
        <v/>
      </c>
      <c r="S102" s="35">
        <f>IF($R102="","",SUMIFS(매출원본!$AT$8:$AT$1007,매출원본!$AX$8:$AX$1007,$R102,매출원본!$BA$8:$BA$1007,"포함"))</f>
        <v/>
      </c>
      <c r="T102" s="35">
        <f>IF($R102="","",$S102-$Q102/100000)</f>
        <v/>
      </c>
      <c r="U102" s="35">
        <f>IFERROR(MATCH(LARGE($T$8:$T$207,95),$T$8:$T$207,0),"")</f>
        <v/>
      </c>
    </row>
    <row r="103">
      <c r="A103" s="32">
        <f>IF($U103="","",96)</f>
        <v/>
      </c>
      <c r="B103" s="10">
        <f>IF($U103="","",IFERROR(INDEX(매출원본!$AZ$8:$AZ$1007,MATCH($U103,매출원본!$BD$8:$BD$1007,0)),""))</f>
        <v/>
      </c>
      <c r="C103" s="10">
        <f>IF($U103="","",IFERROR(INDEX(매출원본!$AY$8:$AY$1007,MATCH($U103,매출원본!$BD$8:$BD$1007,0)),""))</f>
        <v/>
      </c>
      <c r="D103" s="33">
        <f>IF($U103="","",COUNTIFS(매출원본!$AX$8:$AX$1007,INDEX($R$8:$R$207,$U103),매출원본!$BA$8:$BA$1007,"포함"))</f>
        <v/>
      </c>
      <c r="E103" s="33">
        <f>IF($U103="","",SUMIFS(매출원본!$AT$8:$AT$1007,매출원본!$AX$8:$AX$1007,INDEX($R$8:$R$207,$U103),매출원본!$BA$8:$BA$1007,"포함"))</f>
        <v/>
      </c>
      <c r="F103" s="33">
        <f>IF($U103="","",SUMIFS(매출원본!$AU$8:$AU$1007,매출원본!$AX$8:$AX$1007,INDEX($R$8:$R$207,$U103),매출원본!$BA$8:$BA$1007,"포함"))</f>
        <v/>
      </c>
      <c r="G103" s="33">
        <f>IF($U103="","",SUMIFS(매출원본!$AV$8:$AV$1007,매출원본!$AX$8:$AX$1007,INDEX($R$8:$R$207,$U103),매출원본!$BA$8:$BA$1007,"포함"))</f>
        <v/>
      </c>
      <c r="H103" s="34">
        <f>IF(OR($U103="",$E$7=0),"",E103/$E$7)</f>
        <v/>
      </c>
      <c r="I103" s="33">
        <f>IF(OR($U103="",0&gt;=설정!$B$12),"",SUMIFS(매출원본!$AT$8:$AT$1007,매출원본!$AX$8:$AX$1007,INDEX($R$8:$R$207,$U103),매출원본!$BA$8:$BA$1007,"포함",매출원본!$AS$8:$AS$1007,"&gt;="&amp;EDATE(설정!$B$10,0),매출원본!$AS$8:$AS$1007,"&lt;="&amp;EOMONTH(설정!$B$10,0)))</f>
        <v/>
      </c>
      <c r="J103" s="33">
        <f>IF(OR($U103="",1&gt;=설정!$B$12),"",SUMIFS(매출원본!$AT$8:$AT$1007,매출원본!$AX$8:$AX$1007,INDEX($R$8:$R$207,$U103),매출원본!$BA$8:$BA$1007,"포함",매출원본!$AS$8:$AS$1007,"&gt;="&amp;EDATE(설정!$B$10,1),매출원본!$AS$8:$AS$1007,"&lt;="&amp;EOMONTH(설정!$B$10,1)))</f>
        <v/>
      </c>
      <c r="K103" s="33">
        <f>IF(OR($U103="",2&gt;=설정!$B$12),"",SUMIFS(매출원본!$AT$8:$AT$1007,매출원본!$AX$8:$AX$1007,INDEX($R$8:$R$207,$U103),매출원본!$BA$8:$BA$1007,"포함",매출원본!$AS$8:$AS$1007,"&gt;="&amp;EDATE(설정!$B$10,2),매출원본!$AS$8:$AS$1007,"&lt;="&amp;EOMONTH(설정!$B$10,2)))</f>
        <v/>
      </c>
      <c r="L103" s="33">
        <f>IF(OR($U103="",3&gt;=설정!$B$12),"",SUMIFS(매출원본!$AT$8:$AT$1007,매출원본!$AX$8:$AX$1007,INDEX($R$8:$R$207,$U103),매출원본!$BA$8:$BA$1007,"포함",매출원본!$AS$8:$AS$1007,"&gt;="&amp;EDATE(설정!$B$10,3),매출원본!$AS$8:$AS$1007,"&lt;="&amp;EOMONTH(설정!$B$10,3)))</f>
        <v/>
      </c>
      <c r="M103" s="33">
        <f>IF(OR($U103="",4&gt;=설정!$B$12),"",SUMIFS(매출원본!$AT$8:$AT$1007,매출원본!$AX$8:$AX$1007,INDEX($R$8:$R$207,$U103),매출원본!$BA$8:$BA$1007,"포함",매출원본!$AS$8:$AS$1007,"&gt;="&amp;EDATE(설정!$B$10,4),매출원본!$AS$8:$AS$1007,"&lt;="&amp;EOMONTH(설정!$B$10,4)))</f>
        <v/>
      </c>
      <c r="N103" s="33">
        <f>IF(OR($U103="",5&gt;=설정!$B$12),"",SUMIFS(매출원본!$AT$8:$AT$1007,매출원본!$AX$8:$AX$1007,INDEX($R$8:$R$207,$U103),매출원본!$BA$8:$BA$1007,"포함",매출원본!$AS$8:$AS$1007,"&gt;="&amp;EDATE(설정!$B$10,5),매출원본!$AS$8:$AS$1007,"&lt;="&amp;EOMONTH(설정!$B$10,5)))</f>
        <v/>
      </c>
      <c r="Q103" s="35" t="n">
        <v>96</v>
      </c>
      <c r="R103" s="35">
        <f>IFERROR(INDEX(매출원본!$AX$8:$AX$1007,MATCH($Q103,매출원본!$BD$8:$BD$1007,0)),"")</f>
        <v/>
      </c>
      <c r="S103" s="35">
        <f>IF($R103="","",SUMIFS(매출원본!$AT$8:$AT$1007,매출원본!$AX$8:$AX$1007,$R103,매출원본!$BA$8:$BA$1007,"포함"))</f>
        <v/>
      </c>
      <c r="T103" s="35">
        <f>IF($R103="","",$S103-$Q103/100000)</f>
        <v/>
      </c>
      <c r="U103" s="35">
        <f>IFERROR(MATCH(LARGE($T$8:$T$207,96),$T$8:$T$207,0),"")</f>
        <v/>
      </c>
    </row>
    <row r="104">
      <c r="A104" s="32">
        <f>IF($U104="","",97)</f>
        <v/>
      </c>
      <c r="B104" s="10">
        <f>IF($U104="","",IFERROR(INDEX(매출원본!$AZ$8:$AZ$1007,MATCH($U104,매출원본!$BD$8:$BD$1007,0)),""))</f>
        <v/>
      </c>
      <c r="C104" s="10">
        <f>IF($U104="","",IFERROR(INDEX(매출원본!$AY$8:$AY$1007,MATCH($U104,매출원본!$BD$8:$BD$1007,0)),""))</f>
        <v/>
      </c>
      <c r="D104" s="33">
        <f>IF($U104="","",COUNTIFS(매출원본!$AX$8:$AX$1007,INDEX($R$8:$R$207,$U104),매출원본!$BA$8:$BA$1007,"포함"))</f>
        <v/>
      </c>
      <c r="E104" s="33">
        <f>IF($U104="","",SUMIFS(매출원본!$AT$8:$AT$1007,매출원본!$AX$8:$AX$1007,INDEX($R$8:$R$207,$U104),매출원본!$BA$8:$BA$1007,"포함"))</f>
        <v/>
      </c>
      <c r="F104" s="33">
        <f>IF($U104="","",SUMIFS(매출원본!$AU$8:$AU$1007,매출원본!$AX$8:$AX$1007,INDEX($R$8:$R$207,$U104),매출원본!$BA$8:$BA$1007,"포함"))</f>
        <v/>
      </c>
      <c r="G104" s="33">
        <f>IF($U104="","",SUMIFS(매출원본!$AV$8:$AV$1007,매출원본!$AX$8:$AX$1007,INDEX($R$8:$R$207,$U104),매출원본!$BA$8:$BA$1007,"포함"))</f>
        <v/>
      </c>
      <c r="H104" s="34">
        <f>IF(OR($U104="",$E$7=0),"",E104/$E$7)</f>
        <v/>
      </c>
      <c r="I104" s="33">
        <f>IF(OR($U104="",0&gt;=설정!$B$12),"",SUMIFS(매출원본!$AT$8:$AT$1007,매출원본!$AX$8:$AX$1007,INDEX($R$8:$R$207,$U104),매출원본!$BA$8:$BA$1007,"포함",매출원본!$AS$8:$AS$1007,"&gt;="&amp;EDATE(설정!$B$10,0),매출원본!$AS$8:$AS$1007,"&lt;="&amp;EOMONTH(설정!$B$10,0)))</f>
        <v/>
      </c>
      <c r="J104" s="33">
        <f>IF(OR($U104="",1&gt;=설정!$B$12),"",SUMIFS(매출원본!$AT$8:$AT$1007,매출원본!$AX$8:$AX$1007,INDEX($R$8:$R$207,$U104),매출원본!$BA$8:$BA$1007,"포함",매출원본!$AS$8:$AS$1007,"&gt;="&amp;EDATE(설정!$B$10,1),매출원본!$AS$8:$AS$1007,"&lt;="&amp;EOMONTH(설정!$B$10,1)))</f>
        <v/>
      </c>
      <c r="K104" s="33">
        <f>IF(OR($U104="",2&gt;=설정!$B$12),"",SUMIFS(매출원본!$AT$8:$AT$1007,매출원본!$AX$8:$AX$1007,INDEX($R$8:$R$207,$U104),매출원본!$BA$8:$BA$1007,"포함",매출원본!$AS$8:$AS$1007,"&gt;="&amp;EDATE(설정!$B$10,2),매출원본!$AS$8:$AS$1007,"&lt;="&amp;EOMONTH(설정!$B$10,2)))</f>
        <v/>
      </c>
      <c r="L104" s="33">
        <f>IF(OR($U104="",3&gt;=설정!$B$12),"",SUMIFS(매출원본!$AT$8:$AT$1007,매출원본!$AX$8:$AX$1007,INDEX($R$8:$R$207,$U104),매출원본!$BA$8:$BA$1007,"포함",매출원본!$AS$8:$AS$1007,"&gt;="&amp;EDATE(설정!$B$10,3),매출원본!$AS$8:$AS$1007,"&lt;="&amp;EOMONTH(설정!$B$10,3)))</f>
        <v/>
      </c>
      <c r="M104" s="33">
        <f>IF(OR($U104="",4&gt;=설정!$B$12),"",SUMIFS(매출원본!$AT$8:$AT$1007,매출원본!$AX$8:$AX$1007,INDEX($R$8:$R$207,$U104),매출원본!$BA$8:$BA$1007,"포함",매출원본!$AS$8:$AS$1007,"&gt;="&amp;EDATE(설정!$B$10,4),매출원본!$AS$8:$AS$1007,"&lt;="&amp;EOMONTH(설정!$B$10,4)))</f>
        <v/>
      </c>
      <c r="N104" s="33">
        <f>IF(OR($U104="",5&gt;=설정!$B$12),"",SUMIFS(매출원본!$AT$8:$AT$1007,매출원본!$AX$8:$AX$1007,INDEX($R$8:$R$207,$U104),매출원본!$BA$8:$BA$1007,"포함",매출원본!$AS$8:$AS$1007,"&gt;="&amp;EDATE(설정!$B$10,5),매출원본!$AS$8:$AS$1007,"&lt;="&amp;EOMONTH(설정!$B$10,5)))</f>
        <v/>
      </c>
      <c r="Q104" s="35" t="n">
        <v>97</v>
      </c>
      <c r="R104" s="35">
        <f>IFERROR(INDEX(매출원본!$AX$8:$AX$1007,MATCH($Q104,매출원본!$BD$8:$BD$1007,0)),"")</f>
        <v/>
      </c>
      <c r="S104" s="35">
        <f>IF($R104="","",SUMIFS(매출원본!$AT$8:$AT$1007,매출원본!$AX$8:$AX$1007,$R104,매출원본!$BA$8:$BA$1007,"포함"))</f>
        <v/>
      </c>
      <c r="T104" s="35">
        <f>IF($R104="","",$S104-$Q104/100000)</f>
        <v/>
      </c>
      <c r="U104" s="35">
        <f>IFERROR(MATCH(LARGE($T$8:$T$207,97),$T$8:$T$207,0),"")</f>
        <v/>
      </c>
    </row>
    <row r="105">
      <c r="A105" s="32">
        <f>IF($U105="","",98)</f>
        <v/>
      </c>
      <c r="B105" s="10">
        <f>IF($U105="","",IFERROR(INDEX(매출원본!$AZ$8:$AZ$1007,MATCH($U105,매출원본!$BD$8:$BD$1007,0)),""))</f>
        <v/>
      </c>
      <c r="C105" s="10">
        <f>IF($U105="","",IFERROR(INDEX(매출원본!$AY$8:$AY$1007,MATCH($U105,매출원본!$BD$8:$BD$1007,0)),""))</f>
        <v/>
      </c>
      <c r="D105" s="33">
        <f>IF($U105="","",COUNTIFS(매출원본!$AX$8:$AX$1007,INDEX($R$8:$R$207,$U105),매출원본!$BA$8:$BA$1007,"포함"))</f>
        <v/>
      </c>
      <c r="E105" s="33">
        <f>IF($U105="","",SUMIFS(매출원본!$AT$8:$AT$1007,매출원본!$AX$8:$AX$1007,INDEX($R$8:$R$207,$U105),매출원본!$BA$8:$BA$1007,"포함"))</f>
        <v/>
      </c>
      <c r="F105" s="33">
        <f>IF($U105="","",SUMIFS(매출원본!$AU$8:$AU$1007,매출원본!$AX$8:$AX$1007,INDEX($R$8:$R$207,$U105),매출원본!$BA$8:$BA$1007,"포함"))</f>
        <v/>
      </c>
      <c r="G105" s="33">
        <f>IF($U105="","",SUMIFS(매출원본!$AV$8:$AV$1007,매출원본!$AX$8:$AX$1007,INDEX($R$8:$R$207,$U105),매출원본!$BA$8:$BA$1007,"포함"))</f>
        <v/>
      </c>
      <c r="H105" s="34">
        <f>IF(OR($U105="",$E$7=0),"",E105/$E$7)</f>
        <v/>
      </c>
      <c r="I105" s="33">
        <f>IF(OR($U105="",0&gt;=설정!$B$12),"",SUMIFS(매출원본!$AT$8:$AT$1007,매출원본!$AX$8:$AX$1007,INDEX($R$8:$R$207,$U105),매출원본!$BA$8:$BA$1007,"포함",매출원본!$AS$8:$AS$1007,"&gt;="&amp;EDATE(설정!$B$10,0),매출원본!$AS$8:$AS$1007,"&lt;="&amp;EOMONTH(설정!$B$10,0)))</f>
        <v/>
      </c>
      <c r="J105" s="33">
        <f>IF(OR($U105="",1&gt;=설정!$B$12),"",SUMIFS(매출원본!$AT$8:$AT$1007,매출원본!$AX$8:$AX$1007,INDEX($R$8:$R$207,$U105),매출원본!$BA$8:$BA$1007,"포함",매출원본!$AS$8:$AS$1007,"&gt;="&amp;EDATE(설정!$B$10,1),매출원본!$AS$8:$AS$1007,"&lt;="&amp;EOMONTH(설정!$B$10,1)))</f>
        <v/>
      </c>
      <c r="K105" s="33">
        <f>IF(OR($U105="",2&gt;=설정!$B$12),"",SUMIFS(매출원본!$AT$8:$AT$1007,매출원본!$AX$8:$AX$1007,INDEX($R$8:$R$207,$U105),매출원본!$BA$8:$BA$1007,"포함",매출원본!$AS$8:$AS$1007,"&gt;="&amp;EDATE(설정!$B$10,2),매출원본!$AS$8:$AS$1007,"&lt;="&amp;EOMONTH(설정!$B$10,2)))</f>
        <v/>
      </c>
      <c r="L105" s="33">
        <f>IF(OR($U105="",3&gt;=설정!$B$12),"",SUMIFS(매출원본!$AT$8:$AT$1007,매출원본!$AX$8:$AX$1007,INDEX($R$8:$R$207,$U105),매출원본!$BA$8:$BA$1007,"포함",매출원본!$AS$8:$AS$1007,"&gt;="&amp;EDATE(설정!$B$10,3),매출원본!$AS$8:$AS$1007,"&lt;="&amp;EOMONTH(설정!$B$10,3)))</f>
        <v/>
      </c>
      <c r="M105" s="33">
        <f>IF(OR($U105="",4&gt;=설정!$B$12),"",SUMIFS(매출원본!$AT$8:$AT$1007,매출원본!$AX$8:$AX$1007,INDEX($R$8:$R$207,$U105),매출원본!$BA$8:$BA$1007,"포함",매출원본!$AS$8:$AS$1007,"&gt;="&amp;EDATE(설정!$B$10,4),매출원본!$AS$8:$AS$1007,"&lt;="&amp;EOMONTH(설정!$B$10,4)))</f>
        <v/>
      </c>
      <c r="N105" s="33">
        <f>IF(OR($U105="",5&gt;=설정!$B$12),"",SUMIFS(매출원본!$AT$8:$AT$1007,매출원본!$AX$8:$AX$1007,INDEX($R$8:$R$207,$U105),매출원본!$BA$8:$BA$1007,"포함",매출원본!$AS$8:$AS$1007,"&gt;="&amp;EDATE(설정!$B$10,5),매출원본!$AS$8:$AS$1007,"&lt;="&amp;EOMONTH(설정!$B$10,5)))</f>
        <v/>
      </c>
      <c r="Q105" s="35" t="n">
        <v>98</v>
      </c>
      <c r="R105" s="35">
        <f>IFERROR(INDEX(매출원본!$AX$8:$AX$1007,MATCH($Q105,매출원본!$BD$8:$BD$1007,0)),"")</f>
        <v/>
      </c>
      <c r="S105" s="35">
        <f>IF($R105="","",SUMIFS(매출원본!$AT$8:$AT$1007,매출원본!$AX$8:$AX$1007,$R105,매출원본!$BA$8:$BA$1007,"포함"))</f>
        <v/>
      </c>
      <c r="T105" s="35">
        <f>IF($R105="","",$S105-$Q105/100000)</f>
        <v/>
      </c>
      <c r="U105" s="35">
        <f>IFERROR(MATCH(LARGE($T$8:$T$207,98),$T$8:$T$207,0),"")</f>
        <v/>
      </c>
    </row>
    <row r="106">
      <c r="A106" s="32">
        <f>IF($U106="","",99)</f>
        <v/>
      </c>
      <c r="B106" s="10">
        <f>IF($U106="","",IFERROR(INDEX(매출원본!$AZ$8:$AZ$1007,MATCH($U106,매출원본!$BD$8:$BD$1007,0)),""))</f>
        <v/>
      </c>
      <c r="C106" s="10">
        <f>IF($U106="","",IFERROR(INDEX(매출원본!$AY$8:$AY$1007,MATCH($U106,매출원본!$BD$8:$BD$1007,0)),""))</f>
        <v/>
      </c>
      <c r="D106" s="33">
        <f>IF($U106="","",COUNTIFS(매출원본!$AX$8:$AX$1007,INDEX($R$8:$R$207,$U106),매출원본!$BA$8:$BA$1007,"포함"))</f>
        <v/>
      </c>
      <c r="E106" s="33">
        <f>IF($U106="","",SUMIFS(매출원본!$AT$8:$AT$1007,매출원본!$AX$8:$AX$1007,INDEX($R$8:$R$207,$U106),매출원본!$BA$8:$BA$1007,"포함"))</f>
        <v/>
      </c>
      <c r="F106" s="33">
        <f>IF($U106="","",SUMIFS(매출원본!$AU$8:$AU$1007,매출원본!$AX$8:$AX$1007,INDEX($R$8:$R$207,$U106),매출원본!$BA$8:$BA$1007,"포함"))</f>
        <v/>
      </c>
      <c r="G106" s="33">
        <f>IF($U106="","",SUMIFS(매출원본!$AV$8:$AV$1007,매출원본!$AX$8:$AX$1007,INDEX($R$8:$R$207,$U106),매출원본!$BA$8:$BA$1007,"포함"))</f>
        <v/>
      </c>
      <c r="H106" s="34">
        <f>IF(OR($U106="",$E$7=0),"",E106/$E$7)</f>
        <v/>
      </c>
      <c r="I106" s="33">
        <f>IF(OR($U106="",0&gt;=설정!$B$12),"",SUMIFS(매출원본!$AT$8:$AT$1007,매출원본!$AX$8:$AX$1007,INDEX($R$8:$R$207,$U106),매출원본!$BA$8:$BA$1007,"포함",매출원본!$AS$8:$AS$1007,"&gt;="&amp;EDATE(설정!$B$10,0),매출원본!$AS$8:$AS$1007,"&lt;="&amp;EOMONTH(설정!$B$10,0)))</f>
        <v/>
      </c>
      <c r="J106" s="33">
        <f>IF(OR($U106="",1&gt;=설정!$B$12),"",SUMIFS(매출원본!$AT$8:$AT$1007,매출원본!$AX$8:$AX$1007,INDEX($R$8:$R$207,$U106),매출원본!$BA$8:$BA$1007,"포함",매출원본!$AS$8:$AS$1007,"&gt;="&amp;EDATE(설정!$B$10,1),매출원본!$AS$8:$AS$1007,"&lt;="&amp;EOMONTH(설정!$B$10,1)))</f>
        <v/>
      </c>
      <c r="K106" s="33">
        <f>IF(OR($U106="",2&gt;=설정!$B$12),"",SUMIFS(매출원본!$AT$8:$AT$1007,매출원본!$AX$8:$AX$1007,INDEX($R$8:$R$207,$U106),매출원본!$BA$8:$BA$1007,"포함",매출원본!$AS$8:$AS$1007,"&gt;="&amp;EDATE(설정!$B$10,2),매출원본!$AS$8:$AS$1007,"&lt;="&amp;EOMONTH(설정!$B$10,2)))</f>
        <v/>
      </c>
      <c r="L106" s="33">
        <f>IF(OR($U106="",3&gt;=설정!$B$12),"",SUMIFS(매출원본!$AT$8:$AT$1007,매출원본!$AX$8:$AX$1007,INDEX($R$8:$R$207,$U106),매출원본!$BA$8:$BA$1007,"포함",매출원본!$AS$8:$AS$1007,"&gt;="&amp;EDATE(설정!$B$10,3),매출원본!$AS$8:$AS$1007,"&lt;="&amp;EOMONTH(설정!$B$10,3)))</f>
        <v/>
      </c>
      <c r="M106" s="33">
        <f>IF(OR($U106="",4&gt;=설정!$B$12),"",SUMIFS(매출원본!$AT$8:$AT$1007,매출원본!$AX$8:$AX$1007,INDEX($R$8:$R$207,$U106),매출원본!$BA$8:$BA$1007,"포함",매출원본!$AS$8:$AS$1007,"&gt;="&amp;EDATE(설정!$B$10,4),매출원본!$AS$8:$AS$1007,"&lt;="&amp;EOMONTH(설정!$B$10,4)))</f>
        <v/>
      </c>
      <c r="N106" s="33">
        <f>IF(OR($U106="",5&gt;=설정!$B$12),"",SUMIFS(매출원본!$AT$8:$AT$1007,매출원본!$AX$8:$AX$1007,INDEX($R$8:$R$207,$U106),매출원본!$BA$8:$BA$1007,"포함",매출원본!$AS$8:$AS$1007,"&gt;="&amp;EDATE(설정!$B$10,5),매출원본!$AS$8:$AS$1007,"&lt;="&amp;EOMONTH(설정!$B$10,5)))</f>
        <v/>
      </c>
      <c r="Q106" s="35" t="n">
        <v>99</v>
      </c>
      <c r="R106" s="35">
        <f>IFERROR(INDEX(매출원본!$AX$8:$AX$1007,MATCH($Q106,매출원본!$BD$8:$BD$1007,0)),"")</f>
        <v/>
      </c>
      <c r="S106" s="35">
        <f>IF($R106="","",SUMIFS(매출원본!$AT$8:$AT$1007,매출원본!$AX$8:$AX$1007,$R106,매출원본!$BA$8:$BA$1007,"포함"))</f>
        <v/>
      </c>
      <c r="T106" s="35">
        <f>IF($R106="","",$S106-$Q106/100000)</f>
        <v/>
      </c>
      <c r="U106" s="35">
        <f>IFERROR(MATCH(LARGE($T$8:$T$207,99),$T$8:$T$207,0),"")</f>
        <v/>
      </c>
    </row>
    <row r="107">
      <c r="A107" s="32">
        <f>IF($U107="","",100)</f>
        <v/>
      </c>
      <c r="B107" s="10">
        <f>IF($U107="","",IFERROR(INDEX(매출원본!$AZ$8:$AZ$1007,MATCH($U107,매출원본!$BD$8:$BD$1007,0)),""))</f>
        <v/>
      </c>
      <c r="C107" s="10">
        <f>IF($U107="","",IFERROR(INDEX(매출원본!$AY$8:$AY$1007,MATCH($U107,매출원본!$BD$8:$BD$1007,0)),""))</f>
        <v/>
      </c>
      <c r="D107" s="33">
        <f>IF($U107="","",COUNTIFS(매출원본!$AX$8:$AX$1007,INDEX($R$8:$R$207,$U107),매출원본!$BA$8:$BA$1007,"포함"))</f>
        <v/>
      </c>
      <c r="E107" s="33">
        <f>IF($U107="","",SUMIFS(매출원본!$AT$8:$AT$1007,매출원본!$AX$8:$AX$1007,INDEX($R$8:$R$207,$U107),매출원본!$BA$8:$BA$1007,"포함"))</f>
        <v/>
      </c>
      <c r="F107" s="33">
        <f>IF($U107="","",SUMIFS(매출원본!$AU$8:$AU$1007,매출원본!$AX$8:$AX$1007,INDEX($R$8:$R$207,$U107),매출원본!$BA$8:$BA$1007,"포함"))</f>
        <v/>
      </c>
      <c r="G107" s="33">
        <f>IF($U107="","",SUMIFS(매출원본!$AV$8:$AV$1007,매출원본!$AX$8:$AX$1007,INDEX($R$8:$R$207,$U107),매출원본!$BA$8:$BA$1007,"포함"))</f>
        <v/>
      </c>
      <c r="H107" s="34">
        <f>IF(OR($U107="",$E$7=0),"",E107/$E$7)</f>
        <v/>
      </c>
      <c r="I107" s="33">
        <f>IF(OR($U107="",0&gt;=설정!$B$12),"",SUMIFS(매출원본!$AT$8:$AT$1007,매출원본!$AX$8:$AX$1007,INDEX($R$8:$R$207,$U107),매출원본!$BA$8:$BA$1007,"포함",매출원본!$AS$8:$AS$1007,"&gt;="&amp;EDATE(설정!$B$10,0),매출원본!$AS$8:$AS$1007,"&lt;="&amp;EOMONTH(설정!$B$10,0)))</f>
        <v/>
      </c>
      <c r="J107" s="33">
        <f>IF(OR($U107="",1&gt;=설정!$B$12),"",SUMIFS(매출원본!$AT$8:$AT$1007,매출원본!$AX$8:$AX$1007,INDEX($R$8:$R$207,$U107),매출원본!$BA$8:$BA$1007,"포함",매출원본!$AS$8:$AS$1007,"&gt;="&amp;EDATE(설정!$B$10,1),매출원본!$AS$8:$AS$1007,"&lt;="&amp;EOMONTH(설정!$B$10,1)))</f>
        <v/>
      </c>
      <c r="K107" s="33">
        <f>IF(OR($U107="",2&gt;=설정!$B$12),"",SUMIFS(매출원본!$AT$8:$AT$1007,매출원본!$AX$8:$AX$1007,INDEX($R$8:$R$207,$U107),매출원본!$BA$8:$BA$1007,"포함",매출원본!$AS$8:$AS$1007,"&gt;="&amp;EDATE(설정!$B$10,2),매출원본!$AS$8:$AS$1007,"&lt;="&amp;EOMONTH(설정!$B$10,2)))</f>
        <v/>
      </c>
      <c r="L107" s="33">
        <f>IF(OR($U107="",3&gt;=설정!$B$12),"",SUMIFS(매출원본!$AT$8:$AT$1007,매출원본!$AX$8:$AX$1007,INDEX($R$8:$R$207,$U107),매출원본!$BA$8:$BA$1007,"포함",매출원본!$AS$8:$AS$1007,"&gt;="&amp;EDATE(설정!$B$10,3),매출원본!$AS$8:$AS$1007,"&lt;="&amp;EOMONTH(설정!$B$10,3)))</f>
        <v/>
      </c>
      <c r="M107" s="33">
        <f>IF(OR($U107="",4&gt;=설정!$B$12),"",SUMIFS(매출원본!$AT$8:$AT$1007,매출원본!$AX$8:$AX$1007,INDEX($R$8:$R$207,$U107),매출원본!$BA$8:$BA$1007,"포함",매출원본!$AS$8:$AS$1007,"&gt;="&amp;EDATE(설정!$B$10,4),매출원본!$AS$8:$AS$1007,"&lt;="&amp;EOMONTH(설정!$B$10,4)))</f>
        <v/>
      </c>
      <c r="N107" s="33">
        <f>IF(OR($U107="",5&gt;=설정!$B$12),"",SUMIFS(매출원본!$AT$8:$AT$1007,매출원본!$AX$8:$AX$1007,INDEX($R$8:$R$207,$U107),매출원본!$BA$8:$BA$1007,"포함",매출원본!$AS$8:$AS$1007,"&gt;="&amp;EDATE(설정!$B$10,5),매출원본!$AS$8:$AS$1007,"&lt;="&amp;EOMONTH(설정!$B$10,5)))</f>
        <v/>
      </c>
      <c r="Q107" s="35" t="n">
        <v>100</v>
      </c>
      <c r="R107" s="35">
        <f>IFERROR(INDEX(매출원본!$AX$8:$AX$1007,MATCH($Q107,매출원본!$BD$8:$BD$1007,0)),"")</f>
        <v/>
      </c>
      <c r="S107" s="35">
        <f>IF($R107="","",SUMIFS(매출원본!$AT$8:$AT$1007,매출원본!$AX$8:$AX$1007,$R107,매출원본!$BA$8:$BA$1007,"포함"))</f>
        <v/>
      </c>
      <c r="T107" s="35">
        <f>IF($R107="","",$S107-$Q107/100000)</f>
        <v/>
      </c>
      <c r="U107" s="35">
        <f>IFERROR(MATCH(LARGE($T$8:$T$207,100),$T$8:$T$207,0),"")</f>
        <v/>
      </c>
    </row>
    <row r="108">
      <c r="A108" s="32">
        <f>IF($U108="","",101)</f>
        <v/>
      </c>
      <c r="B108" s="10">
        <f>IF($U108="","",IFERROR(INDEX(매출원본!$AZ$8:$AZ$1007,MATCH($U108,매출원본!$BD$8:$BD$1007,0)),""))</f>
        <v/>
      </c>
      <c r="C108" s="10">
        <f>IF($U108="","",IFERROR(INDEX(매출원본!$AY$8:$AY$1007,MATCH($U108,매출원본!$BD$8:$BD$1007,0)),""))</f>
        <v/>
      </c>
      <c r="D108" s="33">
        <f>IF($U108="","",COUNTIFS(매출원본!$AX$8:$AX$1007,INDEX($R$8:$R$207,$U108),매출원본!$BA$8:$BA$1007,"포함"))</f>
        <v/>
      </c>
      <c r="E108" s="33">
        <f>IF($U108="","",SUMIFS(매출원본!$AT$8:$AT$1007,매출원본!$AX$8:$AX$1007,INDEX($R$8:$R$207,$U108),매출원본!$BA$8:$BA$1007,"포함"))</f>
        <v/>
      </c>
      <c r="F108" s="33">
        <f>IF($U108="","",SUMIFS(매출원본!$AU$8:$AU$1007,매출원본!$AX$8:$AX$1007,INDEX($R$8:$R$207,$U108),매출원본!$BA$8:$BA$1007,"포함"))</f>
        <v/>
      </c>
      <c r="G108" s="33">
        <f>IF($U108="","",SUMIFS(매출원본!$AV$8:$AV$1007,매출원본!$AX$8:$AX$1007,INDEX($R$8:$R$207,$U108),매출원본!$BA$8:$BA$1007,"포함"))</f>
        <v/>
      </c>
      <c r="H108" s="34">
        <f>IF(OR($U108="",$E$7=0),"",E108/$E$7)</f>
        <v/>
      </c>
      <c r="I108" s="33">
        <f>IF(OR($U108="",0&gt;=설정!$B$12),"",SUMIFS(매출원본!$AT$8:$AT$1007,매출원본!$AX$8:$AX$1007,INDEX($R$8:$R$207,$U108),매출원본!$BA$8:$BA$1007,"포함",매출원본!$AS$8:$AS$1007,"&gt;="&amp;EDATE(설정!$B$10,0),매출원본!$AS$8:$AS$1007,"&lt;="&amp;EOMONTH(설정!$B$10,0)))</f>
        <v/>
      </c>
      <c r="J108" s="33">
        <f>IF(OR($U108="",1&gt;=설정!$B$12),"",SUMIFS(매출원본!$AT$8:$AT$1007,매출원본!$AX$8:$AX$1007,INDEX($R$8:$R$207,$U108),매출원본!$BA$8:$BA$1007,"포함",매출원본!$AS$8:$AS$1007,"&gt;="&amp;EDATE(설정!$B$10,1),매출원본!$AS$8:$AS$1007,"&lt;="&amp;EOMONTH(설정!$B$10,1)))</f>
        <v/>
      </c>
      <c r="K108" s="33">
        <f>IF(OR($U108="",2&gt;=설정!$B$12),"",SUMIFS(매출원본!$AT$8:$AT$1007,매출원본!$AX$8:$AX$1007,INDEX($R$8:$R$207,$U108),매출원본!$BA$8:$BA$1007,"포함",매출원본!$AS$8:$AS$1007,"&gt;="&amp;EDATE(설정!$B$10,2),매출원본!$AS$8:$AS$1007,"&lt;="&amp;EOMONTH(설정!$B$10,2)))</f>
        <v/>
      </c>
      <c r="L108" s="33">
        <f>IF(OR($U108="",3&gt;=설정!$B$12),"",SUMIFS(매출원본!$AT$8:$AT$1007,매출원본!$AX$8:$AX$1007,INDEX($R$8:$R$207,$U108),매출원본!$BA$8:$BA$1007,"포함",매출원본!$AS$8:$AS$1007,"&gt;="&amp;EDATE(설정!$B$10,3),매출원본!$AS$8:$AS$1007,"&lt;="&amp;EOMONTH(설정!$B$10,3)))</f>
        <v/>
      </c>
      <c r="M108" s="33">
        <f>IF(OR($U108="",4&gt;=설정!$B$12),"",SUMIFS(매출원본!$AT$8:$AT$1007,매출원본!$AX$8:$AX$1007,INDEX($R$8:$R$207,$U108),매출원본!$BA$8:$BA$1007,"포함",매출원본!$AS$8:$AS$1007,"&gt;="&amp;EDATE(설정!$B$10,4),매출원본!$AS$8:$AS$1007,"&lt;="&amp;EOMONTH(설정!$B$10,4)))</f>
        <v/>
      </c>
      <c r="N108" s="33">
        <f>IF(OR($U108="",5&gt;=설정!$B$12),"",SUMIFS(매출원본!$AT$8:$AT$1007,매출원본!$AX$8:$AX$1007,INDEX($R$8:$R$207,$U108),매출원본!$BA$8:$BA$1007,"포함",매출원본!$AS$8:$AS$1007,"&gt;="&amp;EDATE(설정!$B$10,5),매출원본!$AS$8:$AS$1007,"&lt;="&amp;EOMONTH(설정!$B$10,5)))</f>
        <v/>
      </c>
      <c r="Q108" s="35" t="n">
        <v>101</v>
      </c>
      <c r="R108" s="35">
        <f>IFERROR(INDEX(매출원본!$AX$8:$AX$1007,MATCH($Q108,매출원본!$BD$8:$BD$1007,0)),"")</f>
        <v/>
      </c>
      <c r="S108" s="35">
        <f>IF($R108="","",SUMIFS(매출원본!$AT$8:$AT$1007,매출원본!$AX$8:$AX$1007,$R108,매출원본!$BA$8:$BA$1007,"포함"))</f>
        <v/>
      </c>
      <c r="T108" s="35">
        <f>IF($R108="","",$S108-$Q108/100000)</f>
        <v/>
      </c>
      <c r="U108" s="35">
        <f>IFERROR(MATCH(LARGE($T$8:$T$207,101),$T$8:$T$207,0),"")</f>
        <v/>
      </c>
    </row>
    <row r="109">
      <c r="A109" s="32">
        <f>IF($U109="","",102)</f>
        <v/>
      </c>
      <c r="B109" s="10">
        <f>IF($U109="","",IFERROR(INDEX(매출원본!$AZ$8:$AZ$1007,MATCH($U109,매출원본!$BD$8:$BD$1007,0)),""))</f>
        <v/>
      </c>
      <c r="C109" s="10">
        <f>IF($U109="","",IFERROR(INDEX(매출원본!$AY$8:$AY$1007,MATCH($U109,매출원본!$BD$8:$BD$1007,0)),""))</f>
        <v/>
      </c>
      <c r="D109" s="33">
        <f>IF($U109="","",COUNTIFS(매출원본!$AX$8:$AX$1007,INDEX($R$8:$R$207,$U109),매출원본!$BA$8:$BA$1007,"포함"))</f>
        <v/>
      </c>
      <c r="E109" s="33">
        <f>IF($U109="","",SUMIFS(매출원본!$AT$8:$AT$1007,매출원본!$AX$8:$AX$1007,INDEX($R$8:$R$207,$U109),매출원본!$BA$8:$BA$1007,"포함"))</f>
        <v/>
      </c>
      <c r="F109" s="33">
        <f>IF($U109="","",SUMIFS(매출원본!$AU$8:$AU$1007,매출원본!$AX$8:$AX$1007,INDEX($R$8:$R$207,$U109),매출원본!$BA$8:$BA$1007,"포함"))</f>
        <v/>
      </c>
      <c r="G109" s="33">
        <f>IF($U109="","",SUMIFS(매출원본!$AV$8:$AV$1007,매출원본!$AX$8:$AX$1007,INDEX($R$8:$R$207,$U109),매출원본!$BA$8:$BA$1007,"포함"))</f>
        <v/>
      </c>
      <c r="H109" s="34">
        <f>IF(OR($U109="",$E$7=0),"",E109/$E$7)</f>
        <v/>
      </c>
      <c r="I109" s="33">
        <f>IF(OR($U109="",0&gt;=설정!$B$12),"",SUMIFS(매출원본!$AT$8:$AT$1007,매출원본!$AX$8:$AX$1007,INDEX($R$8:$R$207,$U109),매출원본!$BA$8:$BA$1007,"포함",매출원본!$AS$8:$AS$1007,"&gt;="&amp;EDATE(설정!$B$10,0),매출원본!$AS$8:$AS$1007,"&lt;="&amp;EOMONTH(설정!$B$10,0)))</f>
        <v/>
      </c>
      <c r="J109" s="33">
        <f>IF(OR($U109="",1&gt;=설정!$B$12),"",SUMIFS(매출원본!$AT$8:$AT$1007,매출원본!$AX$8:$AX$1007,INDEX($R$8:$R$207,$U109),매출원본!$BA$8:$BA$1007,"포함",매출원본!$AS$8:$AS$1007,"&gt;="&amp;EDATE(설정!$B$10,1),매출원본!$AS$8:$AS$1007,"&lt;="&amp;EOMONTH(설정!$B$10,1)))</f>
        <v/>
      </c>
      <c r="K109" s="33">
        <f>IF(OR($U109="",2&gt;=설정!$B$12),"",SUMIFS(매출원본!$AT$8:$AT$1007,매출원본!$AX$8:$AX$1007,INDEX($R$8:$R$207,$U109),매출원본!$BA$8:$BA$1007,"포함",매출원본!$AS$8:$AS$1007,"&gt;="&amp;EDATE(설정!$B$10,2),매출원본!$AS$8:$AS$1007,"&lt;="&amp;EOMONTH(설정!$B$10,2)))</f>
        <v/>
      </c>
      <c r="L109" s="33">
        <f>IF(OR($U109="",3&gt;=설정!$B$12),"",SUMIFS(매출원본!$AT$8:$AT$1007,매출원본!$AX$8:$AX$1007,INDEX($R$8:$R$207,$U109),매출원본!$BA$8:$BA$1007,"포함",매출원본!$AS$8:$AS$1007,"&gt;="&amp;EDATE(설정!$B$10,3),매출원본!$AS$8:$AS$1007,"&lt;="&amp;EOMONTH(설정!$B$10,3)))</f>
        <v/>
      </c>
      <c r="M109" s="33">
        <f>IF(OR($U109="",4&gt;=설정!$B$12),"",SUMIFS(매출원본!$AT$8:$AT$1007,매출원본!$AX$8:$AX$1007,INDEX($R$8:$R$207,$U109),매출원본!$BA$8:$BA$1007,"포함",매출원본!$AS$8:$AS$1007,"&gt;="&amp;EDATE(설정!$B$10,4),매출원본!$AS$8:$AS$1007,"&lt;="&amp;EOMONTH(설정!$B$10,4)))</f>
        <v/>
      </c>
      <c r="N109" s="33">
        <f>IF(OR($U109="",5&gt;=설정!$B$12),"",SUMIFS(매출원본!$AT$8:$AT$1007,매출원본!$AX$8:$AX$1007,INDEX($R$8:$R$207,$U109),매출원본!$BA$8:$BA$1007,"포함",매출원본!$AS$8:$AS$1007,"&gt;="&amp;EDATE(설정!$B$10,5),매출원본!$AS$8:$AS$1007,"&lt;="&amp;EOMONTH(설정!$B$10,5)))</f>
        <v/>
      </c>
      <c r="Q109" s="35" t="n">
        <v>102</v>
      </c>
      <c r="R109" s="35">
        <f>IFERROR(INDEX(매출원본!$AX$8:$AX$1007,MATCH($Q109,매출원본!$BD$8:$BD$1007,0)),"")</f>
        <v/>
      </c>
      <c r="S109" s="35">
        <f>IF($R109="","",SUMIFS(매출원본!$AT$8:$AT$1007,매출원본!$AX$8:$AX$1007,$R109,매출원본!$BA$8:$BA$1007,"포함"))</f>
        <v/>
      </c>
      <c r="T109" s="35">
        <f>IF($R109="","",$S109-$Q109/100000)</f>
        <v/>
      </c>
      <c r="U109" s="35">
        <f>IFERROR(MATCH(LARGE($T$8:$T$207,102),$T$8:$T$207,0),"")</f>
        <v/>
      </c>
    </row>
    <row r="110">
      <c r="A110" s="32">
        <f>IF($U110="","",103)</f>
        <v/>
      </c>
      <c r="B110" s="10">
        <f>IF($U110="","",IFERROR(INDEX(매출원본!$AZ$8:$AZ$1007,MATCH($U110,매출원본!$BD$8:$BD$1007,0)),""))</f>
        <v/>
      </c>
      <c r="C110" s="10">
        <f>IF($U110="","",IFERROR(INDEX(매출원본!$AY$8:$AY$1007,MATCH($U110,매출원본!$BD$8:$BD$1007,0)),""))</f>
        <v/>
      </c>
      <c r="D110" s="33">
        <f>IF($U110="","",COUNTIFS(매출원본!$AX$8:$AX$1007,INDEX($R$8:$R$207,$U110),매출원본!$BA$8:$BA$1007,"포함"))</f>
        <v/>
      </c>
      <c r="E110" s="33">
        <f>IF($U110="","",SUMIFS(매출원본!$AT$8:$AT$1007,매출원본!$AX$8:$AX$1007,INDEX($R$8:$R$207,$U110),매출원본!$BA$8:$BA$1007,"포함"))</f>
        <v/>
      </c>
      <c r="F110" s="33">
        <f>IF($U110="","",SUMIFS(매출원본!$AU$8:$AU$1007,매출원본!$AX$8:$AX$1007,INDEX($R$8:$R$207,$U110),매출원본!$BA$8:$BA$1007,"포함"))</f>
        <v/>
      </c>
      <c r="G110" s="33">
        <f>IF($U110="","",SUMIFS(매출원본!$AV$8:$AV$1007,매출원본!$AX$8:$AX$1007,INDEX($R$8:$R$207,$U110),매출원본!$BA$8:$BA$1007,"포함"))</f>
        <v/>
      </c>
      <c r="H110" s="34">
        <f>IF(OR($U110="",$E$7=0),"",E110/$E$7)</f>
        <v/>
      </c>
      <c r="I110" s="33">
        <f>IF(OR($U110="",0&gt;=설정!$B$12),"",SUMIFS(매출원본!$AT$8:$AT$1007,매출원본!$AX$8:$AX$1007,INDEX($R$8:$R$207,$U110),매출원본!$BA$8:$BA$1007,"포함",매출원본!$AS$8:$AS$1007,"&gt;="&amp;EDATE(설정!$B$10,0),매출원본!$AS$8:$AS$1007,"&lt;="&amp;EOMONTH(설정!$B$10,0)))</f>
        <v/>
      </c>
      <c r="J110" s="33">
        <f>IF(OR($U110="",1&gt;=설정!$B$12),"",SUMIFS(매출원본!$AT$8:$AT$1007,매출원본!$AX$8:$AX$1007,INDEX($R$8:$R$207,$U110),매출원본!$BA$8:$BA$1007,"포함",매출원본!$AS$8:$AS$1007,"&gt;="&amp;EDATE(설정!$B$10,1),매출원본!$AS$8:$AS$1007,"&lt;="&amp;EOMONTH(설정!$B$10,1)))</f>
        <v/>
      </c>
      <c r="K110" s="33">
        <f>IF(OR($U110="",2&gt;=설정!$B$12),"",SUMIFS(매출원본!$AT$8:$AT$1007,매출원본!$AX$8:$AX$1007,INDEX($R$8:$R$207,$U110),매출원본!$BA$8:$BA$1007,"포함",매출원본!$AS$8:$AS$1007,"&gt;="&amp;EDATE(설정!$B$10,2),매출원본!$AS$8:$AS$1007,"&lt;="&amp;EOMONTH(설정!$B$10,2)))</f>
        <v/>
      </c>
      <c r="L110" s="33">
        <f>IF(OR($U110="",3&gt;=설정!$B$12),"",SUMIFS(매출원본!$AT$8:$AT$1007,매출원본!$AX$8:$AX$1007,INDEX($R$8:$R$207,$U110),매출원본!$BA$8:$BA$1007,"포함",매출원본!$AS$8:$AS$1007,"&gt;="&amp;EDATE(설정!$B$10,3),매출원본!$AS$8:$AS$1007,"&lt;="&amp;EOMONTH(설정!$B$10,3)))</f>
        <v/>
      </c>
      <c r="M110" s="33">
        <f>IF(OR($U110="",4&gt;=설정!$B$12),"",SUMIFS(매출원본!$AT$8:$AT$1007,매출원본!$AX$8:$AX$1007,INDEX($R$8:$R$207,$U110),매출원본!$BA$8:$BA$1007,"포함",매출원본!$AS$8:$AS$1007,"&gt;="&amp;EDATE(설정!$B$10,4),매출원본!$AS$8:$AS$1007,"&lt;="&amp;EOMONTH(설정!$B$10,4)))</f>
        <v/>
      </c>
      <c r="N110" s="33">
        <f>IF(OR($U110="",5&gt;=설정!$B$12),"",SUMIFS(매출원본!$AT$8:$AT$1007,매출원본!$AX$8:$AX$1007,INDEX($R$8:$R$207,$U110),매출원본!$BA$8:$BA$1007,"포함",매출원본!$AS$8:$AS$1007,"&gt;="&amp;EDATE(설정!$B$10,5),매출원본!$AS$8:$AS$1007,"&lt;="&amp;EOMONTH(설정!$B$10,5)))</f>
        <v/>
      </c>
      <c r="Q110" s="35" t="n">
        <v>103</v>
      </c>
      <c r="R110" s="35">
        <f>IFERROR(INDEX(매출원본!$AX$8:$AX$1007,MATCH($Q110,매출원본!$BD$8:$BD$1007,0)),"")</f>
        <v/>
      </c>
      <c r="S110" s="35">
        <f>IF($R110="","",SUMIFS(매출원본!$AT$8:$AT$1007,매출원본!$AX$8:$AX$1007,$R110,매출원본!$BA$8:$BA$1007,"포함"))</f>
        <v/>
      </c>
      <c r="T110" s="35">
        <f>IF($R110="","",$S110-$Q110/100000)</f>
        <v/>
      </c>
      <c r="U110" s="35">
        <f>IFERROR(MATCH(LARGE($T$8:$T$207,103),$T$8:$T$207,0),"")</f>
        <v/>
      </c>
    </row>
    <row r="111">
      <c r="A111" s="32">
        <f>IF($U111="","",104)</f>
        <v/>
      </c>
      <c r="B111" s="10">
        <f>IF($U111="","",IFERROR(INDEX(매출원본!$AZ$8:$AZ$1007,MATCH($U111,매출원본!$BD$8:$BD$1007,0)),""))</f>
        <v/>
      </c>
      <c r="C111" s="10">
        <f>IF($U111="","",IFERROR(INDEX(매출원본!$AY$8:$AY$1007,MATCH($U111,매출원본!$BD$8:$BD$1007,0)),""))</f>
        <v/>
      </c>
      <c r="D111" s="33">
        <f>IF($U111="","",COUNTIFS(매출원본!$AX$8:$AX$1007,INDEX($R$8:$R$207,$U111),매출원본!$BA$8:$BA$1007,"포함"))</f>
        <v/>
      </c>
      <c r="E111" s="33">
        <f>IF($U111="","",SUMIFS(매출원본!$AT$8:$AT$1007,매출원본!$AX$8:$AX$1007,INDEX($R$8:$R$207,$U111),매출원본!$BA$8:$BA$1007,"포함"))</f>
        <v/>
      </c>
      <c r="F111" s="33">
        <f>IF($U111="","",SUMIFS(매출원본!$AU$8:$AU$1007,매출원본!$AX$8:$AX$1007,INDEX($R$8:$R$207,$U111),매출원본!$BA$8:$BA$1007,"포함"))</f>
        <v/>
      </c>
      <c r="G111" s="33">
        <f>IF($U111="","",SUMIFS(매출원본!$AV$8:$AV$1007,매출원본!$AX$8:$AX$1007,INDEX($R$8:$R$207,$U111),매출원본!$BA$8:$BA$1007,"포함"))</f>
        <v/>
      </c>
      <c r="H111" s="34">
        <f>IF(OR($U111="",$E$7=0),"",E111/$E$7)</f>
        <v/>
      </c>
      <c r="I111" s="33">
        <f>IF(OR($U111="",0&gt;=설정!$B$12),"",SUMIFS(매출원본!$AT$8:$AT$1007,매출원본!$AX$8:$AX$1007,INDEX($R$8:$R$207,$U111),매출원본!$BA$8:$BA$1007,"포함",매출원본!$AS$8:$AS$1007,"&gt;="&amp;EDATE(설정!$B$10,0),매출원본!$AS$8:$AS$1007,"&lt;="&amp;EOMONTH(설정!$B$10,0)))</f>
        <v/>
      </c>
      <c r="J111" s="33">
        <f>IF(OR($U111="",1&gt;=설정!$B$12),"",SUMIFS(매출원본!$AT$8:$AT$1007,매출원본!$AX$8:$AX$1007,INDEX($R$8:$R$207,$U111),매출원본!$BA$8:$BA$1007,"포함",매출원본!$AS$8:$AS$1007,"&gt;="&amp;EDATE(설정!$B$10,1),매출원본!$AS$8:$AS$1007,"&lt;="&amp;EOMONTH(설정!$B$10,1)))</f>
        <v/>
      </c>
      <c r="K111" s="33">
        <f>IF(OR($U111="",2&gt;=설정!$B$12),"",SUMIFS(매출원본!$AT$8:$AT$1007,매출원본!$AX$8:$AX$1007,INDEX($R$8:$R$207,$U111),매출원본!$BA$8:$BA$1007,"포함",매출원본!$AS$8:$AS$1007,"&gt;="&amp;EDATE(설정!$B$10,2),매출원본!$AS$8:$AS$1007,"&lt;="&amp;EOMONTH(설정!$B$10,2)))</f>
        <v/>
      </c>
      <c r="L111" s="33">
        <f>IF(OR($U111="",3&gt;=설정!$B$12),"",SUMIFS(매출원본!$AT$8:$AT$1007,매출원본!$AX$8:$AX$1007,INDEX($R$8:$R$207,$U111),매출원본!$BA$8:$BA$1007,"포함",매출원본!$AS$8:$AS$1007,"&gt;="&amp;EDATE(설정!$B$10,3),매출원본!$AS$8:$AS$1007,"&lt;="&amp;EOMONTH(설정!$B$10,3)))</f>
        <v/>
      </c>
      <c r="M111" s="33">
        <f>IF(OR($U111="",4&gt;=설정!$B$12),"",SUMIFS(매출원본!$AT$8:$AT$1007,매출원본!$AX$8:$AX$1007,INDEX($R$8:$R$207,$U111),매출원본!$BA$8:$BA$1007,"포함",매출원본!$AS$8:$AS$1007,"&gt;="&amp;EDATE(설정!$B$10,4),매출원본!$AS$8:$AS$1007,"&lt;="&amp;EOMONTH(설정!$B$10,4)))</f>
        <v/>
      </c>
      <c r="N111" s="33">
        <f>IF(OR($U111="",5&gt;=설정!$B$12),"",SUMIFS(매출원본!$AT$8:$AT$1007,매출원본!$AX$8:$AX$1007,INDEX($R$8:$R$207,$U111),매출원본!$BA$8:$BA$1007,"포함",매출원본!$AS$8:$AS$1007,"&gt;="&amp;EDATE(설정!$B$10,5),매출원본!$AS$8:$AS$1007,"&lt;="&amp;EOMONTH(설정!$B$10,5)))</f>
        <v/>
      </c>
      <c r="Q111" s="35" t="n">
        <v>104</v>
      </c>
      <c r="R111" s="35">
        <f>IFERROR(INDEX(매출원본!$AX$8:$AX$1007,MATCH($Q111,매출원본!$BD$8:$BD$1007,0)),"")</f>
        <v/>
      </c>
      <c r="S111" s="35">
        <f>IF($R111="","",SUMIFS(매출원본!$AT$8:$AT$1007,매출원본!$AX$8:$AX$1007,$R111,매출원본!$BA$8:$BA$1007,"포함"))</f>
        <v/>
      </c>
      <c r="T111" s="35">
        <f>IF($R111="","",$S111-$Q111/100000)</f>
        <v/>
      </c>
      <c r="U111" s="35">
        <f>IFERROR(MATCH(LARGE($T$8:$T$207,104),$T$8:$T$207,0),"")</f>
        <v/>
      </c>
    </row>
    <row r="112">
      <c r="A112" s="32">
        <f>IF($U112="","",105)</f>
        <v/>
      </c>
      <c r="B112" s="10">
        <f>IF($U112="","",IFERROR(INDEX(매출원본!$AZ$8:$AZ$1007,MATCH($U112,매출원본!$BD$8:$BD$1007,0)),""))</f>
        <v/>
      </c>
      <c r="C112" s="10">
        <f>IF($U112="","",IFERROR(INDEX(매출원본!$AY$8:$AY$1007,MATCH($U112,매출원본!$BD$8:$BD$1007,0)),""))</f>
        <v/>
      </c>
      <c r="D112" s="33">
        <f>IF($U112="","",COUNTIFS(매출원본!$AX$8:$AX$1007,INDEX($R$8:$R$207,$U112),매출원본!$BA$8:$BA$1007,"포함"))</f>
        <v/>
      </c>
      <c r="E112" s="33">
        <f>IF($U112="","",SUMIFS(매출원본!$AT$8:$AT$1007,매출원본!$AX$8:$AX$1007,INDEX($R$8:$R$207,$U112),매출원본!$BA$8:$BA$1007,"포함"))</f>
        <v/>
      </c>
      <c r="F112" s="33">
        <f>IF($U112="","",SUMIFS(매출원본!$AU$8:$AU$1007,매출원본!$AX$8:$AX$1007,INDEX($R$8:$R$207,$U112),매출원본!$BA$8:$BA$1007,"포함"))</f>
        <v/>
      </c>
      <c r="G112" s="33">
        <f>IF($U112="","",SUMIFS(매출원본!$AV$8:$AV$1007,매출원본!$AX$8:$AX$1007,INDEX($R$8:$R$207,$U112),매출원본!$BA$8:$BA$1007,"포함"))</f>
        <v/>
      </c>
      <c r="H112" s="34">
        <f>IF(OR($U112="",$E$7=0),"",E112/$E$7)</f>
        <v/>
      </c>
      <c r="I112" s="33">
        <f>IF(OR($U112="",0&gt;=설정!$B$12),"",SUMIFS(매출원본!$AT$8:$AT$1007,매출원본!$AX$8:$AX$1007,INDEX($R$8:$R$207,$U112),매출원본!$BA$8:$BA$1007,"포함",매출원본!$AS$8:$AS$1007,"&gt;="&amp;EDATE(설정!$B$10,0),매출원본!$AS$8:$AS$1007,"&lt;="&amp;EOMONTH(설정!$B$10,0)))</f>
        <v/>
      </c>
      <c r="J112" s="33">
        <f>IF(OR($U112="",1&gt;=설정!$B$12),"",SUMIFS(매출원본!$AT$8:$AT$1007,매출원본!$AX$8:$AX$1007,INDEX($R$8:$R$207,$U112),매출원본!$BA$8:$BA$1007,"포함",매출원본!$AS$8:$AS$1007,"&gt;="&amp;EDATE(설정!$B$10,1),매출원본!$AS$8:$AS$1007,"&lt;="&amp;EOMONTH(설정!$B$10,1)))</f>
        <v/>
      </c>
      <c r="K112" s="33">
        <f>IF(OR($U112="",2&gt;=설정!$B$12),"",SUMIFS(매출원본!$AT$8:$AT$1007,매출원본!$AX$8:$AX$1007,INDEX($R$8:$R$207,$U112),매출원본!$BA$8:$BA$1007,"포함",매출원본!$AS$8:$AS$1007,"&gt;="&amp;EDATE(설정!$B$10,2),매출원본!$AS$8:$AS$1007,"&lt;="&amp;EOMONTH(설정!$B$10,2)))</f>
        <v/>
      </c>
      <c r="L112" s="33">
        <f>IF(OR($U112="",3&gt;=설정!$B$12),"",SUMIFS(매출원본!$AT$8:$AT$1007,매출원본!$AX$8:$AX$1007,INDEX($R$8:$R$207,$U112),매출원본!$BA$8:$BA$1007,"포함",매출원본!$AS$8:$AS$1007,"&gt;="&amp;EDATE(설정!$B$10,3),매출원본!$AS$8:$AS$1007,"&lt;="&amp;EOMONTH(설정!$B$10,3)))</f>
        <v/>
      </c>
      <c r="M112" s="33">
        <f>IF(OR($U112="",4&gt;=설정!$B$12),"",SUMIFS(매출원본!$AT$8:$AT$1007,매출원본!$AX$8:$AX$1007,INDEX($R$8:$R$207,$U112),매출원본!$BA$8:$BA$1007,"포함",매출원본!$AS$8:$AS$1007,"&gt;="&amp;EDATE(설정!$B$10,4),매출원본!$AS$8:$AS$1007,"&lt;="&amp;EOMONTH(설정!$B$10,4)))</f>
        <v/>
      </c>
      <c r="N112" s="33">
        <f>IF(OR($U112="",5&gt;=설정!$B$12),"",SUMIFS(매출원본!$AT$8:$AT$1007,매출원본!$AX$8:$AX$1007,INDEX($R$8:$R$207,$U112),매출원본!$BA$8:$BA$1007,"포함",매출원본!$AS$8:$AS$1007,"&gt;="&amp;EDATE(설정!$B$10,5),매출원본!$AS$8:$AS$1007,"&lt;="&amp;EOMONTH(설정!$B$10,5)))</f>
        <v/>
      </c>
      <c r="Q112" s="35" t="n">
        <v>105</v>
      </c>
      <c r="R112" s="35">
        <f>IFERROR(INDEX(매출원본!$AX$8:$AX$1007,MATCH($Q112,매출원본!$BD$8:$BD$1007,0)),"")</f>
        <v/>
      </c>
      <c r="S112" s="35">
        <f>IF($R112="","",SUMIFS(매출원본!$AT$8:$AT$1007,매출원본!$AX$8:$AX$1007,$R112,매출원본!$BA$8:$BA$1007,"포함"))</f>
        <v/>
      </c>
      <c r="T112" s="35">
        <f>IF($R112="","",$S112-$Q112/100000)</f>
        <v/>
      </c>
      <c r="U112" s="35">
        <f>IFERROR(MATCH(LARGE($T$8:$T$207,105),$T$8:$T$207,0),"")</f>
        <v/>
      </c>
    </row>
    <row r="113">
      <c r="A113" s="32">
        <f>IF($U113="","",106)</f>
        <v/>
      </c>
      <c r="B113" s="10">
        <f>IF($U113="","",IFERROR(INDEX(매출원본!$AZ$8:$AZ$1007,MATCH($U113,매출원본!$BD$8:$BD$1007,0)),""))</f>
        <v/>
      </c>
      <c r="C113" s="10">
        <f>IF($U113="","",IFERROR(INDEX(매출원본!$AY$8:$AY$1007,MATCH($U113,매출원본!$BD$8:$BD$1007,0)),""))</f>
        <v/>
      </c>
      <c r="D113" s="33">
        <f>IF($U113="","",COUNTIFS(매출원본!$AX$8:$AX$1007,INDEX($R$8:$R$207,$U113),매출원본!$BA$8:$BA$1007,"포함"))</f>
        <v/>
      </c>
      <c r="E113" s="33">
        <f>IF($U113="","",SUMIFS(매출원본!$AT$8:$AT$1007,매출원본!$AX$8:$AX$1007,INDEX($R$8:$R$207,$U113),매출원본!$BA$8:$BA$1007,"포함"))</f>
        <v/>
      </c>
      <c r="F113" s="33">
        <f>IF($U113="","",SUMIFS(매출원본!$AU$8:$AU$1007,매출원본!$AX$8:$AX$1007,INDEX($R$8:$R$207,$U113),매출원본!$BA$8:$BA$1007,"포함"))</f>
        <v/>
      </c>
      <c r="G113" s="33">
        <f>IF($U113="","",SUMIFS(매출원본!$AV$8:$AV$1007,매출원본!$AX$8:$AX$1007,INDEX($R$8:$R$207,$U113),매출원본!$BA$8:$BA$1007,"포함"))</f>
        <v/>
      </c>
      <c r="H113" s="34">
        <f>IF(OR($U113="",$E$7=0),"",E113/$E$7)</f>
        <v/>
      </c>
      <c r="I113" s="33">
        <f>IF(OR($U113="",0&gt;=설정!$B$12),"",SUMIFS(매출원본!$AT$8:$AT$1007,매출원본!$AX$8:$AX$1007,INDEX($R$8:$R$207,$U113),매출원본!$BA$8:$BA$1007,"포함",매출원본!$AS$8:$AS$1007,"&gt;="&amp;EDATE(설정!$B$10,0),매출원본!$AS$8:$AS$1007,"&lt;="&amp;EOMONTH(설정!$B$10,0)))</f>
        <v/>
      </c>
      <c r="J113" s="33">
        <f>IF(OR($U113="",1&gt;=설정!$B$12),"",SUMIFS(매출원본!$AT$8:$AT$1007,매출원본!$AX$8:$AX$1007,INDEX($R$8:$R$207,$U113),매출원본!$BA$8:$BA$1007,"포함",매출원본!$AS$8:$AS$1007,"&gt;="&amp;EDATE(설정!$B$10,1),매출원본!$AS$8:$AS$1007,"&lt;="&amp;EOMONTH(설정!$B$10,1)))</f>
        <v/>
      </c>
      <c r="K113" s="33">
        <f>IF(OR($U113="",2&gt;=설정!$B$12),"",SUMIFS(매출원본!$AT$8:$AT$1007,매출원본!$AX$8:$AX$1007,INDEX($R$8:$R$207,$U113),매출원본!$BA$8:$BA$1007,"포함",매출원본!$AS$8:$AS$1007,"&gt;="&amp;EDATE(설정!$B$10,2),매출원본!$AS$8:$AS$1007,"&lt;="&amp;EOMONTH(설정!$B$10,2)))</f>
        <v/>
      </c>
      <c r="L113" s="33">
        <f>IF(OR($U113="",3&gt;=설정!$B$12),"",SUMIFS(매출원본!$AT$8:$AT$1007,매출원본!$AX$8:$AX$1007,INDEX($R$8:$R$207,$U113),매출원본!$BA$8:$BA$1007,"포함",매출원본!$AS$8:$AS$1007,"&gt;="&amp;EDATE(설정!$B$10,3),매출원본!$AS$8:$AS$1007,"&lt;="&amp;EOMONTH(설정!$B$10,3)))</f>
        <v/>
      </c>
      <c r="M113" s="33">
        <f>IF(OR($U113="",4&gt;=설정!$B$12),"",SUMIFS(매출원본!$AT$8:$AT$1007,매출원본!$AX$8:$AX$1007,INDEX($R$8:$R$207,$U113),매출원본!$BA$8:$BA$1007,"포함",매출원본!$AS$8:$AS$1007,"&gt;="&amp;EDATE(설정!$B$10,4),매출원본!$AS$8:$AS$1007,"&lt;="&amp;EOMONTH(설정!$B$10,4)))</f>
        <v/>
      </c>
      <c r="N113" s="33">
        <f>IF(OR($U113="",5&gt;=설정!$B$12),"",SUMIFS(매출원본!$AT$8:$AT$1007,매출원본!$AX$8:$AX$1007,INDEX($R$8:$R$207,$U113),매출원본!$BA$8:$BA$1007,"포함",매출원본!$AS$8:$AS$1007,"&gt;="&amp;EDATE(설정!$B$10,5),매출원본!$AS$8:$AS$1007,"&lt;="&amp;EOMONTH(설정!$B$10,5)))</f>
        <v/>
      </c>
      <c r="Q113" s="35" t="n">
        <v>106</v>
      </c>
      <c r="R113" s="35">
        <f>IFERROR(INDEX(매출원본!$AX$8:$AX$1007,MATCH($Q113,매출원본!$BD$8:$BD$1007,0)),"")</f>
        <v/>
      </c>
      <c r="S113" s="35">
        <f>IF($R113="","",SUMIFS(매출원본!$AT$8:$AT$1007,매출원본!$AX$8:$AX$1007,$R113,매출원본!$BA$8:$BA$1007,"포함"))</f>
        <v/>
      </c>
      <c r="T113" s="35">
        <f>IF($R113="","",$S113-$Q113/100000)</f>
        <v/>
      </c>
      <c r="U113" s="35">
        <f>IFERROR(MATCH(LARGE($T$8:$T$207,106),$T$8:$T$207,0),"")</f>
        <v/>
      </c>
    </row>
    <row r="114">
      <c r="A114" s="32">
        <f>IF($U114="","",107)</f>
        <v/>
      </c>
      <c r="B114" s="10">
        <f>IF($U114="","",IFERROR(INDEX(매출원본!$AZ$8:$AZ$1007,MATCH($U114,매출원본!$BD$8:$BD$1007,0)),""))</f>
        <v/>
      </c>
      <c r="C114" s="10">
        <f>IF($U114="","",IFERROR(INDEX(매출원본!$AY$8:$AY$1007,MATCH($U114,매출원본!$BD$8:$BD$1007,0)),""))</f>
        <v/>
      </c>
      <c r="D114" s="33">
        <f>IF($U114="","",COUNTIFS(매출원본!$AX$8:$AX$1007,INDEX($R$8:$R$207,$U114),매출원본!$BA$8:$BA$1007,"포함"))</f>
        <v/>
      </c>
      <c r="E114" s="33">
        <f>IF($U114="","",SUMIFS(매출원본!$AT$8:$AT$1007,매출원본!$AX$8:$AX$1007,INDEX($R$8:$R$207,$U114),매출원본!$BA$8:$BA$1007,"포함"))</f>
        <v/>
      </c>
      <c r="F114" s="33">
        <f>IF($U114="","",SUMIFS(매출원본!$AU$8:$AU$1007,매출원본!$AX$8:$AX$1007,INDEX($R$8:$R$207,$U114),매출원본!$BA$8:$BA$1007,"포함"))</f>
        <v/>
      </c>
      <c r="G114" s="33">
        <f>IF($U114="","",SUMIFS(매출원본!$AV$8:$AV$1007,매출원본!$AX$8:$AX$1007,INDEX($R$8:$R$207,$U114),매출원본!$BA$8:$BA$1007,"포함"))</f>
        <v/>
      </c>
      <c r="H114" s="34">
        <f>IF(OR($U114="",$E$7=0),"",E114/$E$7)</f>
        <v/>
      </c>
      <c r="I114" s="33">
        <f>IF(OR($U114="",0&gt;=설정!$B$12),"",SUMIFS(매출원본!$AT$8:$AT$1007,매출원본!$AX$8:$AX$1007,INDEX($R$8:$R$207,$U114),매출원본!$BA$8:$BA$1007,"포함",매출원본!$AS$8:$AS$1007,"&gt;="&amp;EDATE(설정!$B$10,0),매출원본!$AS$8:$AS$1007,"&lt;="&amp;EOMONTH(설정!$B$10,0)))</f>
        <v/>
      </c>
      <c r="J114" s="33">
        <f>IF(OR($U114="",1&gt;=설정!$B$12),"",SUMIFS(매출원본!$AT$8:$AT$1007,매출원본!$AX$8:$AX$1007,INDEX($R$8:$R$207,$U114),매출원본!$BA$8:$BA$1007,"포함",매출원본!$AS$8:$AS$1007,"&gt;="&amp;EDATE(설정!$B$10,1),매출원본!$AS$8:$AS$1007,"&lt;="&amp;EOMONTH(설정!$B$10,1)))</f>
        <v/>
      </c>
      <c r="K114" s="33">
        <f>IF(OR($U114="",2&gt;=설정!$B$12),"",SUMIFS(매출원본!$AT$8:$AT$1007,매출원본!$AX$8:$AX$1007,INDEX($R$8:$R$207,$U114),매출원본!$BA$8:$BA$1007,"포함",매출원본!$AS$8:$AS$1007,"&gt;="&amp;EDATE(설정!$B$10,2),매출원본!$AS$8:$AS$1007,"&lt;="&amp;EOMONTH(설정!$B$10,2)))</f>
        <v/>
      </c>
      <c r="L114" s="33">
        <f>IF(OR($U114="",3&gt;=설정!$B$12),"",SUMIFS(매출원본!$AT$8:$AT$1007,매출원본!$AX$8:$AX$1007,INDEX($R$8:$R$207,$U114),매출원본!$BA$8:$BA$1007,"포함",매출원본!$AS$8:$AS$1007,"&gt;="&amp;EDATE(설정!$B$10,3),매출원본!$AS$8:$AS$1007,"&lt;="&amp;EOMONTH(설정!$B$10,3)))</f>
        <v/>
      </c>
      <c r="M114" s="33">
        <f>IF(OR($U114="",4&gt;=설정!$B$12),"",SUMIFS(매출원본!$AT$8:$AT$1007,매출원본!$AX$8:$AX$1007,INDEX($R$8:$R$207,$U114),매출원본!$BA$8:$BA$1007,"포함",매출원본!$AS$8:$AS$1007,"&gt;="&amp;EDATE(설정!$B$10,4),매출원본!$AS$8:$AS$1007,"&lt;="&amp;EOMONTH(설정!$B$10,4)))</f>
        <v/>
      </c>
      <c r="N114" s="33">
        <f>IF(OR($U114="",5&gt;=설정!$B$12),"",SUMIFS(매출원본!$AT$8:$AT$1007,매출원본!$AX$8:$AX$1007,INDEX($R$8:$R$207,$U114),매출원본!$BA$8:$BA$1007,"포함",매출원본!$AS$8:$AS$1007,"&gt;="&amp;EDATE(설정!$B$10,5),매출원본!$AS$8:$AS$1007,"&lt;="&amp;EOMONTH(설정!$B$10,5)))</f>
        <v/>
      </c>
      <c r="Q114" s="35" t="n">
        <v>107</v>
      </c>
      <c r="R114" s="35">
        <f>IFERROR(INDEX(매출원본!$AX$8:$AX$1007,MATCH($Q114,매출원본!$BD$8:$BD$1007,0)),"")</f>
        <v/>
      </c>
      <c r="S114" s="35">
        <f>IF($R114="","",SUMIFS(매출원본!$AT$8:$AT$1007,매출원본!$AX$8:$AX$1007,$R114,매출원본!$BA$8:$BA$1007,"포함"))</f>
        <v/>
      </c>
      <c r="T114" s="35">
        <f>IF($R114="","",$S114-$Q114/100000)</f>
        <v/>
      </c>
      <c r="U114" s="35">
        <f>IFERROR(MATCH(LARGE($T$8:$T$207,107),$T$8:$T$207,0),"")</f>
        <v/>
      </c>
    </row>
    <row r="115">
      <c r="A115" s="32">
        <f>IF($U115="","",108)</f>
        <v/>
      </c>
      <c r="B115" s="10">
        <f>IF($U115="","",IFERROR(INDEX(매출원본!$AZ$8:$AZ$1007,MATCH($U115,매출원본!$BD$8:$BD$1007,0)),""))</f>
        <v/>
      </c>
      <c r="C115" s="10">
        <f>IF($U115="","",IFERROR(INDEX(매출원본!$AY$8:$AY$1007,MATCH($U115,매출원본!$BD$8:$BD$1007,0)),""))</f>
        <v/>
      </c>
      <c r="D115" s="33">
        <f>IF($U115="","",COUNTIFS(매출원본!$AX$8:$AX$1007,INDEX($R$8:$R$207,$U115),매출원본!$BA$8:$BA$1007,"포함"))</f>
        <v/>
      </c>
      <c r="E115" s="33">
        <f>IF($U115="","",SUMIFS(매출원본!$AT$8:$AT$1007,매출원본!$AX$8:$AX$1007,INDEX($R$8:$R$207,$U115),매출원본!$BA$8:$BA$1007,"포함"))</f>
        <v/>
      </c>
      <c r="F115" s="33">
        <f>IF($U115="","",SUMIFS(매출원본!$AU$8:$AU$1007,매출원본!$AX$8:$AX$1007,INDEX($R$8:$R$207,$U115),매출원본!$BA$8:$BA$1007,"포함"))</f>
        <v/>
      </c>
      <c r="G115" s="33">
        <f>IF($U115="","",SUMIFS(매출원본!$AV$8:$AV$1007,매출원본!$AX$8:$AX$1007,INDEX($R$8:$R$207,$U115),매출원본!$BA$8:$BA$1007,"포함"))</f>
        <v/>
      </c>
      <c r="H115" s="34">
        <f>IF(OR($U115="",$E$7=0),"",E115/$E$7)</f>
        <v/>
      </c>
      <c r="I115" s="33">
        <f>IF(OR($U115="",0&gt;=설정!$B$12),"",SUMIFS(매출원본!$AT$8:$AT$1007,매출원본!$AX$8:$AX$1007,INDEX($R$8:$R$207,$U115),매출원본!$BA$8:$BA$1007,"포함",매출원본!$AS$8:$AS$1007,"&gt;="&amp;EDATE(설정!$B$10,0),매출원본!$AS$8:$AS$1007,"&lt;="&amp;EOMONTH(설정!$B$10,0)))</f>
        <v/>
      </c>
      <c r="J115" s="33">
        <f>IF(OR($U115="",1&gt;=설정!$B$12),"",SUMIFS(매출원본!$AT$8:$AT$1007,매출원본!$AX$8:$AX$1007,INDEX($R$8:$R$207,$U115),매출원본!$BA$8:$BA$1007,"포함",매출원본!$AS$8:$AS$1007,"&gt;="&amp;EDATE(설정!$B$10,1),매출원본!$AS$8:$AS$1007,"&lt;="&amp;EOMONTH(설정!$B$10,1)))</f>
        <v/>
      </c>
      <c r="K115" s="33">
        <f>IF(OR($U115="",2&gt;=설정!$B$12),"",SUMIFS(매출원본!$AT$8:$AT$1007,매출원본!$AX$8:$AX$1007,INDEX($R$8:$R$207,$U115),매출원본!$BA$8:$BA$1007,"포함",매출원본!$AS$8:$AS$1007,"&gt;="&amp;EDATE(설정!$B$10,2),매출원본!$AS$8:$AS$1007,"&lt;="&amp;EOMONTH(설정!$B$10,2)))</f>
        <v/>
      </c>
      <c r="L115" s="33">
        <f>IF(OR($U115="",3&gt;=설정!$B$12),"",SUMIFS(매출원본!$AT$8:$AT$1007,매출원본!$AX$8:$AX$1007,INDEX($R$8:$R$207,$U115),매출원본!$BA$8:$BA$1007,"포함",매출원본!$AS$8:$AS$1007,"&gt;="&amp;EDATE(설정!$B$10,3),매출원본!$AS$8:$AS$1007,"&lt;="&amp;EOMONTH(설정!$B$10,3)))</f>
        <v/>
      </c>
      <c r="M115" s="33">
        <f>IF(OR($U115="",4&gt;=설정!$B$12),"",SUMIFS(매출원본!$AT$8:$AT$1007,매출원본!$AX$8:$AX$1007,INDEX($R$8:$R$207,$U115),매출원본!$BA$8:$BA$1007,"포함",매출원본!$AS$8:$AS$1007,"&gt;="&amp;EDATE(설정!$B$10,4),매출원본!$AS$8:$AS$1007,"&lt;="&amp;EOMONTH(설정!$B$10,4)))</f>
        <v/>
      </c>
      <c r="N115" s="33">
        <f>IF(OR($U115="",5&gt;=설정!$B$12),"",SUMIFS(매출원본!$AT$8:$AT$1007,매출원본!$AX$8:$AX$1007,INDEX($R$8:$R$207,$U115),매출원본!$BA$8:$BA$1007,"포함",매출원본!$AS$8:$AS$1007,"&gt;="&amp;EDATE(설정!$B$10,5),매출원본!$AS$8:$AS$1007,"&lt;="&amp;EOMONTH(설정!$B$10,5)))</f>
        <v/>
      </c>
      <c r="Q115" s="35" t="n">
        <v>108</v>
      </c>
      <c r="R115" s="35">
        <f>IFERROR(INDEX(매출원본!$AX$8:$AX$1007,MATCH($Q115,매출원본!$BD$8:$BD$1007,0)),"")</f>
        <v/>
      </c>
      <c r="S115" s="35">
        <f>IF($R115="","",SUMIFS(매출원본!$AT$8:$AT$1007,매출원본!$AX$8:$AX$1007,$R115,매출원본!$BA$8:$BA$1007,"포함"))</f>
        <v/>
      </c>
      <c r="T115" s="35">
        <f>IF($R115="","",$S115-$Q115/100000)</f>
        <v/>
      </c>
      <c r="U115" s="35">
        <f>IFERROR(MATCH(LARGE($T$8:$T$207,108),$T$8:$T$207,0),"")</f>
        <v/>
      </c>
    </row>
    <row r="116">
      <c r="A116" s="32">
        <f>IF($U116="","",109)</f>
        <v/>
      </c>
      <c r="B116" s="10">
        <f>IF($U116="","",IFERROR(INDEX(매출원본!$AZ$8:$AZ$1007,MATCH($U116,매출원본!$BD$8:$BD$1007,0)),""))</f>
        <v/>
      </c>
      <c r="C116" s="10">
        <f>IF($U116="","",IFERROR(INDEX(매출원본!$AY$8:$AY$1007,MATCH($U116,매출원본!$BD$8:$BD$1007,0)),""))</f>
        <v/>
      </c>
      <c r="D116" s="33">
        <f>IF($U116="","",COUNTIFS(매출원본!$AX$8:$AX$1007,INDEX($R$8:$R$207,$U116),매출원본!$BA$8:$BA$1007,"포함"))</f>
        <v/>
      </c>
      <c r="E116" s="33">
        <f>IF($U116="","",SUMIFS(매출원본!$AT$8:$AT$1007,매출원본!$AX$8:$AX$1007,INDEX($R$8:$R$207,$U116),매출원본!$BA$8:$BA$1007,"포함"))</f>
        <v/>
      </c>
      <c r="F116" s="33">
        <f>IF($U116="","",SUMIFS(매출원본!$AU$8:$AU$1007,매출원본!$AX$8:$AX$1007,INDEX($R$8:$R$207,$U116),매출원본!$BA$8:$BA$1007,"포함"))</f>
        <v/>
      </c>
      <c r="G116" s="33">
        <f>IF($U116="","",SUMIFS(매출원본!$AV$8:$AV$1007,매출원본!$AX$8:$AX$1007,INDEX($R$8:$R$207,$U116),매출원본!$BA$8:$BA$1007,"포함"))</f>
        <v/>
      </c>
      <c r="H116" s="34">
        <f>IF(OR($U116="",$E$7=0),"",E116/$E$7)</f>
        <v/>
      </c>
      <c r="I116" s="33">
        <f>IF(OR($U116="",0&gt;=설정!$B$12),"",SUMIFS(매출원본!$AT$8:$AT$1007,매출원본!$AX$8:$AX$1007,INDEX($R$8:$R$207,$U116),매출원본!$BA$8:$BA$1007,"포함",매출원본!$AS$8:$AS$1007,"&gt;="&amp;EDATE(설정!$B$10,0),매출원본!$AS$8:$AS$1007,"&lt;="&amp;EOMONTH(설정!$B$10,0)))</f>
        <v/>
      </c>
      <c r="J116" s="33">
        <f>IF(OR($U116="",1&gt;=설정!$B$12),"",SUMIFS(매출원본!$AT$8:$AT$1007,매출원본!$AX$8:$AX$1007,INDEX($R$8:$R$207,$U116),매출원본!$BA$8:$BA$1007,"포함",매출원본!$AS$8:$AS$1007,"&gt;="&amp;EDATE(설정!$B$10,1),매출원본!$AS$8:$AS$1007,"&lt;="&amp;EOMONTH(설정!$B$10,1)))</f>
        <v/>
      </c>
      <c r="K116" s="33">
        <f>IF(OR($U116="",2&gt;=설정!$B$12),"",SUMIFS(매출원본!$AT$8:$AT$1007,매출원본!$AX$8:$AX$1007,INDEX($R$8:$R$207,$U116),매출원본!$BA$8:$BA$1007,"포함",매출원본!$AS$8:$AS$1007,"&gt;="&amp;EDATE(설정!$B$10,2),매출원본!$AS$8:$AS$1007,"&lt;="&amp;EOMONTH(설정!$B$10,2)))</f>
        <v/>
      </c>
      <c r="L116" s="33">
        <f>IF(OR($U116="",3&gt;=설정!$B$12),"",SUMIFS(매출원본!$AT$8:$AT$1007,매출원본!$AX$8:$AX$1007,INDEX($R$8:$R$207,$U116),매출원본!$BA$8:$BA$1007,"포함",매출원본!$AS$8:$AS$1007,"&gt;="&amp;EDATE(설정!$B$10,3),매출원본!$AS$8:$AS$1007,"&lt;="&amp;EOMONTH(설정!$B$10,3)))</f>
        <v/>
      </c>
      <c r="M116" s="33">
        <f>IF(OR($U116="",4&gt;=설정!$B$12),"",SUMIFS(매출원본!$AT$8:$AT$1007,매출원본!$AX$8:$AX$1007,INDEX($R$8:$R$207,$U116),매출원본!$BA$8:$BA$1007,"포함",매출원본!$AS$8:$AS$1007,"&gt;="&amp;EDATE(설정!$B$10,4),매출원본!$AS$8:$AS$1007,"&lt;="&amp;EOMONTH(설정!$B$10,4)))</f>
        <v/>
      </c>
      <c r="N116" s="33">
        <f>IF(OR($U116="",5&gt;=설정!$B$12),"",SUMIFS(매출원본!$AT$8:$AT$1007,매출원본!$AX$8:$AX$1007,INDEX($R$8:$R$207,$U116),매출원본!$BA$8:$BA$1007,"포함",매출원본!$AS$8:$AS$1007,"&gt;="&amp;EDATE(설정!$B$10,5),매출원본!$AS$8:$AS$1007,"&lt;="&amp;EOMONTH(설정!$B$10,5)))</f>
        <v/>
      </c>
      <c r="Q116" s="35" t="n">
        <v>109</v>
      </c>
      <c r="R116" s="35">
        <f>IFERROR(INDEX(매출원본!$AX$8:$AX$1007,MATCH($Q116,매출원본!$BD$8:$BD$1007,0)),"")</f>
        <v/>
      </c>
      <c r="S116" s="35">
        <f>IF($R116="","",SUMIFS(매출원본!$AT$8:$AT$1007,매출원본!$AX$8:$AX$1007,$R116,매출원본!$BA$8:$BA$1007,"포함"))</f>
        <v/>
      </c>
      <c r="T116" s="35">
        <f>IF($R116="","",$S116-$Q116/100000)</f>
        <v/>
      </c>
      <c r="U116" s="35">
        <f>IFERROR(MATCH(LARGE($T$8:$T$207,109),$T$8:$T$207,0),"")</f>
        <v/>
      </c>
    </row>
    <row r="117">
      <c r="A117" s="32">
        <f>IF($U117="","",110)</f>
        <v/>
      </c>
      <c r="B117" s="10">
        <f>IF($U117="","",IFERROR(INDEX(매출원본!$AZ$8:$AZ$1007,MATCH($U117,매출원본!$BD$8:$BD$1007,0)),""))</f>
        <v/>
      </c>
      <c r="C117" s="10">
        <f>IF($U117="","",IFERROR(INDEX(매출원본!$AY$8:$AY$1007,MATCH($U117,매출원본!$BD$8:$BD$1007,0)),""))</f>
        <v/>
      </c>
      <c r="D117" s="33">
        <f>IF($U117="","",COUNTIFS(매출원본!$AX$8:$AX$1007,INDEX($R$8:$R$207,$U117),매출원본!$BA$8:$BA$1007,"포함"))</f>
        <v/>
      </c>
      <c r="E117" s="33">
        <f>IF($U117="","",SUMIFS(매출원본!$AT$8:$AT$1007,매출원본!$AX$8:$AX$1007,INDEX($R$8:$R$207,$U117),매출원본!$BA$8:$BA$1007,"포함"))</f>
        <v/>
      </c>
      <c r="F117" s="33">
        <f>IF($U117="","",SUMIFS(매출원본!$AU$8:$AU$1007,매출원본!$AX$8:$AX$1007,INDEX($R$8:$R$207,$U117),매출원본!$BA$8:$BA$1007,"포함"))</f>
        <v/>
      </c>
      <c r="G117" s="33">
        <f>IF($U117="","",SUMIFS(매출원본!$AV$8:$AV$1007,매출원본!$AX$8:$AX$1007,INDEX($R$8:$R$207,$U117),매출원본!$BA$8:$BA$1007,"포함"))</f>
        <v/>
      </c>
      <c r="H117" s="34">
        <f>IF(OR($U117="",$E$7=0),"",E117/$E$7)</f>
        <v/>
      </c>
      <c r="I117" s="33">
        <f>IF(OR($U117="",0&gt;=설정!$B$12),"",SUMIFS(매출원본!$AT$8:$AT$1007,매출원본!$AX$8:$AX$1007,INDEX($R$8:$R$207,$U117),매출원본!$BA$8:$BA$1007,"포함",매출원본!$AS$8:$AS$1007,"&gt;="&amp;EDATE(설정!$B$10,0),매출원본!$AS$8:$AS$1007,"&lt;="&amp;EOMONTH(설정!$B$10,0)))</f>
        <v/>
      </c>
      <c r="J117" s="33">
        <f>IF(OR($U117="",1&gt;=설정!$B$12),"",SUMIFS(매출원본!$AT$8:$AT$1007,매출원본!$AX$8:$AX$1007,INDEX($R$8:$R$207,$U117),매출원본!$BA$8:$BA$1007,"포함",매출원본!$AS$8:$AS$1007,"&gt;="&amp;EDATE(설정!$B$10,1),매출원본!$AS$8:$AS$1007,"&lt;="&amp;EOMONTH(설정!$B$10,1)))</f>
        <v/>
      </c>
      <c r="K117" s="33">
        <f>IF(OR($U117="",2&gt;=설정!$B$12),"",SUMIFS(매출원본!$AT$8:$AT$1007,매출원본!$AX$8:$AX$1007,INDEX($R$8:$R$207,$U117),매출원본!$BA$8:$BA$1007,"포함",매출원본!$AS$8:$AS$1007,"&gt;="&amp;EDATE(설정!$B$10,2),매출원본!$AS$8:$AS$1007,"&lt;="&amp;EOMONTH(설정!$B$10,2)))</f>
        <v/>
      </c>
      <c r="L117" s="33">
        <f>IF(OR($U117="",3&gt;=설정!$B$12),"",SUMIFS(매출원본!$AT$8:$AT$1007,매출원본!$AX$8:$AX$1007,INDEX($R$8:$R$207,$U117),매출원본!$BA$8:$BA$1007,"포함",매출원본!$AS$8:$AS$1007,"&gt;="&amp;EDATE(설정!$B$10,3),매출원본!$AS$8:$AS$1007,"&lt;="&amp;EOMONTH(설정!$B$10,3)))</f>
        <v/>
      </c>
      <c r="M117" s="33">
        <f>IF(OR($U117="",4&gt;=설정!$B$12),"",SUMIFS(매출원본!$AT$8:$AT$1007,매출원본!$AX$8:$AX$1007,INDEX($R$8:$R$207,$U117),매출원본!$BA$8:$BA$1007,"포함",매출원본!$AS$8:$AS$1007,"&gt;="&amp;EDATE(설정!$B$10,4),매출원본!$AS$8:$AS$1007,"&lt;="&amp;EOMONTH(설정!$B$10,4)))</f>
        <v/>
      </c>
      <c r="N117" s="33">
        <f>IF(OR($U117="",5&gt;=설정!$B$12),"",SUMIFS(매출원본!$AT$8:$AT$1007,매출원본!$AX$8:$AX$1007,INDEX($R$8:$R$207,$U117),매출원본!$BA$8:$BA$1007,"포함",매출원본!$AS$8:$AS$1007,"&gt;="&amp;EDATE(설정!$B$10,5),매출원본!$AS$8:$AS$1007,"&lt;="&amp;EOMONTH(설정!$B$10,5)))</f>
        <v/>
      </c>
      <c r="Q117" s="35" t="n">
        <v>110</v>
      </c>
      <c r="R117" s="35">
        <f>IFERROR(INDEX(매출원본!$AX$8:$AX$1007,MATCH($Q117,매출원본!$BD$8:$BD$1007,0)),"")</f>
        <v/>
      </c>
      <c r="S117" s="35">
        <f>IF($R117="","",SUMIFS(매출원본!$AT$8:$AT$1007,매출원본!$AX$8:$AX$1007,$R117,매출원본!$BA$8:$BA$1007,"포함"))</f>
        <v/>
      </c>
      <c r="T117" s="35">
        <f>IF($R117="","",$S117-$Q117/100000)</f>
        <v/>
      </c>
      <c r="U117" s="35">
        <f>IFERROR(MATCH(LARGE($T$8:$T$207,110),$T$8:$T$207,0),"")</f>
        <v/>
      </c>
    </row>
    <row r="118">
      <c r="A118" s="32">
        <f>IF($U118="","",111)</f>
        <v/>
      </c>
      <c r="B118" s="10">
        <f>IF($U118="","",IFERROR(INDEX(매출원본!$AZ$8:$AZ$1007,MATCH($U118,매출원본!$BD$8:$BD$1007,0)),""))</f>
        <v/>
      </c>
      <c r="C118" s="10">
        <f>IF($U118="","",IFERROR(INDEX(매출원본!$AY$8:$AY$1007,MATCH($U118,매출원본!$BD$8:$BD$1007,0)),""))</f>
        <v/>
      </c>
      <c r="D118" s="33">
        <f>IF($U118="","",COUNTIFS(매출원본!$AX$8:$AX$1007,INDEX($R$8:$R$207,$U118),매출원본!$BA$8:$BA$1007,"포함"))</f>
        <v/>
      </c>
      <c r="E118" s="33">
        <f>IF($U118="","",SUMIFS(매출원본!$AT$8:$AT$1007,매출원본!$AX$8:$AX$1007,INDEX($R$8:$R$207,$U118),매출원본!$BA$8:$BA$1007,"포함"))</f>
        <v/>
      </c>
      <c r="F118" s="33">
        <f>IF($U118="","",SUMIFS(매출원본!$AU$8:$AU$1007,매출원본!$AX$8:$AX$1007,INDEX($R$8:$R$207,$U118),매출원본!$BA$8:$BA$1007,"포함"))</f>
        <v/>
      </c>
      <c r="G118" s="33">
        <f>IF($U118="","",SUMIFS(매출원본!$AV$8:$AV$1007,매출원본!$AX$8:$AX$1007,INDEX($R$8:$R$207,$U118),매출원본!$BA$8:$BA$1007,"포함"))</f>
        <v/>
      </c>
      <c r="H118" s="34">
        <f>IF(OR($U118="",$E$7=0),"",E118/$E$7)</f>
        <v/>
      </c>
      <c r="I118" s="33">
        <f>IF(OR($U118="",0&gt;=설정!$B$12),"",SUMIFS(매출원본!$AT$8:$AT$1007,매출원본!$AX$8:$AX$1007,INDEX($R$8:$R$207,$U118),매출원본!$BA$8:$BA$1007,"포함",매출원본!$AS$8:$AS$1007,"&gt;="&amp;EDATE(설정!$B$10,0),매출원본!$AS$8:$AS$1007,"&lt;="&amp;EOMONTH(설정!$B$10,0)))</f>
        <v/>
      </c>
      <c r="J118" s="33">
        <f>IF(OR($U118="",1&gt;=설정!$B$12),"",SUMIFS(매출원본!$AT$8:$AT$1007,매출원본!$AX$8:$AX$1007,INDEX($R$8:$R$207,$U118),매출원본!$BA$8:$BA$1007,"포함",매출원본!$AS$8:$AS$1007,"&gt;="&amp;EDATE(설정!$B$10,1),매출원본!$AS$8:$AS$1007,"&lt;="&amp;EOMONTH(설정!$B$10,1)))</f>
        <v/>
      </c>
      <c r="K118" s="33">
        <f>IF(OR($U118="",2&gt;=설정!$B$12),"",SUMIFS(매출원본!$AT$8:$AT$1007,매출원본!$AX$8:$AX$1007,INDEX($R$8:$R$207,$U118),매출원본!$BA$8:$BA$1007,"포함",매출원본!$AS$8:$AS$1007,"&gt;="&amp;EDATE(설정!$B$10,2),매출원본!$AS$8:$AS$1007,"&lt;="&amp;EOMONTH(설정!$B$10,2)))</f>
        <v/>
      </c>
      <c r="L118" s="33">
        <f>IF(OR($U118="",3&gt;=설정!$B$12),"",SUMIFS(매출원본!$AT$8:$AT$1007,매출원본!$AX$8:$AX$1007,INDEX($R$8:$R$207,$U118),매출원본!$BA$8:$BA$1007,"포함",매출원본!$AS$8:$AS$1007,"&gt;="&amp;EDATE(설정!$B$10,3),매출원본!$AS$8:$AS$1007,"&lt;="&amp;EOMONTH(설정!$B$10,3)))</f>
        <v/>
      </c>
      <c r="M118" s="33">
        <f>IF(OR($U118="",4&gt;=설정!$B$12),"",SUMIFS(매출원본!$AT$8:$AT$1007,매출원본!$AX$8:$AX$1007,INDEX($R$8:$R$207,$U118),매출원본!$BA$8:$BA$1007,"포함",매출원본!$AS$8:$AS$1007,"&gt;="&amp;EDATE(설정!$B$10,4),매출원본!$AS$8:$AS$1007,"&lt;="&amp;EOMONTH(설정!$B$10,4)))</f>
        <v/>
      </c>
      <c r="N118" s="33">
        <f>IF(OR($U118="",5&gt;=설정!$B$12),"",SUMIFS(매출원본!$AT$8:$AT$1007,매출원본!$AX$8:$AX$1007,INDEX($R$8:$R$207,$U118),매출원본!$BA$8:$BA$1007,"포함",매출원본!$AS$8:$AS$1007,"&gt;="&amp;EDATE(설정!$B$10,5),매출원본!$AS$8:$AS$1007,"&lt;="&amp;EOMONTH(설정!$B$10,5)))</f>
        <v/>
      </c>
      <c r="Q118" s="35" t="n">
        <v>111</v>
      </c>
      <c r="R118" s="35">
        <f>IFERROR(INDEX(매출원본!$AX$8:$AX$1007,MATCH($Q118,매출원본!$BD$8:$BD$1007,0)),"")</f>
        <v/>
      </c>
      <c r="S118" s="35">
        <f>IF($R118="","",SUMIFS(매출원본!$AT$8:$AT$1007,매출원본!$AX$8:$AX$1007,$R118,매출원본!$BA$8:$BA$1007,"포함"))</f>
        <v/>
      </c>
      <c r="T118" s="35">
        <f>IF($R118="","",$S118-$Q118/100000)</f>
        <v/>
      </c>
      <c r="U118" s="35">
        <f>IFERROR(MATCH(LARGE($T$8:$T$207,111),$T$8:$T$207,0),"")</f>
        <v/>
      </c>
    </row>
    <row r="119">
      <c r="A119" s="32">
        <f>IF($U119="","",112)</f>
        <v/>
      </c>
      <c r="B119" s="10">
        <f>IF($U119="","",IFERROR(INDEX(매출원본!$AZ$8:$AZ$1007,MATCH($U119,매출원본!$BD$8:$BD$1007,0)),""))</f>
        <v/>
      </c>
      <c r="C119" s="10">
        <f>IF($U119="","",IFERROR(INDEX(매출원본!$AY$8:$AY$1007,MATCH($U119,매출원본!$BD$8:$BD$1007,0)),""))</f>
        <v/>
      </c>
      <c r="D119" s="33">
        <f>IF($U119="","",COUNTIFS(매출원본!$AX$8:$AX$1007,INDEX($R$8:$R$207,$U119),매출원본!$BA$8:$BA$1007,"포함"))</f>
        <v/>
      </c>
      <c r="E119" s="33">
        <f>IF($U119="","",SUMIFS(매출원본!$AT$8:$AT$1007,매출원본!$AX$8:$AX$1007,INDEX($R$8:$R$207,$U119),매출원본!$BA$8:$BA$1007,"포함"))</f>
        <v/>
      </c>
      <c r="F119" s="33">
        <f>IF($U119="","",SUMIFS(매출원본!$AU$8:$AU$1007,매출원본!$AX$8:$AX$1007,INDEX($R$8:$R$207,$U119),매출원본!$BA$8:$BA$1007,"포함"))</f>
        <v/>
      </c>
      <c r="G119" s="33">
        <f>IF($U119="","",SUMIFS(매출원본!$AV$8:$AV$1007,매출원본!$AX$8:$AX$1007,INDEX($R$8:$R$207,$U119),매출원본!$BA$8:$BA$1007,"포함"))</f>
        <v/>
      </c>
      <c r="H119" s="34">
        <f>IF(OR($U119="",$E$7=0),"",E119/$E$7)</f>
        <v/>
      </c>
      <c r="I119" s="33">
        <f>IF(OR($U119="",0&gt;=설정!$B$12),"",SUMIFS(매출원본!$AT$8:$AT$1007,매출원본!$AX$8:$AX$1007,INDEX($R$8:$R$207,$U119),매출원본!$BA$8:$BA$1007,"포함",매출원본!$AS$8:$AS$1007,"&gt;="&amp;EDATE(설정!$B$10,0),매출원본!$AS$8:$AS$1007,"&lt;="&amp;EOMONTH(설정!$B$10,0)))</f>
        <v/>
      </c>
      <c r="J119" s="33">
        <f>IF(OR($U119="",1&gt;=설정!$B$12),"",SUMIFS(매출원본!$AT$8:$AT$1007,매출원본!$AX$8:$AX$1007,INDEX($R$8:$R$207,$U119),매출원본!$BA$8:$BA$1007,"포함",매출원본!$AS$8:$AS$1007,"&gt;="&amp;EDATE(설정!$B$10,1),매출원본!$AS$8:$AS$1007,"&lt;="&amp;EOMONTH(설정!$B$10,1)))</f>
        <v/>
      </c>
      <c r="K119" s="33">
        <f>IF(OR($U119="",2&gt;=설정!$B$12),"",SUMIFS(매출원본!$AT$8:$AT$1007,매출원본!$AX$8:$AX$1007,INDEX($R$8:$R$207,$U119),매출원본!$BA$8:$BA$1007,"포함",매출원본!$AS$8:$AS$1007,"&gt;="&amp;EDATE(설정!$B$10,2),매출원본!$AS$8:$AS$1007,"&lt;="&amp;EOMONTH(설정!$B$10,2)))</f>
        <v/>
      </c>
      <c r="L119" s="33">
        <f>IF(OR($U119="",3&gt;=설정!$B$12),"",SUMIFS(매출원본!$AT$8:$AT$1007,매출원본!$AX$8:$AX$1007,INDEX($R$8:$R$207,$U119),매출원본!$BA$8:$BA$1007,"포함",매출원본!$AS$8:$AS$1007,"&gt;="&amp;EDATE(설정!$B$10,3),매출원본!$AS$8:$AS$1007,"&lt;="&amp;EOMONTH(설정!$B$10,3)))</f>
        <v/>
      </c>
      <c r="M119" s="33">
        <f>IF(OR($U119="",4&gt;=설정!$B$12),"",SUMIFS(매출원본!$AT$8:$AT$1007,매출원본!$AX$8:$AX$1007,INDEX($R$8:$R$207,$U119),매출원본!$BA$8:$BA$1007,"포함",매출원본!$AS$8:$AS$1007,"&gt;="&amp;EDATE(설정!$B$10,4),매출원본!$AS$8:$AS$1007,"&lt;="&amp;EOMONTH(설정!$B$10,4)))</f>
        <v/>
      </c>
      <c r="N119" s="33">
        <f>IF(OR($U119="",5&gt;=설정!$B$12),"",SUMIFS(매출원본!$AT$8:$AT$1007,매출원본!$AX$8:$AX$1007,INDEX($R$8:$R$207,$U119),매출원본!$BA$8:$BA$1007,"포함",매출원본!$AS$8:$AS$1007,"&gt;="&amp;EDATE(설정!$B$10,5),매출원본!$AS$8:$AS$1007,"&lt;="&amp;EOMONTH(설정!$B$10,5)))</f>
        <v/>
      </c>
      <c r="Q119" s="35" t="n">
        <v>112</v>
      </c>
      <c r="R119" s="35">
        <f>IFERROR(INDEX(매출원본!$AX$8:$AX$1007,MATCH($Q119,매출원본!$BD$8:$BD$1007,0)),"")</f>
        <v/>
      </c>
      <c r="S119" s="35">
        <f>IF($R119="","",SUMIFS(매출원본!$AT$8:$AT$1007,매출원본!$AX$8:$AX$1007,$R119,매출원본!$BA$8:$BA$1007,"포함"))</f>
        <v/>
      </c>
      <c r="T119" s="35">
        <f>IF($R119="","",$S119-$Q119/100000)</f>
        <v/>
      </c>
      <c r="U119" s="35">
        <f>IFERROR(MATCH(LARGE($T$8:$T$207,112),$T$8:$T$207,0),"")</f>
        <v/>
      </c>
    </row>
    <row r="120">
      <c r="A120" s="32">
        <f>IF($U120="","",113)</f>
        <v/>
      </c>
      <c r="B120" s="10">
        <f>IF($U120="","",IFERROR(INDEX(매출원본!$AZ$8:$AZ$1007,MATCH($U120,매출원본!$BD$8:$BD$1007,0)),""))</f>
        <v/>
      </c>
      <c r="C120" s="10">
        <f>IF($U120="","",IFERROR(INDEX(매출원본!$AY$8:$AY$1007,MATCH($U120,매출원본!$BD$8:$BD$1007,0)),""))</f>
        <v/>
      </c>
      <c r="D120" s="33">
        <f>IF($U120="","",COUNTIFS(매출원본!$AX$8:$AX$1007,INDEX($R$8:$R$207,$U120),매출원본!$BA$8:$BA$1007,"포함"))</f>
        <v/>
      </c>
      <c r="E120" s="33">
        <f>IF($U120="","",SUMIFS(매출원본!$AT$8:$AT$1007,매출원본!$AX$8:$AX$1007,INDEX($R$8:$R$207,$U120),매출원본!$BA$8:$BA$1007,"포함"))</f>
        <v/>
      </c>
      <c r="F120" s="33">
        <f>IF($U120="","",SUMIFS(매출원본!$AU$8:$AU$1007,매출원본!$AX$8:$AX$1007,INDEX($R$8:$R$207,$U120),매출원본!$BA$8:$BA$1007,"포함"))</f>
        <v/>
      </c>
      <c r="G120" s="33">
        <f>IF($U120="","",SUMIFS(매출원본!$AV$8:$AV$1007,매출원본!$AX$8:$AX$1007,INDEX($R$8:$R$207,$U120),매출원본!$BA$8:$BA$1007,"포함"))</f>
        <v/>
      </c>
      <c r="H120" s="34">
        <f>IF(OR($U120="",$E$7=0),"",E120/$E$7)</f>
        <v/>
      </c>
      <c r="I120" s="33">
        <f>IF(OR($U120="",0&gt;=설정!$B$12),"",SUMIFS(매출원본!$AT$8:$AT$1007,매출원본!$AX$8:$AX$1007,INDEX($R$8:$R$207,$U120),매출원본!$BA$8:$BA$1007,"포함",매출원본!$AS$8:$AS$1007,"&gt;="&amp;EDATE(설정!$B$10,0),매출원본!$AS$8:$AS$1007,"&lt;="&amp;EOMONTH(설정!$B$10,0)))</f>
        <v/>
      </c>
      <c r="J120" s="33">
        <f>IF(OR($U120="",1&gt;=설정!$B$12),"",SUMIFS(매출원본!$AT$8:$AT$1007,매출원본!$AX$8:$AX$1007,INDEX($R$8:$R$207,$U120),매출원본!$BA$8:$BA$1007,"포함",매출원본!$AS$8:$AS$1007,"&gt;="&amp;EDATE(설정!$B$10,1),매출원본!$AS$8:$AS$1007,"&lt;="&amp;EOMONTH(설정!$B$10,1)))</f>
        <v/>
      </c>
      <c r="K120" s="33">
        <f>IF(OR($U120="",2&gt;=설정!$B$12),"",SUMIFS(매출원본!$AT$8:$AT$1007,매출원본!$AX$8:$AX$1007,INDEX($R$8:$R$207,$U120),매출원본!$BA$8:$BA$1007,"포함",매출원본!$AS$8:$AS$1007,"&gt;="&amp;EDATE(설정!$B$10,2),매출원본!$AS$8:$AS$1007,"&lt;="&amp;EOMONTH(설정!$B$10,2)))</f>
        <v/>
      </c>
      <c r="L120" s="33">
        <f>IF(OR($U120="",3&gt;=설정!$B$12),"",SUMIFS(매출원본!$AT$8:$AT$1007,매출원본!$AX$8:$AX$1007,INDEX($R$8:$R$207,$U120),매출원본!$BA$8:$BA$1007,"포함",매출원본!$AS$8:$AS$1007,"&gt;="&amp;EDATE(설정!$B$10,3),매출원본!$AS$8:$AS$1007,"&lt;="&amp;EOMONTH(설정!$B$10,3)))</f>
        <v/>
      </c>
      <c r="M120" s="33">
        <f>IF(OR($U120="",4&gt;=설정!$B$12),"",SUMIFS(매출원본!$AT$8:$AT$1007,매출원본!$AX$8:$AX$1007,INDEX($R$8:$R$207,$U120),매출원본!$BA$8:$BA$1007,"포함",매출원본!$AS$8:$AS$1007,"&gt;="&amp;EDATE(설정!$B$10,4),매출원본!$AS$8:$AS$1007,"&lt;="&amp;EOMONTH(설정!$B$10,4)))</f>
        <v/>
      </c>
      <c r="N120" s="33">
        <f>IF(OR($U120="",5&gt;=설정!$B$12),"",SUMIFS(매출원본!$AT$8:$AT$1007,매출원본!$AX$8:$AX$1007,INDEX($R$8:$R$207,$U120),매출원본!$BA$8:$BA$1007,"포함",매출원본!$AS$8:$AS$1007,"&gt;="&amp;EDATE(설정!$B$10,5),매출원본!$AS$8:$AS$1007,"&lt;="&amp;EOMONTH(설정!$B$10,5)))</f>
        <v/>
      </c>
      <c r="Q120" s="35" t="n">
        <v>113</v>
      </c>
      <c r="R120" s="35">
        <f>IFERROR(INDEX(매출원본!$AX$8:$AX$1007,MATCH($Q120,매출원본!$BD$8:$BD$1007,0)),"")</f>
        <v/>
      </c>
      <c r="S120" s="35">
        <f>IF($R120="","",SUMIFS(매출원본!$AT$8:$AT$1007,매출원본!$AX$8:$AX$1007,$R120,매출원본!$BA$8:$BA$1007,"포함"))</f>
        <v/>
      </c>
      <c r="T120" s="35">
        <f>IF($R120="","",$S120-$Q120/100000)</f>
        <v/>
      </c>
      <c r="U120" s="35">
        <f>IFERROR(MATCH(LARGE($T$8:$T$207,113),$T$8:$T$207,0),"")</f>
        <v/>
      </c>
    </row>
    <row r="121">
      <c r="A121" s="32">
        <f>IF($U121="","",114)</f>
        <v/>
      </c>
      <c r="B121" s="10">
        <f>IF($U121="","",IFERROR(INDEX(매출원본!$AZ$8:$AZ$1007,MATCH($U121,매출원본!$BD$8:$BD$1007,0)),""))</f>
        <v/>
      </c>
      <c r="C121" s="10">
        <f>IF($U121="","",IFERROR(INDEX(매출원본!$AY$8:$AY$1007,MATCH($U121,매출원본!$BD$8:$BD$1007,0)),""))</f>
        <v/>
      </c>
      <c r="D121" s="33">
        <f>IF($U121="","",COUNTIFS(매출원본!$AX$8:$AX$1007,INDEX($R$8:$R$207,$U121),매출원본!$BA$8:$BA$1007,"포함"))</f>
        <v/>
      </c>
      <c r="E121" s="33">
        <f>IF($U121="","",SUMIFS(매출원본!$AT$8:$AT$1007,매출원본!$AX$8:$AX$1007,INDEX($R$8:$R$207,$U121),매출원본!$BA$8:$BA$1007,"포함"))</f>
        <v/>
      </c>
      <c r="F121" s="33">
        <f>IF($U121="","",SUMIFS(매출원본!$AU$8:$AU$1007,매출원본!$AX$8:$AX$1007,INDEX($R$8:$R$207,$U121),매출원본!$BA$8:$BA$1007,"포함"))</f>
        <v/>
      </c>
      <c r="G121" s="33">
        <f>IF($U121="","",SUMIFS(매출원본!$AV$8:$AV$1007,매출원본!$AX$8:$AX$1007,INDEX($R$8:$R$207,$U121),매출원본!$BA$8:$BA$1007,"포함"))</f>
        <v/>
      </c>
      <c r="H121" s="34">
        <f>IF(OR($U121="",$E$7=0),"",E121/$E$7)</f>
        <v/>
      </c>
      <c r="I121" s="33">
        <f>IF(OR($U121="",0&gt;=설정!$B$12),"",SUMIFS(매출원본!$AT$8:$AT$1007,매출원본!$AX$8:$AX$1007,INDEX($R$8:$R$207,$U121),매출원본!$BA$8:$BA$1007,"포함",매출원본!$AS$8:$AS$1007,"&gt;="&amp;EDATE(설정!$B$10,0),매출원본!$AS$8:$AS$1007,"&lt;="&amp;EOMONTH(설정!$B$10,0)))</f>
        <v/>
      </c>
      <c r="J121" s="33">
        <f>IF(OR($U121="",1&gt;=설정!$B$12),"",SUMIFS(매출원본!$AT$8:$AT$1007,매출원본!$AX$8:$AX$1007,INDEX($R$8:$R$207,$U121),매출원본!$BA$8:$BA$1007,"포함",매출원본!$AS$8:$AS$1007,"&gt;="&amp;EDATE(설정!$B$10,1),매출원본!$AS$8:$AS$1007,"&lt;="&amp;EOMONTH(설정!$B$10,1)))</f>
        <v/>
      </c>
      <c r="K121" s="33">
        <f>IF(OR($U121="",2&gt;=설정!$B$12),"",SUMIFS(매출원본!$AT$8:$AT$1007,매출원본!$AX$8:$AX$1007,INDEX($R$8:$R$207,$U121),매출원본!$BA$8:$BA$1007,"포함",매출원본!$AS$8:$AS$1007,"&gt;="&amp;EDATE(설정!$B$10,2),매출원본!$AS$8:$AS$1007,"&lt;="&amp;EOMONTH(설정!$B$10,2)))</f>
        <v/>
      </c>
      <c r="L121" s="33">
        <f>IF(OR($U121="",3&gt;=설정!$B$12),"",SUMIFS(매출원본!$AT$8:$AT$1007,매출원본!$AX$8:$AX$1007,INDEX($R$8:$R$207,$U121),매출원본!$BA$8:$BA$1007,"포함",매출원본!$AS$8:$AS$1007,"&gt;="&amp;EDATE(설정!$B$10,3),매출원본!$AS$8:$AS$1007,"&lt;="&amp;EOMONTH(설정!$B$10,3)))</f>
        <v/>
      </c>
      <c r="M121" s="33">
        <f>IF(OR($U121="",4&gt;=설정!$B$12),"",SUMIFS(매출원본!$AT$8:$AT$1007,매출원본!$AX$8:$AX$1007,INDEX($R$8:$R$207,$U121),매출원본!$BA$8:$BA$1007,"포함",매출원본!$AS$8:$AS$1007,"&gt;="&amp;EDATE(설정!$B$10,4),매출원본!$AS$8:$AS$1007,"&lt;="&amp;EOMONTH(설정!$B$10,4)))</f>
        <v/>
      </c>
      <c r="N121" s="33">
        <f>IF(OR($U121="",5&gt;=설정!$B$12),"",SUMIFS(매출원본!$AT$8:$AT$1007,매출원본!$AX$8:$AX$1007,INDEX($R$8:$R$207,$U121),매출원본!$BA$8:$BA$1007,"포함",매출원본!$AS$8:$AS$1007,"&gt;="&amp;EDATE(설정!$B$10,5),매출원본!$AS$8:$AS$1007,"&lt;="&amp;EOMONTH(설정!$B$10,5)))</f>
        <v/>
      </c>
      <c r="Q121" s="35" t="n">
        <v>114</v>
      </c>
      <c r="R121" s="35">
        <f>IFERROR(INDEX(매출원본!$AX$8:$AX$1007,MATCH($Q121,매출원본!$BD$8:$BD$1007,0)),"")</f>
        <v/>
      </c>
      <c r="S121" s="35">
        <f>IF($R121="","",SUMIFS(매출원본!$AT$8:$AT$1007,매출원본!$AX$8:$AX$1007,$R121,매출원본!$BA$8:$BA$1007,"포함"))</f>
        <v/>
      </c>
      <c r="T121" s="35">
        <f>IF($R121="","",$S121-$Q121/100000)</f>
        <v/>
      </c>
      <c r="U121" s="35">
        <f>IFERROR(MATCH(LARGE($T$8:$T$207,114),$T$8:$T$207,0),"")</f>
        <v/>
      </c>
    </row>
    <row r="122">
      <c r="A122" s="32">
        <f>IF($U122="","",115)</f>
        <v/>
      </c>
      <c r="B122" s="10">
        <f>IF($U122="","",IFERROR(INDEX(매출원본!$AZ$8:$AZ$1007,MATCH($U122,매출원본!$BD$8:$BD$1007,0)),""))</f>
        <v/>
      </c>
      <c r="C122" s="10">
        <f>IF($U122="","",IFERROR(INDEX(매출원본!$AY$8:$AY$1007,MATCH($U122,매출원본!$BD$8:$BD$1007,0)),""))</f>
        <v/>
      </c>
      <c r="D122" s="33">
        <f>IF($U122="","",COUNTIFS(매출원본!$AX$8:$AX$1007,INDEX($R$8:$R$207,$U122),매출원본!$BA$8:$BA$1007,"포함"))</f>
        <v/>
      </c>
      <c r="E122" s="33">
        <f>IF($U122="","",SUMIFS(매출원본!$AT$8:$AT$1007,매출원본!$AX$8:$AX$1007,INDEX($R$8:$R$207,$U122),매출원본!$BA$8:$BA$1007,"포함"))</f>
        <v/>
      </c>
      <c r="F122" s="33">
        <f>IF($U122="","",SUMIFS(매출원본!$AU$8:$AU$1007,매출원본!$AX$8:$AX$1007,INDEX($R$8:$R$207,$U122),매출원본!$BA$8:$BA$1007,"포함"))</f>
        <v/>
      </c>
      <c r="G122" s="33">
        <f>IF($U122="","",SUMIFS(매출원본!$AV$8:$AV$1007,매출원본!$AX$8:$AX$1007,INDEX($R$8:$R$207,$U122),매출원본!$BA$8:$BA$1007,"포함"))</f>
        <v/>
      </c>
      <c r="H122" s="34">
        <f>IF(OR($U122="",$E$7=0),"",E122/$E$7)</f>
        <v/>
      </c>
      <c r="I122" s="33">
        <f>IF(OR($U122="",0&gt;=설정!$B$12),"",SUMIFS(매출원본!$AT$8:$AT$1007,매출원본!$AX$8:$AX$1007,INDEX($R$8:$R$207,$U122),매출원본!$BA$8:$BA$1007,"포함",매출원본!$AS$8:$AS$1007,"&gt;="&amp;EDATE(설정!$B$10,0),매출원본!$AS$8:$AS$1007,"&lt;="&amp;EOMONTH(설정!$B$10,0)))</f>
        <v/>
      </c>
      <c r="J122" s="33">
        <f>IF(OR($U122="",1&gt;=설정!$B$12),"",SUMIFS(매출원본!$AT$8:$AT$1007,매출원본!$AX$8:$AX$1007,INDEX($R$8:$R$207,$U122),매출원본!$BA$8:$BA$1007,"포함",매출원본!$AS$8:$AS$1007,"&gt;="&amp;EDATE(설정!$B$10,1),매출원본!$AS$8:$AS$1007,"&lt;="&amp;EOMONTH(설정!$B$10,1)))</f>
        <v/>
      </c>
      <c r="K122" s="33">
        <f>IF(OR($U122="",2&gt;=설정!$B$12),"",SUMIFS(매출원본!$AT$8:$AT$1007,매출원본!$AX$8:$AX$1007,INDEX($R$8:$R$207,$U122),매출원본!$BA$8:$BA$1007,"포함",매출원본!$AS$8:$AS$1007,"&gt;="&amp;EDATE(설정!$B$10,2),매출원본!$AS$8:$AS$1007,"&lt;="&amp;EOMONTH(설정!$B$10,2)))</f>
        <v/>
      </c>
      <c r="L122" s="33">
        <f>IF(OR($U122="",3&gt;=설정!$B$12),"",SUMIFS(매출원본!$AT$8:$AT$1007,매출원본!$AX$8:$AX$1007,INDEX($R$8:$R$207,$U122),매출원본!$BA$8:$BA$1007,"포함",매출원본!$AS$8:$AS$1007,"&gt;="&amp;EDATE(설정!$B$10,3),매출원본!$AS$8:$AS$1007,"&lt;="&amp;EOMONTH(설정!$B$10,3)))</f>
        <v/>
      </c>
      <c r="M122" s="33">
        <f>IF(OR($U122="",4&gt;=설정!$B$12),"",SUMIFS(매출원본!$AT$8:$AT$1007,매출원본!$AX$8:$AX$1007,INDEX($R$8:$R$207,$U122),매출원본!$BA$8:$BA$1007,"포함",매출원본!$AS$8:$AS$1007,"&gt;="&amp;EDATE(설정!$B$10,4),매출원본!$AS$8:$AS$1007,"&lt;="&amp;EOMONTH(설정!$B$10,4)))</f>
        <v/>
      </c>
      <c r="N122" s="33">
        <f>IF(OR($U122="",5&gt;=설정!$B$12),"",SUMIFS(매출원본!$AT$8:$AT$1007,매출원본!$AX$8:$AX$1007,INDEX($R$8:$R$207,$U122),매출원본!$BA$8:$BA$1007,"포함",매출원본!$AS$8:$AS$1007,"&gt;="&amp;EDATE(설정!$B$10,5),매출원본!$AS$8:$AS$1007,"&lt;="&amp;EOMONTH(설정!$B$10,5)))</f>
        <v/>
      </c>
      <c r="Q122" s="35" t="n">
        <v>115</v>
      </c>
      <c r="R122" s="35">
        <f>IFERROR(INDEX(매출원본!$AX$8:$AX$1007,MATCH($Q122,매출원본!$BD$8:$BD$1007,0)),"")</f>
        <v/>
      </c>
      <c r="S122" s="35">
        <f>IF($R122="","",SUMIFS(매출원본!$AT$8:$AT$1007,매출원본!$AX$8:$AX$1007,$R122,매출원본!$BA$8:$BA$1007,"포함"))</f>
        <v/>
      </c>
      <c r="T122" s="35">
        <f>IF($R122="","",$S122-$Q122/100000)</f>
        <v/>
      </c>
      <c r="U122" s="35">
        <f>IFERROR(MATCH(LARGE($T$8:$T$207,115),$T$8:$T$207,0),"")</f>
        <v/>
      </c>
    </row>
    <row r="123">
      <c r="A123" s="32">
        <f>IF($U123="","",116)</f>
        <v/>
      </c>
      <c r="B123" s="10">
        <f>IF($U123="","",IFERROR(INDEX(매출원본!$AZ$8:$AZ$1007,MATCH($U123,매출원본!$BD$8:$BD$1007,0)),""))</f>
        <v/>
      </c>
      <c r="C123" s="10">
        <f>IF($U123="","",IFERROR(INDEX(매출원본!$AY$8:$AY$1007,MATCH($U123,매출원본!$BD$8:$BD$1007,0)),""))</f>
        <v/>
      </c>
      <c r="D123" s="33">
        <f>IF($U123="","",COUNTIFS(매출원본!$AX$8:$AX$1007,INDEX($R$8:$R$207,$U123),매출원본!$BA$8:$BA$1007,"포함"))</f>
        <v/>
      </c>
      <c r="E123" s="33">
        <f>IF($U123="","",SUMIFS(매출원본!$AT$8:$AT$1007,매출원본!$AX$8:$AX$1007,INDEX($R$8:$R$207,$U123),매출원본!$BA$8:$BA$1007,"포함"))</f>
        <v/>
      </c>
      <c r="F123" s="33">
        <f>IF($U123="","",SUMIFS(매출원본!$AU$8:$AU$1007,매출원본!$AX$8:$AX$1007,INDEX($R$8:$R$207,$U123),매출원본!$BA$8:$BA$1007,"포함"))</f>
        <v/>
      </c>
      <c r="G123" s="33">
        <f>IF($U123="","",SUMIFS(매출원본!$AV$8:$AV$1007,매출원본!$AX$8:$AX$1007,INDEX($R$8:$R$207,$U123),매출원본!$BA$8:$BA$1007,"포함"))</f>
        <v/>
      </c>
      <c r="H123" s="34">
        <f>IF(OR($U123="",$E$7=0),"",E123/$E$7)</f>
        <v/>
      </c>
      <c r="I123" s="33">
        <f>IF(OR($U123="",0&gt;=설정!$B$12),"",SUMIFS(매출원본!$AT$8:$AT$1007,매출원본!$AX$8:$AX$1007,INDEX($R$8:$R$207,$U123),매출원본!$BA$8:$BA$1007,"포함",매출원본!$AS$8:$AS$1007,"&gt;="&amp;EDATE(설정!$B$10,0),매출원본!$AS$8:$AS$1007,"&lt;="&amp;EOMONTH(설정!$B$10,0)))</f>
        <v/>
      </c>
      <c r="J123" s="33">
        <f>IF(OR($U123="",1&gt;=설정!$B$12),"",SUMIFS(매출원본!$AT$8:$AT$1007,매출원본!$AX$8:$AX$1007,INDEX($R$8:$R$207,$U123),매출원본!$BA$8:$BA$1007,"포함",매출원본!$AS$8:$AS$1007,"&gt;="&amp;EDATE(설정!$B$10,1),매출원본!$AS$8:$AS$1007,"&lt;="&amp;EOMONTH(설정!$B$10,1)))</f>
        <v/>
      </c>
      <c r="K123" s="33">
        <f>IF(OR($U123="",2&gt;=설정!$B$12),"",SUMIFS(매출원본!$AT$8:$AT$1007,매출원본!$AX$8:$AX$1007,INDEX($R$8:$R$207,$U123),매출원본!$BA$8:$BA$1007,"포함",매출원본!$AS$8:$AS$1007,"&gt;="&amp;EDATE(설정!$B$10,2),매출원본!$AS$8:$AS$1007,"&lt;="&amp;EOMONTH(설정!$B$10,2)))</f>
        <v/>
      </c>
      <c r="L123" s="33">
        <f>IF(OR($U123="",3&gt;=설정!$B$12),"",SUMIFS(매출원본!$AT$8:$AT$1007,매출원본!$AX$8:$AX$1007,INDEX($R$8:$R$207,$U123),매출원본!$BA$8:$BA$1007,"포함",매출원본!$AS$8:$AS$1007,"&gt;="&amp;EDATE(설정!$B$10,3),매출원본!$AS$8:$AS$1007,"&lt;="&amp;EOMONTH(설정!$B$10,3)))</f>
        <v/>
      </c>
      <c r="M123" s="33">
        <f>IF(OR($U123="",4&gt;=설정!$B$12),"",SUMIFS(매출원본!$AT$8:$AT$1007,매출원본!$AX$8:$AX$1007,INDEX($R$8:$R$207,$U123),매출원본!$BA$8:$BA$1007,"포함",매출원본!$AS$8:$AS$1007,"&gt;="&amp;EDATE(설정!$B$10,4),매출원본!$AS$8:$AS$1007,"&lt;="&amp;EOMONTH(설정!$B$10,4)))</f>
        <v/>
      </c>
      <c r="N123" s="33">
        <f>IF(OR($U123="",5&gt;=설정!$B$12),"",SUMIFS(매출원본!$AT$8:$AT$1007,매출원본!$AX$8:$AX$1007,INDEX($R$8:$R$207,$U123),매출원본!$BA$8:$BA$1007,"포함",매출원본!$AS$8:$AS$1007,"&gt;="&amp;EDATE(설정!$B$10,5),매출원본!$AS$8:$AS$1007,"&lt;="&amp;EOMONTH(설정!$B$10,5)))</f>
        <v/>
      </c>
      <c r="Q123" s="35" t="n">
        <v>116</v>
      </c>
      <c r="R123" s="35">
        <f>IFERROR(INDEX(매출원본!$AX$8:$AX$1007,MATCH($Q123,매출원본!$BD$8:$BD$1007,0)),"")</f>
        <v/>
      </c>
      <c r="S123" s="35">
        <f>IF($R123="","",SUMIFS(매출원본!$AT$8:$AT$1007,매출원본!$AX$8:$AX$1007,$R123,매출원본!$BA$8:$BA$1007,"포함"))</f>
        <v/>
      </c>
      <c r="T123" s="35">
        <f>IF($R123="","",$S123-$Q123/100000)</f>
        <v/>
      </c>
      <c r="U123" s="35">
        <f>IFERROR(MATCH(LARGE($T$8:$T$207,116),$T$8:$T$207,0),"")</f>
        <v/>
      </c>
    </row>
    <row r="124">
      <c r="A124" s="32">
        <f>IF($U124="","",117)</f>
        <v/>
      </c>
      <c r="B124" s="10">
        <f>IF($U124="","",IFERROR(INDEX(매출원본!$AZ$8:$AZ$1007,MATCH($U124,매출원본!$BD$8:$BD$1007,0)),""))</f>
        <v/>
      </c>
      <c r="C124" s="10">
        <f>IF($U124="","",IFERROR(INDEX(매출원본!$AY$8:$AY$1007,MATCH($U124,매출원본!$BD$8:$BD$1007,0)),""))</f>
        <v/>
      </c>
      <c r="D124" s="33">
        <f>IF($U124="","",COUNTIFS(매출원본!$AX$8:$AX$1007,INDEX($R$8:$R$207,$U124),매출원본!$BA$8:$BA$1007,"포함"))</f>
        <v/>
      </c>
      <c r="E124" s="33">
        <f>IF($U124="","",SUMIFS(매출원본!$AT$8:$AT$1007,매출원본!$AX$8:$AX$1007,INDEX($R$8:$R$207,$U124),매출원본!$BA$8:$BA$1007,"포함"))</f>
        <v/>
      </c>
      <c r="F124" s="33">
        <f>IF($U124="","",SUMIFS(매출원본!$AU$8:$AU$1007,매출원본!$AX$8:$AX$1007,INDEX($R$8:$R$207,$U124),매출원본!$BA$8:$BA$1007,"포함"))</f>
        <v/>
      </c>
      <c r="G124" s="33">
        <f>IF($U124="","",SUMIFS(매출원본!$AV$8:$AV$1007,매출원본!$AX$8:$AX$1007,INDEX($R$8:$R$207,$U124),매출원본!$BA$8:$BA$1007,"포함"))</f>
        <v/>
      </c>
      <c r="H124" s="34">
        <f>IF(OR($U124="",$E$7=0),"",E124/$E$7)</f>
        <v/>
      </c>
      <c r="I124" s="33">
        <f>IF(OR($U124="",0&gt;=설정!$B$12),"",SUMIFS(매출원본!$AT$8:$AT$1007,매출원본!$AX$8:$AX$1007,INDEX($R$8:$R$207,$U124),매출원본!$BA$8:$BA$1007,"포함",매출원본!$AS$8:$AS$1007,"&gt;="&amp;EDATE(설정!$B$10,0),매출원본!$AS$8:$AS$1007,"&lt;="&amp;EOMONTH(설정!$B$10,0)))</f>
        <v/>
      </c>
      <c r="J124" s="33">
        <f>IF(OR($U124="",1&gt;=설정!$B$12),"",SUMIFS(매출원본!$AT$8:$AT$1007,매출원본!$AX$8:$AX$1007,INDEX($R$8:$R$207,$U124),매출원본!$BA$8:$BA$1007,"포함",매출원본!$AS$8:$AS$1007,"&gt;="&amp;EDATE(설정!$B$10,1),매출원본!$AS$8:$AS$1007,"&lt;="&amp;EOMONTH(설정!$B$10,1)))</f>
        <v/>
      </c>
      <c r="K124" s="33">
        <f>IF(OR($U124="",2&gt;=설정!$B$12),"",SUMIFS(매출원본!$AT$8:$AT$1007,매출원본!$AX$8:$AX$1007,INDEX($R$8:$R$207,$U124),매출원본!$BA$8:$BA$1007,"포함",매출원본!$AS$8:$AS$1007,"&gt;="&amp;EDATE(설정!$B$10,2),매출원본!$AS$8:$AS$1007,"&lt;="&amp;EOMONTH(설정!$B$10,2)))</f>
        <v/>
      </c>
      <c r="L124" s="33">
        <f>IF(OR($U124="",3&gt;=설정!$B$12),"",SUMIFS(매출원본!$AT$8:$AT$1007,매출원본!$AX$8:$AX$1007,INDEX($R$8:$R$207,$U124),매출원본!$BA$8:$BA$1007,"포함",매출원본!$AS$8:$AS$1007,"&gt;="&amp;EDATE(설정!$B$10,3),매출원본!$AS$8:$AS$1007,"&lt;="&amp;EOMONTH(설정!$B$10,3)))</f>
        <v/>
      </c>
      <c r="M124" s="33">
        <f>IF(OR($U124="",4&gt;=설정!$B$12),"",SUMIFS(매출원본!$AT$8:$AT$1007,매출원본!$AX$8:$AX$1007,INDEX($R$8:$R$207,$U124),매출원본!$BA$8:$BA$1007,"포함",매출원본!$AS$8:$AS$1007,"&gt;="&amp;EDATE(설정!$B$10,4),매출원본!$AS$8:$AS$1007,"&lt;="&amp;EOMONTH(설정!$B$10,4)))</f>
        <v/>
      </c>
      <c r="N124" s="33">
        <f>IF(OR($U124="",5&gt;=설정!$B$12),"",SUMIFS(매출원본!$AT$8:$AT$1007,매출원본!$AX$8:$AX$1007,INDEX($R$8:$R$207,$U124),매출원본!$BA$8:$BA$1007,"포함",매출원본!$AS$8:$AS$1007,"&gt;="&amp;EDATE(설정!$B$10,5),매출원본!$AS$8:$AS$1007,"&lt;="&amp;EOMONTH(설정!$B$10,5)))</f>
        <v/>
      </c>
      <c r="Q124" s="35" t="n">
        <v>117</v>
      </c>
      <c r="R124" s="35">
        <f>IFERROR(INDEX(매출원본!$AX$8:$AX$1007,MATCH($Q124,매출원본!$BD$8:$BD$1007,0)),"")</f>
        <v/>
      </c>
      <c r="S124" s="35">
        <f>IF($R124="","",SUMIFS(매출원본!$AT$8:$AT$1007,매출원본!$AX$8:$AX$1007,$R124,매출원본!$BA$8:$BA$1007,"포함"))</f>
        <v/>
      </c>
      <c r="T124" s="35">
        <f>IF($R124="","",$S124-$Q124/100000)</f>
        <v/>
      </c>
      <c r="U124" s="35">
        <f>IFERROR(MATCH(LARGE($T$8:$T$207,117),$T$8:$T$207,0),"")</f>
        <v/>
      </c>
    </row>
    <row r="125">
      <c r="A125" s="32">
        <f>IF($U125="","",118)</f>
        <v/>
      </c>
      <c r="B125" s="10">
        <f>IF($U125="","",IFERROR(INDEX(매출원본!$AZ$8:$AZ$1007,MATCH($U125,매출원본!$BD$8:$BD$1007,0)),""))</f>
        <v/>
      </c>
      <c r="C125" s="10">
        <f>IF($U125="","",IFERROR(INDEX(매출원본!$AY$8:$AY$1007,MATCH($U125,매출원본!$BD$8:$BD$1007,0)),""))</f>
        <v/>
      </c>
      <c r="D125" s="33">
        <f>IF($U125="","",COUNTIFS(매출원본!$AX$8:$AX$1007,INDEX($R$8:$R$207,$U125),매출원본!$BA$8:$BA$1007,"포함"))</f>
        <v/>
      </c>
      <c r="E125" s="33">
        <f>IF($U125="","",SUMIFS(매출원본!$AT$8:$AT$1007,매출원본!$AX$8:$AX$1007,INDEX($R$8:$R$207,$U125),매출원본!$BA$8:$BA$1007,"포함"))</f>
        <v/>
      </c>
      <c r="F125" s="33">
        <f>IF($U125="","",SUMIFS(매출원본!$AU$8:$AU$1007,매출원본!$AX$8:$AX$1007,INDEX($R$8:$R$207,$U125),매출원본!$BA$8:$BA$1007,"포함"))</f>
        <v/>
      </c>
      <c r="G125" s="33">
        <f>IF($U125="","",SUMIFS(매출원본!$AV$8:$AV$1007,매출원본!$AX$8:$AX$1007,INDEX($R$8:$R$207,$U125),매출원본!$BA$8:$BA$1007,"포함"))</f>
        <v/>
      </c>
      <c r="H125" s="34">
        <f>IF(OR($U125="",$E$7=0),"",E125/$E$7)</f>
        <v/>
      </c>
      <c r="I125" s="33">
        <f>IF(OR($U125="",0&gt;=설정!$B$12),"",SUMIFS(매출원본!$AT$8:$AT$1007,매출원본!$AX$8:$AX$1007,INDEX($R$8:$R$207,$U125),매출원본!$BA$8:$BA$1007,"포함",매출원본!$AS$8:$AS$1007,"&gt;="&amp;EDATE(설정!$B$10,0),매출원본!$AS$8:$AS$1007,"&lt;="&amp;EOMONTH(설정!$B$10,0)))</f>
        <v/>
      </c>
      <c r="J125" s="33">
        <f>IF(OR($U125="",1&gt;=설정!$B$12),"",SUMIFS(매출원본!$AT$8:$AT$1007,매출원본!$AX$8:$AX$1007,INDEX($R$8:$R$207,$U125),매출원본!$BA$8:$BA$1007,"포함",매출원본!$AS$8:$AS$1007,"&gt;="&amp;EDATE(설정!$B$10,1),매출원본!$AS$8:$AS$1007,"&lt;="&amp;EOMONTH(설정!$B$10,1)))</f>
        <v/>
      </c>
      <c r="K125" s="33">
        <f>IF(OR($U125="",2&gt;=설정!$B$12),"",SUMIFS(매출원본!$AT$8:$AT$1007,매출원본!$AX$8:$AX$1007,INDEX($R$8:$R$207,$U125),매출원본!$BA$8:$BA$1007,"포함",매출원본!$AS$8:$AS$1007,"&gt;="&amp;EDATE(설정!$B$10,2),매출원본!$AS$8:$AS$1007,"&lt;="&amp;EOMONTH(설정!$B$10,2)))</f>
        <v/>
      </c>
      <c r="L125" s="33">
        <f>IF(OR($U125="",3&gt;=설정!$B$12),"",SUMIFS(매출원본!$AT$8:$AT$1007,매출원본!$AX$8:$AX$1007,INDEX($R$8:$R$207,$U125),매출원본!$BA$8:$BA$1007,"포함",매출원본!$AS$8:$AS$1007,"&gt;="&amp;EDATE(설정!$B$10,3),매출원본!$AS$8:$AS$1007,"&lt;="&amp;EOMONTH(설정!$B$10,3)))</f>
        <v/>
      </c>
      <c r="M125" s="33">
        <f>IF(OR($U125="",4&gt;=설정!$B$12),"",SUMIFS(매출원본!$AT$8:$AT$1007,매출원본!$AX$8:$AX$1007,INDEX($R$8:$R$207,$U125),매출원본!$BA$8:$BA$1007,"포함",매출원본!$AS$8:$AS$1007,"&gt;="&amp;EDATE(설정!$B$10,4),매출원본!$AS$8:$AS$1007,"&lt;="&amp;EOMONTH(설정!$B$10,4)))</f>
        <v/>
      </c>
      <c r="N125" s="33">
        <f>IF(OR($U125="",5&gt;=설정!$B$12),"",SUMIFS(매출원본!$AT$8:$AT$1007,매출원본!$AX$8:$AX$1007,INDEX($R$8:$R$207,$U125),매출원본!$BA$8:$BA$1007,"포함",매출원본!$AS$8:$AS$1007,"&gt;="&amp;EDATE(설정!$B$10,5),매출원본!$AS$8:$AS$1007,"&lt;="&amp;EOMONTH(설정!$B$10,5)))</f>
        <v/>
      </c>
      <c r="Q125" s="35" t="n">
        <v>118</v>
      </c>
      <c r="R125" s="35">
        <f>IFERROR(INDEX(매출원본!$AX$8:$AX$1007,MATCH($Q125,매출원본!$BD$8:$BD$1007,0)),"")</f>
        <v/>
      </c>
      <c r="S125" s="35">
        <f>IF($R125="","",SUMIFS(매출원본!$AT$8:$AT$1007,매출원본!$AX$8:$AX$1007,$R125,매출원본!$BA$8:$BA$1007,"포함"))</f>
        <v/>
      </c>
      <c r="T125" s="35">
        <f>IF($R125="","",$S125-$Q125/100000)</f>
        <v/>
      </c>
      <c r="U125" s="35">
        <f>IFERROR(MATCH(LARGE($T$8:$T$207,118),$T$8:$T$207,0),"")</f>
        <v/>
      </c>
    </row>
    <row r="126">
      <c r="A126" s="32">
        <f>IF($U126="","",119)</f>
        <v/>
      </c>
      <c r="B126" s="10">
        <f>IF($U126="","",IFERROR(INDEX(매출원본!$AZ$8:$AZ$1007,MATCH($U126,매출원본!$BD$8:$BD$1007,0)),""))</f>
        <v/>
      </c>
      <c r="C126" s="10">
        <f>IF($U126="","",IFERROR(INDEX(매출원본!$AY$8:$AY$1007,MATCH($U126,매출원본!$BD$8:$BD$1007,0)),""))</f>
        <v/>
      </c>
      <c r="D126" s="33">
        <f>IF($U126="","",COUNTIFS(매출원본!$AX$8:$AX$1007,INDEX($R$8:$R$207,$U126),매출원본!$BA$8:$BA$1007,"포함"))</f>
        <v/>
      </c>
      <c r="E126" s="33">
        <f>IF($U126="","",SUMIFS(매출원본!$AT$8:$AT$1007,매출원본!$AX$8:$AX$1007,INDEX($R$8:$R$207,$U126),매출원본!$BA$8:$BA$1007,"포함"))</f>
        <v/>
      </c>
      <c r="F126" s="33">
        <f>IF($U126="","",SUMIFS(매출원본!$AU$8:$AU$1007,매출원본!$AX$8:$AX$1007,INDEX($R$8:$R$207,$U126),매출원본!$BA$8:$BA$1007,"포함"))</f>
        <v/>
      </c>
      <c r="G126" s="33">
        <f>IF($U126="","",SUMIFS(매출원본!$AV$8:$AV$1007,매출원본!$AX$8:$AX$1007,INDEX($R$8:$R$207,$U126),매출원본!$BA$8:$BA$1007,"포함"))</f>
        <v/>
      </c>
      <c r="H126" s="34">
        <f>IF(OR($U126="",$E$7=0),"",E126/$E$7)</f>
        <v/>
      </c>
      <c r="I126" s="33">
        <f>IF(OR($U126="",0&gt;=설정!$B$12),"",SUMIFS(매출원본!$AT$8:$AT$1007,매출원본!$AX$8:$AX$1007,INDEX($R$8:$R$207,$U126),매출원본!$BA$8:$BA$1007,"포함",매출원본!$AS$8:$AS$1007,"&gt;="&amp;EDATE(설정!$B$10,0),매출원본!$AS$8:$AS$1007,"&lt;="&amp;EOMONTH(설정!$B$10,0)))</f>
        <v/>
      </c>
      <c r="J126" s="33">
        <f>IF(OR($U126="",1&gt;=설정!$B$12),"",SUMIFS(매출원본!$AT$8:$AT$1007,매출원본!$AX$8:$AX$1007,INDEX($R$8:$R$207,$U126),매출원본!$BA$8:$BA$1007,"포함",매출원본!$AS$8:$AS$1007,"&gt;="&amp;EDATE(설정!$B$10,1),매출원본!$AS$8:$AS$1007,"&lt;="&amp;EOMONTH(설정!$B$10,1)))</f>
        <v/>
      </c>
      <c r="K126" s="33">
        <f>IF(OR($U126="",2&gt;=설정!$B$12),"",SUMIFS(매출원본!$AT$8:$AT$1007,매출원본!$AX$8:$AX$1007,INDEX($R$8:$R$207,$U126),매출원본!$BA$8:$BA$1007,"포함",매출원본!$AS$8:$AS$1007,"&gt;="&amp;EDATE(설정!$B$10,2),매출원본!$AS$8:$AS$1007,"&lt;="&amp;EOMONTH(설정!$B$10,2)))</f>
        <v/>
      </c>
      <c r="L126" s="33">
        <f>IF(OR($U126="",3&gt;=설정!$B$12),"",SUMIFS(매출원본!$AT$8:$AT$1007,매출원본!$AX$8:$AX$1007,INDEX($R$8:$R$207,$U126),매출원본!$BA$8:$BA$1007,"포함",매출원본!$AS$8:$AS$1007,"&gt;="&amp;EDATE(설정!$B$10,3),매출원본!$AS$8:$AS$1007,"&lt;="&amp;EOMONTH(설정!$B$10,3)))</f>
        <v/>
      </c>
      <c r="M126" s="33">
        <f>IF(OR($U126="",4&gt;=설정!$B$12),"",SUMIFS(매출원본!$AT$8:$AT$1007,매출원본!$AX$8:$AX$1007,INDEX($R$8:$R$207,$U126),매출원본!$BA$8:$BA$1007,"포함",매출원본!$AS$8:$AS$1007,"&gt;="&amp;EDATE(설정!$B$10,4),매출원본!$AS$8:$AS$1007,"&lt;="&amp;EOMONTH(설정!$B$10,4)))</f>
        <v/>
      </c>
      <c r="N126" s="33">
        <f>IF(OR($U126="",5&gt;=설정!$B$12),"",SUMIFS(매출원본!$AT$8:$AT$1007,매출원본!$AX$8:$AX$1007,INDEX($R$8:$R$207,$U126),매출원본!$BA$8:$BA$1007,"포함",매출원본!$AS$8:$AS$1007,"&gt;="&amp;EDATE(설정!$B$10,5),매출원본!$AS$8:$AS$1007,"&lt;="&amp;EOMONTH(설정!$B$10,5)))</f>
        <v/>
      </c>
      <c r="Q126" s="35" t="n">
        <v>119</v>
      </c>
      <c r="R126" s="35">
        <f>IFERROR(INDEX(매출원본!$AX$8:$AX$1007,MATCH($Q126,매출원본!$BD$8:$BD$1007,0)),"")</f>
        <v/>
      </c>
      <c r="S126" s="35">
        <f>IF($R126="","",SUMIFS(매출원본!$AT$8:$AT$1007,매출원본!$AX$8:$AX$1007,$R126,매출원본!$BA$8:$BA$1007,"포함"))</f>
        <v/>
      </c>
      <c r="T126" s="35">
        <f>IF($R126="","",$S126-$Q126/100000)</f>
        <v/>
      </c>
      <c r="U126" s="35">
        <f>IFERROR(MATCH(LARGE($T$8:$T$207,119),$T$8:$T$207,0),"")</f>
        <v/>
      </c>
    </row>
    <row r="127">
      <c r="A127" s="32">
        <f>IF($U127="","",120)</f>
        <v/>
      </c>
      <c r="B127" s="10">
        <f>IF($U127="","",IFERROR(INDEX(매출원본!$AZ$8:$AZ$1007,MATCH($U127,매출원본!$BD$8:$BD$1007,0)),""))</f>
        <v/>
      </c>
      <c r="C127" s="10">
        <f>IF($U127="","",IFERROR(INDEX(매출원본!$AY$8:$AY$1007,MATCH($U127,매출원본!$BD$8:$BD$1007,0)),""))</f>
        <v/>
      </c>
      <c r="D127" s="33">
        <f>IF($U127="","",COUNTIFS(매출원본!$AX$8:$AX$1007,INDEX($R$8:$R$207,$U127),매출원본!$BA$8:$BA$1007,"포함"))</f>
        <v/>
      </c>
      <c r="E127" s="33">
        <f>IF($U127="","",SUMIFS(매출원본!$AT$8:$AT$1007,매출원본!$AX$8:$AX$1007,INDEX($R$8:$R$207,$U127),매출원본!$BA$8:$BA$1007,"포함"))</f>
        <v/>
      </c>
      <c r="F127" s="33">
        <f>IF($U127="","",SUMIFS(매출원본!$AU$8:$AU$1007,매출원본!$AX$8:$AX$1007,INDEX($R$8:$R$207,$U127),매출원본!$BA$8:$BA$1007,"포함"))</f>
        <v/>
      </c>
      <c r="G127" s="33">
        <f>IF($U127="","",SUMIFS(매출원본!$AV$8:$AV$1007,매출원본!$AX$8:$AX$1007,INDEX($R$8:$R$207,$U127),매출원본!$BA$8:$BA$1007,"포함"))</f>
        <v/>
      </c>
      <c r="H127" s="34">
        <f>IF(OR($U127="",$E$7=0),"",E127/$E$7)</f>
        <v/>
      </c>
      <c r="I127" s="33">
        <f>IF(OR($U127="",0&gt;=설정!$B$12),"",SUMIFS(매출원본!$AT$8:$AT$1007,매출원본!$AX$8:$AX$1007,INDEX($R$8:$R$207,$U127),매출원본!$BA$8:$BA$1007,"포함",매출원본!$AS$8:$AS$1007,"&gt;="&amp;EDATE(설정!$B$10,0),매출원본!$AS$8:$AS$1007,"&lt;="&amp;EOMONTH(설정!$B$10,0)))</f>
        <v/>
      </c>
      <c r="J127" s="33">
        <f>IF(OR($U127="",1&gt;=설정!$B$12),"",SUMIFS(매출원본!$AT$8:$AT$1007,매출원본!$AX$8:$AX$1007,INDEX($R$8:$R$207,$U127),매출원본!$BA$8:$BA$1007,"포함",매출원본!$AS$8:$AS$1007,"&gt;="&amp;EDATE(설정!$B$10,1),매출원본!$AS$8:$AS$1007,"&lt;="&amp;EOMONTH(설정!$B$10,1)))</f>
        <v/>
      </c>
      <c r="K127" s="33">
        <f>IF(OR($U127="",2&gt;=설정!$B$12),"",SUMIFS(매출원본!$AT$8:$AT$1007,매출원본!$AX$8:$AX$1007,INDEX($R$8:$R$207,$U127),매출원본!$BA$8:$BA$1007,"포함",매출원본!$AS$8:$AS$1007,"&gt;="&amp;EDATE(설정!$B$10,2),매출원본!$AS$8:$AS$1007,"&lt;="&amp;EOMONTH(설정!$B$10,2)))</f>
        <v/>
      </c>
      <c r="L127" s="33">
        <f>IF(OR($U127="",3&gt;=설정!$B$12),"",SUMIFS(매출원본!$AT$8:$AT$1007,매출원본!$AX$8:$AX$1007,INDEX($R$8:$R$207,$U127),매출원본!$BA$8:$BA$1007,"포함",매출원본!$AS$8:$AS$1007,"&gt;="&amp;EDATE(설정!$B$10,3),매출원본!$AS$8:$AS$1007,"&lt;="&amp;EOMONTH(설정!$B$10,3)))</f>
        <v/>
      </c>
      <c r="M127" s="33">
        <f>IF(OR($U127="",4&gt;=설정!$B$12),"",SUMIFS(매출원본!$AT$8:$AT$1007,매출원본!$AX$8:$AX$1007,INDEX($R$8:$R$207,$U127),매출원본!$BA$8:$BA$1007,"포함",매출원본!$AS$8:$AS$1007,"&gt;="&amp;EDATE(설정!$B$10,4),매출원본!$AS$8:$AS$1007,"&lt;="&amp;EOMONTH(설정!$B$10,4)))</f>
        <v/>
      </c>
      <c r="N127" s="33">
        <f>IF(OR($U127="",5&gt;=설정!$B$12),"",SUMIFS(매출원본!$AT$8:$AT$1007,매출원본!$AX$8:$AX$1007,INDEX($R$8:$R$207,$U127),매출원본!$BA$8:$BA$1007,"포함",매출원본!$AS$8:$AS$1007,"&gt;="&amp;EDATE(설정!$B$10,5),매출원본!$AS$8:$AS$1007,"&lt;="&amp;EOMONTH(설정!$B$10,5)))</f>
        <v/>
      </c>
      <c r="Q127" s="35" t="n">
        <v>120</v>
      </c>
      <c r="R127" s="35">
        <f>IFERROR(INDEX(매출원본!$AX$8:$AX$1007,MATCH($Q127,매출원본!$BD$8:$BD$1007,0)),"")</f>
        <v/>
      </c>
      <c r="S127" s="35">
        <f>IF($R127="","",SUMIFS(매출원본!$AT$8:$AT$1007,매출원본!$AX$8:$AX$1007,$R127,매출원본!$BA$8:$BA$1007,"포함"))</f>
        <v/>
      </c>
      <c r="T127" s="35">
        <f>IF($R127="","",$S127-$Q127/100000)</f>
        <v/>
      </c>
      <c r="U127" s="35">
        <f>IFERROR(MATCH(LARGE($T$8:$T$207,120),$T$8:$T$207,0),"")</f>
        <v/>
      </c>
    </row>
    <row r="128">
      <c r="A128" s="32">
        <f>IF($U128="","",121)</f>
        <v/>
      </c>
      <c r="B128" s="10">
        <f>IF($U128="","",IFERROR(INDEX(매출원본!$AZ$8:$AZ$1007,MATCH($U128,매출원본!$BD$8:$BD$1007,0)),""))</f>
        <v/>
      </c>
      <c r="C128" s="10">
        <f>IF($U128="","",IFERROR(INDEX(매출원본!$AY$8:$AY$1007,MATCH($U128,매출원본!$BD$8:$BD$1007,0)),""))</f>
        <v/>
      </c>
      <c r="D128" s="33">
        <f>IF($U128="","",COUNTIFS(매출원본!$AX$8:$AX$1007,INDEX($R$8:$R$207,$U128),매출원본!$BA$8:$BA$1007,"포함"))</f>
        <v/>
      </c>
      <c r="E128" s="33">
        <f>IF($U128="","",SUMIFS(매출원본!$AT$8:$AT$1007,매출원본!$AX$8:$AX$1007,INDEX($R$8:$R$207,$U128),매출원본!$BA$8:$BA$1007,"포함"))</f>
        <v/>
      </c>
      <c r="F128" s="33">
        <f>IF($U128="","",SUMIFS(매출원본!$AU$8:$AU$1007,매출원본!$AX$8:$AX$1007,INDEX($R$8:$R$207,$U128),매출원본!$BA$8:$BA$1007,"포함"))</f>
        <v/>
      </c>
      <c r="G128" s="33">
        <f>IF($U128="","",SUMIFS(매출원본!$AV$8:$AV$1007,매출원본!$AX$8:$AX$1007,INDEX($R$8:$R$207,$U128),매출원본!$BA$8:$BA$1007,"포함"))</f>
        <v/>
      </c>
      <c r="H128" s="34">
        <f>IF(OR($U128="",$E$7=0),"",E128/$E$7)</f>
        <v/>
      </c>
      <c r="I128" s="33">
        <f>IF(OR($U128="",0&gt;=설정!$B$12),"",SUMIFS(매출원본!$AT$8:$AT$1007,매출원본!$AX$8:$AX$1007,INDEX($R$8:$R$207,$U128),매출원본!$BA$8:$BA$1007,"포함",매출원본!$AS$8:$AS$1007,"&gt;="&amp;EDATE(설정!$B$10,0),매출원본!$AS$8:$AS$1007,"&lt;="&amp;EOMONTH(설정!$B$10,0)))</f>
        <v/>
      </c>
      <c r="J128" s="33">
        <f>IF(OR($U128="",1&gt;=설정!$B$12),"",SUMIFS(매출원본!$AT$8:$AT$1007,매출원본!$AX$8:$AX$1007,INDEX($R$8:$R$207,$U128),매출원본!$BA$8:$BA$1007,"포함",매출원본!$AS$8:$AS$1007,"&gt;="&amp;EDATE(설정!$B$10,1),매출원본!$AS$8:$AS$1007,"&lt;="&amp;EOMONTH(설정!$B$10,1)))</f>
        <v/>
      </c>
      <c r="K128" s="33">
        <f>IF(OR($U128="",2&gt;=설정!$B$12),"",SUMIFS(매출원본!$AT$8:$AT$1007,매출원본!$AX$8:$AX$1007,INDEX($R$8:$R$207,$U128),매출원본!$BA$8:$BA$1007,"포함",매출원본!$AS$8:$AS$1007,"&gt;="&amp;EDATE(설정!$B$10,2),매출원본!$AS$8:$AS$1007,"&lt;="&amp;EOMONTH(설정!$B$10,2)))</f>
        <v/>
      </c>
      <c r="L128" s="33">
        <f>IF(OR($U128="",3&gt;=설정!$B$12),"",SUMIFS(매출원본!$AT$8:$AT$1007,매출원본!$AX$8:$AX$1007,INDEX($R$8:$R$207,$U128),매출원본!$BA$8:$BA$1007,"포함",매출원본!$AS$8:$AS$1007,"&gt;="&amp;EDATE(설정!$B$10,3),매출원본!$AS$8:$AS$1007,"&lt;="&amp;EOMONTH(설정!$B$10,3)))</f>
        <v/>
      </c>
      <c r="M128" s="33">
        <f>IF(OR($U128="",4&gt;=설정!$B$12),"",SUMIFS(매출원본!$AT$8:$AT$1007,매출원본!$AX$8:$AX$1007,INDEX($R$8:$R$207,$U128),매출원본!$BA$8:$BA$1007,"포함",매출원본!$AS$8:$AS$1007,"&gt;="&amp;EDATE(설정!$B$10,4),매출원본!$AS$8:$AS$1007,"&lt;="&amp;EOMONTH(설정!$B$10,4)))</f>
        <v/>
      </c>
      <c r="N128" s="33">
        <f>IF(OR($U128="",5&gt;=설정!$B$12),"",SUMIFS(매출원본!$AT$8:$AT$1007,매출원본!$AX$8:$AX$1007,INDEX($R$8:$R$207,$U128),매출원본!$BA$8:$BA$1007,"포함",매출원본!$AS$8:$AS$1007,"&gt;="&amp;EDATE(설정!$B$10,5),매출원본!$AS$8:$AS$1007,"&lt;="&amp;EOMONTH(설정!$B$10,5)))</f>
        <v/>
      </c>
      <c r="Q128" s="35" t="n">
        <v>121</v>
      </c>
      <c r="R128" s="35">
        <f>IFERROR(INDEX(매출원본!$AX$8:$AX$1007,MATCH($Q128,매출원본!$BD$8:$BD$1007,0)),"")</f>
        <v/>
      </c>
      <c r="S128" s="35">
        <f>IF($R128="","",SUMIFS(매출원본!$AT$8:$AT$1007,매출원본!$AX$8:$AX$1007,$R128,매출원본!$BA$8:$BA$1007,"포함"))</f>
        <v/>
      </c>
      <c r="T128" s="35">
        <f>IF($R128="","",$S128-$Q128/100000)</f>
        <v/>
      </c>
      <c r="U128" s="35">
        <f>IFERROR(MATCH(LARGE($T$8:$T$207,121),$T$8:$T$207,0),"")</f>
        <v/>
      </c>
    </row>
    <row r="129">
      <c r="A129" s="32">
        <f>IF($U129="","",122)</f>
        <v/>
      </c>
      <c r="B129" s="10">
        <f>IF($U129="","",IFERROR(INDEX(매출원본!$AZ$8:$AZ$1007,MATCH($U129,매출원본!$BD$8:$BD$1007,0)),""))</f>
        <v/>
      </c>
      <c r="C129" s="10">
        <f>IF($U129="","",IFERROR(INDEX(매출원본!$AY$8:$AY$1007,MATCH($U129,매출원본!$BD$8:$BD$1007,0)),""))</f>
        <v/>
      </c>
      <c r="D129" s="33">
        <f>IF($U129="","",COUNTIFS(매출원본!$AX$8:$AX$1007,INDEX($R$8:$R$207,$U129),매출원본!$BA$8:$BA$1007,"포함"))</f>
        <v/>
      </c>
      <c r="E129" s="33">
        <f>IF($U129="","",SUMIFS(매출원본!$AT$8:$AT$1007,매출원본!$AX$8:$AX$1007,INDEX($R$8:$R$207,$U129),매출원본!$BA$8:$BA$1007,"포함"))</f>
        <v/>
      </c>
      <c r="F129" s="33">
        <f>IF($U129="","",SUMIFS(매출원본!$AU$8:$AU$1007,매출원본!$AX$8:$AX$1007,INDEX($R$8:$R$207,$U129),매출원본!$BA$8:$BA$1007,"포함"))</f>
        <v/>
      </c>
      <c r="G129" s="33">
        <f>IF($U129="","",SUMIFS(매출원본!$AV$8:$AV$1007,매출원본!$AX$8:$AX$1007,INDEX($R$8:$R$207,$U129),매출원본!$BA$8:$BA$1007,"포함"))</f>
        <v/>
      </c>
      <c r="H129" s="34">
        <f>IF(OR($U129="",$E$7=0),"",E129/$E$7)</f>
        <v/>
      </c>
      <c r="I129" s="33">
        <f>IF(OR($U129="",0&gt;=설정!$B$12),"",SUMIFS(매출원본!$AT$8:$AT$1007,매출원본!$AX$8:$AX$1007,INDEX($R$8:$R$207,$U129),매출원본!$BA$8:$BA$1007,"포함",매출원본!$AS$8:$AS$1007,"&gt;="&amp;EDATE(설정!$B$10,0),매출원본!$AS$8:$AS$1007,"&lt;="&amp;EOMONTH(설정!$B$10,0)))</f>
        <v/>
      </c>
      <c r="J129" s="33">
        <f>IF(OR($U129="",1&gt;=설정!$B$12),"",SUMIFS(매출원본!$AT$8:$AT$1007,매출원본!$AX$8:$AX$1007,INDEX($R$8:$R$207,$U129),매출원본!$BA$8:$BA$1007,"포함",매출원본!$AS$8:$AS$1007,"&gt;="&amp;EDATE(설정!$B$10,1),매출원본!$AS$8:$AS$1007,"&lt;="&amp;EOMONTH(설정!$B$10,1)))</f>
        <v/>
      </c>
      <c r="K129" s="33">
        <f>IF(OR($U129="",2&gt;=설정!$B$12),"",SUMIFS(매출원본!$AT$8:$AT$1007,매출원본!$AX$8:$AX$1007,INDEX($R$8:$R$207,$U129),매출원본!$BA$8:$BA$1007,"포함",매출원본!$AS$8:$AS$1007,"&gt;="&amp;EDATE(설정!$B$10,2),매출원본!$AS$8:$AS$1007,"&lt;="&amp;EOMONTH(설정!$B$10,2)))</f>
        <v/>
      </c>
      <c r="L129" s="33">
        <f>IF(OR($U129="",3&gt;=설정!$B$12),"",SUMIFS(매출원본!$AT$8:$AT$1007,매출원본!$AX$8:$AX$1007,INDEX($R$8:$R$207,$U129),매출원본!$BA$8:$BA$1007,"포함",매출원본!$AS$8:$AS$1007,"&gt;="&amp;EDATE(설정!$B$10,3),매출원본!$AS$8:$AS$1007,"&lt;="&amp;EOMONTH(설정!$B$10,3)))</f>
        <v/>
      </c>
      <c r="M129" s="33">
        <f>IF(OR($U129="",4&gt;=설정!$B$12),"",SUMIFS(매출원본!$AT$8:$AT$1007,매출원본!$AX$8:$AX$1007,INDEX($R$8:$R$207,$U129),매출원본!$BA$8:$BA$1007,"포함",매출원본!$AS$8:$AS$1007,"&gt;="&amp;EDATE(설정!$B$10,4),매출원본!$AS$8:$AS$1007,"&lt;="&amp;EOMONTH(설정!$B$10,4)))</f>
        <v/>
      </c>
      <c r="N129" s="33">
        <f>IF(OR($U129="",5&gt;=설정!$B$12),"",SUMIFS(매출원본!$AT$8:$AT$1007,매출원본!$AX$8:$AX$1007,INDEX($R$8:$R$207,$U129),매출원본!$BA$8:$BA$1007,"포함",매출원본!$AS$8:$AS$1007,"&gt;="&amp;EDATE(설정!$B$10,5),매출원본!$AS$8:$AS$1007,"&lt;="&amp;EOMONTH(설정!$B$10,5)))</f>
        <v/>
      </c>
      <c r="Q129" s="35" t="n">
        <v>122</v>
      </c>
      <c r="R129" s="35">
        <f>IFERROR(INDEX(매출원본!$AX$8:$AX$1007,MATCH($Q129,매출원본!$BD$8:$BD$1007,0)),"")</f>
        <v/>
      </c>
      <c r="S129" s="35">
        <f>IF($R129="","",SUMIFS(매출원본!$AT$8:$AT$1007,매출원본!$AX$8:$AX$1007,$R129,매출원본!$BA$8:$BA$1007,"포함"))</f>
        <v/>
      </c>
      <c r="T129" s="35">
        <f>IF($R129="","",$S129-$Q129/100000)</f>
        <v/>
      </c>
      <c r="U129" s="35">
        <f>IFERROR(MATCH(LARGE($T$8:$T$207,122),$T$8:$T$207,0),"")</f>
        <v/>
      </c>
    </row>
    <row r="130">
      <c r="A130" s="32">
        <f>IF($U130="","",123)</f>
        <v/>
      </c>
      <c r="B130" s="10">
        <f>IF($U130="","",IFERROR(INDEX(매출원본!$AZ$8:$AZ$1007,MATCH($U130,매출원본!$BD$8:$BD$1007,0)),""))</f>
        <v/>
      </c>
      <c r="C130" s="10">
        <f>IF($U130="","",IFERROR(INDEX(매출원본!$AY$8:$AY$1007,MATCH($U130,매출원본!$BD$8:$BD$1007,0)),""))</f>
        <v/>
      </c>
      <c r="D130" s="33">
        <f>IF($U130="","",COUNTIFS(매출원본!$AX$8:$AX$1007,INDEX($R$8:$R$207,$U130),매출원본!$BA$8:$BA$1007,"포함"))</f>
        <v/>
      </c>
      <c r="E130" s="33">
        <f>IF($U130="","",SUMIFS(매출원본!$AT$8:$AT$1007,매출원본!$AX$8:$AX$1007,INDEX($R$8:$R$207,$U130),매출원본!$BA$8:$BA$1007,"포함"))</f>
        <v/>
      </c>
      <c r="F130" s="33">
        <f>IF($U130="","",SUMIFS(매출원본!$AU$8:$AU$1007,매출원본!$AX$8:$AX$1007,INDEX($R$8:$R$207,$U130),매출원본!$BA$8:$BA$1007,"포함"))</f>
        <v/>
      </c>
      <c r="G130" s="33">
        <f>IF($U130="","",SUMIFS(매출원본!$AV$8:$AV$1007,매출원본!$AX$8:$AX$1007,INDEX($R$8:$R$207,$U130),매출원본!$BA$8:$BA$1007,"포함"))</f>
        <v/>
      </c>
      <c r="H130" s="34">
        <f>IF(OR($U130="",$E$7=0),"",E130/$E$7)</f>
        <v/>
      </c>
      <c r="I130" s="33">
        <f>IF(OR($U130="",0&gt;=설정!$B$12),"",SUMIFS(매출원본!$AT$8:$AT$1007,매출원본!$AX$8:$AX$1007,INDEX($R$8:$R$207,$U130),매출원본!$BA$8:$BA$1007,"포함",매출원본!$AS$8:$AS$1007,"&gt;="&amp;EDATE(설정!$B$10,0),매출원본!$AS$8:$AS$1007,"&lt;="&amp;EOMONTH(설정!$B$10,0)))</f>
        <v/>
      </c>
      <c r="J130" s="33">
        <f>IF(OR($U130="",1&gt;=설정!$B$12),"",SUMIFS(매출원본!$AT$8:$AT$1007,매출원본!$AX$8:$AX$1007,INDEX($R$8:$R$207,$U130),매출원본!$BA$8:$BA$1007,"포함",매출원본!$AS$8:$AS$1007,"&gt;="&amp;EDATE(설정!$B$10,1),매출원본!$AS$8:$AS$1007,"&lt;="&amp;EOMONTH(설정!$B$10,1)))</f>
        <v/>
      </c>
      <c r="K130" s="33">
        <f>IF(OR($U130="",2&gt;=설정!$B$12),"",SUMIFS(매출원본!$AT$8:$AT$1007,매출원본!$AX$8:$AX$1007,INDEX($R$8:$R$207,$U130),매출원본!$BA$8:$BA$1007,"포함",매출원본!$AS$8:$AS$1007,"&gt;="&amp;EDATE(설정!$B$10,2),매출원본!$AS$8:$AS$1007,"&lt;="&amp;EOMONTH(설정!$B$10,2)))</f>
        <v/>
      </c>
      <c r="L130" s="33">
        <f>IF(OR($U130="",3&gt;=설정!$B$12),"",SUMIFS(매출원본!$AT$8:$AT$1007,매출원본!$AX$8:$AX$1007,INDEX($R$8:$R$207,$U130),매출원본!$BA$8:$BA$1007,"포함",매출원본!$AS$8:$AS$1007,"&gt;="&amp;EDATE(설정!$B$10,3),매출원본!$AS$8:$AS$1007,"&lt;="&amp;EOMONTH(설정!$B$10,3)))</f>
        <v/>
      </c>
      <c r="M130" s="33">
        <f>IF(OR($U130="",4&gt;=설정!$B$12),"",SUMIFS(매출원본!$AT$8:$AT$1007,매출원본!$AX$8:$AX$1007,INDEX($R$8:$R$207,$U130),매출원본!$BA$8:$BA$1007,"포함",매출원본!$AS$8:$AS$1007,"&gt;="&amp;EDATE(설정!$B$10,4),매출원본!$AS$8:$AS$1007,"&lt;="&amp;EOMONTH(설정!$B$10,4)))</f>
        <v/>
      </c>
      <c r="N130" s="33">
        <f>IF(OR($U130="",5&gt;=설정!$B$12),"",SUMIFS(매출원본!$AT$8:$AT$1007,매출원본!$AX$8:$AX$1007,INDEX($R$8:$R$207,$U130),매출원본!$BA$8:$BA$1007,"포함",매출원본!$AS$8:$AS$1007,"&gt;="&amp;EDATE(설정!$B$10,5),매출원본!$AS$8:$AS$1007,"&lt;="&amp;EOMONTH(설정!$B$10,5)))</f>
        <v/>
      </c>
      <c r="Q130" s="35" t="n">
        <v>123</v>
      </c>
      <c r="R130" s="35">
        <f>IFERROR(INDEX(매출원본!$AX$8:$AX$1007,MATCH($Q130,매출원본!$BD$8:$BD$1007,0)),"")</f>
        <v/>
      </c>
      <c r="S130" s="35">
        <f>IF($R130="","",SUMIFS(매출원본!$AT$8:$AT$1007,매출원본!$AX$8:$AX$1007,$R130,매출원본!$BA$8:$BA$1007,"포함"))</f>
        <v/>
      </c>
      <c r="T130" s="35">
        <f>IF($R130="","",$S130-$Q130/100000)</f>
        <v/>
      </c>
      <c r="U130" s="35">
        <f>IFERROR(MATCH(LARGE($T$8:$T$207,123),$T$8:$T$207,0),"")</f>
        <v/>
      </c>
    </row>
    <row r="131">
      <c r="A131" s="32">
        <f>IF($U131="","",124)</f>
        <v/>
      </c>
      <c r="B131" s="10">
        <f>IF($U131="","",IFERROR(INDEX(매출원본!$AZ$8:$AZ$1007,MATCH($U131,매출원본!$BD$8:$BD$1007,0)),""))</f>
        <v/>
      </c>
      <c r="C131" s="10">
        <f>IF($U131="","",IFERROR(INDEX(매출원본!$AY$8:$AY$1007,MATCH($U131,매출원본!$BD$8:$BD$1007,0)),""))</f>
        <v/>
      </c>
      <c r="D131" s="33">
        <f>IF($U131="","",COUNTIFS(매출원본!$AX$8:$AX$1007,INDEX($R$8:$R$207,$U131),매출원본!$BA$8:$BA$1007,"포함"))</f>
        <v/>
      </c>
      <c r="E131" s="33">
        <f>IF($U131="","",SUMIFS(매출원본!$AT$8:$AT$1007,매출원본!$AX$8:$AX$1007,INDEX($R$8:$R$207,$U131),매출원본!$BA$8:$BA$1007,"포함"))</f>
        <v/>
      </c>
      <c r="F131" s="33">
        <f>IF($U131="","",SUMIFS(매출원본!$AU$8:$AU$1007,매출원본!$AX$8:$AX$1007,INDEX($R$8:$R$207,$U131),매출원본!$BA$8:$BA$1007,"포함"))</f>
        <v/>
      </c>
      <c r="G131" s="33">
        <f>IF($U131="","",SUMIFS(매출원본!$AV$8:$AV$1007,매출원본!$AX$8:$AX$1007,INDEX($R$8:$R$207,$U131),매출원본!$BA$8:$BA$1007,"포함"))</f>
        <v/>
      </c>
      <c r="H131" s="34">
        <f>IF(OR($U131="",$E$7=0),"",E131/$E$7)</f>
        <v/>
      </c>
      <c r="I131" s="33">
        <f>IF(OR($U131="",0&gt;=설정!$B$12),"",SUMIFS(매출원본!$AT$8:$AT$1007,매출원본!$AX$8:$AX$1007,INDEX($R$8:$R$207,$U131),매출원본!$BA$8:$BA$1007,"포함",매출원본!$AS$8:$AS$1007,"&gt;="&amp;EDATE(설정!$B$10,0),매출원본!$AS$8:$AS$1007,"&lt;="&amp;EOMONTH(설정!$B$10,0)))</f>
        <v/>
      </c>
      <c r="J131" s="33">
        <f>IF(OR($U131="",1&gt;=설정!$B$12),"",SUMIFS(매출원본!$AT$8:$AT$1007,매출원본!$AX$8:$AX$1007,INDEX($R$8:$R$207,$U131),매출원본!$BA$8:$BA$1007,"포함",매출원본!$AS$8:$AS$1007,"&gt;="&amp;EDATE(설정!$B$10,1),매출원본!$AS$8:$AS$1007,"&lt;="&amp;EOMONTH(설정!$B$10,1)))</f>
        <v/>
      </c>
      <c r="K131" s="33">
        <f>IF(OR($U131="",2&gt;=설정!$B$12),"",SUMIFS(매출원본!$AT$8:$AT$1007,매출원본!$AX$8:$AX$1007,INDEX($R$8:$R$207,$U131),매출원본!$BA$8:$BA$1007,"포함",매출원본!$AS$8:$AS$1007,"&gt;="&amp;EDATE(설정!$B$10,2),매출원본!$AS$8:$AS$1007,"&lt;="&amp;EOMONTH(설정!$B$10,2)))</f>
        <v/>
      </c>
      <c r="L131" s="33">
        <f>IF(OR($U131="",3&gt;=설정!$B$12),"",SUMIFS(매출원본!$AT$8:$AT$1007,매출원본!$AX$8:$AX$1007,INDEX($R$8:$R$207,$U131),매출원본!$BA$8:$BA$1007,"포함",매출원본!$AS$8:$AS$1007,"&gt;="&amp;EDATE(설정!$B$10,3),매출원본!$AS$8:$AS$1007,"&lt;="&amp;EOMONTH(설정!$B$10,3)))</f>
        <v/>
      </c>
      <c r="M131" s="33">
        <f>IF(OR($U131="",4&gt;=설정!$B$12),"",SUMIFS(매출원본!$AT$8:$AT$1007,매출원본!$AX$8:$AX$1007,INDEX($R$8:$R$207,$U131),매출원본!$BA$8:$BA$1007,"포함",매출원본!$AS$8:$AS$1007,"&gt;="&amp;EDATE(설정!$B$10,4),매출원본!$AS$8:$AS$1007,"&lt;="&amp;EOMONTH(설정!$B$10,4)))</f>
        <v/>
      </c>
      <c r="N131" s="33">
        <f>IF(OR($U131="",5&gt;=설정!$B$12),"",SUMIFS(매출원본!$AT$8:$AT$1007,매출원본!$AX$8:$AX$1007,INDEX($R$8:$R$207,$U131),매출원본!$BA$8:$BA$1007,"포함",매출원본!$AS$8:$AS$1007,"&gt;="&amp;EDATE(설정!$B$10,5),매출원본!$AS$8:$AS$1007,"&lt;="&amp;EOMONTH(설정!$B$10,5)))</f>
        <v/>
      </c>
      <c r="Q131" s="35" t="n">
        <v>124</v>
      </c>
      <c r="R131" s="35">
        <f>IFERROR(INDEX(매출원본!$AX$8:$AX$1007,MATCH($Q131,매출원본!$BD$8:$BD$1007,0)),"")</f>
        <v/>
      </c>
      <c r="S131" s="35">
        <f>IF($R131="","",SUMIFS(매출원본!$AT$8:$AT$1007,매출원본!$AX$8:$AX$1007,$R131,매출원본!$BA$8:$BA$1007,"포함"))</f>
        <v/>
      </c>
      <c r="T131" s="35">
        <f>IF($R131="","",$S131-$Q131/100000)</f>
        <v/>
      </c>
      <c r="U131" s="35">
        <f>IFERROR(MATCH(LARGE($T$8:$T$207,124),$T$8:$T$207,0),"")</f>
        <v/>
      </c>
    </row>
    <row r="132">
      <c r="A132" s="32">
        <f>IF($U132="","",125)</f>
        <v/>
      </c>
      <c r="B132" s="10">
        <f>IF($U132="","",IFERROR(INDEX(매출원본!$AZ$8:$AZ$1007,MATCH($U132,매출원본!$BD$8:$BD$1007,0)),""))</f>
        <v/>
      </c>
      <c r="C132" s="10">
        <f>IF($U132="","",IFERROR(INDEX(매출원본!$AY$8:$AY$1007,MATCH($U132,매출원본!$BD$8:$BD$1007,0)),""))</f>
        <v/>
      </c>
      <c r="D132" s="33">
        <f>IF($U132="","",COUNTIFS(매출원본!$AX$8:$AX$1007,INDEX($R$8:$R$207,$U132),매출원본!$BA$8:$BA$1007,"포함"))</f>
        <v/>
      </c>
      <c r="E132" s="33">
        <f>IF($U132="","",SUMIFS(매출원본!$AT$8:$AT$1007,매출원본!$AX$8:$AX$1007,INDEX($R$8:$R$207,$U132),매출원본!$BA$8:$BA$1007,"포함"))</f>
        <v/>
      </c>
      <c r="F132" s="33">
        <f>IF($U132="","",SUMIFS(매출원본!$AU$8:$AU$1007,매출원본!$AX$8:$AX$1007,INDEX($R$8:$R$207,$U132),매출원본!$BA$8:$BA$1007,"포함"))</f>
        <v/>
      </c>
      <c r="G132" s="33">
        <f>IF($U132="","",SUMIFS(매출원본!$AV$8:$AV$1007,매출원본!$AX$8:$AX$1007,INDEX($R$8:$R$207,$U132),매출원본!$BA$8:$BA$1007,"포함"))</f>
        <v/>
      </c>
      <c r="H132" s="34">
        <f>IF(OR($U132="",$E$7=0),"",E132/$E$7)</f>
        <v/>
      </c>
      <c r="I132" s="33">
        <f>IF(OR($U132="",0&gt;=설정!$B$12),"",SUMIFS(매출원본!$AT$8:$AT$1007,매출원본!$AX$8:$AX$1007,INDEX($R$8:$R$207,$U132),매출원본!$BA$8:$BA$1007,"포함",매출원본!$AS$8:$AS$1007,"&gt;="&amp;EDATE(설정!$B$10,0),매출원본!$AS$8:$AS$1007,"&lt;="&amp;EOMONTH(설정!$B$10,0)))</f>
        <v/>
      </c>
      <c r="J132" s="33">
        <f>IF(OR($U132="",1&gt;=설정!$B$12),"",SUMIFS(매출원본!$AT$8:$AT$1007,매출원본!$AX$8:$AX$1007,INDEX($R$8:$R$207,$U132),매출원본!$BA$8:$BA$1007,"포함",매출원본!$AS$8:$AS$1007,"&gt;="&amp;EDATE(설정!$B$10,1),매출원본!$AS$8:$AS$1007,"&lt;="&amp;EOMONTH(설정!$B$10,1)))</f>
        <v/>
      </c>
      <c r="K132" s="33">
        <f>IF(OR($U132="",2&gt;=설정!$B$12),"",SUMIFS(매출원본!$AT$8:$AT$1007,매출원본!$AX$8:$AX$1007,INDEX($R$8:$R$207,$U132),매출원본!$BA$8:$BA$1007,"포함",매출원본!$AS$8:$AS$1007,"&gt;="&amp;EDATE(설정!$B$10,2),매출원본!$AS$8:$AS$1007,"&lt;="&amp;EOMONTH(설정!$B$10,2)))</f>
        <v/>
      </c>
      <c r="L132" s="33">
        <f>IF(OR($U132="",3&gt;=설정!$B$12),"",SUMIFS(매출원본!$AT$8:$AT$1007,매출원본!$AX$8:$AX$1007,INDEX($R$8:$R$207,$U132),매출원본!$BA$8:$BA$1007,"포함",매출원본!$AS$8:$AS$1007,"&gt;="&amp;EDATE(설정!$B$10,3),매출원본!$AS$8:$AS$1007,"&lt;="&amp;EOMONTH(설정!$B$10,3)))</f>
        <v/>
      </c>
      <c r="M132" s="33">
        <f>IF(OR($U132="",4&gt;=설정!$B$12),"",SUMIFS(매출원본!$AT$8:$AT$1007,매출원본!$AX$8:$AX$1007,INDEX($R$8:$R$207,$U132),매출원본!$BA$8:$BA$1007,"포함",매출원본!$AS$8:$AS$1007,"&gt;="&amp;EDATE(설정!$B$10,4),매출원본!$AS$8:$AS$1007,"&lt;="&amp;EOMONTH(설정!$B$10,4)))</f>
        <v/>
      </c>
      <c r="N132" s="33">
        <f>IF(OR($U132="",5&gt;=설정!$B$12),"",SUMIFS(매출원본!$AT$8:$AT$1007,매출원본!$AX$8:$AX$1007,INDEX($R$8:$R$207,$U132),매출원본!$BA$8:$BA$1007,"포함",매출원본!$AS$8:$AS$1007,"&gt;="&amp;EDATE(설정!$B$10,5),매출원본!$AS$8:$AS$1007,"&lt;="&amp;EOMONTH(설정!$B$10,5)))</f>
        <v/>
      </c>
      <c r="Q132" s="35" t="n">
        <v>125</v>
      </c>
      <c r="R132" s="35">
        <f>IFERROR(INDEX(매출원본!$AX$8:$AX$1007,MATCH($Q132,매출원본!$BD$8:$BD$1007,0)),"")</f>
        <v/>
      </c>
      <c r="S132" s="35">
        <f>IF($R132="","",SUMIFS(매출원본!$AT$8:$AT$1007,매출원본!$AX$8:$AX$1007,$R132,매출원본!$BA$8:$BA$1007,"포함"))</f>
        <v/>
      </c>
      <c r="T132" s="35">
        <f>IF($R132="","",$S132-$Q132/100000)</f>
        <v/>
      </c>
      <c r="U132" s="35">
        <f>IFERROR(MATCH(LARGE($T$8:$T$207,125),$T$8:$T$207,0),"")</f>
        <v/>
      </c>
    </row>
    <row r="133">
      <c r="A133" s="32">
        <f>IF($U133="","",126)</f>
        <v/>
      </c>
      <c r="B133" s="10">
        <f>IF($U133="","",IFERROR(INDEX(매출원본!$AZ$8:$AZ$1007,MATCH($U133,매출원본!$BD$8:$BD$1007,0)),""))</f>
        <v/>
      </c>
      <c r="C133" s="10">
        <f>IF($U133="","",IFERROR(INDEX(매출원본!$AY$8:$AY$1007,MATCH($U133,매출원본!$BD$8:$BD$1007,0)),""))</f>
        <v/>
      </c>
      <c r="D133" s="33">
        <f>IF($U133="","",COUNTIFS(매출원본!$AX$8:$AX$1007,INDEX($R$8:$R$207,$U133),매출원본!$BA$8:$BA$1007,"포함"))</f>
        <v/>
      </c>
      <c r="E133" s="33">
        <f>IF($U133="","",SUMIFS(매출원본!$AT$8:$AT$1007,매출원본!$AX$8:$AX$1007,INDEX($R$8:$R$207,$U133),매출원본!$BA$8:$BA$1007,"포함"))</f>
        <v/>
      </c>
      <c r="F133" s="33">
        <f>IF($U133="","",SUMIFS(매출원본!$AU$8:$AU$1007,매출원본!$AX$8:$AX$1007,INDEX($R$8:$R$207,$U133),매출원본!$BA$8:$BA$1007,"포함"))</f>
        <v/>
      </c>
      <c r="G133" s="33">
        <f>IF($U133="","",SUMIFS(매출원본!$AV$8:$AV$1007,매출원본!$AX$8:$AX$1007,INDEX($R$8:$R$207,$U133),매출원본!$BA$8:$BA$1007,"포함"))</f>
        <v/>
      </c>
      <c r="H133" s="34">
        <f>IF(OR($U133="",$E$7=0),"",E133/$E$7)</f>
        <v/>
      </c>
      <c r="I133" s="33">
        <f>IF(OR($U133="",0&gt;=설정!$B$12),"",SUMIFS(매출원본!$AT$8:$AT$1007,매출원본!$AX$8:$AX$1007,INDEX($R$8:$R$207,$U133),매출원본!$BA$8:$BA$1007,"포함",매출원본!$AS$8:$AS$1007,"&gt;="&amp;EDATE(설정!$B$10,0),매출원본!$AS$8:$AS$1007,"&lt;="&amp;EOMONTH(설정!$B$10,0)))</f>
        <v/>
      </c>
      <c r="J133" s="33">
        <f>IF(OR($U133="",1&gt;=설정!$B$12),"",SUMIFS(매출원본!$AT$8:$AT$1007,매출원본!$AX$8:$AX$1007,INDEX($R$8:$R$207,$U133),매출원본!$BA$8:$BA$1007,"포함",매출원본!$AS$8:$AS$1007,"&gt;="&amp;EDATE(설정!$B$10,1),매출원본!$AS$8:$AS$1007,"&lt;="&amp;EOMONTH(설정!$B$10,1)))</f>
        <v/>
      </c>
      <c r="K133" s="33">
        <f>IF(OR($U133="",2&gt;=설정!$B$12),"",SUMIFS(매출원본!$AT$8:$AT$1007,매출원본!$AX$8:$AX$1007,INDEX($R$8:$R$207,$U133),매출원본!$BA$8:$BA$1007,"포함",매출원본!$AS$8:$AS$1007,"&gt;="&amp;EDATE(설정!$B$10,2),매출원본!$AS$8:$AS$1007,"&lt;="&amp;EOMONTH(설정!$B$10,2)))</f>
        <v/>
      </c>
      <c r="L133" s="33">
        <f>IF(OR($U133="",3&gt;=설정!$B$12),"",SUMIFS(매출원본!$AT$8:$AT$1007,매출원본!$AX$8:$AX$1007,INDEX($R$8:$R$207,$U133),매출원본!$BA$8:$BA$1007,"포함",매출원본!$AS$8:$AS$1007,"&gt;="&amp;EDATE(설정!$B$10,3),매출원본!$AS$8:$AS$1007,"&lt;="&amp;EOMONTH(설정!$B$10,3)))</f>
        <v/>
      </c>
      <c r="M133" s="33">
        <f>IF(OR($U133="",4&gt;=설정!$B$12),"",SUMIFS(매출원본!$AT$8:$AT$1007,매출원본!$AX$8:$AX$1007,INDEX($R$8:$R$207,$U133),매출원본!$BA$8:$BA$1007,"포함",매출원본!$AS$8:$AS$1007,"&gt;="&amp;EDATE(설정!$B$10,4),매출원본!$AS$8:$AS$1007,"&lt;="&amp;EOMONTH(설정!$B$10,4)))</f>
        <v/>
      </c>
      <c r="N133" s="33">
        <f>IF(OR($U133="",5&gt;=설정!$B$12),"",SUMIFS(매출원본!$AT$8:$AT$1007,매출원본!$AX$8:$AX$1007,INDEX($R$8:$R$207,$U133),매출원본!$BA$8:$BA$1007,"포함",매출원본!$AS$8:$AS$1007,"&gt;="&amp;EDATE(설정!$B$10,5),매출원본!$AS$8:$AS$1007,"&lt;="&amp;EOMONTH(설정!$B$10,5)))</f>
        <v/>
      </c>
      <c r="Q133" s="35" t="n">
        <v>126</v>
      </c>
      <c r="R133" s="35">
        <f>IFERROR(INDEX(매출원본!$AX$8:$AX$1007,MATCH($Q133,매출원본!$BD$8:$BD$1007,0)),"")</f>
        <v/>
      </c>
      <c r="S133" s="35">
        <f>IF($R133="","",SUMIFS(매출원본!$AT$8:$AT$1007,매출원본!$AX$8:$AX$1007,$R133,매출원본!$BA$8:$BA$1007,"포함"))</f>
        <v/>
      </c>
      <c r="T133" s="35">
        <f>IF($R133="","",$S133-$Q133/100000)</f>
        <v/>
      </c>
      <c r="U133" s="35">
        <f>IFERROR(MATCH(LARGE($T$8:$T$207,126),$T$8:$T$207,0),"")</f>
        <v/>
      </c>
    </row>
    <row r="134">
      <c r="A134" s="32">
        <f>IF($U134="","",127)</f>
        <v/>
      </c>
      <c r="B134" s="10">
        <f>IF($U134="","",IFERROR(INDEX(매출원본!$AZ$8:$AZ$1007,MATCH($U134,매출원본!$BD$8:$BD$1007,0)),""))</f>
        <v/>
      </c>
      <c r="C134" s="10">
        <f>IF($U134="","",IFERROR(INDEX(매출원본!$AY$8:$AY$1007,MATCH($U134,매출원본!$BD$8:$BD$1007,0)),""))</f>
        <v/>
      </c>
      <c r="D134" s="33">
        <f>IF($U134="","",COUNTIFS(매출원본!$AX$8:$AX$1007,INDEX($R$8:$R$207,$U134),매출원본!$BA$8:$BA$1007,"포함"))</f>
        <v/>
      </c>
      <c r="E134" s="33">
        <f>IF($U134="","",SUMIFS(매출원본!$AT$8:$AT$1007,매출원본!$AX$8:$AX$1007,INDEX($R$8:$R$207,$U134),매출원본!$BA$8:$BA$1007,"포함"))</f>
        <v/>
      </c>
      <c r="F134" s="33">
        <f>IF($U134="","",SUMIFS(매출원본!$AU$8:$AU$1007,매출원본!$AX$8:$AX$1007,INDEX($R$8:$R$207,$U134),매출원본!$BA$8:$BA$1007,"포함"))</f>
        <v/>
      </c>
      <c r="G134" s="33">
        <f>IF($U134="","",SUMIFS(매출원본!$AV$8:$AV$1007,매출원본!$AX$8:$AX$1007,INDEX($R$8:$R$207,$U134),매출원본!$BA$8:$BA$1007,"포함"))</f>
        <v/>
      </c>
      <c r="H134" s="34">
        <f>IF(OR($U134="",$E$7=0),"",E134/$E$7)</f>
        <v/>
      </c>
      <c r="I134" s="33">
        <f>IF(OR($U134="",0&gt;=설정!$B$12),"",SUMIFS(매출원본!$AT$8:$AT$1007,매출원본!$AX$8:$AX$1007,INDEX($R$8:$R$207,$U134),매출원본!$BA$8:$BA$1007,"포함",매출원본!$AS$8:$AS$1007,"&gt;="&amp;EDATE(설정!$B$10,0),매출원본!$AS$8:$AS$1007,"&lt;="&amp;EOMONTH(설정!$B$10,0)))</f>
        <v/>
      </c>
      <c r="J134" s="33">
        <f>IF(OR($U134="",1&gt;=설정!$B$12),"",SUMIFS(매출원본!$AT$8:$AT$1007,매출원본!$AX$8:$AX$1007,INDEX($R$8:$R$207,$U134),매출원본!$BA$8:$BA$1007,"포함",매출원본!$AS$8:$AS$1007,"&gt;="&amp;EDATE(설정!$B$10,1),매출원본!$AS$8:$AS$1007,"&lt;="&amp;EOMONTH(설정!$B$10,1)))</f>
        <v/>
      </c>
      <c r="K134" s="33">
        <f>IF(OR($U134="",2&gt;=설정!$B$12),"",SUMIFS(매출원본!$AT$8:$AT$1007,매출원본!$AX$8:$AX$1007,INDEX($R$8:$R$207,$U134),매출원본!$BA$8:$BA$1007,"포함",매출원본!$AS$8:$AS$1007,"&gt;="&amp;EDATE(설정!$B$10,2),매출원본!$AS$8:$AS$1007,"&lt;="&amp;EOMONTH(설정!$B$10,2)))</f>
        <v/>
      </c>
      <c r="L134" s="33">
        <f>IF(OR($U134="",3&gt;=설정!$B$12),"",SUMIFS(매출원본!$AT$8:$AT$1007,매출원본!$AX$8:$AX$1007,INDEX($R$8:$R$207,$U134),매출원본!$BA$8:$BA$1007,"포함",매출원본!$AS$8:$AS$1007,"&gt;="&amp;EDATE(설정!$B$10,3),매출원본!$AS$8:$AS$1007,"&lt;="&amp;EOMONTH(설정!$B$10,3)))</f>
        <v/>
      </c>
      <c r="M134" s="33">
        <f>IF(OR($U134="",4&gt;=설정!$B$12),"",SUMIFS(매출원본!$AT$8:$AT$1007,매출원본!$AX$8:$AX$1007,INDEX($R$8:$R$207,$U134),매출원본!$BA$8:$BA$1007,"포함",매출원본!$AS$8:$AS$1007,"&gt;="&amp;EDATE(설정!$B$10,4),매출원본!$AS$8:$AS$1007,"&lt;="&amp;EOMONTH(설정!$B$10,4)))</f>
        <v/>
      </c>
      <c r="N134" s="33">
        <f>IF(OR($U134="",5&gt;=설정!$B$12),"",SUMIFS(매출원본!$AT$8:$AT$1007,매출원본!$AX$8:$AX$1007,INDEX($R$8:$R$207,$U134),매출원본!$BA$8:$BA$1007,"포함",매출원본!$AS$8:$AS$1007,"&gt;="&amp;EDATE(설정!$B$10,5),매출원본!$AS$8:$AS$1007,"&lt;="&amp;EOMONTH(설정!$B$10,5)))</f>
        <v/>
      </c>
      <c r="Q134" s="35" t="n">
        <v>127</v>
      </c>
      <c r="R134" s="35">
        <f>IFERROR(INDEX(매출원본!$AX$8:$AX$1007,MATCH($Q134,매출원본!$BD$8:$BD$1007,0)),"")</f>
        <v/>
      </c>
      <c r="S134" s="35">
        <f>IF($R134="","",SUMIFS(매출원본!$AT$8:$AT$1007,매출원본!$AX$8:$AX$1007,$R134,매출원본!$BA$8:$BA$1007,"포함"))</f>
        <v/>
      </c>
      <c r="T134" s="35">
        <f>IF($R134="","",$S134-$Q134/100000)</f>
        <v/>
      </c>
      <c r="U134" s="35">
        <f>IFERROR(MATCH(LARGE($T$8:$T$207,127),$T$8:$T$207,0),"")</f>
        <v/>
      </c>
    </row>
    <row r="135">
      <c r="A135" s="32">
        <f>IF($U135="","",128)</f>
        <v/>
      </c>
      <c r="B135" s="10">
        <f>IF($U135="","",IFERROR(INDEX(매출원본!$AZ$8:$AZ$1007,MATCH($U135,매출원본!$BD$8:$BD$1007,0)),""))</f>
        <v/>
      </c>
      <c r="C135" s="10">
        <f>IF($U135="","",IFERROR(INDEX(매출원본!$AY$8:$AY$1007,MATCH($U135,매출원본!$BD$8:$BD$1007,0)),""))</f>
        <v/>
      </c>
      <c r="D135" s="33">
        <f>IF($U135="","",COUNTIFS(매출원본!$AX$8:$AX$1007,INDEX($R$8:$R$207,$U135),매출원본!$BA$8:$BA$1007,"포함"))</f>
        <v/>
      </c>
      <c r="E135" s="33">
        <f>IF($U135="","",SUMIFS(매출원본!$AT$8:$AT$1007,매출원본!$AX$8:$AX$1007,INDEX($R$8:$R$207,$U135),매출원본!$BA$8:$BA$1007,"포함"))</f>
        <v/>
      </c>
      <c r="F135" s="33">
        <f>IF($U135="","",SUMIFS(매출원본!$AU$8:$AU$1007,매출원본!$AX$8:$AX$1007,INDEX($R$8:$R$207,$U135),매출원본!$BA$8:$BA$1007,"포함"))</f>
        <v/>
      </c>
      <c r="G135" s="33">
        <f>IF($U135="","",SUMIFS(매출원본!$AV$8:$AV$1007,매출원본!$AX$8:$AX$1007,INDEX($R$8:$R$207,$U135),매출원본!$BA$8:$BA$1007,"포함"))</f>
        <v/>
      </c>
      <c r="H135" s="34">
        <f>IF(OR($U135="",$E$7=0),"",E135/$E$7)</f>
        <v/>
      </c>
      <c r="I135" s="33">
        <f>IF(OR($U135="",0&gt;=설정!$B$12),"",SUMIFS(매출원본!$AT$8:$AT$1007,매출원본!$AX$8:$AX$1007,INDEX($R$8:$R$207,$U135),매출원본!$BA$8:$BA$1007,"포함",매출원본!$AS$8:$AS$1007,"&gt;="&amp;EDATE(설정!$B$10,0),매출원본!$AS$8:$AS$1007,"&lt;="&amp;EOMONTH(설정!$B$10,0)))</f>
        <v/>
      </c>
      <c r="J135" s="33">
        <f>IF(OR($U135="",1&gt;=설정!$B$12),"",SUMIFS(매출원본!$AT$8:$AT$1007,매출원본!$AX$8:$AX$1007,INDEX($R$8:$R$207,$U135),매출원본!$BA$8:$BA$1007,"포함",매출원본!$AS$8:$AS$1007,"&gt;="&amp;EDATE(설정!$B$10,1),매출원본!$AS$8:$AS$1007,"&lt;="&amp;EOMONTH(설정!$B$10,1)))</f>
        <v/>
      </c>
      <c r="K135" s="33">
        <f>IF(OR($U135="",2&gt;=설정!$B$12),"",SUMIFS(매출원본!$AT$8:$AT$1007,매출원본!$AX$8:$AX$1007,INDEX($R$8:$R$207,$U135),매출원본!$BA$8:$BA$1007,"포함",매출원본!$AS$8:$AS$1007,"&gt;="&amp;EDATE(설정!$B$10,2),매출원본!$AS$8:$AS$1007,"&lt;="&amp;EOMONTH(설정!$B$10,2)))</f>
        <v/>
      </c>
      <c r="L135" s="33">
        <f>IF(OR($U135="",3&gt;=설정!$B$12),"",SUMIFS(매출원본!$AT$8:$AT$1007,매출원본!$AX$8:$AX$1007,INDEX($R$8:$R$207,$U135),매출원본!$BA$8:$BA$1007,"포함",매출원본!$AS$8:$AS$1007,"&gt;="&amp;EDATE(설정!$B$10,3),매출원본!$AS$8:$AS$1007,"&lt;="&amp;EOMONTH(설정!$B$10,3)))</f>
        <v/>
      </c>
      <c r="M135" s="33">
        <f>IF(OR($U135="",4&gt;=설정!$B$12),"",SUMIFS(매출원본!$AT$8:$AT$1007,매출원본!$AX$8:$AX$1007,INDEX($R$8:$R$207,$U135),매출원본!$BA$8:$BA$1007,"포함",매출원본!$AS$8:$AS$1007,"&gt;="&amp;EDATE(설정!$B$10,4),매출원본!$AS$8:$AS$1007,"&lt;="&amp;EOMONTH(설정!$B$10,4)))</f>
        <v/>
      </c>
      <c r="N135" s="33">
        <f>IF(OR($U135="",5&gt;=설정!$B$12),"",SUMIFS(매출원본!$AT$8:$AT$1007,매출원본!$AX$8:$AX$1007,INDEX($R$8:$R$207,$U135),매출원본!$BA$8:$BA$1007,"포함",매출원본!$AS$8:$AS$1007,"&gt;="&amp;EDATE(설정!$B$10,5),매출원본!$AS$8:$AS$1007,"&lt;="&amp;EOMONTH(설정!$B$10,5)))</f>
        <v/>
      </c>
      <c r="Q135" s="35" t="n">
        <v>128</v>
      </c>
      <c r="R135" s="35">
        <f>IFERROR(INDEX(매출원본!$AX$8:$AX$1007,MATCH($Q135,매출원본!$BD$8:$BD$1007,0)),"")</f>
        <v/>
      </c>
      <c r="S135" s="35">
        <f>IF($R135="","",SUMIFS(매출원본!$AT$8:$AT$1007,매출원본!$AX$8:$AX$1007,$R135,매출원본!$BA$8:$BA$1007,"포함"))</f>
        <v/>
      </c>
      <c r="T135" s="35">
        <f>IF($R135="","",$S135-$Q135/100000)</f>
        <v/>
      </c>
      <c r="U135" s="35">
        <f>IFERROR(MATCH(LARGE($T$8:$T$207,128),$T$8:$T$207,0),"")</f>
        <v/>
      </c>
    </row>
    <row r="136">
      <c r="A136" s="32">
        <f>IF($U136="","",129)</f>
        <v/>
      </c>
      <c r="B136" s="10">
        <f>IF($U136="","",IFERROR(INDEX(매출원본!$AZ$8:$AZ$1007,MATCH($U136,매출원본!$BD$8:$BD$1007,0)),""))</f>
        <v/>
      </c>
      <c r="C136" s="10">
        <f>IF($U136="","",IFERROR(INDEX(매출원본!$AY$8:$AY$1007,MATCH($U136,매출원본!$BD$8:$BD$1007,0)),""))</f>
        <v/>
      </c>
      <c r="D136" s="33">
        <f>IF($U136="","",COUNTIFS(매출원본!$AX$8:$AX$1007,INDEX($R$8:$R$207,$U136),매출원본!$BA$8:$BA$1007,"포함"))</f>
        <v/>
      </c>
      <c r="E136" s="33">
        <f>IF($U136="","",SUMIFS(매출원본!$AT$8:$AT$1007,매출원본!$AX$8:$AX$1007,INDEX($R$8:$R$207,$U136),매출원본!$BA$8:$BA$1007,"포함"))</f>
        <v/>
      </c>
      <c r="F136" s="33">
        <f>IF($U136="","",SUMIFS(매출원본!$AU$8:$AU$1007,매출원본!$AX$8:$AX$1007,INDEX($R$8:$R$207,$U136),매출원본!$BA$8:$BA$1007,"포함"))</f>
        <v/>
      </c>
      <c r="G136" s="33">
        <f>IF($U136="","",SUMIFS(매출원본!$AV$8:$AV$1007,매출원본!$AX$8:$AX$1007,INDEX($R$8:$R$207,$U136),매출원본!$BA$8:$BA$1007,"포함"))</f>
        <v/>
      </c>
      <c r="H136" s="34">
        <f>IF(OR($U136="",$E$7=0),"",E136/$E$7)</f>
        <v/>
      </c>
      <c r="I136" s="33">
        <f>IF(OR($U136="",0&gt;=설정!$B$12),"",SUMIFS(매출원본!$AT$8:$AT$1007,매출원본!$AX$8:$AX$1007,INDEX($R$8:$R$207,$U136),매출원본!$BA$8:$BA$1007,"포함",매출원본!$AS$8:$AS$1007,"&gt;="&amp;EDATE(설정!$B$10,0),매출원본!$AS$8:$AS$1007,"&lt;="&amp;EOMONTH(설정!$B$10,0)))</f>
        <v/>
      </c>
      <c r="J136" s="33">
        <f>IF(OR($U136="",1&gt;=설정!$B$12),"",SUMIFS(매출원본!$AT$8:$AT$1007,매출원본!$AX$8:$AX$1007,INDEX($R$8:$R$207,$U136),매출원본!$BA$8:$BA$1007,"포함",매출원본!$AS$8:$AS$1007,"&gt;="&amp;EDATE(설정!$B$10,1),매출원본!$AS$8:$AS$1007,"&lt;="&amp;EOMONTH(설정!$B$10,1)))</f>
        <v/>
      </c>
      <c r="K136" s="33">
        <f>IF(OR($U136="",2&gt;=설정!$B$12),"",SUMIFS(매출원본!$AT$8:$AT$1007,매출원본!$AX$8:$AX$1007,INDEX($R$8:$R$207,$U136),매출원본!$BA$8:$BA$1007,"포함",매출원본!$AS$8:$AS$1007,"&gt;="&amp;EDATE(설정!$B$10,2),매출원본!$AS$8:$AS$1007,"&lt;="&amp;EOMONTH(설정!$B$10,2)))</f>
        <v/>
      </c>
      <c r="L136" s="33">
        <f>IF(OR($U136="",3&gt;=설정!$B$12),"",SUMIFS(매출원본!$AT$8:$AT$1007,매출원본!$AX$8:$AX$1007,INDEX($R$8:$R$207,$U136),매출원본!$BA$8:$BA$1007,"포함",매출원본!$AS$8:$AS$1007,"&gt;="&amp;EDATE(설정!$B$10,3),매출원본!$AS$8:$AS$1007,"&lt;="&amp;EOMONTH(설정!$B$10,3)))</f>
        <v/>
      </c>
      <c r="M136" s="33">
        <f>IF(OR($U136="",4&gt;=설정!$B$12),"",SUMIFS(매출원본!$AT$8:$AT$1007,매출원본!$AX$8:$AX$1007,INDEX($R$8:$R$207,$U136),매출원본!$BA$8:$BA$1007,"포함",매출원본!$AS$8:$AS$1007,"&gt;="&amp;EDATE(설정!$B$10,4),매출원본!$AS$8:$AS$1007,"&lt;="&amp;EOMONTH(설정!$B$10,4)))</f>
        <v/>
      </c>
      <c r="N136" s="33">
        <f>IF(OR($U136="",5&gt;=설정!$B$12),"",SUMIFS(매출원본!$AT$8:$AT$1007,매출원본!$AX$8:$AX$1007,INDEX($R$8:$R$207,$U136),매출원본!$BA$8:$BA$1007,"포함",매출원본!$AS$8:$AS$1007,"&gt;="&amp;EDATE(설정!$B$10,5),매출원본!$AS$8:$AS$1007,"&lt;="&amp;EOMONTH(설정!$B$10,5)))</f>
        <v/>
      </c>
      <c r="Q136" s="35" t="n">
        <v>129</v>
      </c>
      <c r="R136" s="35">
        <f>IFERROR(INDEX(매출원본!$AX$8:$AX$1007,MATCH($Q136,매출원본!$BD$8:$BD$1007,0)),"")</f>
        <v/>
      </c>
      <c r="S136" s="35">
        <f>IF($R136="","",SUMIFS(매출원본!$AT$8:$AT$1007,매출원본!$AX$8:$AX$1007,$R136,매출원본!$BA$8:$BA$1007,"포함"))</f>
        <v/>
      </c>
      <c r="T136" s="35">
        <f>IF($R136="","",$S136-$Q136/100000)</f>
        <v/>
      </c>
      <c r="U136" s="35">
        <f>IFERROR(MATCH(LARGE($T$8:$T$207,129),$T$8:$T$207,0),"")</f>
        <v/>
      </c>
    </row>
    <row r="137">
      <c r="A137" s="32">
        <f>IF($U137="","",130)</f>
        <v/>
      </c>
      <c r="B137" s="10">
        <f>IF($U137="","",IFERROR(INDEX(매출원본!$AZ$8:$AZ$1007,MATCH($U137,매출원본!$BD$8:$BD$1007,0)),""))</f>
        <v/>
      </c>
      <c r="C137" s="10">
        <f>IF($U137="","",IFERROR(INDEX(매출원본!$AY$8:$AY$1007,MATCH($U137,매출원본!$BD$8:$BD$1007,0)),""))</f>
        <v/>
      </c>
      <c r="D137" s="33">
        <f>IF($U137="","",COUNTIFS(매출원본!$AX$8:$AX$1007,INDEX($R$8:$R$207,$U137),매출원본!$BA$8:$BA$1007,"포함"))</f>
        <v/>
      </c>
      <c r="E137" s="33">
        <f>IF($U137="","",SUMIFS(매출원본!$AT$8:$AT$1007,매출원본!$AX$8:$AX$1007,INDEX($R$8:$R$207,$U137),매출원본!$BA$8:$BA$1007,"포함"))</f>
        <v/>
      </c>
      <c r="F137" s="33">
        <f>IF($U137="","",SUMIFS(매출원본!$AU$8:$AU$1007,매출원본!$AX$8:$AX$1007,INDEX($R$8:$R$207,$U137),매출원본!$BA$8:$BA$1007,"포함"))</f>
        <v/>
      </c>
      <c r="G137" s="33">
        <f>IF($U137="","",SUMIFS(매출원본!$AV$8:$AV$1007,매출원본!$AX$8:$AX$1007,INDEX($R$8:$R$207,$U137),매출원본!$BA$8:$BA$1007,"포함"))</f>
        <v/>
      </c>
      <c r="H137" s="34">
        <f>IF(OR($U137="",$E$7=0),"",E137/$E$7)</f>
        <v/>
      </c>
      <c r="I137" s="33">
        <f>IF(OR($U137="",0&gt;=설정!$B$12),"",SUMIFS(매출원본!$AT$8:$AT$1007,매출원본!$AX$8:$AX$1007,INDEX($R$8:$R$207,$U137),매출원본!$BA$8:$BA$1007,"포함",매출원본!$AS$8:$AS$1007,"&gt;="&amp;EDATE(설정!$B$10,0),매출원본!$AS$8:$AS$1007,"&lt;="&amp;EOMONTH(설정!$B$10,0)))</f>
        <v/>
      </c>
      <c r="J137" s="33">
        <f>IF(OR($U137="",1&gt;=설정!$B$12),"",SUMIFS(매출원본!$AT$8:$AT$1007,매출원본!$AX$8:$AX$1007,INDEX($R$8:$R$207,$U137),매출원본!$BA$8:$BA$1007,"포함",매출원본!$AS$8:$AS$1007,"&gt;="&amp;EDATE(설정!$B$10,1),매출원본!$AS$8:$AS$1007,"&lt;="&amp;EOMONTH(설정!$B$10,1)))</f>
        <v/>
      </c>
      <c r="K137" s="33">
        <f>IF(OR($U137="",2&gt;=설정!$B$12),"",SUMIFS(매출원본!$AT$8:$AT$1007,매출원본!$AX$8:$AX$1007,INDEX($R$8:$R$207,$U137),매출원본!$BA$8:$BA$1007,"포함",매출원본!$AS$8:$AS$1007,"&gt;="&amp;EDATE(설정!$B$10,2),매출원본!$AS$8:$AS$1007,"&lt;="&amp;EOMONTH(설정!$B$10,2)))</f>
        <v/>
      </c>
      <c r="L137" s="33">
        <f>IF(OR($U137="",3&gt;=설정!$B$12),"",SUMIFS(매출원본!$AT$8:$AT$1007,매출원본!$AX$8:$AX$1007,INDEX($R$8:$R$207,$U137),매출원본!$BA$8:$BA$1007,"포함",매출원본!$AS$8:$AS$1007,"&gt;="&amp;EDATE(설정!$B$10,3),매출원본!$AS$8:$AS$1007,"&lt;="&amp;EOMONTH(설정!$B$10,3)))</f>
        <v/>
      </c>
      <c r="M137" s="33">
        <f>IF(OR($U137="",4&gt;=설정!$B$12),"",SUMIFS(매출원본!$AT$8:$AT$1007,매출원본!$AX$8:$AX$1007,INDEX($R$8:$R$207,$U137),매출원본!$BA$8:$BA$1007,"포함",매출원본!$AS$8:$AS$1007,"&gt;="&amp;EDATE(설정!$B$10,4),매출원본!$AS$8:$AS$1007,"&lt;="&amp;EOMONTH(설정!$B$10,4)))</f>
        <v/>
      </c>
      <c r="N137" s="33">
        <f>IF(OR($U137="",5&gt;=설정!$B$12),"",SUMIFS(매출원본!$AT$8:$AT$1007,매출원본!$AX$8:$AX$1007,INDEX($R$8:$R$207,$U137),매출원본!$BA$8:$BA$1007,"포함",매출원본!$AS$8:$AS$1007,"&gt;="&amp;EDATE(설정!$B$10,5),매출원본!$AS$8:$AS$1007,"&lt;="&amp;EOMONTH(설정!$B$10,5)))</f>
        <v/>
      </c>
      <c r="Q137" s="35" t="n">
        <v>130</v>
      </c>
      <c r="R137" s="35">
        <f>IFERROR(INDEX(매출원본!$AX$8:$AX$1007,MATCH($Q137,매출원본!$BD$8:$BD$1007,0)),"")</f>
        <v/>
      </c>
      <c r="S137" s="35">
        <f>IF($R137="","",SUMIFS(매출원본!$AT$8:$AT$1007,매출원본!$AX$8:$AX$1007,$R137,매출원본!$BA$8:$BA$1007,"포함"))</f>
        <v/>
      </c>
      <c r="T137" s="35">
        <f>IF($R137="","",$S137-$Q137/100000)</f>
        <v/>
      </c>
      <c r="U137" s="35">
        <f>IFERROR(MATCH(LARGE($T$8:$T$207,130),$T$8:$T$207,0),"")</f>
        <v/>
      </c>
    </row>
    <row r="138">
      <c r="A138" s="32">
        <f>IF($U138="","",131)</f>
        <v/>
      </c>
      <c r="B138" s="10">
        <f>IF($U138="","",IFERROR(INDEX(매출원본!$AZ$8:$AZ$1007,MATCH($U138,매출원본!$BD$8:$BD$1007,0)),""))</f>
        <v/>
      </c>
      <c r="C138" s="10">
        <f>IF($U138="","",IFERROR(INDEX(매출원본!$AY$8:$AY$1007,MATCH($U138,매출원본!$BD$8:$BD$1007,0)),""))</f>
        <v/>
      </c>
      <c r="D138" s="33">
        <f>IF($U138="","",COUNTIFS(매출원본!$AX$8:$AX$1007,INDEX($R$8:$R$207,$U138),매출원본!$BA$8:$BA$1007,"포함"))</f>
        <v/>
      </c>
      <c r="E138" s="33">
        <f>IF($U138="","",SUMIFS(매출원본!$AT$8:$AT$1007,매출원본!$AX$8:$AX$1007,INDEX($R$8:$R$207,$U138),매출원본!$BA$8:$BA$1007,"포함"))</f>
        <v/>
      </c>
      <c r="F138" s="33">
        <f>IF($U138="","",SUMIFS(매출원본!$AU$8:$AU$1007,매출원본!$AX$8:$AX$1007,INDEX($R$8:$R$207,$U138),매출원본!$BA$8:$BA$1007,"포함"))</f>
        <v/>
      </c>
      <c r="G138" s="33">
        <f>IF($U138="","",SUMIFS(매출원본!$AV$8:$AV$1007,매출원본!$AX$8:$AX$1007,INDEX($R$8:$R$207,$U138),매출원본!$BA$8:$BA$1007,"포함"))</f>
        <v/>
      </c>
      <c r="H138" s="34">
        <f>IF(OR($U138="",$E$7=0),"",E138/$E$7)</f>
        <v/>
      </c>
      <c r="I138" s="33">
        <f>IF(OR($U138="",0&gt;=설정!$B$12),"",SUMIFS(매출원본!$AT$8:$AT$1007,매출원본!$AX$8:$AX$1007,INDEX($R$8:$R$207,$U138),매출원본!$BA$8:$BA$1007,"포함",매출원본!$AS$8:$AS$1007,"&gt;="&amp;EDATE(설정!$B$10,0),매출원본!$AS$8:$AS$1007,"&lt;="&amp;EOMONTH(설정!$B$10,0)))</f>
        <v/>
      </c>
      <c r="J138" s="33">
        <f>IF(OR($U138="",1&gt;=설정!$B$12),"",SUMIFS(매출원본!$AT$8:$AT$1007,매출원본!$AX$8:$AX$1007,INDEX($R$8:$R$207,$U138),매출원본!$BA$8:$BA$1007,"포함",매출원본!$AS$8:$AS$1007,"&gt;="&amp;EDATE(설정!$B$10,1),매출원본!$AS$8:$AS$1007,"&lt;="&amp;EOMONTH(설정!$B$10,1)))</f>
        <v/>
      </c>
      <c r="K138" s="33">
        <f>IF(OR($U138="",2&gt;=설정!$B$12),"",SUMIFS(매출원본!$AT$8:$AT$1007,매출원본!$AX$8:$AX$1007,INDEX($R$8:$R$207,$U138),매출원본!$BA$8:$BA$1007,"포함",매출원본!$AS$8:$AS$1007,"&gt;="&amp;EDATE(설정!$B$10,2),매출원본!$AS$8:$AS$1007,"&lt;="&amp;EOMONTH(설정!$B$10,2)))</f>
        <v/>
      </c>
      <c r="L138" s="33">
        <f>IF(OR($U138="",3&gt;=설정!$B$12),"",SUMIFS(매출원본!$AT$8:$AT$1007,매출원본!$AX$8:$AX$1007,INDEX($R$8:$R$207,$U138),매출원본!$BA$8:$BA$1007,"포함",매출원본!$AS$8:$AS$1007,"&gt;="&amp;EDATE(설정!$B$10,3),매출원본!$AS$8:$AS$1007,"&lt;="&amp;EOMONTH(설정!$B$10,3)))</f>
        <v/>
      </c>
      <c r="M138" s="33">
        <f>IF(OR($U138="",4&gt;=설정!$B$12),"",SUMIFS(매출원본!$AT$8:$AT$1007,매출원본!$AX$8:$AX$1007,INDEX($R$8:$R$207,$U138),매출원본!$BA$8:$BA$1007,"포함",매출원본!$AS$8:$AS$1007,"&gt;="&amp;EDATE(설정!$B$10,4),매출원본!$AS$8:$AS$1007,"&lt;="&amp;EOMONTH(설정!$B$10,4)))</f>
        <v/>
      </c>
      <c r="N138" s="33">
        <f>IF(OR($U138="",5&gt;=설정!$B$12),"",SUMIFS(매출원본!$AT$8:$AT$1007,매출원본!$AX$8:$AX$1007,INDEX($R$8:$R$207,$U138),매출원본!$BA$8:$BA$1007,"포함",매출원본!$AS$8:$AS$1007,"&gt;="&amp;EDATE(설정!$B$10,5),매출원본!$AS$8:$AS$1007,"&lt;="&amp;EOMONTH(설정!$B$10,5)))</f>
        <v/>
      </c>
      <c r="Q138" s="35" t="n">
        <v>131</v>
      </c>
      <c r="R138" s="35">
        <f>IFERROR(INDEX(매출원본!$AX$8:$AX$1007,MATCH($Q138,매출원본!$BD$8:$BD$1007,0)),"")</f>
        <v/>
      </c>
      <c r="S138" s="35">
        <f>IF($R138="","",SUMIFS(매출원본!$AT$8:$AT$1007,매출원본!$AX$8:$AX$1007,$R138,매출원본!$BA$8:$BA$1007,"포함"))</f>
        <v/>
      </c>
      <c r="T138" s="35">
        <f>IF($R138="","",$S138-$Q138/100000)</f>
        <v/>
      </c>
      <c r="U138" s="35">
        <f>IFERROR(MATCH(LARGE($T$8:$T$207,131),$T$8:$T$207,0),"")</f>
        <v/>
      </c>
    </row>
    <row r="139">
      <c r="A139" s="32">
        <f>IF($U139="","",132)</f>
        <v/>
      </c>
      <c r="B139" s="10">
        <f>IF($U139="","",IFERROR(INDEX(매출원본!$AZ$8:$AZ$1007,MATCH($U139,매출원본!$BD$8:$BD$1007,0)),""))</f>
        <v/>
      </c>
      <c r="C139" s="10">
        <f>IF($U139="","",IFERROR(INDEX(매출원본!$AY$8:$AY$1007,MATCH($U139,매출원본!$BD$8:$BD$1007,0)),""))</f>
        <v/>
      </c>
      <c r="D139" s="33">
        <f>IF($U139="","",COUNTIFS(매출원본!$AX$8:$AX$1007,INDEX($R$8:$R$207,$U139),매출원본!$BA$8:$BA$1007,"포함"))</f>
        <v/>
      </c>
      <c r="E139" s="33">
        <f>IF($U139="","",SUMIFS(매출원본!$AT$8:$AT$1007,매출원본!$AX$8:$AX$1007,INDEX($R$8:$R$207,$U139),매출원본!$BA$8:$BA$1007,"포함"))</f>
        <v/>
      </c>
      <c r="F139" s="33">
        <f>IF($U139="","",SUMIFS(매출원본!$AU$8:$AU$1007,매출원본!$AX$8:$AX$1007,INDEX($R$8:$R$207,$U139),매출원본!$BA$8:$BA$1007,"포함"))</f>
        <v/>
      </c>
      <c r="G139" s="33">
        <f>IF($U139="","",SUMIFS(매출원본!$AV$8:$AV$1007,매출원본!$AX$8:$AX$1007,INDEX($R$8:$R$207,$U139),매출원본!$BA$8:$BA$1007,"포함"))</f>
        <v/>
      </c>
      <c r="H139" s="34">
        <f>IF(OR($U139="",$E$7=0),"",E139/$E$7)</f>
        <v/>
      </c>
      <c r="I139" s="33">
        <f>IF(OR($U139="",0&gt;=설정!$B$12),"",SUMIFS(매출원본!$AT$8:$AT$1007,매출원본!$AX$8:$AX$1007,INDEX($R$8:$R$207,$U139),매출원본!$BA$8:$BA$1007,"포함",매출원본!$AS$8:$AS$1007,"&gt;="&amp;EDATE(설정!$B$10,0),매출원본!$AS$8:$AS$1007,"&lt;="&amp;EOMONTH(설정!$B$10,0)))</f>
        <v/>
      </c>
      <c r="J139" s="33">
        <f>IF(OR($U139="",1&gt;=설정!$B$12),"",SUMIFS(매출원본!$AT$8:$AT$1007,매출원본!$AX$8:$AX$1007,INDEX($R$8:$R$207,$U139),매출원본!$BA$8:$BA$1007,"포함",매출원본!$AS$8:$AS$1007,"&gt;="&amp;EDATE(설정!$B$10,1),매출원본!$AS$8:$AS$1007,"&lt;="&amp;EOMONTH(설정!$B$10,1)))</f>
        <v/>
      </c>
      <c r="K139" s="33">
        <f>IF(OR($U139="",2&gt;=설정!$B$12),"",SUMIFS(매출원본!$AT$8:$AT$1007,매출원본!$AX$8:$AX$1007,INDEX($R$8:$R$207,$U139),매출원본!$BA$8:$BA$1007,"포함",매출원본!$AS$8:$AS$1007,"&gt;="&amp;EDATE(설정!$B$10,2),매출원본!$AS$8:$AS$1007,"&lt;="&amp;EOMONTH(설정!$B$10,2)))</f>
        <v/>
      </c>
      <c r="L139" s="33">
        <f>IF(OR($U139="",3&gt;=설정!$B$12),"",SUMIFS(매출원본!$AT$8:$AT$1007,매출원본!$AX$8:$AX$1007,INDEX($R$8:$R$207,$U139),매출원본!$BA$8:$BA$1007,"포함",매출원본!$AS$8:$AS$1007,"&gt;="&amp;EDATE(설정!$B$10,3),매출원본!$AS$8:$AS$1007,"&lt;="&amp;EOMONTH(설정!$B$10,3)))</f>
        <v/>
      </c>
      <c r="M139" s="33">
        <f>IF(OR($U139="",4&gt;=설정!$B$12),"",SUMIFS(매출원본!$AT$8:$AT$1007,매출원본!$AX$8:$AX$1007,INDEX($R$8:$R$207,$U139),매출원본!$BA$8:$BA$1007,"포함",매출원본!$AS$8:$AS$1007,"&gt;="&amp;EDATE(설정!$B$10,4),매출원본!$AS$8:$AS$1007,"&lt;="&amp;EOMONTH(설정!$B$10,4)))</f>
        <v/>
      </c>
      <c r="N139" s="33">
        <f>IF(OR($U139="",5&gt;=설정!$B$12),"",SUMIFS(매출원본!$AT$8:$AT$1007,매출원본!$AX$8:$AX$1007,INDEX($R$8:$R$207,$U139),매출원본!$BA$8:$BA$1007,"포함",매출원본!$AS$8:$AS$1007,"&gt;="&amp;EDATE(설정!$B$10,5),매출원본!$AS$8:$AS$1007,"&lt;="&amp;EOMONTH(설정!$B$10,5)))</f>
        <v/>
      </c>
      <c r="Q139" s="35" t="n">
        <v>132</v>
      </c>
      <c r="R139" s="35">
        <f>IFERROR(INDEX(매출원본!$AX$8:$AX$1007,MATCH($Q139,매출원본!$BD$8:$BD$1007,0)),"")</f>
        <v/>
      </c>
      <c r="S139" s="35">
        <f>IF($R139="","",SUMIFS(매출원본!$AT$8:$AT$1007,매출원본!$AX$8:$AX$1007,$R139,매출원본!$BA$8:$BA$1007,"포함"))</f>
        <v/>
      </c>
      <c r="T139" s="35">
        <f>IF($R139="","",$S139-$Q139/100000)</f>
        <v/>
      </c>
      <c r="U139" s="35">
        <f>IFERROR(MATCH(LARGE($T$8:$T$207,132),$T$8:$T$207,0),"")</f>
        <v/>
      </c>
    </row>
    <row r="140">
      <c r="A140" s="32">
        <f>IF($U140="","",133)</f>
        <v/>
      </c>
      <c r="B140" s="10">
        <f>IF($U140="","",IFERROR(INDEX(매출원본!$AZ$8:$AZ$1007,MATCH($U140,매출원본!$BD$8:$BD$1007,0)),""))</f>
        <v/>
      </c>
      <c r="C140" s="10">
        <f>IF($U140="","",IFERROR(INDEX(매출원본!$AY$8:$AY$1007,MATCH($U140,매출원본!$BD$8:$BD$1007,0)),""))</f>
        <v/>
      </c>
      <c r="D140" s="33">
        <f>IF($U140="","",COUNTIFS(매출원본!$AX$8:$AX$1007,INDEX($R$8:$R$207,$U140),매출원본!$BA$8:$BA$1007,"포함"))</f>
        <v/>
      </c>
      <c r="E140" s="33">
        <f>IF($U140="","",SUMIFS(매출원본!$AT$8:$AT$1007,매출원본!$AX$8:$AX$1007,INDEX($R$8:$R$207,$U140),매출원본!$BA$8:$BA$1007,"포함"))</f>
        <v/>
      </c>
      <c r="F140" s="33">
        <f>IF($U140="","",SUMIFS(매출원본!$AU$8:$AU$1007,매출원본!$AX$8:$AX$1007,INDEX($R$8:$R$207,$U140),매출원본!$BA$8:$BA$1007,"포함"))</f>
        <v/>
      </c>
      <c r="G140" s="33">
        <f>IF($U140="","",SUMIFS(매출원본!$AV$8:$AV$1007,매출원본!$AX$8:$AX$1007,INDEX($R$8:$R$207,$U140),매출원본!$BA$8:$BA$1007,"포함"))</f>
        <v/>
      </c>
      <c r="H140" s="34">
        <f>IF(OR($U140="",$E$7=0),"",E140/$E$7)</f>
        <v/>
      </c>
      <c r="I140" s="33">
        <f>IF(OR($U140="",0&gt;=설정!$B$12),"",SUMIFS(매출원본!$AT$8:$AT$1007,매출원본!$AX$8:$AX$1007,INDEX($R$8:$R$207,$U140),매출원본!$BA$8:$BA$1007,"포함",매출원본!$AS$8:$AS$1007,"&gt;="&amp;EDATE(설정!$B$10,0),매출원본!$AS$8:$AS$1007,"&lt;="&amp;EOMONTH(설정!$B$10,0)))</f>
        <v/>
      </c>
      <c r="J140" s="33">
        <f>IF(OR($U140="",1&gt;=설정!$B$12),"",SUMIFS(매출원본!$AT$8:$AT$1007,매출원본!$AX$8:$AX$1007,INDEX($R$8:$R$207,$U140),매출원본!$BA$8:$BA$1007,"포함",매출원본!$AS$8:$AS$1007,"&gt;="&amp;EDATE(설정!$B$10,1),매출원본!$AS$8:$AS$1007,"&lt;="&amp;EOMONTH(설정!$B$10,1)))</f>
        <v/>
      </c>
      <c r="K140" s="33">
        <f>IF(OR($U140="",2&gt;=설정!$B$12),"",SUMIFS(매출원본!$AT$8:$AT$1007,매출원본!$AX$8:$AX$1007,INDEX($R$8:$R$207,$U140),매출원본!$BA$8:$BA$1007,"포함",매출원본!$AS$8:$AS$1007,"&gt;="&amp;EDATE(설정!$B$10,2),매출원본!$AS$8:$AS$1007,"&lt;="&amp;EOMONTH(설정!$B$10,2)))</f>
        <v/>
      </c>
      <c r="L140" s="33">
        <f>IF(OR($U140="",3&gt;=설정!$B$12),"",SUMIFS(매출원본!$AT$8:$AT$1007,매출원본!$AX$8:$AX$1007,INDEX($R$8:$R$207,$U140),매출원본!$BA$8:$BA$1007,"포함",매출원본!$AS$8:$AS$1007,"&gt;="&amp;EDATE(설정!$B$10,3),매출원본!$AS$8:$AS$1007,"&lt;="&amp;EOMONTH(설정!$B$10,3)))</f>
        <v/>
      </c>
      <c r="M140" s="33">
        <f>IF(OR($U140="",4&gt;=설정!$B$12),"",SUMIFS(매출원본!$AT$8:$AT$1007,매출원본!$AX$8:$AX$1007,INDEX($R$8:$R$207,$U140),매출원본!$BA$8:$BA$1007,"포함",매출원본!$AS$8:$AS$1007,"&gt;="&amp;EDATE(설정!$B$10,4),매출원본!$AS$8:$AS$1007,"&lt;="&amp;EOMONTH(설정!$B$10,4)))</f>
        <v/>
      </c>
      <c r="N140" s="33">
        <f>IF(OR($U140="",5&gt;=설정!$B$12),"",SUMIFS(매출원본!$AT$8:$AT$1007,매출원본!$AX$8:$AX$1007,INDEX($R$8:$R$207,$U140),매출원본!$BA$8:$BA$1007,"포함",매출원본!$AS$8:$AS$1007,"&gt;="&amp;EDATE(설정!$B$10,5),매출원본!$AS$8:$AS$1007,"&lt;="&amp;EOMONTH(설정!$B$10,5)))</f>
        <v/>
      </c>
      <c r="Q140" s="35" t="n">
        <v>133</v>
      </c>
      <c r="R140" s="35">
        <f>IFERROR(INDEX(매출원본!$AX$8:$AX$1007,MATCH($Q140,매출원본!$BD$8:$BD$1007,0)),"")</f>
        <v/>
      </c>
      <c r="S140" s="35">
        <f>IF($R140="","",SUMIFS(매출원본!$AT$8:$AT$1007,매출원본!$AX$8:$AX$1007,$R140,매출원본!$BA$8:$BA$1007,"포함"))</f>
        <v/>
      </c>
      <c r="T140" s="35">
        <f>IF($R140="","",$S140-$Q140/100000)</f>
        <v/>
      </c>
      <c r="U140" s="35">
        <f>IFERROR(MATCH(LARGE($T$8:$T$207,133),$T$8:$T$207,0),"")</f>
        <v/>
      </c>
    </row>
    <row r="141">
      <c r="A141" s="32">
        <f>IF($U141="","",134)</f>
        <v/>
      </c>
      <c r="B141" s="10">
        <f>IF($U141="","",IFERROR(INDEX(매출원본!$AZ$8:$AZ$1007,MATCH($U141,매출원본!$BD$8:$BD$1007,0)),""))</f>
        <v/>
      </c>
      <c r="C141" s="10">
        <f>IF($U141="","",IFERROR(INDEX(매출원본!$AY$8:$AY$1007,MATCH($U141,매출원본!$BD$8:$BD$1007,0)),""))</f>
        <v/>
      </c>
      <c r="D141" s="33">
        <f>IF($U141="","",COUNTIFS(매출원본!$AX$8:$AX$1007,INDEX($R$8:$R$207,$U141),매출원본!$BA$8:$BA$1007,"포함"))</f>
        <v/>
      </c>
      <c r="E141" s="33">
        <f>IF($U141="","",SUMIFS(매출원본!$AT$8:$AT$1007,매출원본!$AX$8:$AX$1007,INDEX($R$8:$R$207,$U141),매출원본!$BA$8:$BA$1007,"포함"))</f>
        <v/>
      </c>
      <c r="F141" s="33">
        <f>IF($U141="","",SUMIFS(매출원본!$AU$8:$AU$1007,매출원본!$AX$8:$AX$1007,INDEX($R$8:$R$207,$U141),매출원본!$BA$8:$BA$1007,"포함"))</f>
        <v/>
      </c>
      <c r="G141" s="33">
        <f>IF($U141="","",SUMIFS(매출원본!$AV$8:$AV$1007,매출원본!$AX$8:$AX$1007,INDEX($R$8:$R$207,$U141),매출원본!$BA$8:$BA$1007,"포함"))</f>
        <v/>
      </c>
      <c r="H141" s="34">
        <f>IF(OR($U141="",$E$7=0),"",E141/$E$7)</f>
        <v/>
      </c>
      <c r="I141" s="33">
        <f>IF(OR($U141="",0&gt;=설정!$B$12),"",SUMIFS(매출원본!$AT$8:$AT$1007,매출원본!$AX$8:$AX$1007,INDEX($R$8:$R$207,$U141),매출원본!$BA$8:$BA$1007,"포함",매출원본!$AS$8:$AS$1007,"&gt;="&amp;EDATE(설정!$B$10,0),매출원본!$AS$8:$AS$1007,"&lt;="&amp;EOMONTH(설정!$B$10,0)))</f>
        <v/>
      </c>
      <c r="J141" s="33">
        <f>IF(OR($U141="",1&gt;=설정!$B$12),"",SUMIFS(매출원본!$AT$8:$AT$1007,매출원본!$AX$8:$AX$1007,INDEX($R$8:$R$207,$U141),매출원본!$BA$8:$BA$1007,"포함",매출원본!$AS$8:$AS$1007,"&gt;="&amp;EDATE(설정!$B$10,1),매출원본!$AS$8:$AS$1007,"&lt;="&amp;EOMONTH(설정!$B$10,1)))</f>
        <v/>
      </c>
      <c r="K141" s="33">
        <f>IF(OR($U141="",2&gt;=설정!$B$12),"",SUMIFS(매출원본!$AT$8:$AT$1007,매출원본!$AX$8:$AX$1007,INDEX($R$8:$R$207,$U141),매출원본!$BA$8:$BA$1007,"포함",매출원본!$AS$8:$AS$1007,"&gt;="&amp;EDATE(설정!$B$10,2),매출원본!$AS$8:$AS$1007,"&lt;="&amp;EOMONTH(설정!$B$10,2)))</f>
        <v/>
      </c>
      <c r="L141" s="33">
        <f>IF(OR($U141="",3&gt;=설정!$B$12),"",SUMIFS(매출원본!$AT$8:$AT$1007,매출원본!$AX$8:$AX$1007,INDEX($R$8:$R$207,$U141),매출원본!$BA$8:$BA$1007,"포함",매출원본!$AS$8:$AS$1007,"&gt;="&amp;EDATE(설정!$B$10,3),매출원본!$AS$8:$AS$1007,"&lt;="&amp;EOMONTH(설정!$B$10,3)))</f>
        <v/>
      </c>
      <c r="M141" s="33">
        <f>IF(OR($U141="",4&gt;=설정!$B$12),"",SUMIFS(매출원본!$AT$8:$AT$1007,매출원본!$AX$8:$AX$1007,INDEX($R$8:$R$207,$U141),매출원본!$BA$8:$BA$1007,"포함",매출원본!$AS$8:$AS$1007,"&gt;="&amp;EDATE(설정!$B$10,4),매출원본!$AS$8:$AS$1007,"&lt;="&amp;EOMONTH(설정!$B$10,4)))</f>
        <v/>
      </c>
      <c r="N141" s="33">
        <f>IF(OR($U141="",5&gt;=설정!$B$12),"",SUMIFS(매출원본!$AT$8:$AT$1007,매출원본!$AX$8:$AX$1007,INDEX($R$8:$R$207,$U141),매출원본!$BA$8:$BA$1007,"포함",매출원본!$AS$8:$AS$1007,"&gt;="&amp;EDATE(설정!$B$10,5),매출원본!$AS$8:$AS$1007,"&lt;="&amp;EOMONTH(설정!$B$10,5)))</f>
        <v/>
      </c>
      <c r="Q141" s="35" t="n">
        <v>134</v>
      </c>
      <c r="R141" s="35">
        <f>IFERROR(INDEX(매출원본!$AX$8:$AX$1007,MATCH($Q141,매출원본!$BD$8:$BD$1007,0)),"")</f>
        <v/>
      </c>
      <c r="S141" s="35">
        <f>IF($R141="","",SUMIFS(매출원본!$AT$8:$AT$1007,매출원본!$AX$8:$AX$1007,$R141,매출원본!$BA$8:$BA$1007,"포함"))</f>
        <v/>
      </c>
      <c r="T141" s="35">
        <f>IF($R141="","",$S141-$Q141/100000)</f>
        <v/>
      </c>
      <c r="U141" s="35">
        <f>IFERROR(MATCH(LARGE($T$8:$T$207,134),$T$8:$T$207,0),"")</f>
        <v/>
      </c>
    </row>
    <row r="142">
      <c r="A142" s="32">
        <f>IF($U142="","",135)</f>
        <v/>
      </c>
      <c r="B142" s="10">
        <f>IF($U142="","",IFERROR(INDEX(매출원본!$AZ$8:$AZ$1007,MATCH($U142,매출원본!$BD$8:$BD$1007,0)),""))</f>
        <v/>
      </c>
      <c r="C142" s="10">
        <f>IF($U142="","",IFERROR(INDEX(매출원본!$AY$8:$AY$1007,MATCH($U142,매출원본!$BD$8:$BD$1007,0)),""))</f>
        <v/>
      </c>
      <c r="D142" s="33">
        <f>IF($U142="","",COUNTIFS(매출원본!$AX$8:$AX$1007,INDEX($R$8:$R$207,$U142),매출원본!$BA$8:$BA$1007,"포함"))</f>
        <v/>
      </c>
      <c r="E142" s="33">
        <f>IF($U142="","",SUMIFS(매출원본!$AT$8:$AT$1007,매출원본!$AX$8:$AX$1007,INDEX($R$8:$R$207,$U142),매출원본!$BA$8:$BA$1007,"포함"))</f>
        <v/>
      </c>
      <c r="F142" s="33">
        <f>IF($U142="","",SUMIFS(매출원본!$AU$8:$AU$1007,매출원본!$AX$8:$AX$1007,INDEX($R$8:$R$207,$U142),매출원본!$BA$8:$BA$1007,"포함"))</f>
        <v/>
      </c>
      <c r="G142" s="33">
        <f>IF($U142="","",SUMIFS(매출원본!$AV$8:$AV$1007,매출원본!$AX$8:$AX$1007,INDEX($R$8:$R$207,$U142),매출원본!$BA$8:$BA$1007,"포함"))</f>
        <v/>
      </c>
      <c r="H142" s="34">
        <f>IF(OR($U142="",$E$7=0),"",E142/$E$7)</f>
        <v/>
      </c>
      <c r="I142" s="33">
        <f>IF(OR($U142="",0&gt;=설정!$B$12),"",SUMIFS(매출원본!$AT$8:$AT$1007,매출원본!$AX$8:$AX$1007,INDEX($R$8:$R$207,$U142),매출원본!$BA$8:$BA$1007,"포함",매출원본!$AS$8:$AS$1007,"&gt;="&amp;EDATE(설정!$B$10,0),매출원본!$AS$8:$AS$1007,"&lt;="&amp;EOMONTH(설정!$B$10,0)))</f>
        <v/>
      </c>
      <c r="J142" s="33">
        <f>IF(OR($U142="",1&gt;=설정!$B$12),"",SUMIFS(매출원본!$AT$8:$AT$1007,매출원본!$AX$8:$AX$1007,INDEX($R$8:$R$207,$U142),매출원본!$BA$8:$BA$1007,"포함",매출원본!$AS$8:$AS$1007,"&gt;="&amp;EDATE(설정!$B$10,1),매출원본!$AS$8:$AS$1007,"&lt;="&amp;EOMONTH(설정!$B$10,1)))</f>
        <v/>
      </c>
      <c r="K142" s="33">
        <f>IF(OR($U142="",2&gt;=설정!$B$12),"",SUMIFS(매출원본!$AT$8:$AT$1007,매출원본!$AX$8:$AX$1007,INDEX($R$8:$R$207,$U142),매출원본!$BA$8:$BA$1007,"포함",매출원본!$AS$8:$AS$1007,"&gt;="&amp;EDATE(설정!$B$10,2),매출원본!$AS$8:$AS$1007,"&lt;="&amp;EOMONTH(설정!$B$10,2)))</f>
        <v/>
      </c>
      <c r="L142" s="33">
        <f>IF(OR($U142="",3&gt;=설정!$B$12),"",SUMIFS(매출원본!$AT$8:$AT$1007,매출원본!$AX$8:$AX$1007,INDEX($R$8:$R$207,$U142),매출원본!$BA$8:$BA$1007,"포함",매출원본!$AS$8:$AS$1007,"&gt;="&amp;EDATE(설정!$B$10,3),매출원본!$AS$8:$AS$1007,"&lt;="&amp;EOMONTH(설정!$B$10,3)))</f>
        <v/>
      </c>
      <c r="M142" s="33">
        <f>IF(OR($U142="",4&gt;=설정!$B$12),"",SUMIFS(매출원본!$AT$8:$AT$1007,매출원본!$AX$8:$AX$1007,INDEX($R$8:$R$207,$U142),매출원본!$BA$8:$BA$1007,"포함",매출원본!$AS$8:$AS$1007,"&gt;="&amp;EDATE(설정!$B$10,4),매출원본!$AS$8:$AS$1007,"&lt;="&amp;EOMONTH(설정!$B$10,4)))</f>
        <v/>
      </c>
      <c r="N142" s="33">
        <f>IF(OR($U142="",5&gt;=설정!$B$12),"",SUMIFS(매출원본!$AT$8:$AT$1007,매출원본!$AX$8:$AX$1007,INDEX($R$8:$R$207,$U142),매출원본!$BA$8:$BA$1007,"포함",매출원본!$AS$8:$AS$1007,"&gt;="&amp;EDATE(설정!$B$10,5),매출원본!$AS$8:$AS$1007,"&lt;="&amp;EOMONTH(설정!$B$10,5)))</f>
        <v/>
      </c>
      <c r="Q142" s="35" t="n">
        <v>135</v>
      </c>
      <c r="R142" s="35">
        <f>IFERROR(INDEX(매출원본!$AX$8:$AX$1007,MATCH($Q142,매출원본!$BD$8:$BD$1007,0)),"")</f>
        <v/>
      </c>
      <c r="S142" s="35">
        <f>IF($R142="","",SUMIFS(매출원본!$AT$8:$AT$1007,매출원본!$AX$8:$AX$1007,$R142,매출원본!$BA$8:$BA$1007,"포함"))</f>
        <v/>
      </c>
      <c r="T142" s="35">
        <f>IF($R142="","",$S142-$Q142/100000)</f>
        <v/>
      </c>
      <c r="U142" s="35">
        <f>IFERROR(MATCH(LARGE($T$8:$T$207,135),$T$8:$T$207,0),"")</f>
        <v/>
      </c>
    </row>
    <row r="143">
      <c r="A143" s="32">
        <f>IF($U143="","",136)</f>
        <v/>
      </c>
      <c r="B143" s="10">
        <f>IF($U143="","",IFERROR(INDEX(매출원본!$AZ$8:$AZ$1007,MATCH($U143,매출원본!$BD$8:$BD$1007,0)),""))</f>
        <v/>
      </c>
      <c r="C143" s="10">
        <f>IF($U143="","",IFERROR(INDEX(매출원본!$AY$8:$AY$1007,MATCH($U143,매출원본!$BD$8:$BD$1007,0)),""))</f>
        <v/>
      </c>
      <c r="D143" s="33">
        <f>IF($U143="","",COUNTIFS(매출원본!$AX$8:$AX$1007,INDEX($R$8:$R$207,$U143),매출원본!$BA$8:$BA$1007,"포함"))</f>
        <v/>
      </c>
      <c r="E143" s="33">
        <f>IF($U143="","",SUMIFS(매출원본!$AT$8:$AT$1007,매출원본!$AX$8:$AX$1007,INDEX($R$8:$R$207,$U143),매출원본!$BA$8:$BA$1007,"포함"))</f>
        <v/>
      </c>
      <c r="F143" s="33">
        <f>IF($U143="","",SUMIFS(매출원본!$AU$8:$AU$1007,매출원본!$AX$8:$AX$1007,INDEX($R$8:$R$207,$U143),매출원본!$BA$8:$BA$1007,"포함"))</f>
        <v/>
      </c>
      <c r="G143" s="33">
        <f>IF($U143="","",SUMIFS(매출원본!$AV$8:$AV$1007,매출원본!$AX$8:$AX$1007,INDEX($R$8:$R$207,$U143),매출원본!$BA$8:$BA$1007,"포함"))</f>
        <v/>
      </c>
      <c r="H143" s="34">
        <f>IF(OR($U143="",$E$7=0),"",E143/$E$7)</f>
        <v/>
      </c>
      <c r="I143" s="33">
        <f>IF(OR($U143="",0&gt;=설정!$B$12),"",SUMIFS(매출원본!$AT$8:$AT$1007,매출원본!$AX$8:$AX$1007,INDEX($R$8:$R$207,$U143),매출원본!$BA$8:$BA$1007,"포함",매출원본!$AS$8:$AS$1007,"&gt;="&amp;EDATE(설정!$B$10,0),매출원본!$AS$8:$AS$1007,"&lt;="&amp;EOMONTH(설정!$B$10,0)))</f>
        <v/>
      </c>
      <c r="J143" s="33">
        <f>IF(OR($U143="",1&gt;=설정!$B$12),"",SUMIFS(매출원본!$AT$8:$AT$1007,매출원본!$AX$8:$AX$1007,INDEX($R$8:$R$207,$U143),매출원본!$BA$8:$BA$1007,"포함",매출원본!$AS$8:$AS$1007,"&gt;="&amp;EDATE(설정!$B$10,1),매출원본!$AS$8:$AS$1007,"&lt;="&amp;EOMONTH(설정!$B$10,1)))</f>
        <v/>
      </c>
      <c r="K143" s="33">
        <f>IF(OR($U143="",2&gt;=설정!$B$12),"",SUMIFS(매출원본!$AT$8:$AT$1007,매출원본!$AX$8:$AX$1007,INDEX($R$8:$R$207,$U143),매출원본!$BA$8:$BA$1007,"포함",매출원본!$AS$8:$AS$1007,"&gt;="&amp;EDATE(설정!$B$10,2),매출원본!$AS$8:$AS$1007,"&lt;="&amp;EOMONTH(설정!$B$10,2)))</f>
        <v/>
      </c>
      <c r="L143" s="33">
        <f>IF(OR($U143="",3&gt;=설정!$B$12),"",SUMIFS(매출원본!$AT$8:$AT$1007,매출원본!$AX$8:$AX$1007,INDEX($R$8:$R$207,$U143),매출원본!$BA$8:$BA$1007,"포함",매출원본!$AS$8:$AS$1007,"&gt;="&amp;EDATE(설정!$B$10,3),매출원본!$AS$8:$AS$1007,"&lt;="&amp;EOMONTH(설정!$B$10,3)))</f>
        <v/>
      </c>
      <c r="M143" s="33">
        <f>IF(OR($U143="",4&gt;=설정!$B$12),"",SUMIFS(매출원본!$AT$8:$AT$1007,매출원본!$AX$8:$AX$1007,INDEX($R$8:$R$207,$U143),매출원본!$BA$8:$BA$1007,"포함",매출원본!$AS$8:$AS$1007,"&gt;="&amp;EDATE(설정!$B$10,4),매출원본!$AS$8:$AS$1007,"&lt;="&amp;EOMONTH(설정!$B$10,4)))</f>
        <v/>
      </c>
      <c r="N143" s="33">
        <f>IF(OR($U143="",5&gt;=설정!$B$12),"",SUMIFS(매출원본!$AT$8:$AT$1007,매출원본!$AX$8:$AX$1007,INDEX($R$8:$R$207,$U143),매출원본!$BA$8:$BA$1007,"포함",매출원본!$AS$8:$AS$1007,"&gt;="&amp;EDATE(설정!$B$10,5),매출원본!$AS$8:$AS$1007,"&lt;="&amp;EOMONTH(설정!$B$10,5)))</f>
        <v/>
      </c>
      <c r="Q143" s="35" t="n">
        <v>136</v>
      </c>
      <c r="R143" s="35">
        <f>IFERROR(INDEX(매출원본!$AX$8:$AX$1007,MATCH($Q143,매출원본!$BD$8:$BD$1007,0)),"")</f>
        <v/>
      </c>
      <c r="S143" s="35">
        <f>IF($R143="","",SUMIFS(매출원본!$AT$8:$AT$1007,매출원본!$AX$8:$AX$1007,$R143,매출원본!$BA$8:$BA$1007,"포함"))</f>
        <v/>
      </c>
      <c r="T143" s="35">
        <f>IF($R143="","",$S143-$Q143/100000)</f>
        <v/>
      </c>
      <c r="U143" s="35">
        <f>IFERROR(MATCH(LARGE($T$8:$T$207,136),$T$8:$T$207,0),"")</f>
        <v/>
      </c>
    </row>
    <row r="144">
      <c r="A144" s="32">
        <f>IF($U144="","",137)</f>
        <v/>
      </c>
      <c r="B144" s="10">
        <f>IF($U144="","",IFERROR(INDEX(매출원본!$AZ$8:$AZ$1007,MATCH($U144,매출원본!$BD$8:$BD$1007,0)),""))</f>
        <v/>
      </c>
      <c r="C144" s="10">
        <f>IF($U144="","",IFERROR(INDEX(매출원본!$AY$8:$AY$1007,MATCH($U144,매출원본!$BD$8:$BD$1007,0)),""))</f>
        <v/>
      </c>
      <c r="D144" s="33">
        <f>IF($U144="","",COUNTIFS(매출원본!$AX$8:$AX$1007,INDEX($R$8:$R$207,$U144),매출원본!$BA$8:$BA$1007,"포함"))</f>
        <v/>
      </c>
      <c r="E144" s="33">
        <f>IF($U144="","",SUMIFS(매출원본!$AT$8:$AT$1007,매출원본!$AX$8:$AX$1007,INDEX($R$8:$R$207,$U144),매출원본!$BA$8:$BA$1007,"포함"))</f>
        <v/>
      </c>
      <c r="F144" s="33">
        <f>IF($U144="","",SUMIFS(매출원본!$AU$8:$AU$1007,매출원본!$AX$8:$AX$1007,INDEX($R$8:$R$207,$U144),매출원본!$BA$8:$BA$1007,"포함"))</f>
        <v/>
      </c>
      <c r="G144" s="33">
        <f>IF($U144="","",SUMIFS(매출원본!$AV$8:$AV$1007,매출원본!$AX$8:$AX$1007,INDEX($R$8:$R$207,$U144),매출원본!$BA$8:$BA$1007,"포함"))</f>
        <v/>
      </c>
      <c r="H144" s="34">
        <f>IF(OR($U144="",$E$7=0),"",E144/$E$7)</f>
        <v/>
      </c>
      <c r="I144" s="33">
        <f>IF(OR($U144="",0&gt;=설정!$B$12),"",SUMIFS(매출원본!$AT$8:$AT$1007,매출원본!$AX$8:$AX$1007,INDEX($R$8:$R$207,$U144),매출원본!$BA$8:$BA$1007,"포함",매출원본!$AS$8:$AS$1007,"&gt;="&amp;EDATE(설정!$B$10,0),매출원본!$AS$8:$AS$1007,"&lt;="&amp;EOMONTH(설정!$B$10,0)))</f>
        <v/>
      </c>
      <c r="J144" s="33">
        <f>IF(OR($U144="",1&gt;=설정!$B$12),"",SUMIFS(매출원본!$AT$8:$AT$1007,매출원본!$AX$8:$AX$1007,INDEX($R$8:$R$207,$U144),매출원본!$BA$8:$BA$1007,"포함",매출원본!$AS$8:$AS$1007,"&gt;="&amp;EDATE(설정!$B$10,1),매출원본!$AS$8:$AS$1007,"&lt;="&amp;EOMONTH(설정!$B$10,1)))</f>
        <v/>
      </c>
      <c r="K144" s="33">
        <f>IF(OR($U144="",2&gt;=설정!$B$12),"",SUMIFS(매출원본!$AT$8:$AT$1007,매출원본!$AX$8:$AX$1007,INDEX($R$8:$R$207,$U144),매출원본!$BA$8:$BA$1007,"포함",매출원본!$AS$8:$AS$1007,"&gt;="&amp;EDATE(설정!$B$10,2),매출원본!$AS$8:$AS$1007,"&lt;="&amp;EOMONTH(설정!$B$10,2)))</f>
        <v/>
      </c>
      <c r="L144" s="33">
        <f>IF(OR($U144="",3&gt;=설정!$B$12),"",SUMIFS(매출원본!$AT$8:$AT$1007,매출원본!$AX$8:$AX$1007,INDEX($R$8:$R$207,$U144),매출원본!$BA$8:$BA$1007,"포함",매출원본!$AS$8:$AS$1007,"&gt;="&amp;EDATE(설정!$B$10,3),매출원본!$AS$8:$AS$1007,"&lt;="&amp;EOMONTH(설정!$B$10,3)))</f>
        <v/>
      </c>
      <c r="M144" s="33">
        <f>IF(OR($U144="",4&gt;=설정!$B$12),"",SUMIFS(매출원본!$AT$8:$AT$1007,매출원본!$AX$8:$AX$1007,INDEX($R$8:$R$207,$U144),매출원본!$BA$8:$BA$1007,"포함",매출원본!$AS$8:$AS$1007,"&gt;="&amp;EDATE(설정!$B$10,4),매출원본!$AS$8:$AS$1007,"&lt;="&amp;EOMONTH(설정!$B$10,4)))</f>
        <v/>
      </c>
      <c r="N144" s="33">
        <f>IF(OR($U144="",5&gt;=설정!$B$12),"",SUMIFS(매출원본!$AT$8:$AT$1007,매출원본!$AX$8:$AX$1007,INDEX($R$8:$R$207,$U144),매출원본!$BA$8:$BA$1007,"포함",매출원본!$AS$8:$AS$1007,"&gt;="&amp;EDATE(설정!$B$10,5),매출원본!$AS$8:$AS$1007,"&lt;="&amp;EOMONTH(설정!$B$10,5)))</f>
        <v/>
      </c>
      <c r="Q144" s="35" t="n">
        <v>137</v>
      </c>
      <c r="R144" s="35">
        <f>IFERROR(INDEX(매출원본!$AX$8:$AX$1007,MATCH($Q144,매출원본!$BD$8:$BD$1007,0)),"")</f>
        <v/>
      </c>
      <c r="S144" s="35">
        <f>IF($R144="","",SUMIFS(매출원본!$AT$8:$AT$1007,매출원본!$AX$8:$AX$1007,$R144,매출원본!$BA$8:$BA$1007,"포함"))</f>
        <v/>
      </c>
      <c r="T144" s="35">
        <f>IF($R144="","",$S144-$Q144/100000)</f>
        <v/>
      </c>
      <c r="U144" s="35">
        <f>IFERROR(MATCH(LARGE($T$8:$T$207,137),$T$8:$T$207,0),"")</f>
        <v/>
      </c>
    </row>
    <row r="145">
      <c r="A145" s="32">
        <f>IF($U145="","",138)</f>
        <v/>
      </c>
      <c r="B145" s="10">
        <f>IF($U145="","",IFERROR(INDEX(매출원본!$AZ$8:$AZ$1007,MATCH($U145,매출원본!$BD$8:$BD$1007,0)),""))</f>
        <v/>
      </c>
      <c r="C145" s="10">
        <f>IF($U145="","",IFERROR(INDEX(매출원본!$AY$8:$AY$1007,MATCH($U145,매출원본!$BD$8:$BD$1007,0)),""))</f>
        <v/>
      </c>
      <c r="D145" s="33">
        <f>IF($U145="","",COUNTIFS(매출원본!$AX$8:$AX$1007,INDEX($R$8:$R$207,$U145),매출원본!$BA$8:$BA$1007,"포함"))</f>
        <v/>
      </c>
      <c r="E145" s="33">
        <f>IF($U145="","",SUMIFS(매출원본!$AT$8:$AT$1007,매출원본!$AX$8:$AX$1007,INDEX($R$8:$R$207,$U145),매출원본!$BA$8:$BA$1007,"포함"))</f>
        <v/>
      </c>
      <c r="F145" s="33">
        <f>IF($U145="","",SUMIFS(매출원본!$AU$8:$AU$1007,매출원본!$AX$8:$AX$1007,INDEX($R$8:$R$207,$U145),매출원본!$BA$8:$BA$1007,"포함"))</f>
        <v/>
      </c>
      <c r="G145" s="33">
        <f>IF($U145="","",SUMIFS(매출원본!$AV$8:$AV$1007,매출원본!$AX$8:$AX$1007,INDEX($R$8:$R$207,$U145),매출원본!$BA$8:$BA$1007,"포함"))</f>
        <v/>
      </c>
      <c r="H145" s="34">
        <f>IF(OR($U145="",$E$7=0),"",E145/$E$7)</f>
        <v/>
      </c>
      <c r="I145" s="33">
        <f>IF(OR($U145="",0&gt;=설정!$B$12),"",SUMIFS(매출원본!$AT$8:$AT$1007,매출원본!$AX$8:$AX$1007,INDEX($R$8:$R$207,$U145),매출원본!$BA$8:$BA$1007,"포함",매출원본!$AS$8:$AS$1007,"&gt;="&amp;EDATE(설정!$B$10,0),매출원본!$AS$8:$AS$1007,"&lt;="&amp;EOMONTH(설정!$B$10,0)))</f>
        <v/>
      </c>
      <c r="J145" s="33">
        <f>IF(OR($U145="",1&gt;=설정!$B$12),"",SUMIFS(매출원본!$AT$8:$AT$1007,매출원본!$AX$8:$AX$1007,INDEX($R$8:$R$207,$U145),매출원본!$BA$8:$BA$1007,"포함",매출원본!$AS$8:$AS$1007,"&gt;="&amp;EDATE(설정!$B$10,1),매출원본!$AS$8:$AS$1007,"&lt;="&amp;EOMONTH(설정!$B$10,1)))</f>
        <v/>
      </c>
      <c r="K145" s="33">
        <f>IF(OR($U145="",2&gt;=설정!$B$12),"",SUMIFS(매출원본!$AT$8:$AT$1007,매출원본!$AX$8:$AX$1007,INDEX($R$8:$R$207,$U145),매출원본!$BA$8:$BA$1007,"포함",매출원본!$AS$8:$AS$1007,"&gt;="&amp;EDATE(설정!$B$10,2),매출원본!$AS$8:$AS$1007,"&lt;="&amp;EOMONTH(설정!$B$10,2)))</f>
        <v/>
      </c>
      <c r="L145" s="33">
        <f>IF(OR($U145="",3&gt;=설정!$B$12),"",SUMIFS(매출원본!$AT$8:$AT$1007,매출원본!$AX$8:$AX$1007,INDEX($R$8:$R$207,$U145),매출원본!$BA$8:$BA$1007,"포함",매출원본!$AS$8:$AS$1007,"&gt;="&amp;EDATE(설정!$B$10,3),매출원본!$AS$8:$AS$1007,"&lt;="&amp;EOMONTH(설정!$B$10,3)))</f>
        <v/>
      </c>
      <c r="M145" s="33">
        <f>IF(OR($U145="",4&gt;=설정!$B$12),"",SUMIFS(매출원본!$AT$8:$AT$1007,매출원본!$AX$8:$AX$1007,INDEX($R$8:$R$207,$U145),매출원본!$BA$8:$BA$1007,"포함",매출원본!$AS$8:$AS$1007,"&gt;="&amp;EDATE(설정!$B$10,4),매출원본!$AS$8:$AS$1007,"&lt;="&amp;EOMONTH(설정!$B$10,4)))</f>
        <v/>
      </c>
      <c r="N145" s="33">
        <f>IF(OR($U145="",5&gt;=설정!$B$12),"",SUMIFS(매출원본!$AT$8:$AT$1007,매출원본!$AX$8:$AX$1007,INDEX($R$8:$R$207,$U145),매출원본!$BA$8:$BA$1007,"포함",매출원본!$AS$8:$AS$1007,"&gt;="&amp;EDATE(설정!$B$10,5),매출원본!$AS$8:$AS$1007,"&lt;="&amp;EOMONTH(설정!$B$10,5)))</f>
        <v/>
      </c>
      <c r="Q145" s="35" t="n">
        <v>138</v>
      </c>
      <c r="R145" s="35">
        <f>IFERROR(INDEX(매출원본!$AX$8:$AX$1007,MATCH($Q145,매출원본!$BD$8:$BD$1007,0)),"")</f>
        <v/>
      </c>
      <c r="S145" s="35">
        <f>IF($R145="","",SUMIFS(매출원본!$AT$8:$AT$1007,매출원본!$AX$8:$AX$1007,$R145,매출원본!$BA$8:$BA$1007,"포함"))</f>
        <v/>
      </c>
      <c r="T145" s="35">
        <f>IF($R145="","",$S145-$Q145/100000)</f>
        <v/>
      </c>
      <c r="U145" s="35">
        <f>IFERROR(MATCH(LARGE($T$8:$T$207,138),$T$8:$T$207,0),"")</f>
        <v/>
      </c>
    </row>
    <row r="146">
      <c r="A146" s="32">
        <f>IF($U146="","",139)</f>
        <v/>
      </c>
      <c r="B146" s="10">
        <f>IF($U146="","",IFERROR(INDEX(매출원본!$AZ$8:$AZ$1007,MATCH($U146,매출원본!$BD$8:$BD$1007,0)),""))</f>
        <v/>
      </c>
      <c r="C146" s="10">
        <f>IF($U146="","",IFERROR(INDEX(매출원본!$AY$8:$AY$1007,MATCH($U146,매출원본!$BD$8:$BD$1007,0)),""))</f>
        <v/>
      </c>
      <c r="D146" s="33">
        <f>IF($U146="","",COUNTIFS(매출원본!$AX$8:$AX$1007,INDEX($R$8:$R$207,$U146),매출원본!$BA$8:$BA$1007,"포함"))</f>
        <v/>
      </c>
      <c r="E146" s="33">
        <f>IF($U146="","",SUMIFS(매출원본!$AT$8:$AT$1007,매출원본!$AX$8:$AX$1007,INDEX($R$8:$R$207,$U146),매출원본!$BA$8:$BA$1007,"포함"))</f>
        <v/>
      </c>
      <c r="F146" s="33">
        <f>IF($U146="","",SUMIFS(매출원본!$AU$8:$AU$1007,매출원본!$AX$8:$AX$1007,INDEX($R$8:$R$207,$U146),매출원본!$BA$8:$BA$1007,"포함"))</f>
        <v/>
      </c>
      <c r="G146" s="33">
        <f>IF($U146="","",SUMIFS(매출원본!$AV$8:$AV$1007,매출원본!$AX$8:$AX$1007,INDEX($R$8:$R$207,$U146),매출원본!$BA$8:$BA$1007,"포함"))</f>
        <v/>
      </c>
      <c r="H146" s="34">
        <f>IF(OR($U146="",$E$7=0),"",E146/$E$7)</f>
        <v/>
      </c>
      <c r="I146" s="33">
        <f>IF(OR($U146="",0&gt;=설정!$B$12),"",SUMIFS(매출원본!$AT$8:$AT$1007,매출원본!$AX$8:$AX$1007,INDEX($R$8:$R$207,$U146),매출원본!$BA$8:$BA$1007,"포함",매출원본!$AS$8:$AS$1007,"&gt;="&amp;EDATE(설정!$B$10,0),매출원본!$AS$8:$AS$1007,"&lt;="&amp;EOMONTH(설정!$B$10,0)))</f>
        <v/>
      </c>
      <c r="J146" s="33">
        <f>IF(OR($U146="",1&gt;=설정!$B$12),"",SUMIFS(매출원본!$AT$8:$AT$1007,매출원본!$AX$8:$AX$1007,INDEX($R$8:$R$207,$U146),매출원본!$BA$8:$BA$1007,"포함",매출원본!$AS$8:$AS$1007,"&gt;="&amp;EDATE(설정!$B$10,1),매출원본!$AS$8:$AS$1007,"&lt;="&amp;EOMONTH(설정!$B$10,1)))</f>
        <v/>
      </c>
      <c r="K146" s="33">
        <f>IF(OR($U146="",2&gt;=설정!$B$12),"",SUMIFS(매출원본!$AT$8:$AT$1007,매출원본!$AX$8:$AX$1007,INDEX($R$8:$R$207,$U146),매출원본!$BA$8:$BA$1007,"포함",매출원본!$AS$8:$AS$1007,"&gt;="&amp;EDATE(설정!$B$10,2),매출원본!$AS$8:$AS$1007,"&lt;="&amp;EOMONTH(설정!$B$10,2)))</f>
        <v/>
      </c>
      <c r="L146" s="33">
        <f>IF(OR($U146="",3&gt;=설정!$B$12),"",SUMIFS(매출원본!$AT$8:$AT$1007,매출원본!$AX$8:$AX$1007,INDEX($R$8:$R$207,$U146),매출원본!$BA$8:$BA$1007,"포함",매출원본!$AS$8:$AS$1007,"&gt;="&amp;EDATE(설정!$B$10,3),매출원본!$AS$8:$AS$1007,"&lt;="&amp;EOMONTH(설정!$B$10,3)))</f>
        <v/>
      </c>
      <c r="M146" s="33">
        <f>IF(OR($U146="",4&gt;=설정!$B$12),"",SUMIFS(매출원본!$AT$8:$AT$1007,매출원본!$AX$8:$AX$1007,INDEX($R$8:$R$207,$U146),매출원본!$BA$8:$BA$1007,"포함",매출원본!$AS$8:$AS$1007,"&gt;="&amp;EDATE(설정!$B$10,4),매출원본!$AS$8:$AS$1007,"&lt;="&amp;EOMONTH(설정!$B$10,4)))</f>
        <v/>
      </c>
      <c r="N146" s="33">
        <f>IF(OR($U146="",5&gt;=설정!$B$12),"",SUMIFS(매출원본!$AT$8:$AT$1007,매출원본!$AX$8:$AX$1007,INDEX($R$8:$R$207,$U146),매출원본!$BA$8:$BA$1007,"포함",매출원본!$AS$8:$AS$1007,"&gt;="&amp;EDATE(설정!$B$10,5),매출원본!$AS$8:$AS$1007,"&lt;="&amp;EOMONTH(설정!$B$10,5)))</f>
        <v/>
      </c>
      <c r="Q146" s="35" t="n">
        <v>139</v>
      </c>
      <c r="R146" s="35">
        <f>IFERROR(INDEX(매출원본!$AX$8:$AX$1007,MATCH($Q146,매출원본!$BD$8:$BD$1007,0)),"")</f>
        <v/>
      </c>
      <c r="S146" s="35">
        <f>IF($R146="","",SUMIFS(매출원본!$AT$8:$AT$1007,매출원본!$AX$8:$AX$1007,$R146,매출원본!$BA$8:$BA$1007,"포함"))</f>
        <v/>
      </c>
      <c r="T146" s="35">
        <f>IF($R146="","",$S146-$Q146/100000)</f>
        <v/>
      </c>
      <c r="U146" s="35">
        <f>IFERROR(MATCH(LARGE($T$8:$T$207,139),$T$8:$T$207,0),"")</f>
        <v/>
      </c>
    </row>
    <row r="147">
      <c r="A147" s="32">
        <f>IF($U147="","",140)</f>
        <v/>
      </c>
      <c r="B147" s="10">
        <f>IF($U147="","",IFERROR(INDEX(매출원본!$AZ$8:$AZ$1007,MATCH($U147,매출원본!$BD$8:$BD$1007,0)),""))</f>
        <v/>
      </c>
      <c r="C147" s="10">
        <f>IF($U147="","",IFERROR(INDEX(매출원본!$AY$8:$AY$1007,MATCH($U147,매출원본!$BD$8:$BD$1007,0)),""))</f>
        <v/>
      </c>
      <c r="D147" s="33">
        <f>IF($U147="","",COUNTIFS(매출원본!$AX$8:$AX$1007,INDEX($R$8:$R$207,$U147),매출원본!$BA$8:$BA$1007,"포함"))</f>
        <v/>
      </c>
      <c r="E147" s="33">
        <f>IF($U147="","",SUMIFS(매출원본!$AT$8:$AT$1007,매출원본!$AX$8:$AX$1007,INDEX($R$8:$R$207,$U147),매출원본!$BA$8:$BA$1007,"포함"))</f>
        <v/>
      </c>
      <c r="F147" s="33">
        <f>IF($U147="","",SUMIFS(매출원본!$AU$8:$AU$1007,매출원본!$AX$8:$AX$1007,INDEX($R$8:$R$207,$U147),매출원본!$BA$8:$BA$1007,"포함"))</f>
        <v/>
      </c>
      <c r="G147" s="33">
        <f>IF($U147="","",SUMIFS(매출원본!$AV$8:$AV$1007,매출원본!$AX$8:$AX$1007,INDEX($R$8:$R$207,$U147),매출원본!$BA$8:$BA$1007,"포함"))</f>
        <v/>
      </c>
      <c r="H147" s="34">
        <f>IF(OR($U147="",$E$7=0),"",E147/$E$7)</f>
        <v/>
      </c>
      <c r="I147" s="33">
        <f>IF(OR($U147="",0&gt;=설정!$B$12),"",SUMIFS(매출원본!$AT$8:$AT$1007,매출원본!$AX$8:$AX$1007,INDEX($R$8:$R$207,$U147),매출원본!$BA$8:$BA$1007,"포함",매출원본!$AS$8:$AS$1007,"&gt;="&amp;EDATE(설정!$B$10,0),매출원본!$AS$8:$AS$1007,"&lt;="&amp;EOMONTH(설정!$B$10,0)))</f>
        <v/>
      </c>
      <c r="J147" s="33">
        <f>IF(OR($U147="",1&gt;=설정!$B$12),"",SUMIFS(매출원본!$AT$8:$AT$1007,매출원본!$AX$8:$AX$1007,INDEX($R$8:$R$207,$U147),매출원본!$BA$8:$BA$1007,"포함",매출원본!$AS$8:$AS$1007,"&gt;="&amp;EDATE(설정!$B$10,1),매출원본!$AS$8:$AS$1007,"&lt;="&amp;EOMONTH(설정!$B$10,1)))</f>
        <v/>
      </c>
      <c r="K147" s="33">
        <f>IF(OR($U147="",2&gt;=설정!$B$12),"",SUMIFS(매출원본!$AT$8:$AT$1007,매출원본!$AX$8:$AX$1007,INDEX($R$8:$R$207,$U147),매출원본!$BA$8:$BA$1007,"포함",매출원본!$AS$8:$AS$1007,"&gt;="&amp;EDATE(설정!$B$10,2),매출원본!$AS$8:$AS$1007,"&lt;="&amp;EOMONTH(설정!$B$10,2)))</f>
        <v/>
      </c>
      <c r="L147" s="33">
        <f>IF(OR($U147="",3&gt;=설정!$B$12),"",SUMIFS(매출원본!$AT$8:$AT$1007,매출원본!$AX$8:$AX$1007,INDEX($R$8:$R$207,$U147),매출원본!$BA$8:$BA$1007,"포함",매출원본!$AS$8:$AS$1007,"&gt;="&amp;EDATE(설정!$B$10,3),매출원본!$AS$8:$AS$1007,"&lt;="&amp;EOMONTH(설정!$B$10,3)))</f>
        <v/>
      </c>
      <c r="M147" s="33">
        <f>IF(OR($U147="",4&gt;=설정!$B$12),"",SUMIFS(매출원본!$AT$8:$AT$1007,매출원본!$AX$8:$AX$1007,INDEX($R$8:$R$207,$U147),매출원본!$BA$8:$BA$1007,"포함",매출원본!$AS$8:$AS$1007,"&gt;="&amp;EDATE(설정!$B$10,4),매출원본!$AS$8:$AS$1007,"&lt;="&amp;EOMONTH(설정!$B$10,4)))</f>
        <v/>
      </c>
      <c r="N147" s="33">
        <f>IF(OR($U147="",5&gt;=설정!$B$12),"",SUMIFS(매출원본!$AT$8:$AT$1007,매출원본!$AX$8:$AX$1007,INDEX($R$8:$R$207,$U147),매출원본!$BA$8:$BA$1007,"포함",매출원본!$AS$8:$AS$1007,"&gt;="&amp;EDATE(설정!$B$10,5),매출원본!$AS$8:$AS$1007,"&lt;="&amp;EOMONTH(설정!$B$10,5)))</f>
        <v/>
      </c>
      <c r="Q147" s="35" t="n">
        <v>140</v>
      </c>
      <c r="R147" s="35">
        <f>IFERROR(INDEX(매출원본!$AX$8:$AX$1007,MATCH($Q147,매출원본!$BD$8:$BD$1007,0)),"")</f>
        <v/>
      </c>
      <c r="S147" s="35">
        <f>IF($R147="","",SUMIFS(매출원본!$AT$8:$AT$1007,매출원본!$AX$8:$AX$1007,$R147,매출원본!$BA$8:$BA$1007,"포함"))</f>
        <v/>
      </c>
      <c r="T147" s="35">
        <f>IF($R147="","",$S147-$Q147/100000)</f>
        <v/>
      </c>
      <c r="U147" s="35">
        <f>IFERROR(MATCH(LARGE($T$8:$T$207,140),$T$8:$T$207,0),"")</f>
        <v/>
      </c>
    </row>
    <row r="148">
      <c r="A148" s="32">
        <f>IF($U148="","",141)</f>
        <v/>
      </c>
      <c r="B148" s="10">
        <f>IF($U148="","",IFERROR(INDEX(매출원본!$AZ$8:$AZ$1007,MATCH($U148,매출원본!$BD$8:$BD$1007,0)),""))</f>
        <v/>
      </c>
      <c r="C148" s="10">
        <f>IF($U148="","",IFERROR(INDEX(매출원본!$AY$8:$AY$1007,MATCH($U148,매출원본!$BD$8:$BD$1007,0)),""))</f>
        <v/>
      </c>
      <c r="D148" s="33">
        <f>IF($U148="","",COUNTIFS(매출원본!$AX$8:$AX$1007,INDEX($R$8:$R$207,$U148),매출원본!$BA$8:$BA$1007,"포함"))</f>
        <v/>
      </c>
      <c r="E148" s="33">
        <f>IF($U148="","",SUMIFS(매출원본!$AT$8:$AT$1007,매출원본!$AX$8:$AX$1007,INDEX($R$8:$R$207,$U148),매출원본!$BA$8:$BA$1007,"포함"))</f>
        <v/>
      </c>
      <c r="F148" s="33">
        <f>IF($U148="","",SUMIFS(매출원본!$AU$8:$AU$1007,매출원본!$AX$8:$AX$1007,INDEX($R$8:$R$207,$U148),매출원본!$BA$8:$BA$1007,"포함"))</f>
        <v/>
      </c>
      <c r="G148" s="33">
        <f>IF($U148="","",SUMIFS(매출원본!$AV$8:$AV$1007,매출원본!$AX$8:$AX$1007,INDEX($R$8:$R$207,$U148),매출원본!$BA$8:$BA$1007,"포함"))</f>
        <v/>
      </c>
      <c r="H148" s="34">
        <f>IF(OR($U148="",$E$7=0),"",E148/$E$7)</f>
        <v/>
      </c>
      <c r="I148" s="33">
        <f>IF(OR($U148="",0&gt;=설정!$B$12),"",SUMIFS(매출원본!$AT$8:$AT$1007,매출원본!$AX$8:$AX$1007,INDEX($R$8:$R$207,$U148),매출원본!$BA$8:$BA$1007,"포함",매출원본!$AS$8:$AS$1007,"&gt;="&amp;EDATE(설정!$B$10,0),매출원본!$AS$8:$AS$1007,"&lt;="&amp;EOMONTH(설정!$B$10,0)))</f>
        <v/>
      </c>
      <c r="J148" s="33">
        <f>IF(OR($U148="",1&gt;=설정!$B$12),"",SUMIFS(매출원본!$AT$8:$AT$1007,매출원본!$AX$8:$AX$1007,INDEX($R$8:$R$207,$U148),매출원본!$BA$8:$BA$1007,"포함",매출원본!$AS$8:$AS$1007,"&gt;="&amp;EDATE(설정!$B$10,1),매출원본!$AS$8:$AS$1007,"&lt;="&amp;EOMONTH(설정!$B$10,1)))</f>
        <v/>
      </c>
      <c r="K148" s="33">
        <f>IF(OR($U148="",2&gt;=설정!$B$12),"",SUMIFS(매출원본!$AT$8:$AT$1007,매출원본!$AX$8:$AX$1007,INDEX($R$8:$R$207,$U148),매출원본!$BA$8:$BA$1007,"포함",매출원본!$AS$8:$AS$1007,"&gt;="&amp;EDATE(설정!$B$10,2),매출원본!$AS$8:$AS$1007,"&lt;="&amp;EOMONTH(설정!$B$10,2)))</f>
        <v/>
      </c>
      <c r="L148" s="33">
        <f>IF(OR($U148="",3&gt;=설정!$B$12),"",SUMIFS(매출원본!$AT$8:$AT$1007,매출원본!$AX$8:$AX$1007,INDEX($R$8:$R$207,$U148),매출원본!$BA$8:$BA$1007,"포함",매출원본!$AS$8:$AS$1007,"&gt;="&amp;EDATE(설정!$B$10,3),매출원본!$AS$8:$AS$1007,"&lt;="&amp;EOMONTH(설정!$B$10,3)))</f>
        <v/>
      </c>
      <c r="M148" s="33">
        <f>IF(OR($U148="",4&gt;=설정!$B$12),"",SUMIFS(매출원본!$AT$8:$AT$1007,매출원본!$AX$8:$AX$1007,INDEX($R$8:$R$207,$U148),매출원본!$BA$8:$BA$1007,"포함",매출원본!$AS$8:$AS$1007,"&gt;="&amp;EDATE(설정!$B$10,4),매출원본!$AS$8:$AS$1007,"&lt;="&amp;EOMONTH(설정!$B$10,4)))</f>
        <v/>
      </c>
      <c r="N148" s="33">
        <f>IF(OR($U148="",5&gt;=설정!$B$12),"",SUMIFS(매출원본!$AT$8:$AT$1007,매출원본!$AX$8:$AX$1007,INDEX($R$8:$R$207,$U148),매출원본!$BA$8:$BA$1007,"포함",매출원본!$AS$8:$AS$1007,"&gt;="&amp;EDATE(설정!$B$10,5),매출원본!$AS$8:$AS$1007,"&lt;="&amp;EOMONTH(설정!$B$10,5)))</f>
        <v/>
      </c>
      <c r="Q148" s="35" t="n">
        <v>141</v>
      </c>
      <c r="R148" s="35">
        <f>IFERROR(INDEX(매출원본!$AX$8:$AX$1007,MATCH($Q148,매출원본!$BD$8:$BD$1007,0)),"")</f>
        <v/>
      </c>
      <c r="S148" s="35">
        <f>IF($R148="","",SUMIFS(매출원본!$AT$8:$AT$1007,매출원본!$AX$8:$AX$1007,$R148,매출원본!$BA$8:$BA$1007,"포함"))</f>
        <v/>
      </c>
      <c r="T148" s="35">
        <f>IF($R148="","",$S148-$Q148/100000)</f>
        <v/>
      </c>
      <c r="U148" s="35">
        <f>IFERROR(MATCH(LARGE($T$8:$T$207,141),$T$8:$T$207,0),"")</f>
        <v/>
      </c>
    </row>
    <row r="149">
      <c r="A149" s="32">
        <f>IF($U149="","",142)</f>
        <v/>
      </c>
      <c r="B149" s="10">
        <f>IF($U149="","",IFERROR(INDEX(매출원본!$AZ$8:$AZ$1007,MATCH($U149,매출원본!$BD$8:$BD$1007,0)),""))</f>
        <v/>
      </c>
      <c r="C149" s="10">
        <f>IF($U149="","",IFERROR(INDEX(매출원본!$AY$8:$AY$1007,MATCH($U149,매출원본!$BD$8:$BD$1007,0)),""))</f>
        <v/>
      </c>
      <c r="D149" s="33">
        <f>IF($U149="","",COUNTIFS(매출원본!$AX$8:$AX$1007,INDEX($R$8:$R$207,$U149),매출원본!$BA$8:$BA$1007,"포함"))</f>
        <v/>
      </c>
      <c r="E149" s="33">
        <f>IF($U149="","",SUMIFS(매출원본!$AT$8:$AT$1007,매출원본!$AX$8:$AX$1007,INDEX($R$8:$R$207,$U149),매출원본!$BA$8:$BA$1007,"포함"))</f>
        <v/>
      </c>
      <c r="F149" s="33">
        <f>IF($U149="","",SUMIFS(매출원본!$AU$8:$AU$1007,매출원본!$AX$8:$AX$1007,INDEX($R$8:$R$207,$U149),매출원본!$BA$8:$BA$1007,"포함"))</f>
        <v/>
      </c>
      <c r="G149" s="33">
        <f>IF($U149="","",SUMIFS(매출원본!$AV$8:$AV$1007,매출원본!$AX$8:$AX$1007,INDEX($R$8:$R$207,$U149),매출원본!$BA$8:$BA$1007,"포함"))</f>
        <v/>
      </c>
      <c r="H149" s="34">
        <f>IF(OR($U149="",$E$7=0),"",E149/$E$7)</f>
        <v/>
      </c>
      <c r="I149" s="33">
        <f>IF(OR($U149="",0&gt;=설정!$B$12),"",SUMIFS(매출원본!$AT$8:$AT$1007,매출원본!$AX$8:$AX$1007,INDEX($R$8:$R$207,$U149),매출원본!$BA$8:$BA$1007,"포함",매출원본!$AS$8:$AS$1007,"&gt;="&amp;EDATE(설정!$B$10,0),매출원본!$AS$8:$AS$1007,"&lt;="&amp;EOMONTH(설정!$B$10,0)))</f>
        <v/>
      </c>
      <c r="J149" s="33">
        <f>IF(OR($U149="",1&gt;=설정!$B$12),"",SUMIFS(매출원본!$AT$8:$AT$1007,매출원본!$AX$8:$AX$1007,INDEX($R$8:$R$207,$U149),매출원본!$BA$8:$BA$1007,"포함",매출원본!$AS$8:$AS$1007,"&gt;="&amp;EDATE(설정!$B$10,1),매출원본!$AS$8:$AS$1007,"&lt;="&amp;EOMONTH(설정!$B$10,1)))</f>
        <v/>
      </c>
      <c r="K149" s="33">
        <f>IF(OR($U149="",2&gt;=설정!$B$12),"",SUMIFS(매출원본!$AT$8:$AT$1007,매출원본!$AX$8:$AX$1007,INDEX($R$8:$R$207,$U149),매출원본!$BA$8:$BA$1007,"포함",매출원본!$AS$8:$AS$1007,"&gt;="&amp;EDATE(설정!$B$10,2),매출원본!$AS$8:$AS$1007,"&lt;="&amp;EOMONTH(설정!$B$10,2)))</f>
        <v/>
      </c>
      <c r="L149" s="33">
        <f>IF(OR($U149="",3&gt;=설정!$B$12),"",SUMIFS(매출원본!$AT$8:$AT$1007,매출원본!$AX$8:$AX$1007,INDEX($R$8:$R$207,$U149),매출원본!$BA$8:$BA$1007,"포함",매출원본!$AS$8:$AS$1007,"&gt;="&amp;EDATE(설정!$B$10,3),매출원본!$AS$8:$AS$1007,"&lt;="&amp;EOMONTH(설정!$B$10,3)))</f>
        <v/>
      </c>
      <c r="M149" s="33">
        <f>IF(OR($U149="",4&gt;=설정!$B$12),"",SUMIFS(매출원본!$AT$8:$AT$1007,매출원본!$AX$8:$AX$1007,INDEX($R$8:$R$207,$U149),매출원본!$BA$8:$BA$1007,"포함",매출원본!$AS$8:$AS$1007,"&gt;="&amp;EDATE(설정!$B$10,4),매출원본!$AS$8:$AS$1007,"&lt;="&amp;EOMONTH(설정!$B$10,4)))</f>
        <v/>
      </c>
      <c r="N149" s="33">
        <f>IF(OR($U149="",5&gt;=설정!$B$12),"",SUMIFS(매출원본!$AT$8:$AT$1007,매출원본!$AX$8:$AX$1007,INDEX($R$8:$R$207,$U149),매출원본!$BA$8:$BA$1007,"포함",매출원본!$AS$8:$AS$1007,"&gt;="&amp;EDATE(설정!$B$10,5),매출원본!$AS$8:$AS$1007,"&lt;="&amp;EOMONTH(설정!$B$10,5)))</f>
        <v/>
      </c>
      <c r="Q149" s="35" t="n">
        <v>142</v>
      </c>
      <c r="R149" s="35">
        <f>IFERROR(INDEX(매출원본!$AX$8:$AX$1007,MATCH($Q149,매출원본!$BD$8:$BD$1007,0)),"")</f>
        <v/>
      </c>
      <c r="S149" s="35">
        <f>IF($R149="","",SUMIFS(매출원본!$AT$8:$AT$1007,매출원본!$AX$8:$AX$1007,$R149,매출원본!$BA$8:$BA$1007,"포함"))</f>
        <v/>
      </c>
      <c r="T149" s="35">
        <f>IF($R149="","",$S149-$Q149/100000)</f>
        <v/>
      </c>
      <c r="U149" s="35">
        <f>IFERROR(MATCH(LARGE($T$8:$T$207,142),$T$8:$T$207,0),"")</f>
        <v/>
      </c>
    </row>
    <row r="150">
      <c r="A150" s="32">
        <f>IF($U150="","",143)</f>
        <v/>
      </c>
      <c r="B150" s="10">
        <f>IF($U150="","",IFERROR(INDEX(매출원본!$AZ$8:$AZ$1007,MATCH($U150,매출원본!$BD$8:$BD$1007,0)),""))</f>
        <v/>
      </c>
      <c r="C150" s="10">
        <f>IF($U150="","",IFERROR(INDEX(매출원본!$AY$8:$AY$1007,MATCH($U150,매출원본!$BD$8:$BD$1007,0)),""))</f>
        <v/>
      </c>
      <c r="D150" s="33">
        <f>IF($U150="","",COUNTIFS(매출원본!$AX$8:$AX$1007,INDEX($R$8:$R$207,$U150),매출원본!$BA$8:$BA$1007,"포함"))</f>
        <v/>
      </c>
      <c r="E150" s="33">
        <f>IF($U150="","",SUMIFS(매출원본!$AT$8:$AT$1007,매출원본!$AX$8:$AX$1007,INDEX($R$8:$R$207,$U150),매출원본!$BA$8:$BA$1007,"포함"))</f>
        <v/>
      </c>
      <c r="F150" s="33">
        <f>IF($U150="","",SUMIFS(매출원본!$AU$8:$AU$1007,매출원본!$AX$8:$AX$1007,INDEX($R$8:$R$207,$U150),매출원본!$BA$8:$BA$1007,"포함"))</f>
        <v/>
      </c>
      <c r="G150" s="33">
        <f>IF($U150="","",SUMIFS(매출원본!$AV$8:$AV$1007,매출원본!$AX$8:$AX$1007,INDEX($R$8:$R$207,$U150),매출원본!$BA$8:$BA$1007,"포함"))</f>
        <v/>
      </c>
      <c r="H150" s="34">
        <f>IF(OR($U150="",$E$7=0),"",E150/$E$7)</f>
        <v/>
      </c>
      <c r="I150" s="33">
        <f>IF(OR($U150="",0&gt;=설정!$B$12),"",SUMIFS(매출원본!$AT$8:$AT$1007,매출원본!$AX$8:$AX$1007,INDEX($R$8:$R$207,$U150),매출원본!$BA$8:$BA$1007,"포함",매출원본!$AS$8:$AS$1007,"&gt;="&amp;EDATE(설정!$B$10,0),매출원본!$AS$8:$AS$1007,"&lt;="&amp;EOMONTH(설정!$B$10,0)))</f>
        <v/>
      </c>
      <c r="J150" s="33">
        <f>IF(OR($U150="",1&gt;=설정!$B$12),"",SUMIFS(매출원본!$AT$8:$AT$1007,매출원본!$AX$8:$AX$1007,INDEX($R$8:$R$207,$U150),매출원본!$BA$8:$BA$1007,"포함",매출원본!$AS$8:$AS$1007,"&gt;="&amp;EDATE(설정!$B$10,1),매출원본!$AS$8:$AS$1007,"&lt;="&amp;EOMONTH(설정!$B$10,1)))</f>
        <v/>
      </c>
      <c r="K150" s="33">
        <f>IF(OR($U150="",2&gt;=설정!$B$12),"",SUMIFS(매출원본!$AT$8:$AT$1007,매출원본!$AX$8:$AX$1007,INDEX($R$8:$R$207,$U150),매출원본!$BA$8:$BA$1007,"포함",매출원본!$AS$8:$AS$1007,"&gt;="&amp;EDATE(설정!$B$10,2),매출원본!$AS$8:$AS$1007,"&lt;="&amp;EOMONTH(설정!$B$10,2)))</f>
        <v/>
      </c>
      <c r="L150" s="33">
        <f>IF(OR($U150="",3&gt;=설정!$B$12),"",SUMIFS(매출원본!$AT$8:$AT$1007,매출원본!$AX$8:$AX$1007,INDEX($R$8:$R$207,$U150),매출원본!$BA$8:$BA$1007,"포함",매출원본!$AS$8:$AS$1007,"&gt;="&amp;EDATE(설정!$B$10,3),매출원본!$AS$8:$AS$1007,"&lt;="&amp;EOMONTH(설정!$B$10,3)))</f>
        <v/>
      </c>
      <c r="M150" s="33">
        <f>IF(OR($U150="",4&gt;=설정!$B$12),"",SUMIFS(매출원본!$AT$8:$AT$1007,매출원본!$AX$8:$AX$1007,INDEX($R$8:$R$207,$U150),매출원본!$BA$8:$BA$1007,"포함",매출원본!$AS$8:$AS$1007,"&gt;="&amp;EDATE(설정!$B$10,4),매출원본!$AS$8:$AS$1007,"&lt;="&amp;EOMONTH(설정!$B$10,4)))</f>
        <v/>
      </c>
      <c r="N150" s="33">
        <f>IF(OR($U150="",5&gt;=설정!$B$12),"",SUMIFS(매출원본!$AT$8:$AT$1007,매출원본!$AX$8:$AX$1007,INDEX($R$8:$R$207,$U150),매출원본!$BA$8:$BA$1007,"포함",매출원본!$AS$8:$AS$1007,"&gt;="&amp;EDATE(설정!$B$10,5),매출원본!$AS$8:$AS$1007,"&lt;="&amp;EOMONTH(설정!$B$10,5)))</f>
        <v/>
      </c>
      <c r="Q150" s="35" t="n">
        <v>143</v>
      </c>
      <c r="R150" s="35">
        <f>IFERROR(INDEX(매출원본!$AX$8:$AX$1007,MATCH($Q150,매출원본!$BD$8:$BD$1007,0)),"")</f>
        <v/>
      </c>
      <c r="S150" s="35">
        <f>IF($R150="","",SUMIFS(매출원본!$AT$8:$AT$1007,매출원본!$AX$8:$AX$1007,$R150,매출원본!$BA$8:$BA$1007,"포함"))</f>
        <v/>
      </c>
      <c r="T150" s="35">
        <f>IF($R150="","",$S150-$Q150/100000)</f>
        <v/>
      </c>
      <c r="U150" s="35">
        <f>IFERROR(MATCH(LARGE($T$8:$T$207,143),$T$8:$T$207,0),"")</f>
        <v/>
      </c>
    </row>
    <row r="151">
      <c r="A151" s="32">
        <f>IF($U151="","",144)</f>
        <v/>
      </c>
      <c r="B151" s="10">
        <f>IF($U151="","",IFERROR(INDEX(매출원본!$AZ$8:$AZ$1007,MATCH($U151,매출원본!$BD$8:$BD$1007,0)),""))</f>
        <v/>
      </c>
      <c r="C151" s="10">
        <f>IF($U151="","",IFERROR(INDEX(매출원본!$AY$8:$AY$1007,MATCH($U151,매출원본!$BD$8:$BD$1007,0)),""))</f>
        <v/>
      </c>
      <c r="D151" s="33">
        <f>IF($U151="","",COUNTIFS(매출원본!$AX$8:$AX$1007,INDEX($R$8:$R$207,$U151),매출원본!$BA$8:$BA$1007,"포함"))</f>
        <v/>
      </c>
      <c r="E151" s="33">
        <f>IF($U151="","",SUMIFS(매출원본!$AT$8:$AT$1007,매출원본!$AX$8:$AX$1007,INDEX($R$8:$R$207,$U151),매출원본!$BA$8:$BA$1007,"포함"))</f>
        <v/>
      </c>
      <c r="F151" s="33">
        <f>IF($U151="","",SUMIFS(매출원본!$AU$8:$AU$1007,매출원본!$AX$8:$AX$1007,INDEX($R$8:$R$207,$U151),매출원본!$BA$8:$BA$1007,"포함"))</f>
        <v/>
      </c>
      <c r="G151" s="33">
        <f>IF($U151="","",SUMIFS(매출원본!$AV$8:$AV$1007,매출원본!$AX$8:$AX$1007,INDEX($R$8:$R$207,$U151),매출원본!$BA$8:$BA$1007,"포함"))</f>
        <v/>
      </c>
      <c r="H151" s="34">
        <f>IF(OR($U151="",$E$7=0),"",E151/$E$7)</f>
        <v/>
      </c>
      <c r="I151" s="33">
        <f>IF(OR($U151="",0&gt;=설정!$B$12),"",SUMIFS(매출원본!$AT$8:$AT$1007,매출원본!$AX$8:$AX$1007,INDEX($R$8:$R$207,$U151),매출원본!$BA$8:$BA$1007,"포함",매출원본!$AS$8:$AS$1007,"&gt;="&amp;EDATE(설정!$B$10,0),매출원본!$AS$8:$AS$1007,"&lt;="&amp;EOMONTH(설정!$B$10,0)))</f>
        <v/>
      </c>
      <c r="J151" s="33">
        <f>IF(OR($U151="",1&gt;=설정!$B$12),"",SUMIFS(매출원본!$AT$8:$AT$1007,매출원본!$AX$8:$AX$1007,INDEX($R$8:$R$207,$U151),매출원본!$BA$8:$BA$1007,"포함",매출원본!$AS$8:$AS$1007,"&gt;="&amp;EDATE(설정!$B$10,1),매출원본!$AS$8:$AS$1007,"&lt;="&amp;EOMONTH(설정!$B$10,1)))</f>
        <v/>
      </c>
      <c r="K151" s="33">
        <f>IF(OR($U151="",2&gt;=설정!$B$12),"",SUMIFS(매출원본!$AT$8:$AT$1007,매출원본!$AX$8:$AX$1007,INDEX($R$8:$R$207,$U151),매출원본!$BA$8:$BA$1007,"포함",매출원본!$AS$8:$AS$1007,"&gt;="&amp;EDATE(설정!$B$10,2),매출원본!$AS$8:$AS$1007,"&lt;="&amp;EOMONTH(설정!$B$10,2)))</f>
        <v/>
      </c>
      <c r="L151" s="33">
        <f>IF(OR($U151="",3&gt;=설정!$B$12),"",SUMIFS(매출원본!$AT$8:$AT$1007,매출원본!$AX$8:$AX$1007,INDEX($R$8:$R$207,$U151),매출원본!$BA$8:$BA$1007,"포함",매출원본!$AS$8:$AS$1007,"&gt;="&amp;EDATE(설정!$B$10,3),매출원본!$AS$8:$AS$1007,"&lt;="&amp;EOMONTH(설정!$B$10,3)))</f>
        <v/>
      </c>
      <c r="M151" s="33">
        <f>IF(OR($U151="",4&gt;=설정!$B$12),"",SUMIFS(매출원본!$AT$8:$AT$1007,매출원본!$AX$8:$AX$1007,INDEX($R$8:$R$207,$U151),매출원본!$BA$8:$BA$1007,"포함",매출원본!$AS$8:$AS$1007,"&gt;="&amp;EDATE(설정!$B$10,4),매출원본!$AS$8:$AS$1007,"&lt;="&amp;EOMONTH(설정!$B$10,4)))</f>
        <v/>
      </c>
      <c r="N151" s="33">
        <f>IF(OR($U151="",5&gt;=설정!$B$12),"",SUMIFS(매출원본!$AT$8:$AT$1007,매출원본!$AX$8:$AX$1007,INDEX($R$8:$R$207,$U151),매출원본!$BA$8:$BA$1007,"포함",매출원본!$AS$8:$AS$1007,"&gt;="&amp;EDATE(설정!$B$10,5),매출원본!$AS$8:$AS$1007,"&lt;="&amp;EOMONTH(설정!$B$10,5)))</f>
        <v/>
      </c>
      <c r="Q151" s="35" t="n">
        <v>144</v>
      </c>
      <c r="R151" s="35">
        <f>IFERROR(INDEX(매출원본!$AX$8:$AX$1007,MATCH($Q151,매출원본!$BD$8:$BD$1007,0)),"")</f>
        <v/>
      </c>
      <c r="S151" s="35">
        <f>IF($R151="","",SUMIFS(매출원본!$AT$8:$AT$1007,매출원본!$AX$8:$AX$1007,$R151,매출원본!$BA$8:$BA$1007,"포함"))</f>
        <v/>
      </c>
      <c r="T151" s="35">
        <f>IF($R151="","",$S151-$Q151/100000)</f>
        <v/>
      </c>
      <c r="U151" s="35">
        <f>IFERROR(MATCH(LARGE($T$8:$T$207,144),$T$8:$T$207,0),"")</f>
        <v/>
      </c>
    </row>
    <row r="152">
      <c r="A152" s="32">
        <f>IF($U152="","",145)</f>
        <v/>
      </c>
      <c r="B152" s="10">
        <f>IF($U152="","",IFERROR(INDEX(매출원본!$AZ$8:$AZ$1007,MATCH($U152,매출원본!$BD$8:$BD$1007,0)),""))</f>
        <v/>
      </c>
      <c r="C152" s="10">
        <f>IF($U152="","",IFERROR(INDEX(매출원본!$AY$8:$AY$1007,MATCH($U152,매출원본!$BD$8:$BD$1007,0)),""))</f>
        <v/>
      </c>
      <c r="D152" s="33">
        <f>IF($U152="","",COUNTIFS(매출원본!$AX$8:$AX$1007,INDEX($R$8:$R$207,$U152),매출원본!$BA$8:$BA$1007,"포함"))</f>
        <v/>
      </c>
      <c r="E152" s="33">
        <f>IF($U152="","",SUMIFS(매출원본!$AT$8:$AT$1007,매출원본!$AX$8:$AX$1007,INDEX($R$8:$R$207,$U152),매출원본!$BA$8:$BA$1007,"포함"))</f>
        <v/>
      </c>
      <c r="F152" s="33">
        <f>IF($U152="","",SUMIFS(매출원본!$AU$8:$AU$1007,매출원본!$AX$8:$AX$1007,INDEX($R$8:$R$207,$U152),매출원본!$BA$8:$BA$1007,"포함"))</f>
        <v/>
      </c>
      <c r="G152" s="33">
        <f>IF($U152="","",SUMIFS(매출원본!$AV$8:$AV$1007,매출원본!$AX$8:$AX$1007,INDEX($R$8:$R$207,$U152),매출원본!$BA$8:$BA$1007,"포함"))</f>
        <v/>
      </c>
      <c r="H152" s="34">
        <f>IF(OR($U152="",$E$7=0),"",E152/$E$7)</f>
        <v/>
      </c>
      <c r="I152" s="33">
        <f>IF(OR($U152="",0&gt;=설정!$B$12),"",SUMIFS(매출원본!$AT$8:$AT$1007,매출원본!$AX$8:$AX$1007,INDEX($R$8:$R$207,$U152),매출원본!$BA$8:$BA$1007,"포함",매출원본!$AS$8:$AS$1007,"&gt;="&amp;EDATE(설정!$B$10,0),매출원본!$AS$8:$AS$1007,"&lt;="&amp;EOMONTH(설정!$B$10,0)))</f>
        <v/>
      </c>
      <c r="J152" s="33">
        <f>IF(OR($U152="",1&gt;=설정!$B$12),"",SUMIFS(매출원본!$AT$8:$AT$1007,매출원본!$AX$8:$AX$1007,INDEX($R$8:$R$207,$U152),매출원본!$BA$8:$BA$1007,"포함",매출원본!$AS$8:$AS$1007,"&gt;="&amp;EDATE(설정!$B$10,1),매출원본!$AS$8:$AS$1007,"&lt;="&amp;EOMONTH(설정!$B$10,1)))</f>
        <v/>
      </c>
      <c r="K152" s="33">
        <f>IF(OR($U152="",2&gt;=설정!$B$12),"",SUMIFS(매출원본!$AT$8:$AT$1007,매출원본!$AX$8:$AX$1007,INDEX($R$8:$R$207,$U152),매출원본!$BA$8:$BA$1007,"포함",매출원본!$AS$8:$AS$1007,"&gt;="&amp;EDATE(설정!$B$10,2),매출원본!$AS$8:$AS$1007,"&lt;="&amp;EOMONTH(설정!$B$10,2)))</f>
        <v/>
      </c>
      <c r="L152" s="33">
        <f>IF(OR($U152="",3&gt;=설정!$B$12),"",SUMIFS(매출원본!$AT$8:$AT$1007,매출원본!$AX$8:$AX$1007,INDEX($R$8:$R$207,$U152),매출원본!$BA$8:$BA$1007,"포함",매출원본!$AS$8:$AS$1007,"&gt;="&amp;EDATE(설정!$B$10,3),매출원본!$AS$8:$AS$1007,"&lt;="&amp;EOMONTH(설정!$B$10,3)))</f>
        <v/>
      </c>
      <c r="M152" s="33">
        <f>IF(OR($U152="",4&gt;=설정!$B$12),"",SUMIFS(매출원본!$AT$8:$AT$1007,매출원본!$AX$8:$AX$1007,INDEX($R$8:$R$207,$U152),매출원본!$BA$8:$BA$1007,"포함",매출원본!$AS$8:$AS$1007,"&gt;="&amp;EDATE(설정!$B$10,4),매출원본!$AS$8:$AS$1007,"&lt;="&amp;EOMONTH(설정!$B$10,4)))</f>
        <v/>
      </c>
      <c r="N152" s="33">
        <f>IF(OR($U152="",5&gt;=설정!$B$12),"",SUMIFS(매출원본!$AT$8:$AT$1007,매출원본!$AX$8:$AX$1007,INDEX($R$8:$R$207,$U152),매출원본!$BA$8:$BA$1007,"포함",매출원본!$AS$8:$AS$1007,"&gt;="&amp;EDATE(설정!$B$10,5),매출원본!$AS$8:$AS$1007,"&lt;="&amp;EOMONTH(설정!$B$10,5)))</f>
        <v/>
      </c>
      <c r="Q152" s="35" t="n">
        <v>145</v>
      </c>
      <c r="R152" s="35">
        <f>IFERROR(INDEX(매출원본!$AX$8:$AX$1007,MATCH($Q152,매출원본!$BD$8:$BD$1007,0)),"")</f>
        <v/>
      </c>
      <c r="S152" s="35">
        <f>IF($R152="","",SUMIFS(매출원본!$AT$8:$AT$1007,매출원본!$AX$8:$AX$1007,$R152,매출원본!$BA$8:$BA$1007,"포함"))</f>
        <v/>
      </c>
      <c r="T152" s="35">
        <f>IF($R152="","",$S152-$Q152/100000)</f>
        <v/>
      </c>
      <c r="U152" s="35">
        <f>IFERROR(MATCH(LARGE($T$8:$T$207,145),$T$8:$T$207,0),"")</f>
        <v/>
      </c>
    </row>
    <row r="153">
      <c r="A153" s="32">
        <f>IF($U153="","",146)</f>
        <v/>
      </c>
      <c r="B153" s="10">
        <f>IF($U153="","",IFERROR(INDEX(매출원본!$AZ$8:$AZ$1007,MATCH($U153,매출원본!$BD$8:$BD$1007,0)),""))</f>
        <v/>
      </c>
      <c r="C153" s="10">
        <f>IF($U153="","",IFERROR(INDEX(매출원본!$AY$8:$AY$1007,MATCH($U153,매출원본!$BD$8:$BD$1007,0)),""))</f>
        <v/>
      </c>
      <c r="D153" s="33">
        <f>IF($U153="","",COUNTIFS(매출원본!$AX$8:$AX$1007,INDEX($R$8:$R$207,$U153),매출원본!$BA$8:$BA$1007,"포함"))</f>
        <v/>
      </c>
      <c r="E153" s="33">
        <f>IF($U153="","",SUMIFS(매출원본!$AT$8:$AT$1007,매출원본!$AX$8:$AX$1007,INDEX($R$8:$R$207,$U153),매출원본!$BA$8:$BA$1007,"포함"))</f>
        <v/>
      </c>
      <c r="F153" s="33">
        <f>IF($U153="","",SUMIFS(매출원본!$AU$8:$AU$1007,매출원본!$AX$8:$AX$1007,INDEX($R$8:$R$207,$U153),매출원본!$BA$8:$BA$1007,"포함"))</f>
        <v/>
      </c>
      <c r="G153" s="33">
        <f>IF($U153="","",SUMIFS(매출원본!$AV$8:$AV$1007,매출원본!$AX$8:$AX$1007,INDEX($R$8:$R$207,$U153),매출원본!$BA$8:$BA$1007,"포함"))</f>
        <v/>
      </c>
      <c r="H153" s="34">
        <f>IF(OR($U153="",$E$7=0),"",E153/$E$7)</f>
        <v/>
      </c>
      <c r="I153" s="33">
        <f>IF(OR($U153="",0&gt;=설정!$B$12),"",SUMIFS(매출원본!$AT$8:$AT$1007,매출원본!$AX$8:$AX$1007,INDEX($R$8:$R$207,$U153),매출원본!$BA$8:$BA$1007,"포함",매출원본!$AS$8:$AS$1007,"&gt;="&amp;EDATE(설정!$B$10,0),매출원본!$AS$8:$AS$1007,"&lt;="&amp;EOMONTH(설정!$B$10,0)))</f>
        <v/>
      </c>
      <c r="J153" s="33">
        <f>IF(OR($U153="",1&gt;=설정!$B$12),"",SUMIFS(매출원본!$AT$8:$AT$1007,매출원본!$AX$8:$AX$1007,INDEX($R$8:$R$207,$U153),매출원본!$BA$8:$BA$1007,"포함",매출원본!$AS$8:$AS$1007,"&gt;="&amp;EDATE(설정!$B$10,1),매출원본!$AS$8:$AS$1007,"&lt;="&amp;EOMONTH(설정!$B$10,1)))</f>
        <v/>
      </c>
      <c r="K153" s="33">
        <f>IF(OR($U153="",2&gt;=설정!$B$12),"",SUMIFS(매출원본!$AT$8:$AT$1007,매출원본!$AX$8:$AX$1007,INDEX($R$8:$R$207,$U153),매출원본!$BA$8:$BA$1007,"포함",매출원본!$AS$8:$AS$1007,"&gt;="&amp;EDATE(설정!$B$10,2),매출원본!$AS$8:$AS$1007,"&lt;="&amp;EOMONTH(설정!$B$10,2)))</f>
        <v/>
      </c>
      <c r="L153" s="33">
        <f>IF(OR($U153="",3&gt;=설정!$B$12),"",SUMIFS(매출원본!$AT$8:$AT$1007,매출원본!$AX$8:$AX$1007,INDEX($R$8:$R$207,$U153),매출원본!$BA$8:$BA$1007,"포함",매출원본!$AS$8:$AS$1007,"&gt;="&amp;EDATE(설정!$B$10,3),매출원본!$AS$8:$AS$1007,"&lt;="&amp;EOMONTH(설정!$B$10,3)))</f>
        <v/>
      </c>
      <c r="M153" s="33">
        <f>IF(OR($U153="",4&gt;=설정!$B$12),"",SUMIFS(매출원본!$AT$8:$AT$1007,매출원본!$AX$8:$AX$1007,INDEX($R$8:$R$207,$U153),매출원본!$BA$8:$BA$1007,"포함",매출원본!$AS$8:$AS$1007,"&gt;="&amp;EDATE(설정!$B$10,4),매출원본!$AS$8:$AS$1007,"&lt;="&amp;EOMONTH(설정!$B$10,4)))</f>
        <v/>
      </c>
      <c r="N153" s="33">
        <f>IF(OR($U153="",5&gt;=설정!$B$12),"",SUMIFS(매출원본!$AT$8:$AT$1007,매출원본!$AX$8:$AX$1007,INDEX($R$8:$R$207,$U153),매출원본!$BA$8:$BA$1007,"포함",매출원본!$AS$8:$AS$1007,"&gt;="&amp;EDATE(설정!$B$10,5),매출원본!$AS$8:$AS$1007,"&lt;="&amp;EOMONTH(설정!$B$10,5)))</f>
        <v/>
      </c>
      <c r="Q153" s="35" t="n">
        <v>146</v>
      </c>
      <c r="R153" s="35">
        <f>IFERROR(INDEX(매출원본!$AX$8:$AX$1007,MATCH($Q153,매출원본!$BD$8:$BD$1007,0)),"")</f>
        <v/>
      </c>
      <c r="S153" s="35">
        <f>IF($R153="","",SUMIFS(매출원본!$AT$8:$AT$1007,매출원본!$AX$8:$AX$1007,$R153,매출원본!$BA$8:$BA$1007,"포함"))</f>
        <v/>
      </c>
      <c r="T153" s="35">
        <f>IF($R153="","",$S153-$Q153/100000)</f>
        <v/>
      </c>
      <c r="U153" s="35">
        <f>IFERROR(MATCH(LARGE($T$8:$T$207,146),$T$8:$T$207,0),"")</f>
        <v/>
      </c>
    </row>
    <row r="154">
      <c r="A154" s="32">
        <f>IF($U154="","",147)</f>
        <v/>
      </c>
      <c r="B154" s="10">
        <f>IF($U154="","",IFERROR(INDEX(매출원본!$AZ$8:$AZ$1007,MATCH($U154,매출원본!$BD$8:$BD$1007,0)),""))</f>
        <v/>
      </c>
      <c r="C154" s="10">
        <f>IF($U154="","",IFERROR(INDEX(매출원본!$AY$8:$AY$1007,MATCH($U154,매출원본!$BD$8:$BD$1007,0)),""))</f>
        <v/>
      </c>
      <c r="D154" s="33">
        <f>IF($U154="","",COUNTIFS(매출원본!$AX$8:$AX$1007,INDEX($R$8:$R$207,$U154),매출원본!$BA$8:$BA$1007,"포함"))</f>
        <v/>
      </c>
      <c r="E154" s="33">
        <f>IF($U154="","",SUMIFS(매출원본!$AT$8:$AT$1007,매출원본!$AX$8:$AX$1007,INDEX($R$8:$R$207,$U154),매출원본!$BA$8:$BA$1007,"포함"))</f>
        <v/>
      </c>
      <c r="F154" s="33">
        <f>IF($U154="","",SUMIFS(매출원본!$AU$8:$AU$1007,매출원본!$AX$8:$AX$1007,INDEX($R$8:$R$207,$U154),매출원본!$BA$8:$BA$1007,"포함"))</f>
        <v/>
      </c>
      <c r="G154" s="33">
        <f>IF($U154="","",SUMIFS(매출원본!$AV$8:$AV$1007,매출원본!$AX$8:$AX$1007,INDEX($R$8:$R$207,$U154),매출원본!$BA$8:$BA$1007,"포함"))</f>
        <v/>
      </c>
      <c r="H154" s="34">
        <f>IF(OR($U154="",$E$7=0),"",E154/$E$7)</f>
        <v/>
      </c>
      <c r="I154" s="33">
        <f>IF(OR($U154="",0&gt;=설정!$B$12),"",SUMIFS(매출원본!$AT$8:$AT$1007,매출원본!$AX$8:$AX$1007,INDEX($R$8:$R$207,$U154),매출원본!$BA$8:$BA$1007,"포함",매출원본!$AS$8:$AS$1007,"&gt;="&amp;EDATE(설정!$B$10,0),매출원본!$AS$8:$AS$1007,"&lt;="&amp;EOMONTH(설정!$B$10,0)))</f>
        <v/>
      </c>
      <c r="J154" s="33">
        <f>IF(OR($U154="",1&gt;=설정!$B$12),"",SUMIFS(매출원본!$AT$8:$AT$1007,매출원본!$AX$8:$AX$1007,INDEX($R$8:$R$207,$U154),매출원본!$BA$8:$BA$1007,"포함",매출원본!$AS$8:$AS$1007,"&gt;="&amp;EDATE(설정!$B$10,1),매출원본!$AS$8:$AS$1007,"&lt;="&amp;EOMONTH(설정!$B$10,1)))</f>
        <v/>
      </c>
      <c r="K154" s="33">
        <f>IF(OR($U154="",2&gt;=설정!$B$12),"",SUMIFS(매출원본!$AT$8:$AT$1007,매출원본!$AX$8:$AX$1007,INDEX($R$8:$R$207,$U154),매출원본!$BA$8:$BA$1007,"포함",매출원본!$AS$8:$AS$1007,"&gt;="&amp;EDATE(설정!$B$10,2),매출원본!$AS$8:$AS$1007,"&lt;="&amp;EOMONTH(설정!$B$10,2)))</f>
        <v/>
      </c>
      <c r="L154" s="33">
        <f>IF(OR($U154="",3&gt;=설정!$B$12),"",SUMIFS(매출원본!$AT$8:$AT$1007,매출원본!$AX$8:$AX$1007,INDEX($R$8:$R$207,$U154),매출원본!$BA$8:$BA$1007,"포함",매출원본!$AS$8:$AS$1007,"&gt;="&amp;EDATE(설정!$B$10,3),매출원본!$AS$8:$AS$1007,"&lt;="&amp;EOMONTH(설정!$B$10,3)))</f>
        <v/>
      </c>
      <c r="M154" s="33">
        <f>IF(OR($U154="",4&gt;=설정!$B$12),"",SUMIFS(매출원본!$AT$8:$AT$1007,매출원본!$AX$8:$AX$1007,INDEX($R$8:$R$207,$U154),매출원본!$BA$8:$BA$1007,"포함",매출원본!$AS$8:$AS$1007,"&gt;="&amp;EDATE(설정!$B$10,4),매출원본!$AS$8:$AS$1007,"&lt;="&amp;EOMONTH(설정!$B$10,4)))</f>
        <v/>
      </c>
      <c r="N154" s="33">
        <f>IF(OR($U154="",5&gt;=설정!$B$12),"",SUMIFS(매출원본!$AT$8:$AT$1007,매출원본!$AX$8:$AX$1007,INDEX($R$8:$R$207,$U154),매출원본!$BA$8:$BA$1007,"포함",매출원본!$AS$8:$AS$1007,"&gt;="&amp;EDATE(설정!$B$10,5),매출원본!$AS$8:$AS$1007,"&lt;="&amp;EOMONTH(설정!$B$10,5)))</f>
        <v/>
      </c>
      <c r="Q154" s="35" t="n">
        <v>147</v>
      </c>
      <c r="R154" s="35">
        <f>IFERROR(INDEX(매출원본!$AX$8:$AX$1007,MATCH($Q154,매출원본!$BD$8:$BD$1007,0)),"")</f>
        <v/>
      </c>
      <c r="S154" s="35">
        <f>IF($R154="","",SUMIFS(매출원본!$AT$8:$AT$1007,매출원본!$AX$8:$AX$1007,$R154,매출원본!$BA$8:$BA$1007,"포함"))</f>
        <v/>
      </c>
      <c r="T154" s="35">
        <f>IF($R154="","",$S154-$Q154/100000)</f>
        <v/>
      </c>
      <c r="U154" s="35">
        <f>IFERROR(MATCH(LARGE($T$8:$T$207,147),$T$8:$T$207,0),"")</f>
        <v/>
      </c>
    </row>
    <row r="155">
      <c r="A155" s="32">
        <f>IF($U155="","",148)</f>
        <v/>
      </c>
      <c r="B155" s="10">
        <f>IF($U155="","",IFERROR(INDEX(매출원본!$AZ$8:$AZ$1007,MATCH($U155,매출원본!$BD$8:$BD$1007,0)),""))</f>
        <v/>
      </c>
      <c r="C155" s="10">
        <f>IF($U155="","",IFERROR(INDEX(매출원본!$AY$8:$AY$1007,MATCH($U155,매출원본!$BD$8:$BD$1007,0)),""))</f>
        <v/>
      </c>
      <c r="D155" s="33">
        <f>IF($U155="","",COUNTIFS(매출원본!$AX$8:$AX$1007,INDEX($R$8:$R$207,$U155),매출원본!$BA$8:$BA$1007,"포함"))</f>
        <v/>
      </c>
      <c r="E155" s="33">
        <f>IF($U155="","",SUMIFS(매출원본!$AT$8:$AT$1007,매출원본!$AX$8:$AX$1007,INDEX($R$8:$R$207,$U155),매출원본!$BA$8:$BA$1007,"포함"))</f>
        <v/>
      </c>
      <c r="F155" s="33">
        <f>IF($U155="","",SUMIFS(매출원본!$AU$8:$AU$1007,매출원본!$AX$8:$AX$1007,INDEX($R$8:$R$207,$U155),매출원본!$BA$8:$BA$1007,"포함"))</f>
        <v/>
      </c>
      <c r="G155" s="33">
        <f>IF($U155="","",SUMIFS(매출원본!$AV$8:$AV$1007,매출원본!$AX$8:$AX$1007,INDEX($R$8:$R$207,$U155),매출원본!$BA$8:$BA$1007,"포함"))</f>
        <v/>
      </c>
      <c r="H155" s="34">
        <f>IF(OR($U155="",$E$7=0),"",E155/$E$7)</f>
        <v/>
      </c>
      <c r="I155" s="33">
        <f>IF(OR($U155="",0&gt;=설정!$B$12),"",SUMIFS(매출원본!$AT$8:$AT$1007,매출원본!$AX$8:$AX$1007,INDEX($R$8:$R$207,$U155),매출원본!$BA$8:$BA$1007,"포함",매출원본!$AS$8:$AS$1007,"&gt;="&amp;EDATE(설정!$B$10,0),매출원본!$AS$8:$AS$1007,"&lt;="&amp;EOMONTH(설정!$B$10,0)))</f>
        <v/>
      </c>
      <c r="J155" s="33">
        <f>IF(OR($U155="",1&gt;=설정!$B$12),"",SUMIFS(매출원본!$AT$8:$AT$1007,매출원본!$AX$8:$AX$1007,INDEX($R$8:$R$207,$U155),매출원본!$BA$8:$BA$1007,"포함",매출원본!$AS$8:$AS$1007,"&gt;="&amp;EDATE(설정!$B$10,1),매출원본!$AS$8:$AS$1007,"&lt;="&amp;EOMONTH(설정!$B$10,1)))</f>
        <v/>
      </c>
      <c r="K155" s="33">
        <f>IF(OR($U155="",2&gt;=설정!$B$12),"",SUMIFS(매출원본!$AT$8:$AT$1007,매출원본!$AX$8:$AX$1007,INDEX($R$8:$R$207,$U155),매출원본!$BA$8:$BA$1007,"포함",매출원본!$AS$8:$AS$1007,"&gt;="&amp;EDATE(설정!$B$10,2),매출원본!$AS$8:$AS$1007,"&lt;="&amp;EOMONTH(설정!$B$10,2)))</f>
        <v/>
      </c>
      <c r="L155" s="33">
        <f>IF(OR($U155="",3&gt;=설정!$B$12),"",SUMIFS(매출원본!$AT$8:$AT$1007,매출원본!$AX$8:$AX$1007,INDEX($R$8:$R$207,$U155),매출원본!$BA$8:$BA$1007,"포함",매출원본!$AS$8:$AS$1007,"&gt;="&amp;EDATE(설정!$B$10,3),매출원본!$AS$8:$AS$1007,"&lt;="&amp;EOMONTH(설정!$B$10,3)))</f>
        <v/>
      </c>
      <c r="M155" s="33">
        <f>IF(OR($U155="",4&gt;=설정!$B$12),"",SUMIFS(매출원본!$AT$8:$AT$1007,매출원본!$AX$8:$AX$1007,INDEX($R$8:$R$207,$U155),매출원본!$BA$8:$BA$1007,"포함",매출원본!$AS$8:$AS$1007,"&gt;="&amp;EDATE(설정!$B$10,4),매출원본!$AS$8:$AS$1007,"&lt;="&amp;EOMONTH(설정!$B$10,4)))</f>
        <v/>
      </c>
      <c r="N155" s="33">
        <f>IF(OR($U155="",5&gt;=설정!$B$12),"",SUMIFS(매출원본!$AT$8:$AT$1007,매출원본!$AX$8:$AX$1007,INDEX($R$8:$R$207,$U155),매출원본!$BA$8:$BA$1007,"포함",매출원본!$AS$8:$AS$1007,"&gt;="&amp;EDATE(설정!$B$10,5),매출원본!$AS$8:$AS$1007,"&lt;="&amp;EOMONTH(설정!$B$10,5)))</f>
        <v/>
      </c>
      <c r="Q155" s="35" t="n">
        <v>148</v>
      </c>
      <c r="R155" s="35">
        <f>IFERROR(INDEX(매출원본!$AX$8:$AX$1007,MATCH($Q155,매출원본!$BD$8:$BD$1007,0)),"")</f>
        <v/>
      </c>
      <c r="S155" s="35">
        <f>IF($R155="","",SUMIFS(매출원본!$AT$8:$AT$1007,매출원본!$AX$8:$AX$1007,$R155,매출원본!$BA$8:$BA$1007,"포함"))</f>
        <v/>
      </c>
      <c r="T155" s="35">
        <f>IF($R155="","",$S155-$Q155/100000)</f>
        <v/>
      </c>
      <c r="U155" s="35">
        <f>IFERROR(MATCH(LARGE($T$8:$T$207,148),$T$8:$T$207,0),"")</f>
        <v/>
      </c>
    </row>
    <row r="156">
      <c r="A156" s="32">
        <f>IF($U156="","",149)</f>
        <v/>
      </c>
      <c r="B156" s="10">
        <f>IF($U156="","",IFERROR(INDEX(매출원본!$AZ$8:$AZ$1007,MATCH($U156,매출원본!$BD$8:$BD$1007,0)),""))</f>
        <v/>
      </c>
      <c r="C156" s="10">
        <f>IF($U156="","",IFERROR(INDEX(매출원본!$AY$8:$AY$1007,MATCH($U156,매출원본!$BD$8:$BD$1007,0)),""))</f>
        <v/>
      </c>
      <c r="D156" s="33">
        <f>IF($U156="","",COUNTIFS(매출원본!$AX$8:$AX$1007,INDEX($R$8:$R$207,$U156),매출원본!$BA$8:$BA$1007,"포함"))</f>
        <v/>
      </c>
      <c r="E156" s="33">
        <f>IF($U156="","",SUMIFS(매출원본!$AT$8:$AT$1007,매출원본!$AX$8:$AX$1007,INDEX($R$8:$R$207,$U156),매출원본!$BA$8:$BA$1007,"포함"))</f>
        <v/>
      </c>
      <c r="F156" s="33">
        <f>IF($U156="","",SUMIFS(매출원본!$AU$8:$AU$1007,매출원본!$AX$8:$AX$1007,INDEX($R$8:$R$207,$U156),매출원본!$BA$8:$BA$1007,"포함"))</f>
        <v/>
      </c>
      <c r="G156" s="33">
        <f>IF($U156="","",SUMIFS(매출원본!$AV$8:$AV$1007,매출원본!$AX$8:$AX$1007,INDEX($R$8:$R$207,$U156),매출원본!$BA$8:$BA$1007,"포함"))</f>
        <v/>
      </c>
      <c r="H156" s="34">
        <f>IF(OR($U156="",$E$7=0),"",E156/$E$7)</f>
        <v/>
      </c>
      <c r="I156" s="33">
        <f>IF(OR($U156="",0&gt;=설정!$B$12),"",SUMIFS(매출원본!$AT$8:$AT$1007,매출원본!$AX$8:$AX$1007,INDEX($R$8:$R$207,$U156),매출원본!$BA$8:$BA$1007,"포함",매출원본!$AS$8:$AS$1007,"&gt;="&amp;EDATE(설정!$B$10,0),매출원본!$AS$8:$AS$1007,"&lt;="&amp;EOMONTH(설정!$B$10,0)))</f>
        <v/>
      </c>
      <c r="J156" s="33">
        <f>IF(OR($U156="",1&gt;=설정!$B$12),"",SUMIFS(매출원본!$AT$8:$AT$1007,매출원본!$AX$8:$AX$1007,INDEX($R$8:$R$207,$U156),매출원본!$BA$8:$BA$1007,"포함",매출원본!$AS$8:$AS$1007,"&gt;="&amp;EDATE(설정!$B$10,1),매출원본!$AS$8:$AS$1007,"&lt;="&amp;EOMONTH(설정!$B$10,1)))</f>
        <v/>
      </c>
      <c r="K156" s="33">
        <f>IF(OR($U156="",2&gt;=설정!$B$12),"",SUMIFS(매출원본!$AT$8:$AT$1007,매출원본!$AX$8:$AX$1007,INDEX($R$8:$R$207,$U156),매출원본!$BA$8:$BA$1007,"포함",매출원본!$AS$8:$AS$1007,"&gt;="&amp;EDATE(설정!$B$10,2),매출원본!$AS$8:$AS$1007,"&lt;="&amp;EOMONTH(설정!$B$10,2)))</f>
        <v/>
      </c>
      <c r="L156" s="33">
        <f>IF(OR($U156="",3&gt;=설정!$B$12),"",SUMIFS(매출원본!$AT$8:$AT$1007,매출원본!$AX$8:$AX$1007,INDEX($R$8:$R$207,$U156),매출원본!$BA$8:$BA$1007,"포함",매출원본!$AS$8:$AS$1007,"&gt;="&amp;EDATE(설정!$B$10,3),매출원본!$AS$8:$AS$1007,"&lt;="&amp;EOMONTH(설정!$B$10,3)))</f>
        <v/>
      </c>
      <c r="M156" s="33">
        <f>IF(OR($U156="",4&gt;=설정!$B$12),"",SUMIFS(매출원본!$AT$8:$AT$1007,매출원본!$AX$8:$AX$1007,INDEX($R$8:$R$207,$U156),매출원본!$BA$8:$BA$1007,"포함",매출원본!$AS$8:$AS$1007,"&gt;="&amp;EDATE(설정!$B$10,4),매출원본!$AS$8:$AS$1007,"&lt;="&amp;EOMONTH(설정!$B$10,4)))</f>
        <v/>
      </c>
      <c r="N156" s="33">
        <f>IF(OR($U156="",5&gt;=설정!$B$12),"",SUMIFS(매출원본!$AT$8:$AT$1007,매출원본!$AX$8:$AX$1007,INDEX($R$8:$R$207,$U156),매출원본!$BA$8:$BA$1007,"포함",매출원본!$AS$8:$AS$1007,"&gt;="&amp;EDATE(설정!$B$10,5),매출원본!$AS$8:$AS$1007,"&lt;="&amp;EOMONTH(설정!$B$10,5)))</f>
        <v/>
      </c>
      <c r="Q156" s="35" t="n">
        <v>149</v>
      </c>
      <c r="R156" s="35">
        <f>IFERROR(INDEX(매출원본!$AX$8:$AX$1007,MATCH($Q156,매출원본!$BD$8:$BD$1007,0)),"")</f>
        <v/>
      </c>
      <c r="S156" s="35">
        <f>IF($R156="","",SUMIFS(매출원본!$AT$8:$AT$1007,매출원본!$AX$8:$AX$1007,$R156,매출원본!$BA$8:$BA$1007,"포함"))</f>
        <v/>
      </c>
      <c r="T156" s="35">
        <f>IF($R156="","",$S156-$Q156/100000)</f>
        <v/>
      </c>
      <c r="U156" s="35">
        <f>IFERROR(MATCH(LARGE($T$8:$T$207,149),$T$8:$T$207,0),"")</f>
        <v/>
      </c>
    </row>
    <row r="157">
      <c r="A157" s="32">
        <f>IF($U157="","",150)</f>
        <v/>
      </c>
      <c r="B157" s="10">
        <f>IF($U157="","",IFERROR(INDEX(매출원본!$AZ$8:$AZ$1007,MATCH($U157,매출원본!$BD$8:$BD$1007,0)),""))</f>
        <v/>
      </c>
      <c r="C157" s="10">
        <f>IF($U157="","",IFERROR(INDEX(매출원본!$AY$8:$AY$1007,MATCH($U157,매출원본!$BD$8:$BD$1007,0)),""))</f>
        <v/>
      </c>
      <c r="D157" s="33">
        <f>IF($U157="","",COUNTIFS(매출원본!$AX$8:$AX$1007,INDEX($R$8:$R$207,$U157),매출원본!$BA$8:$BA$1007,"포함"))</f>
        <v/>
      </c>
      <c r="E157" s="33">
        <f>IF($U157="","",SUMIFS(매출원본!$AT$8:$AT$1007,매출원본!$AX$8:$AX$1007,INDEX($R$8:$R$207,$U157),매출원본!$BA$8:$BA$1007,"포함"))</f>
        <v/>
      </c>
      <c r="F157" s="33">
        <f>IF($U157="","",SUMIFS(매출원본!$AU$8:$AU$1007,매출원본!$AX$8:$AX$1007,INDEX($R$8:$R$207,$U157),매출원본!$BA$8:$BA$1007,"포함"))</f>
        <v/>
      </c>
      <c r="G157" s="33">
        <f>IF($U157="","",SUMIFS(매출원본!$AV$8:$AV$1007,매출원본!$AX$8:$AX$1007,INDEX($R$8:$R$207,$U157),매출원본!$BA$8:$BA$1007,"포함"))</f>
        <v/>
      </c>
      <c r="H157" s="34">
        <f>IF(OR($U157="",$E$7=0),"",E157/$E$7)</f>
        <v/>
      </c>
      <c r="I157" s="33">
        <f>IF(OR($U157="",0&gt;=설정!$B$12),"",SUMIFS(매출원본!$AT$8:$AT$1007,매출원본!$AX$8:$AX$1007,INDEX($R$8:$R$207,$U157),매출원본!$BA$8:$BA$1007,"포함",매출원본!$AS$8:$AS$1007,"&gt;="&amp;EDATE(설정!$B$10,0),매출원본!$AS$8:$AS$1007,"&lt;="&amp;EOMONTH(설정!$B$10,0)))</f>
        <v/>
      </c>
      <c r="J157" s="33">
        <f>IF(OR($U157="",1&gt;=설정!$B$12),"",SUMIFS(매출원본!$AT$8:$AT$1007,매출원본!$AX$8:$AX$1007,INDEX($R$8:$R$207,$U157),매출원본!$BA$8:$BA$1007,"포함",매출원본!$AS$8:$AS$1007,"&gt;="&amp;EDATE(설정!$B$10,1),매출원본!$AS$8:$AS$1007,"&lt;="&amp;EOMONTH(설정!$B$10,1)))</f>
        <v/>
      </c>
      <c r="K157" s="33">
        <f>IF(OR($U157="",2&gt;=설정!$B$12),"",SUMIFS(매출원본!$AT$8:$AT$1007,매출원본!$AX$8:$AX$1007,INDEX($R$8:$R$207,$U157),매출원본!$BA$8:$BA$1007,"포함",매출원본!$AS$8:$AS$1007,"&gt;="&amp;EDATE(설정!$B$10,2),매출원본!$AS$8:$AS$1007,"&lt;="&amp;EOMONTH(설정!$B$10,2)))</f>
        <v/>
      </c>
      <c r="L157" s="33">
        <f>IF(OR($U157="",3&gt;=설정!$B$12),"",SUMIFS(매출원본!$AT$8:$AT$1007,매출원본!$AX$8:$AX$1007,INDEX($R$8:$R$207,$U157),매출원본!$BA$8:$BA$1007,"포함",매출원본!$AS$8:$AS$1007,"&gt;="&amp;EDATE(설정!$B$10,3),매출원본!$AS$8:$AS$1007,"&lt;="&amp;EOMONTH(설정!$B$10,3)))</f>
        <v/>
      </c>
      <c r="M157" s="33">
        <f>IF(OR($U157="",4&gt;=설정!$B$12),"",SUMIFS(매출원본!$AT$8:$AT$1007,매출원본!$AX$8:$AX$1007,INDEX($R$8:$R$207,$U157),매출원본!$BA$8:$BA$1007,"포함",매출원본!$AS$8:$AS$1007,"&gt;="&amp;EDATE(설정!$B$10,4),매출원본!$AS$8:$AS$1007,"&lt;="&amp;EOMONTH(설정!$B$10,4)))</f>
        <v/>
      </c>
      <c r="N157" s="33">
        <f>IF(OR($U157="",5&gt;=설정!$B$12),"",SUMIFS(매출원본!$AT$8:$AT$1007,매출원본!$AX$8:$AX$1007,INDEX($R$8:$R$207,$U157),매출원본!$BA$8:$BA$1007,"포함",매출원본!$AS$8:$AS$1007,"&gt;="&amp;EDATE(설정!$B$10,5),매출원본!$AS$8:$AS$1007,"&lt;="&amp;EOMONTH(설정!$B$10,5)))</f>
        <v/>
      </c>
      <c r="Q157" s="35" t="n">
        <v>150</v>
      </c>
      <c r="R157" s="35">
        <f>IFERROR(INDEX(매출원본!$AX$8:$AX$1007,MATCH($Q157,매출원본!$BD$8:$BD$1007,0)),"")</f>
        <v/>
      </c>
      <c r="S157" s="35">
        <f>IF($R157="","",SUMIFS(매출원본!$AT$8:$AT$1007,매출원본!$AX$8:$AX$1007,$R157,매출원본!$BA$8:$BA$1007,"포함"))</f>
        <v/>
      </c>
      <c r="T157" s="35">
        <f>IF($R157="","",$S157-$Q157/100000)</f>
        <v/>
      </c>
      <c r="U157" s="35">
        <f>IFERROR(MATCH(LARGE($T$8:$T$207,150),$T$8:$T$207,0),"")</f>
        <v/>
      </c>
    </row>
    <row r="158">
      <c r="A158" s="32">
        <f>IF($U158="","",151)</f>
        <v/>
      </c>
      <c r="B158" s="10">
        <f>IF($U158="","",IFERROR(INDEX(매출원본!$AZ$8:$AZ$1007,MATCH($U158,매출원본!$BD$8:$BD$1007,0)),""))</f>
        <v/>
      </c>
      <c r="C158" s="10">
        <f>IF($U158="","",IFERROR(INDEX(매출원본!$AY$8:$AY$1007,MATCH($U158,매출원본!$BD$8:$BD$1007,0)),""))</f>
        <v/>
      </c>
      <c r="D158" s="33">
        <f>IF($U158="","",COUNTIFS(매출원본!$AX$8:$AX$1007,INDEX($R$8:$R$207,$U158),매출원본!$BA$8:$BA$1007,"포함"))</f>
        <v/>
      </c>
      <c r="E158" s="33">
        <f>IF($U158="","",SUMIFS(매출원본!$AT$8:$AT$1007,매출원본!$AX$8:$AX$1007,INDEX($R$8:$R$207,$U158),매출원본!$BA$8:$BA$1007,"포함"))</f>
        <v/>
      </c>
      <c r="F158" s="33">
        <f>IF($U158="","",SUMIFS(매출원본!$AU$8:$AU$1007,매출원본!$AX$8:$AX$1007,INDEX($R$8:$R$207,$U158),매출원본!$BA$8:$BA$1007,"포함"))</f>
        <v/>
      </c>
      <c r="G158" s="33">
        <f>IF($U158="","",SUMIFS(매출원본!$AV$8:$AV$1007,매출원본!$AX$8:$AX$1007,INDEX($R$8:$R$207,$U158),매출원본!$BA$8:$BA$1007,"포함"))</f>
        <v/>
      </c>
      <c r="H158" s="34">
        <f>IF(OR($U158="",$E$7=0),"",E158/$E$7)</f>
        <v/>
      </c>
      <c r="I158" s="33">
        <f>IF(OR($U158="",0&gt;=설정!$B$12),"",SUMIFS(매출원본!$AT$8:$AT$1007,매출원본!$AX$8:$AX$1007,INDEX($R$8:$R$207,$U158),매출원본!$BA$8:$BA$1007,"포함",매출원본!$AS$8:$AS$1007,"&gt;="&amp;EDATE(설정!$B$10,0),매출원본!$AS$8:$AS$1007,"&lt;="&amp;EOMONTH(설정!$B$10,0)))</f>
        <v/>
      </c>
      <c r="J158" s="33">
        <f>IF(OR($U158="",1&gt;=설정!$B$12),"",SUMIFS(매출원본!$AT$8:$AT$1007,매출원본!$AX$8:$AX$1007,INDEX($R$8:$R$207,$U158),매출원본!$BA$8:$BA$1007,"포함",매출원본!$AS$8:$AS$1007,"&gt;="&amp;EDATE(설정!$B$10,1),매출원본!$AS$8:$AS$1007,"&lt;="&amp;EOMONTH(설정!$B$10,1)))</f>
        <v/>
      </c>
      <c r="K158" s="33">
        <f>IF(OR($U158="",2&gt;=설정!$B$12),"",SUMIFS(매출원본!$AT$8:$AT$1007,매출원본!$AX$8:$AX$1007,INDEX($R$8:$R$207,$U158),매출원본!$BA$8:$BA$1007,"포함",매출원본!$AS$8:$AS$1007,"&gt;="&amp;EDATE(설정!$B$10,2),매출원본!$AS$8:$AS$1007,"&lt;="&amp;EOMONTH(설정!$B$10,2)))</f>
        <v/>
      </c>
      <c r="L158" s="33">
        <f>IF(OR($U158="",3&gt;=설정!$B$12),"",SUMIFS(매출원본!$AT$8:$AT$1007,매출원본!$AX$8:$AX$1007,INDEX($R$8:$R$207,$U158),매출원본!$BA$8:$BA$1007,"포함",매출원본!$AS$8:$AS$1007,"&gt;="&amp;EDATE(설정!$B$10,3),매출원본!$AS$8:$AS$1007,"&lt;="&amp;EOMONTH(설정!$B$10,3)))</f>
        <v/>
      </c>
      <c r="M158" s="33">
        <f>IF(OR($U158="",4&gt;=설정!$B$12),"",SUMIFS(매출원본!$AT$8:$AT$1007,매출원본!$AX$8:$AX$1007,INDEX($R$8:$R$207,$U158),매출원본!$BA$8:$BA$1007,"포함",매출원본!$AS$8:$AS$1007,"&gt;="&amp;EDATE(설정!$B$10,4),매출원본!$AS$8:$AS$1007,"&lt;="&amp;EOMONTH(설정!$B$10,4)))</f>
        <v/>
      </c>
      <c r="N158" s="33">
        <f>IF(OR($U158="",5&gt;=설정!$B$12),"",SUMIFS(매출원본!$AT$8:$AT$1007,매출원본!$AX$8:$AX$1007,INDEX($R$8:$R$207,$U158),매출원본!$BA$8:$BA$1007,"포함",매출원본!$AS$8:$AS$1007,"&gt;="&amp;EDATE(설정!$B$10,5),매출원본!$AS$8:$AS$1007,"&lt;="&amp;EOMONTH(설정!$B$10,5)))</f>
        <v/>
      </c>
      <c r="Q158" s="35" t="n">
        <v>151</v>
      </c>
      <c r="R158" s="35">
        <f>IFERROR(INDEX(매출원본!$AX$8:$AX$1007,MATCH($Q158,매출원본!$BD$8:$BD$1007,0)),"")</f>
        <v/>
      </c>
      <c r="S158" s="35">
        <f>IF($R158="","",SUMIFS(매출원본!$AT$8:$AT$1007,매출원본!$AX$8:$AX$1007,$R158,매출원본!$BA$8:$BA$1007,"포함"))</f>
        <v/>
      </c>
      <c r="T158" s="35">
        <f>IF($R158="","",$S158-$Q158/100000)</f>
        <v/>
      </c>
      <c r="U158" s="35">
        <f>IFERROR(MATCH(LARGE($T$8:$T$207,151),$T$8:$T$207,0),"")</f>
        <v/>
      </c>
    </row>
    <row r="159">
      <c r="A159" s="32">
        <f>IF($U159="","",152)</f>
        <v/>
      </c>
      <c r="B159" s="10">
        <f>IF($U159="","",IFERROR(INDEX(매출원본!$AZ$8:$AZ$1007,MATCH($U159,매출원본!$BD$8:$BD$1007,0)),""))</f>
        <v/>
      </c>
      <c r="C159" s="10">
        <f>IF($U159="","",IFERROR(INDEX(매출원본!$AY$8:$AY$1007,MATCH($U159,매출원본!$BD$8:$BD$1007,0)),""))</f>
        <v/>
      </c>
      <c r="D159" s="33">
        <f>IF($U159="","",COUNTIFS(매출원본!$AX$8:$AX$1007,INDEX($R$8:$R$207,$U159),매출원본!$BA$8:$BA$1007,"포함"))</f>
        <v/>
      </c>
      <c r="E159" s="33">
        <f>IF($U159="","",SUMIFS(매출원본!$AT$8:$AT$1007,매출원본!$AX$8:$AX$1007,INDEX($R$8:$R$207,$U159),매출원본!$BA$8:$BA$1007,"포함"))</f>
        <v/>
      </c>
      <c r="F159" s="33">
        <f>IF($U159="","",SUMIFS(매출원본!$AU$8:$AU$1007,매출원본!$AX$8:$AX$1007,INDEX($R$8:$R$207,$U159),매출원본!$BA$8:$BA$1007,"포함"))</f>
        <v/>
      </c>
      <c r="G159" s="33">
        <f>IF($U159="","",SUMIFS(매출원본!$AV$8:$AV$1007,매출원본!$AX$8:$AX$1007,INDEX($R$8:$R$207,$U159),매출원본!$BA$8:$BA$1007,"포함"))</f>
        <v/>
      </c>
      <c r="H159" s="34">
        <f>IF(OR($U159="",$E$7=0),"",E159/$E$7)</f>
        <v/>
      </c>
      <c r="I159" s="33">
        <f>IF(OR($U159="",0&gt;=설정!$B$12),"",SUMIFS(매출원본!$AT$8:$AT$1007,매출원본!$AX$8:$AX$1007,INDEX($R$8:$R$207,$U159),매출원본!$BA$8:$BA$1007,"포함",매출원본!$AS$8:$AS$1007,"&gt;="&amp;EDATE(설정!$B$10,0),매출원본!$AS$8:$AS$1007,"&lt;="&amp;EOMONTH(설정!$B$10,0)))</f>
        <v/>
      </c>
      <c r="J159" s="33">
        <f>IF(OR($U159="",1&gt;=설정!$B$12),"",SUMIFS(매출원본!$AT$8:$AT$1007,매출원본!$AX$8:$AX$1007,INDEX($R$8:$R$207,$U159),매출원본!$BA$8:$BA$1007,"포함",매출원본!$AS$8:$AS$1007,"&gt;="&amp;EDATE(설정!$B$10,1),매출원본!$AS$8:$AS$1007,"&lt;="&amp;EOMONTH(설정!$B$10,1)))</f>
        <v/>
      </c>
      <c r="K159" s="33">
        <f>IF(OR($U159="",2&gt;=설정!$B$12),"",SUMIFS(매출원본!$AT$8:$AT$1007,매출원본!$AX$8:$AX$1007,INDEX($R$8:$R$207,$U159),매출원본!$BA$8:$BA$1007,"포함",매출원본!$AS$8:$AS$1007,"&gt;="&amp;EDATE(설정!$B$10,2),매출원본!$AS$8:$AS$1007,"&lt;="&amp;EOMONTH(설정!$B$10,2)))</f>
        <v/>
      </c>
      <c r="L159" s="33">
        <f>IF(OR($U159="",3&gt;=설정!$B$12),"",SUMIFS(매출원본!$AT$8:$AT$1007,매출원본!$AX$8:$AX$1007,INDEX($R$8:$R$207,$U159),매출원본!$BA$8:$BA$1007,"포함",매출원본!$AS$8:$AS$1007,"&gt;="&amp;EDATE(설정!$B$10,3),매출원본!$AS$8:$AS$1007,"&lt;="&amp;EOMONTH(설정!$B$10,3)))</f>
        <v/>
      </c>
      <c r="M159" s="33">
        <f>IF(OR($U159="",4&gt;=설정!$B$12),"",SUMIFS(매출원본!$AT$8:$AT$1007,매출원본!$AX$8:$AX$1007,INDEX($R$8:$R$207,$U159),매출원본!$BA$8:$BA$1007,"포함",매출원본!$AS$8:$AS$1007,"&gt;="&amp;EDATE(설정!$B$10,4),매출원본!$AS$8:$AS$1007,"&lt;="&amp;EOMONTH(설정!$B$10,4)))</f>
        <v/>
      </c>
      <c r="N159" s="33">
        <f>IF(OR($U159="",5&gt;=설정!$B$12),"",SUMIFS(매출원본!$AT$8:$AT$1007,매출원본!$AX$8:$AX$1007,INDEX($R$8:$R$207,$U159),매출원본!$BA$8:$BA$1007,"포함",매출원본!$AS$8:$AS$1007,"&gt;="&amp;EDATE(설정!$B$10,5),매출원본!$AS$8:$AS$1007,"&lt;="&amp;EOMONTH(설정!$B$10,5)))</f>
        <v/>
      </c>
      <c r="Q159" s="35" t="n">
        <v>152</v>
      </c>
      <c r="R159" s="35">
        <f>IFERROR(INDEX(매출원본!$AX$8:$AX$1007,MATCH($Q159,매출원본!$BD$8:$BD$1007,0)),"")</f>
        <v/>
      </c>
      <c r="S159" s="35">
        <f>IF($R159="","",SUMIFS(매출원본!$AT$8:$AT$1007,매출원본!$AX$8:$AX$1007,$R159,매출원본!$BA$8:$BA$1007,"포함"))</f>
        <v/>
      </c>
      <c r="T159" s="35">
        <f>IF($R159="","",$S159-$Q159/100000)</f>
        <v/>
      </c>
      <c r="U159" s="35">
        <f>IFERROR(MATCH(LARGE($T$8:$T$207,152),$T$8:$T$207,0),"")</f>
        <v/>
      </c>
    </row>
    <row r="160">
      <c r="A160" s="32">
        <f>IF($U160="","",153)</f>
        <v/>
      </c>
      <c r="B160" s="10">
        <f>IF($U160="","",IFERROR(INDEX(매출원본!$AZ$8:$AZ$1007,MATCH($U160,매출원본!$BD$8:$BD$1007,0)),""))</f>
        <v/>
      </c>
      <c r="C160" s="10">
        <f>IF($U160="","",IFERROR(INDEX(매출원본!$AY$8:$AY$1007,MATCH($U160,매출원본!$BD$8:$BD$1007,0)),""))</f>
        <v/>
      </c>
      <c r="D160" s="33">
        <f>IF($U160="","",COUNTIFS(매출원본!$AX$8:$AX$1007,INDEX($R$8:$R$207,$U160),매출원본!$BA$8:$BA$1007,"포함"))</f>
        <v/>
      </c>
      <c r="E160" s="33">
        <f>IF($U160="","",SUMIFS(매출원본!$AT$8:$AT$1007,매출원본!$AX$8:$AX$1007,INDEX($R$8:$R$207,$U160),매출원본!$BA$8:$BA$1007,"포함"))</f>
        <v/>
      </c>
      <c r="F160" s="33">
        <f>IF($U160="","",SUMIFS(매출원본!$AU$8:$AU$1007,매출원본!$AX$8:$AX$1007,INDEX($R$8:$R$207,$U160),매출원본!$BA$8:$BA$1007,"포함"))</f>
        <v/>
      </c>
      <c r="G160" s="33">
        <f>IF($U160="","",SUMIFS(매출원본!$AV$8:$AV$1007,매출원본!$AX$8:$AX$1007,INDEX($R$8:$R$207,$U160),매출원본!$BA$8:$BA$1007,"포함"))</f>
        <v/>
      </c>
      <c r="H160" s="34">
        <f>IF(OR($U160="",$E$7=0),"",E160/$E$7)</f>
        <v/>
      </c>
      <c r="I160" s="33">
        <f>IF(OR($U160="",0&gt;=설정!$B$12),"",SUMIFS(매출원본!$AT$8:$AT$1007,매출원본!$AX$8:$AX$1007,INDEX($R$8:$R$207,$U160),매출원본!$BA$8:$BA$1007,"포함",매출원본!$AS$8:$AS$1007,"&gt;="&amp;EDATE(설정!$B$10,0),매출원본!$AS$8:$AS$1007,"&lt;="&amp;EOMONTH(설정!$B$10,0)))</f>
        <v/>
      </c>
      <c r="J160" s="33">
        <f>IF(OR($U160="",1&gt;=설정!$B$12),"",SUMIFS(매출원본!$AT$8:$AT$1007,매출원본!$AX$8:$AX$1007,INDEX($R$8:$R$207,$U160),매출원본!$BA$8:$BA$1007,"포함",매출원본!$AS$8:$AS$1007,"&gt;="&amp;EDATE(설정!$B$10,1),매출원본!$AS$8:$AS$1007,"&lt;="&amp;EOMONTH(설정!$B$10,1)))</f>
        <v/>
      </c>
      <c r="K160" s="33">
        <f>IF(OR($U160="",2&gt;=설정!$B$12),"",SUMIFS(매출원본!$AT$8:$AT$1007,매출원본!$AX$8:$AX$1007,INDEX($R$8:$R$207,$U160),매출원본!$BA$8:$BA$1007,"포함",매출원본!$AS$8:$AS$1007,"&gt;="&amp;EDATE(설정!$B$10,2),매출원본!$AS$8:$AS$1007,"&lt;="&amp;EOMONTH(설정!$B$10,2)))</f>
        <v/>
      </c>
      <c r="L160" s="33">
        <f>IF(OR($U160="",3&gt;=설정!$B$12),"",SUMIFS(매출원본!$AT$8:$AT$1007,매출원본!$AX$8:$AX$1007,INDEX($R$8:$R$207,$U160),매출원본!$BA$8:$BA$1007,"포함",매출원본!$AS$8:$AS$1007,"&gt;="&amp;EDATE(설정!$B$10,3),매출원본!$AS$8:$AS$1007,"&lt;="&amp;EOMONTH(설정!$B$10,3)))</f>
        <v/>
      </c>
      <c r="M160" s="33">
        <f>IF(OR($U160="",4&gt;=설정!$B$12),"",SUMIFS(매출원본!$AT$8:$AT$1007,매출원본!$AX$8:$AX$1007,INDEX($R$8:$R$207,$U160),매출원본!$BA$8:$BA$1007,"포함",매출원본!$AS$8:$AS$1007,"&gt;="&amp;EDATE(설정!$B$10,4),매출원본!$AS$8:$AS$1007,"&lt;="&amp;EOMONTH(설정!$B$10,4)))</f>
        <v/>
      </c>
      <c r="N160" s="33">
        <f>IF(OR($U160="",5&gt;=설정!$B$12),"",SUMIFS(매출원본!$AT$8:$AT$1007,매출원본!$AX$8:$AX$1007,INDEX($R$8:$R$207,$U160),매출원본!$BA$8:$BA$1007,"포함",매출원본!$AS$8:$AS$1007,"&gt;="&amp;EDATE(설정!$B$10,5),매출원본!$AS$8:$AS$1007,"&lt;="&amp;EOMONTH(설정!$B$10,5)))</f>
        <v/>
      </c>
      <c r="Q160" s="35" t="n">
        <v>153</v>
      </c>
      <c r="R160" s="35">
        <f>IFERROR(INDEX(매출원본!$AX$8:$AX$1007,MATCH($Q160,매출원본!$BD$8:$BD$1007,0)),"")</f>
        <v/>
      </c>
      <c r="S160" s="35">
        <f>IF($R160="","",SUMIFS(매출원본!$AT$8:$AT$1007,매출원본!$AX$8:$AX$1007,$R160,매출원본!$BA$8:$BA$1007,"포함"))</f>
        <v/>
      </c>
      <c r="T160" s="35">
        <f>IF($R160="","",$S160-$Q160/100000)</f>
        <v/>
      </c>
      <c r="U160" s="35">
        <f>IFERROR(MATCH(LARGE($T$8:$T$207,153),$T$8:$T$207,0),"")</f>
        <v/>
      </c>
    </row>
    <row r="161">
      <c r="A161" s="32">
        <f>IF($U161="","",154)</f>
        <v/>
      </c>
      <c r="B161" s="10">
        <f>IF($U161="","",IFERROR(INDEX(매출원본!$AZ$8:$AZ$1007,MATCH($U161,매출원본!$BD$8:$BD$1007,0)),""))</f>
        <v/>
      </c>
      <c r="C161" s="10">
        <f>IF($U161="","",IFERROR(INDEX(매출원본!$AY$8:$AY$1007,MATCH($U161,매출원본!$BD$8:$BD$1007,0)),""))</f>
        <v/>
      </c>
      <c r="D161" s="33">
        <f>IF($U161="","",COUNTIFS(매출원본!$AX$8:$AX$1007,INDEX($R$8:$R$207,$U161),매출원본!$BA$8:$BA$1007,"포함"))</f>
        <v/>
      </c>
      <c r="E161" s="33">
        <f>IF($U161="","",SUMIFS(매출원본!$AT$8:$AT$1007,매출원본!$AX$8:$AX$1007,INDEX($R$8:$R$207,$U161),매출원본!$BA$8:$BA$1007,"포함"))</f>
        <v/>
      </c>
      <c r="F161" s="33">
        <f>IF($U161="","",SUMIFS(매출원본!$AU$8:$AU$1007,매출원본!$AX$8:$AX$1007,INDEX($R$8:$R$207,$U161),매출원본!$BA$8:$BA$1007,"포함"))</f>
        <v/>
      </c>
      <c r="G161" s="33">
        <f>IF($U161="","",SUMIFS(매출원본!$AV$8:$AV$1007,매출원본!$AX$8:$AX$1007,INDEX($R$8:$R$207,$U161),매출원본!$BA$8:$BA$1007,"포함"))</f>
        <v/>
      </c>
      <c r="H161" s="34">
        <f>IF(OR($U161="",$E$7=0),"",E161/$E$7)</f>
        <v/>
      </c>
      <c r="I161" s="33">
        <f>IF(OR($U161="",0&gt;=설정!$B$12),"",SUMIFS(매출원본!$AT$8:$AT$1007,매출원본!$AX$8:$AX$1007,INDEX($R$8:$R$207,$U161),매출원본!$BA$8:$BA$1007,"포함",매출원본!$AS$8:$AS$1007,"&gt;="&amp;EDATE(설정!$B$10,0),매출원본!$AS$8:$AS$1007,"&lt;="&amp;EOMONTH(설정!$B$10,0)))</f>
        <v/>
      </c>
      <c r="J161" s="33">
        <f>IF(OR($U161="",1&gt;=설정!$B$12),"",SUMIFS(매출원본!$AT$8:$AT$1007,매출원본!$AX$8:$AX$1007,INDEX($R$8:$R$207,$U161),매출원본!$BA$8:$BA$1007,"포함",매출원본!$AS$8:$AS$1007,"&gt;="&amp;EDATE(설정!$B$10,1),매출원본!$AS$8:$AS$1007,"&lt;="&amp;EOMONTH(설정!$B$10,1)))</f>
        <v/>
      </c>
      <c r="K161" s="33">
        <f>IF(OR($U161="",2&gt;=설정!$B$12),"",SUMIFS(매출원본!$AT$8:$AT$1007,매출원본!$AX$8:$AX$1007,INDEX($R$8:$R$207,$U161),매출원본!$BA$8:$BA$1007,"포함",매출원본!$AS$8:$AS$1007,"&gt;="&amp;EDATE(설정!$B$10,2),매출원본!$AS$8:$AS$1007,"&lt;="&amp;EOMONTH(설정!$B$10,2)))</f>
        <v/>
      </c>
      <c r="L161" s="33">
        <f>IF(OR($U161="",3&gt;=설정!$B$12),"",SUMIFS(매출원본!$AT$8:$AT$1007,매출원본!$AX$8:$AX$1007,INDEX($R$8:$R$207,$U161),매출원본!$BA$8:$BA$1007,"포함",매출원본!$AS$8:$AS$1007,"&gt;="&amp;EDATE(설정!$B$10,3),매출원본!$AS$8:$AS$1007,"&lt;="&amp;EOMONTH(설정!$B$10,3)))</f>
        <v/>
      </c>
      <c r="M161" s="33">
        <f>IF(OR($U161="",4&gt;=설정!$B$12),"",SUMIFS(매출원본!$AT$8:$AT$1007,매출원본!$AX$8:$AX$1007,INDEX($R$8:$R$207,$U161),매출원본!$BA$8:$BA$1007,"포함",매출원본!$AS$8:$AS$1007,"&gt;="&amp;EDATE(설정!$B$10,4),매출원본!$AS$8:$AS$1007,"&lt;="&amp;EOMONTH(설정!$B$10,4)))</f>
        <v/>
      </c>
      <c r="N161" s="33">
        <f>IF(OR($U161="",5&gt;=설정!$B$12),"",SUMIFS(매출원본!$AT$8:$AT$1007,매출원본!$AX$8:$AX$1007,INDEX($R$8:$R$207,$U161),매출원본!$BA$8:$BA$1007,"포함",매출원본!$AS$8:$AS$1007,"&gt;="&amp;EDATE(설정!$B$10,5),매출원본!$AS$8:$AS$1007,"&lt;="&amp;EOMONTH(설정!$B$10,5)))</f>
        <v/>
      </c>
      <c r="Q161" s="35" t="n">
        <v>154</v>
      </c>
      <c r="R161" s="35">
        <f>IFERROR(INDEX(매출원본!$AX$8:$AX$1007,MATCH($Q161,매출원본!$BD$8:$BD$1007,0)),"")</f>
        <v/>
      </c>
      <c r="S161" s="35">
        <f>IF($R161="","",SUMIFS(매출원본!$AT$8:$AT$1007,매출원본!$AX$8:$AX$1007,$R161,매출원본!$BA$8:$BA$1007,"포함"))</f>
        <v/>
      </c>
      <c r="T161" s="35">
        <f>IF($R161="","",$S161-$Q161/100000)</f>
        <v/>
      </c>
      <c r="U161" s="35">
        <f>IFERROR(MATCH(LARGE($T$8:$T$207,154),$T$8:$T$207,0),"")</f>
        <v/>
      </c>
    </row>
    <row r="162">
      <c r="A162" s="32">
        <f>IF($U162="","",155)</f>
        <v/>
      </c>
      <c r="B162" s="10">
        <f>IF($U162="","",IFERROR(INDEX(매출원본!$AZ$8:$AZ$1007,MATCH($U162,매출원본!$BD$8:$BD$1007,0)),""))</f>
        <v/>
      </c>
      <c r="C162" s="10">
        <f>IF($U162="","",IFERROR(INDEX(매출원본!$AY$8:$AY$1007,MATCH($U162,매출원본!$BD$8:$BD$1007,0)),""))</f>
        <v/>
      </c>
      <c r="D162" s="33">
        <f>IF($U162="","",COUNTIFS(매출원본!$AX$8:$AX$1007,INDEX($R$8:$R$207,$U162),매출원본!$BA$8:$BA$1007,"포함"))</f>
        <v/>
      </c>
      <c r="E162" s="33">
        <f>IF($U162="","",SUMIFS(매출원본!$AT$8:$AT$1007,매출원본!$AX$8:$AX$1007,INDEX($R$8:$R$207,$U162),매출원본!$BA$8:$BA$1007,"포함"))</f>
        <v/>
      </c>
      <c r="F162" s="33">
        <f>IF($U162="","",SUMIFS(매출원본!$AU$8:$AU$1007,매출원본!$AX$8:$AX$1007,INDEX($R$8:$R$207,$U162),매출원본!$BA$8:$BA$1007,"포함"))</f>
        <v/>
      </c>
      <c r="G162" s="33">
        <f>IF($U162="","",SUMIFS(매출원본!$AV$8:$AV$1007,매출원본!$AX$8:$AX$1007,INDEX($R$8:$R$207,$U162),매출원본!$BA$8:$BA$1007,"포함"))</f>
        <v/>
      </c>
      <c r="H162" s="34">
        <f>IF(OR($U162="",$E$7=0),"",E162/$E$7)</f>
        <v/>
      </c>
      <c r="I162" s="33">
        <f>IF(OR($U162="",0&gt;=설정!$B$12),"",SUMIFS(매출원본!$AT$8:$AT$1007,매출원본!$AX$8:$AX$1007,INDEX($R$8:$R$207,$U162),매출원본!$BA$8:$BA$1007,"포함",매출원본!$AS$8:$AS$1007,"&gt;="&amp;EDATE(설정!$B$10,0),매출원본!$AS$8:$AS$1007,"&lt;="&amp;EOMONTH(설정!$B$10,0)))</f>
        <v/>
      </c>
      <c r="J162" s="33">
        <f>IF(OR($U162="",1&gt;=설정!$B$12),"",SUMIFS(매출원본!$AT$8:$AT$1007,매출원본!$AX$8:$AX$1007,INDEX($R$8:$R$207,$U162),매출원본!$BA$8:$BA$1007,"포함",매출원본!$AS$8:$AS$1007,"&gt;="&amp;EDATE(설정!$B$10,1),매출원본!$AS$8:$AS$1007,"&lt;="&amp;EOMONTH(설정!$B$10,1)))</f>
        <v/>
      </c>
      <c r="K162" s="33">
        <f>IF(OR($U162="",2&gt;=설정!$B$12),"",SUMIFS(매출원본!$AT$8:$AT$1007,매출원본!$AX$8:$AX$1007,INDEX($R$8:$R$207,$U162),매출원본!$BA$8:$BA$1007,"포함",매출원본!$AS$8:$AS$1007,"&gt;="&amp;EDATE(설정!$B$10,2),매출원본!$AS$8:$AS$1007,"&lt;="&amp;EOMONTH(설정!$B$10,2)))</f>
        <v/>
      </c>
      <c r="L162" s="33">
        <f>IF(OR($U162="",3&gt;=설정!$B$12),"",SUMIFS(매출원본!$AT$8:$AT$1007,매출원본!$AX$8:$AX$1007,INDEX($R$8:$R$207,$U162),매출원본!$BA$8:$BA$1007,"포함",매출원본!$AS$8:$AS$1007,"&gt;="&amp;EDATE(설정!$B$10,3),매출원본!$AS$8:$AS$1007,"&lt;="&amp;EOMONTH(설정!$B$10,3)))</f>
        <v/>
      </c>
      <c r="M162" s="33">
        <f>IF(OR($U162="",4&gt;=설정!$B$12),"",SUMIFS(매출원본!$AT$8:$AT$1007,매출원본!$AX$8:$AX$1007,INDEX($R$8:$R$207,$U162),매출원본!$BA$8:$BA$1007,"포함",매출원본!$AS$8:$AS$1007,"&gt;="&amp;EDATE(설정!$B$10,4),매출원본!$AS$8:$AS$1007,"&lt;="&amp;EOMONTH(설정!$B$10,4)))</f>
        <v/>
      </c>
      <c r="N162" s="33">
        <f>IF(OR($U162="",5&gt;=설정!$B$12),"",SUMIFS(매출원본!$AT$8:$AT$1007,매출원본!$AX$8:$AX$1007,INDEX($R$8:$R$207,$U162),매출원본!$BA$8:$BA$1007,"포함",매출원본!$AS$8:$AS$1007,"&gt;="&amp;EDATE(설정!$B$10,5),매출원본!$AS$8:$AS$1007,"&lt;="&amp;EOMONTH(설정!$B$10,5)))</f>
        <v/>
      </c>
      <c r="Q162" s="35" t="n">
        <v>155</v>
      </c>
      <c r="R162" s="35">
        <f>IFERROR(INDEX(매출원본!$AX$8:$AX$1007,MATCH($Q162,매출원본!$BD$8:$BD$1007,0)),"")</f>
        <v/>
      </c>
      <c r="S162" s="35">
        <f>IF($R162="","",SUMIFS(매출원본!$AT$8:$AT$1007,매출원본!$AX$8:$AX$1007,$R162,매출원본!$BA$8:$BA$1007,"포함"))</f>
        <v/>
      </c>
      <c r="T162" s="35">
        <f>IF($R162="","",$S162-$Q162/100000)</f>
        <v/>
      </c>
      <c r="U162" s="35">
        <f>IFERROR(MATCH(LARGE($T$8:$T$207,155),$T$8:$T$207,0),"")</f>
        <v/>
      </c>
    </row>
    <row r="163">
      <c r="A163" s="32">
        <f>IF($U163="","",156)</f>
        <v/>
      </c>
      <c r="B163" s="10">
        <f>IF($U163="","",IFERROR(INDEX(매출원본!$AZ$8:$AZ$1007,MATCH($U163,매출원본!$BD$8:$BD$1007,0)),""))</f>
        <v/>
      </c>
      <c r="C163" s="10">
        <f>IF($U163="","",IFERROR(INDEX(매출원본!$AY$8:$AY$1007,MATCH($U163,매출원본!$BD$8:$BD$1007,0)),""))</f>
        <v/>
      </c>
      <c r="D163" s="33">
        <f>IF($U163="","",COUNTIFS(매출원본!$AX$8:$AX$1007,INDEX($R$8:$R$207,$U163),매출원본!$BA$8:$BA$1007,"포함"))</f>
        <v/>
      </c>
      <c r="E163" s="33">
        <f>IF($U163="","",SUMIFS(매출원본!$AT$8:$AT$1007,매출원본!$AX$8:$AX$1007,INDEX($R$8:$R$207,$U163),매출원본!$BA$8:$BA$1007,"포함"))</f>
        <v/>
      </c>
      <c r="F163" s="33">
        <f>IF($U163="","",SUMIFS(매출원본!$AU$8:$AU$1007,매출원본!$AX$8:$AX$1007,INDEX($R$8:$R$207,$U163),매출원본!$BA$8:$BA$1007,"포함"))</f>
        <v/>
      </c>
      <c r="G163" s="33">
        <f>IF($U163="","",SUMIFS(매출원본!$AV$8:$AV$1007,매출원본!$AX$8:$AX$1007,INDEX($R$8:$R$207,$U163),매출원본!$BA$8:$BA$1007,"포함"))</f>
        <v/>
      </c>
      <c r="H163" s="34">
        <f>IF(OR($U163="",$E$7=0),"",E163/$E$7)</f>
        <v/>
      </c>
      <c r="I163" s="33">
        <f>IF(OR($U163="",0&gt;=설정!$B$12),"",SUMIFS(매출원본!$AT$8:$AT$1007,매출원본!$AX$8:$AX$1007,INDEX($R$8:$R$207,$U163),매출원본!$BA$8:$BA$1007,"포함",매출원본!$AS$8:$AS$1007,"&gt;="&amp;EDATE(설정!$B$10,0),매출원본!$AS$8:$AS$1007,"&lt;="&amp;EOMONTH(설정!$B$10,0)))</f>
        <v/>
      </c>
      <c r="J163" s="33">
        <f>IF(OR($U163="",1&gt;=설정!$B$12),"",SUMIFS(매출원본!$AT$8:$AT$1007,매출원본!$AX$8:$AX$1007,INDEX($R$8:$R$207,$U163),매출원본!$BA$8:$BA$1007,"포함",매출원본!$AS$8:$AS$1007,"&gt;="&amp;EDATE(설정!$B$10,1),매출원본!$AS$8:$AS$1007,"&lt;="&amp;EOMONTH(설정!$B$10,1)))</f>
        <v/>
      </c>
      <c r="K163" s="33">
        <f>IF(OR($U163="",2&gt;=설정!$B$12),"",SUMIFS(매출원본!$AT$8:$AT$1007,매출원본!$AX$8:$AX$1007,INDEX($R$8:$R$207,$U163),매출원본!$BA$8:$BA$1007,"포함",매출원본!$AS$8:$AS$1007,"&gt;="&amp;EDATE(설정!$B$10,2),매출원본!$AS$8:$AS$1007,"&lt;="&amp;EOMONTH(설정!$B$10,2)))</f>
        <v/>
      </c>
      <c r="L163" s="33">
        <f>IF(OR($U163="",3&gt;=설정!$B$12),"",SUMIFS(매출원본!$AT$8:$AT$1007,매출원본!$AX$8:$AX$1007,INDEX($R$8:$R$207,$U163),매출원본!$BA$8:$BA$1007,"포함",매출원본!$AS$8:$AS$1007,"&gt;="&amp;EDATE(설정!$B$10,3),매출원본!$AS$8:$AS$1007,"&lt;="&amp;EOMONTH(설정!$B$10,3)))</f>
        <v/>
      </c>
      <c r="M163" s="33">
        <f>IF(OR($U163="",4&gt;=설정!$B$12),"",SUMIFS(매출원본!$AT$8:$AT$1007,매출원본!$AX$8:$AX$1007,INDEX($R$8:$R$207,$U163),매출원본!$BA$8:$BA$1007,"포함",매출원본!$AS$8:$AS$1007,"&gt;="&amp;EDATE(설정!$B$10,4),매출원본!$AS$8:$AS$1007,"&lt;="&amp;EOMONTH(설정!$B$10,4)))</f>
        <v/>
      </c>
      <c r="N163" s="33">
        <f>IF(OR($U163="",5&gt;=설정!$B$12),"",SUMIFS(매출원본!$AT$8:$AT$1007,매출원본!$AX$8:$AX$1007,INDEX($R$8:$R$207,$U163),매출원본!$BA$8:$BA$1007,"포함",매출원본!$AS$8:$AS$1007,"&gt;="&amp;EDATE(설정!$B$10,5),매출원본!$AS$8:$AS$1007,"&lt;="&amp;EOMONTH(설정!$B$10,5)))</f>
        <v/>
      </c>
      <c r="Q163" s="35" t="n">
        <v>156</v>
      </c>
      <c r="R163" s="35">
        <f>IFERROR(INDEX(매출원본!$AX$8:$AX$1007,MATCH($Q163,매출원본!$BD$8:$BD$1007,0)),"")</f>
        <v/>
      </c>
      <c r="S163" s="35">
        <f>IF($R163="","",SUMIFS(매출원본!$AT$8:$AT$1007,매출원본!$AX$8:$AX$1007,$R163,매출원본!$BA$8:$BA$1007,"포함"))</f>
        <v/>
      </c>
      <c r="T163" s="35">
        <f>IF($R163="","",$S163-$Q163/100000)</f>
        <v/>
      </c>
      <c r="U163" s="35">
        <f>IFERROR(MATCH(LARGE($T$8:$T$207,156),$T$8:$T$207,0),"")</f>
        <v/>
      </c>
    </row>
    <row r="164">
      <c r="A164" s="32">
        <f>IF($U164="","",157)</f>
        <v/>
      </c>
      <c r="B164" s="10">
        <f>IF($U164="","",IFERROR(INDEX(매출원본!$AZ$8:$AZ$1007,MATCH($U164,매출원본!$BD$8:$BD$1007,0)),""))</f>
        <v/>
      </c>
      <c r="C164" s="10">
        <f>IF($U164="","",IFERROR(INDEX(매출원본!$AY$8:$AY$1007,MATCH($U164,매출원본!$BD$8:$BD$1007,0)),""))</f>
        <v/>
      </c>
      <c r="D164" s="33">
        <f>IF($U164="","",COUNTIFS(매출원본!$AX$8:$AX$1007,INDEX($R$8:$R$207,$U164),매출원본!$BA$8:$BA$1007,"포함"))</f>
        <v/>
      </c>
      <c r="E164" s="33">
        <f>IF($U164="","",SUMIFS(매출원본!$AT$8:$AT$1007,매출원본!$AX$8:$AX$1007,INDEX($R$8:$R$207,$U164),매출원본!$BA$8:$BA$1007,"포함"))</f>
        <v/>
      </c>
      <c r="F164" s="33">
        <f>IF($U164="","",SUMIFS(매출원본!$AU$8:$AU$1007,매출원본!$AX$8:$AX$1007,INDEX($R$8:$R$207,$U164),매출원본!$BA$8:$BA$1007,"포함"))</f>
        <v/>
      </c>
      <c r="G164" s="33">
        <f>IF($U164="","",SUMIFS(매출원본!$AV$8:$AV$1007,매출원본!$AX$8:$AX$1007,INDEX($R$8:$R$207,$U164),매출원본!$BA$8:$BA$1007,"포함"))</f>
        <v/>
      </c>
      <c r="H164" s="34">
        <f>IF(OR($U164="",$E$7=0),"",E164/$E$7)</f>
        <v/>
      </c>
      <c r="I164" s="33">
        <f>IF(OR($U164="",0&gt;=설정!$B$12),"",SUMIFS(매출원본!$AT$8:$AT$1007,매출원본!$AX$8:$AX$1007,INDEX($R$8:$R$207,$U164),매출원본!$BA$8:$BA$1007,"포함",매출원본!$AS$8:$AS$1007,"&gt;="&amp;EDATE(설정!$B$10,0),매출원본!$AS$8:$AS$1007,"&lt;="&amp;EOMONTH(설정!$B$10,0)))</f>
        <v/>
      </c>
      <c r="J164" s="33">
        <f>IF(OR($U164="",1&gt;=설정!$B$12),"",SUMIFS(매출원본!$AT$8:$AT$1007,매출원본!$AX$8:$AX$1007,INDEX($R$8:$R$207,$U164),매출원본!$BA$8:$BA$1007,"포함",매출원본!$AS$8:$AS$1007,"&gt;="&amp;EDATE(설정!$B$10,1),매출원본!$AS$8:$AS$1007,"&lt;="&amp;EOMONTH(설정!$B$10,1)))</f>
        <v/>
      </c>
      <c r="K164" s="33">
        <f>IF(OR($U164="",2&gt;=설정!$B$12),"",SUMIFS(매출원본!$AT$8:$AT$1007,매출원본!$AX$8:$AX$1007,INDEX($R$8:$R$207,$U164),매출원본!$BA$8:$BA$1007,"포함",매출원본!$AS$8:$AS$1007,"&gt;="&amp;EDATE(설정!$B$10,2),매출원본!$AS$8:$AS$1007,"&lt;="&amp;EOMONTH(설정!$B$10,2)))</f>
        <v/>
      </c>
      <c r="L164" s="33">
        <f>IF(OR($U164="",3&gt;=설정!$B$12),"",SUMIFS(매출원본!$AT$8:$AT$1007,매출원본!$AX$8:$AX$1007,INDEX($R$8:$R$207,$U164),매출원본!$BA$8:$BA$1007,"포함",매출원본!$AS$8:$AS$1007,"&gt;="&amp;EDATE(설정!$B$10,3),매출원본!$AS$8:$AS$1007,"&lt;="&amp;EOMONTH(설정!$B$10,3)))</f>
        <v/>
      </c>
      <c r="M164" s="33">
        <f>IF(OR($U164="",4&gt;=설정!$B$12),"",SUMIFS(매출원본!$AT$8:$AT$1007,매출원본!$AX$8:$AX$1007,INDEX($R$8:$R$207,$U164),매출원본!$BA$8:$BA$1007,"포함",매출원본!$AS$8:$AS$1007,"&gt;="&amp;EDATE(설정!$B$10,4),매출원본!$AS$8:$AS$1007,"&lt;="&amp;EOMONTH(설정!$B$10,4)))</f>
        <v/>
      </c>
      <c r="N164" s="33">
        <f>IF(OR($U164="",5&gt;=설정!$B$12),"",SUMIFS(매출원본!$AT$8:$AT$1007,매출원본!$AX$8:$AX$1007,INDEX($R$8:$R$207,$U164),매출원본!$BA$8:$BA$1007,"포함",매출원본!$AS$8:$AS$1007,"&gt;="&amp;EDATE(설정!$B$10,5),매출원본!$AS$8:$AS$1007,"&lt;="&amp;EOMONTH(설정!$B$10,5)))</f>
        <v/>
      </c>
      <c r="Q164" s="35" t="n">
        <v>157</v>
      </c>
      <c r="R164" s="35">
        <f>IFERROR(INDEX(매출원본!$AX$8:$AX$1007,MATCH($Q164,매출원본!$BD$8:$BD$1007,0)),"")</f>
        <v/>
      </c>
      <c r="S164" s="35">
        <f>IF($R164="","",SUMIFS(매출원본!$AT$8:$AT$1007,매출원본!$AX$8:$AX$1007,$R164,매출원본!$BA$8:$BA$1007,"포함"))</f>
        <v/>
      </c>
      <c r="T164" s="35">
        <f>IF($R164="","",$S164-$Q164/100000)</f>
        <v/>
      </c>
      <c r="U164" s="35">
        <f>IFERROR(MATCH(LARGE($T$8:$T$207,157),$T$8:$T$207,0),"")</f>
        <v/>
      </c>
    </row>
    <row r="165">
      <c r="A165" s="32">
        <f>IF($U165="","",158)</f>
        <v/>
      </c>
      <c r="B165" s="10">
        <f>IF($U165="","",IFERROR(INDEX(매출원본!$AZ$8:$AZ$1007,MATCH($U165,매출원본!$BD$8:$BD$1007,0)),""))</f>
        <v/>
      </c>
      <c r="C165" s="10">
        <f>IF($U165="","",IFERROR(INDEX(매출원본!$AY$8:$AY$1007,MATCH($U165,매출원본!$BD$8:$BD$1007,0)),""))</f>
        <v/>
      </c>
      <c r="D165" s="33">
        <f>IF($U165="","",COUNTIFS(매출원본!$AX$8:$AX$1007,INDEX($R$8:$R$207,$U165),매출원본!$BA$8:$BA$1007,"포함"))</f>
        <v/>
      </c>
      <c r="E165" s="33">
        <f>IF($U165="","",SUMIFS(매출원본!$AT$8:$AT$1007,매출원본!$AX$8:$AX$1007,INDEX($R$8:$R$207,$U165),매출원본!$BA$8:$BA$1007,"포함"))</f>
        <v/>
      </c>
      <c r="F165" s="33">
        <f>IF($U165="","",SUMIFS(매출원본!$AU$8:$AU$1007,매출원본!$AX$8:$AX$1007,INDEX($R$8:$R$207,$U165),매출원본!$BA$8:$BA$1007,"포함"))</f>
        <v/>
      </c>
      <c r="G165" s="33">
        <f>IF($U165="","",SUMIFS(매출원본!$AV$8:$AV$1007,매출원본!$AX$8:$AX$1007,INDEX($R$8:$R$207,$U165),매출원본!$BA$8:$BA$1007,"포함"))</f>
        <v/>
      </c>
      <c r="H165" s="34">
        <f>IF(OR($U165="",$E$7=0),"",E165/$E$7)</f>
        <v/>
      </c>
      <c r="I165" s="33">
        <f>IF(OR($U165="",0&gt;=설정!$B$12),"",SUMIFS(매출원본!$AT$8:$AT$1007,매출원본!$AX$8:$AX$1007,INDEX($R$8:$R$207,$U165),매출원본!$BA$8:$BA$1007,"포함",매출원본!$AS$8:$AS$1007,"&gt;="&amp;EDATE(설정!$B$10,0),매출원본!$AS$8:$AS$1007,"&lt;="&amp;EOMONTH(설정!$B$10,0)))</f>
        <v/>
      </c>
      <c r="J165" s="33">
        <f>IF(OR($U165="",1&gt;=설정!$B$12),"",SUMIFS(매출원본!$AT$8:$AT$1007,매출원본!$AX$8:$AX$1007,INDEX($R$8:$R$207,$U165),매출원본!$BA$8:$BA$1007,"포함",매출원본!$AS$8:$AS$1007,"&gt;="&amp;EDATE(설정!$B$10,1),매출원본!$AS$8:$AS$1007,"&lt;="&amp;EOMONTH(설정!$B$10,1)))</f>
        <v/>
      </c>
      <c r="K165" s="33">
        <f>IF(OR($U165="",2&gt;=설정!$B$12),"",SUMIFS(매출원본!$AT$8:$AT$1007,매출원본!$AX$8:$AX$1007,INDEX($R$8:$R$207,$U165),매출원본!$BA$8:$BA$1007,"포함",매출원본!$AS$8:$AS$1007,"&gt;="&amp;EDATE(설정!$B$10,2),매출원본!$AS$8:$AS$1007,"&lt;="&amp;EOMONTH(설정!$B$10,2)))</f>
        <v/>
      </c>
      <c r="L165" s="33">
        <f>IF(OR($U165="",3&gt;=설정!$B$12),"",SUMIFS(매출원본!$AT$8:$AT$1007,매출원본!$AX$8:$AX$1007,INDEX($R$8:$R$207,$U165),매출원본!$BA$8:$BA$1007,"포함",매출원본!$AS$8:$AS$1007,"&gt;="&amp;EDATE(설정!$B$10,3),매출원본!$AS$8:$AS$1007,"&lt;="&amp;EOMONTH(설정!$B$10,3)))</f>
        <v/>
      </c>
      <c r="M165" s="33">
        <f>IF(OR($U165="",4&gt;=설정!$B$12),"",SUMIFS(매출원본!$AT$8:$AT$1007,매출원본!$AX$8:$AX$1007,INDEX($R$8:$R$207,$U165),매출원본!$BA$8:$BA$1007,"포함",매출원본!$AS$8:$AS$1007,"&gt;="&amp;EDATE(설정!$B$10,4),매출원본!$AS$8:$AS$1007,"&lt;="&amp;EOMONTH(설정!$B$10,4)))</f>
        <v/>
      </c>
      <c r="N165" s="33">
        <f>IF(OR($U165="",5&gt;=설정!$B$12),"",SUMIFS(매출원본!$AT$8:$AT$1007,매출원본!$AX$8:$AX$1007,INDEX($R$8:$R$207,$U165),매출원본!$BA$8:$BA$1007,"포함",매출원본!$AS$8:$AS$1007,"&gt;="&amp;EDATE(설정!$B$10,5),매출원본!$AS$8:$AS$1007,"&lt;="&amp;EOMONTH(설정!$B$10,5)))</f>
        <v/>
      </c>
      <c r="Q165" s="35" t="n">
        <v>158</v>
      </c>
      <c r="R165" s="35">
        <f>IFERROR(INDEX(매출원본!$AX$8:$AX$1007,MATCH($Q165,매출원본!$BD$8:$BD$1007,0)),"")</f>
        <v/>
      </c>
      <c r="S165" s="35">
        <f>IF($R165="","",SUMIFS(매출원본!$AT$8:$AT$1007,매출원본!$AX$8:$AX$1007,$R165,매출원본!$BA$8:$BA$1007,"포함"))</f>
        <v/>
      </c>
      <c r="T165" s="35">
        <f>IF($R165="","",$S165-$Q165/100000)</f>
        <v/>
      </c>
      <c r="U165" s="35">
        <f>IFERROR(MATCH(LARGE($T$8:$T$207,158),$T$8:$T$207,0),"")</f>
        <v/>
      </c>
    </row>
    <row r="166">
      <c r="A166" s="32">
        <f>IF($U166="","",159)</f>
        <v/>
      </c>
      <c r="B166" s="10">
        <f>IF($U166="","",IFERROR(INDEX(매출원본!$AZ$8:$AZ$1007,MATCH($U166,매출원본!$BD$8:$BD$1007,0)),""))</f>
        <v/>
      </c>
      <c r="C166" s="10">
        <f>IF($U166="","",IFERROR(INDEX(매출원본!$AY$8:$AY$1007,MATCH($U166,매출원본!$BD$8:$BD$1007,0)),""))</f>
        <v/>
      </c>
      <c r="D166" s="33">
        <f>IF($U166="","",COUNTIFS(매출원본!$AX$8:$AX$1007,INDEX($R$8:$R$207,$U166),매출원본!$BA$8:$BA$1007,"포함"))</f>
        <v/>
      </c>
      <c r="E166" s="33">
        <f>IF($U166="","",SUMIFS(매출원본!$AT$8:$AT$1007,매출원본!$AX$8:$AX$1007,INDEX($R$8:$R$207,$U166),매출원본!$BA$8:$BA$1007,"포함"))</f>
        <v/>
      </c>
      <c r="F166" s="33">
        <f>IF($U166="","",SUMIFS(매출원본!$AU$8:$AU$1007,매출원본!$AX$8:$AX$1007,INDEX($R$8:$R$207,$U166),매출원본!$BA$8:$BA$1007,"포함"))</f>
        <v/>
      </c>
      <c r="G166" s="33">
        <f>IF($U166="","",SUMIFS(매출원본!$AV$8:$AV$1007,매출원본!$AX$8:$AX$1007,INDEX($R$8:$R$207,$U166),매출원본!$BA$8:$BA$1007,"포함"))</f>
        <v/>
      </c>
      <c r="H166" s="34">
        <f>IF(OR($U166="",$E$7=0),"",E166/$E$7)</f>
        <v/>
      </c>
      <c r="I166" s="33">
        <f>IF(OR($U166="",0&gt;=설정!$B$12),"",SUMIFS(매출원본!$AT$8:$AT$1007,매출원본!$AX$8:$AX$1007,INDEX($R$8:$R$207,$U166),매출원본!$BA$8:$BA$1007,"포함",매출원본!$AS$8:$AS$1007,"&gt;="&amp;EDATE(설정!$B$10,0),매출원본!$AS$8:$AS$1007,"&lt;="&amp;EOMONTH(설정!$B$10,0)))</f>
        <v/>
      </c>
      <c r="J166" s="33">
        <f>IF(OR($U166="",1&gt;=설정!$B$12),"",SUMIFS(매출원본!$AT$8:$AT$1007,매출원본!$AX$8:$AX$1007,INDEX($R$8:$R$207,$U166),매출원본!$BA$8:$BA$1007,"포함",매출원본!$AS$8:$AS$1007,"&gt;="&amp;EDATE(설정!$B$10,1),매출원본!$AS$8:$AS$1007,"&lt;="&amp;EOMONTH(설정!$B$10,1)))</f>
        <v/>
      </c>
      <c r="K166" s="33">
        <f>IF(OR($U166="",2&gt;=설정!$B$12),"",SUMIFS(매출원본!$AT$8:$AT$1007,매출원본!$AX$8:$AX$1007,INDEX($R$8:$R$207,$U166),매출원본!$BA$8:$BA$1007,"포함",매출원본!$AS$8:$AS$1007,"&gt;="&amp;EDATE(설정!$B$10,2),매출원본!$AS$8:$AS$1007,"&lt;="&amp;EOMONTH(설정!$B$10,2)))</f>
        <v/>
      </c>
      <c r="L166" s="33">
        <f>IF(OR($U166="",3&gt;=설정!$B$12),"",SUMIFS(매출원본!$AT$8:$AT$1007,매출원본!$AX$8:$AX$1007,INDEX($R$8:$R$207,$U166),매출원본!$BA$8:$BA$1007,"포함",매출원본!$AS$8:$AS$1007,"&gt;="&amp;EDATE(설정!$B$10,3),매출원본!$AS$8:$AS$1007,"&lt;="&amp;EOMONTH(설정!$B$10,3)))</f>
        <v/>
      </c>
      <c r="M166" s="33">
        <f>IF(OR($U166="",4&gt;=설정!$B$12),"",SUMIFS(매출원본!$AT$8:$AT$1007,매출원본!$AX$8:$AX$1007,INDEX($R$8:$R$207,$U166),매출원본!$BA$8:$BA$1007,"포함",매출원본!$AS$8:$AS$1007,"&gt;="&amp;EDATE(설정!$B$10,4),매출원본!$AS$8:$AS$1007,"&lt;="&amp;EOMONTH(설정!$B$10,4)))</f>
        <v/>
      </c>
      <c r="N166" s="33">
        <f>IF(OR($U166="",5&gt;=설정!$B$12),"",SUMIFS(매출원본!$AT$8:$AT$1007,매출원본!$AX$8:$AX$1007,INDEX($R$8:$R$207,$U166),매출원본!$BA$8:$BA$1007,"포함",매출원본!$AS$8:$AS$1007,"&gt;="&amp;EDATE(설정!$B$10,5),매출원본!$AS$8:$AS$1007,"&lt;="&amp;EOMONTH(설정!$B$10,5)))</f>
        <v/>
      </c>
      <c r="Q166" s="35" t="n">
        <v>159</v>
      </c>
      <c r="R166" s="35">
        <f>IFERROR(INDEX(매출원본!$AX$8:$AX$1007,MATCH($Q166,매출원본!$BD$8:$BD$1007,0)),"")</f>
        <v/>
      </c>
      <c r="S166" s="35">
        <f>IF($R166="","",SUMIFS(매출원본!$AT$8:$AT$1007,매출원본!$AX$8:$AX$1007,$R166,매출원본!$BA$8:$BA$1007,"포함"))</f>
        <v/>
      </c>
      <c r="T166" s="35">
        <f>IF($R166="","",$S166-$Q166/100000)</f>
        <v/>
      </c>
      <c r="U166" s="35">
        <f>IFERROR(MATCH(LARGE($T$8:$T$207,159),$T$8:$T$207,0),"")</f>
        <v/>
      </c>
    </row>
    <row r="167">
      <c r="A167" s="32">
        <f>IF($U167="","",160)</f>
        <v/>
      </c>
      <c r="B167" s="10">
        <f>IF($U167="","",IFERROR(INDEX(매출원본!$AZ$8:$AZ$1007,MATCH($U167,매출원본!$BD$8:$BD$1007,0)),""))</f>
        <v/>
      </c>
      <c r="C167" s="10">
        <f>IF($U167="","",IFERROR(INDEX(매출원본!$AY$8:$AY$1007,MATCH($U167,매출원본!$BD$8:$BD$1007,0)),""))</f>
        <v/>
      </c>
      <c r="D167" s="33">
        <f>IF($U167="","",COUNTIFS(매출원본!$AX$8:$AX$1007,INDEX($R$8:$R$207,$U167),매출원본!$BA$8:$BA$1007,"포함"))</f>
        <v/>
      </c>
      <c r="E167" s="33">
        <f>IF($U167="","",SUMIFS(매출원본!$AT$8:$AT$1007,매출원본!$AX$8:$AX$1007,INDEX($R$8:$R$207,$U167),매출원본!$BA$8:$BA$1007,"포함"))</f>
        <v/>
      </c>
      <c r="F167" s="33">
        <f>IF($U167="","",SUMIFS(매출원본!$AU$8:$AU$1007,매출원본!$AX$8:$AX$1007,INDEX($R$8:$R$207,$U167),매출원본!$BA$8:$BA$1007,"포함"))</f>
        <v/>
      </c>
      <c r="G167" s="33">
        <f>IF($U167="","",SUMIFS(매출원본!$AV$8:$AV$1007,매출원본!$AX$8:$AX$1007,INDEX($R$8:$R$207,$U167),매출원본!$BA$8:$BA$1007,"포함"))</f>
        <v/>
      </c>
      <c r="H167" s="34">
        <f>IF(OR($U167="",$E$7=0),"",E167/$E$7)</f>
        <v/>
      </c>
      <c r="I167" s="33">
        <f>IF(OR($U167="",0&gt;=설정!$B$12),"",SUMIFS(매출원본!$AT$8:$AT$1007,매출원본!$AX$8:$AX$1007,INDEX($R$8:$R$207,$U167),매출원본!$BA$8:$BA$1007,"포함",매출원본!$AS$8:$AS$1007,"&gt;="&amp;EDATE(설정!$B$10,0),매출원본!$AS$8:$AS$1007,"&lt;="&amp;EOMONTH(설정!$B$10,0)))</f>
        <v/>
      </c>
      <c r="J167" s="33">
        <f>IF(OR($U167="",1&gt;=설정!$B$12),"",SUMIFS(매출원본!$AT$8:$AT$1007,매출원본!$AX$8:$AX$1007,INDEX($R$8:$R$207,$U167),매출원본!$BA$8:$BA$1007,"포함",매출원본!$AS$8:$AS$1007,"&gt;="&amp;EDATE(설정!$B$10,1),매출원본!$AS$8:$AS$1007,"&lt;="&amp;EOMONTH(설정!$B$10,1)))</f>
        <v/>
      </c>
      <c r="K167" s="33">
        <f>IF(OR($U167="",2&gt;=설정!$B$12),"",SUMIFS(매출원본!$AT$8:$AT$1007,매출원본!$AX$8:$AX$1007,INDEX($R$8:$R$207,$U167),매출원본!$BA$8:$BA$1007,"포함",매출원본!$AS$8:$AS$1007,"&gt;="&amp;EDATE(설정!$B$10,2),매출원본!$AS$8:$AS$1007,"&lt;="&amp;EOMONTH(설정!$B$10,2)))</f>
        <v/>
      </c>
      <c r="L167" s="33">
        <f>IF(OR($U167="",3&gt;=설정!$B$12),"",SUMIFS(매출원본!$AT$8:$AT$1007,매출원본!$AX$8:$AX$1007,INDEX($R$8:$R$207,$U167),매출원본!$BA$8:$BA$1007,"포함",매출원본!$AS$8:$AS$1007,"&gt;="&amp;EDATE(설정!$B$10,3),매출원본!$AS$8:$AS$1007,"&lt;="&amp;EOMONTH(설정!$B$10,3)))</f>
        <v/>
      </c>
      <c r="M167" s="33">
        <f>IF(OR($U167="",4&gt;=설정!$B$12),"",SUMIFS(매출원본!$AT$8:$AT$1007,매출원본!$AX$8:$AX$1007,INDEX($R$8:$R$207,$U167),매출원본!$BA$8:$BA$1007,"포함",매출원본!$AS$8:$AS$1007,"&gt;="&amp;EDATE(설정!$B$10,4),매출원본!$AS$8:$AS$1007,"&lt;="&amp;EOMONTH(설정!$B$10,4)))</f>
        <v/>
      </c>
      <c r="N167" s="33">
        <f>IF(OR($U167="",5&gt;=설정!$B$12),"",SUMIFS(매출원본!$AT$8:$AT$1007,매출원본!$AX$8:$AX$1007,INDEX($R$8:$R$207,$U167),매출원본!$BA$8:$BA$1007,"포함",매출원본!$AS$8:$AS$1007,"&gt;="&amp;EDATE(설정!$B$10,5),매출원본!$AS$8:$AS$1007,"&lt;="&amp;EOMONTH(설정!$B$10,5)))</f>
        <v/>
      </c>
      <c r="Q167" s="35" t="n">
        <v>160</v>
      </c>
      <c r="R167" s="35">
        <f>IFERROR(INDEX(매출원본!$AX$8:$AX$1007,MATCH($Q167,매출원본!$BD$8:$BD$1007,0)),"")</f>
        <v/>
      </c>
      <c r="S167" s="35">
        <f>IF($R167="","",SUMIFS(매출원본!$AT$8:$AT$1007,매출원본!$AX$8:$AX$1007,$R167,매출원본!$BA$8:$BA$1007,"포함"))</f>
        <v/>
      </c>
      <c r="T167" s="35">
        <f>IF($R167="","",$S167-$Q167/100000)</f>
        <v/>
      </c>
      <c r="U167" s="35">
        <f>IFERROR(MATCH(LARGE($T$8:$T$207,160),$T$8:$T$207,0),"")</f>
        <v/>
      </c>
    </row>
    <row r="168">
      <c r="A168" s="32">
        <f>IF($U168="","",161)</f>
        <v/>
      </c>
      <c r="B168" s="10">
        <f>IF($U168="","",IFERROR(INDEX(매출원본!$AZ$8:$AZ$1007,MATCH($U168,매출원본!$BD$8:$BD$1007,0)),""))</f>
        <v/>
      </c>
      <c r="C168" s="10">
        <f>IF($U168="","",IFERROR(INDEX(매출원본!$AY$8:$AY$1007,MATCH($U168,매출원본!$BD$8:$BD$1007,0)),""))</f>
        <v/>
      </c>
      <c r="D168" s="33">
        <f>IF($U168="","",COUNTIFS(매출원본!$AX$8:$AX$1007,INDEX($R$8:$R$207,$U168),매출원본!$BA$8:$BA$1007,"포함"))</f>
        <v/>
      </c>
      <c r="E168" s="33">
        <f>IF($U168="","",SUMIFS(매출원본!$AT$8:$AT$1007,매출원본!$AX$8:$AX$1007,INDEX($R$8:$R$207,$U168),매출원본!$BA$8:$BA$1007,"포함"))</f>
        <v/>
      </c>
      <c r="F168" s="33">
        <f>IF($U168="","",SUMIFS(매출원본!$AU$8:$AU$1007,매출원본!$AX$8:$AX$1007,INDEX($R$8:$R$207,$U168),매출원본!$BA$8:$BA$1007,"포함"))</f>
        <v/>
      </c>
      <c r="G168" s="33">
        <f>IF($U168="","",SUMIFS(매출원본!$AV$8:$AV$1007,매출원본!$AX$8:$AX$1007,INDEX($R$8:$R$207,$U168),매출원본!$BA$8:$BA$1007,"포함"))</f>
        <v/>
      </c>
      <c r="H168" s="34">
        <f>IF(OR($U168="",$E$7=0),"",E168/$E$7)</f>
        <v/>
      </c>
      <c r="I168" s="33">
        <f>IF(OR($U168="",0&gt;=설정!$B$12),"",SUMIFS(매출원본!$AT$8:$AT$1007,매출원본!$AX$8:$AX$1007,INDEX($R$8:$R$207,$U168),매출원본!$BA$8:$BA$1007,"포함",매출원본!$AS$8:$AS$1007,"&gt;="&amp;EDATE(설정!$B$10,0),매출원본!$AS$8:$AS$1007,"&lt;="&amp;EOMONTH(설정!$B$10,0)))</f>
        <v/>
      </c>
      <c r="J168" s="33">
        <f>IF(OR($U168="",1&gt;=설정!$B$12),"",SUMIFS(매출원본!$AT$8:$AT$1007,매출원본!$AX$8:$AX$1007,INDEX($R$8:$R$207,$U168),매출원본!$BA$8:$BA$1007,"포함",매출원본!$AS$8:$AS$1007,"&gt;="&amp;EDATE(설정!$B$10,1),매출원본!$AS$8:$AS$1007,"&lt;="&amp;EOMONTH(설정!$B$10,1)))</f>
        <v/>
      </c>
      <c r="K168" s="33">
        <f>IF(OR($U168="",2&gt;=설정!$B$12),"",SUMIFS(매출원본!$AT$8:$AT$1007,매출원본!$AX$8:$AX$1007,INDEX($R$8:$R$207,$U168),매출원본!$BA$8:$BA$1007,"포함",매출원본!$AS$8:$AS$1007,"&gt;="&amp;EDATE(설정!$B$10,2),매출원본!$AS$8:$AS$1007,"&lt;="&amp;EOMONTH(설정!$B$10,2)))</f>
        <v/>
      </c>
      <c r="L168" s="33">
        <f>IF(OR($U168="",3&gt;=설정!$B$12),"",SUMIFS(매출원본!$AT$8:$AT$1007,매출원본!$AX$8:$AX$1007,INDEX($R$8:$R$207,$U168),매출원본!$BA$8:$BA$1007,"포함",매출원본!$AS$8:$AS$1007,"&gt;="&amp;EDATE(설정!$B$10,3),매출원본!$AS$8:$AS$1007,"&lt;="&amp;EOMONTH(설정!$B$10,3)))</f>
        <v/>
      </c>
      <c r="M168" s="33">
        <f>IF(OR($U168="",4&gt;=설정!$B$12),"",SUMIFS(매출원본!$AT$8:$AT$1007,매출원본!$AX$8:$AX$1007,INDEX($R$8:$R$207,$U168),매출원본!$BA$8:$BA$1007,"포함",매출원본!$AS$8:$AS$1007,"&gt;="&amp;EDATE(설정!$B$10,4),매출원본!$AS$8:$AS$1007,"&lt;="&amp;EOMONTH(설정!$B$10,4)))</f>
        <v/>
      </c>
      <c r="N168" s="33">
        <f>IF(OR($U168="",5&gt;=설정!$B$12),"",SUMIFS(매출원본!$AT$8:$AT$1007,매출원본!$AX$8:$AX$1007,INDEX($R$8:$R$207,$U168),매출원본!$BA$8:$BA$1007,"포함",매출원본!$AS$8:$AS$1007,"&gt;="&amp;EDATE(설정!$B$10,5),매출원본!$AS$8:$AS$1007,"&lt;="&amp;EOMONTH(설정!$B$10,5)))</f>
        <v/>
      </c>
      <c r="Q168" s="35" t="n">
        <v>161</v>
      </c>
      <c r="R168" s="35">
        <f>IFERROR(INDEX(매출원본!$AX$8:$AX$1007,MATCH($Q168,매출원본!$BD$8:$BD$1007,0)),"")</f>
        <v/>
      </c>
      <c r="S168" s="35">
        <f>IF($R168="","",SUMIFS(매출원본!$AT$8:$AT$1007,매출원본!$AX$8:$AX$1007,$R168,매출원본!$BA$8:$BA$1007,"포함"))</f>
        <v/>
      </c>
      <c r="T168" s="35">
        <f>IF($R168="","",$S168-$Q168/100000)</f>
        <v/>
      </c>
      <c r="U168" s="35">
        <f>IFERROR(MATCH(LARGE($T$8:$T$207,161),$T$8:$T$207,0),"")</f>
        <v/>
      </c>
    </row>
    <row r="169">
      <c r="A169" s="32">
        <f>IF($U169="","",162)</f>
        <v/>
      </c>
      <c r="B169" s="10">
        <f>IF($U169="","",IFERROR(INDEX(매출원본!$AZ$8:$AZ$1007,MATCH($U169,매출원본!$BD$8:$BD$1007,0)),""))</f>
        <v/>
      </c>
      <c r="C169" s="10">
        <f>IF($U169="","",IFERROR(INDEX(매출원본!$AY$8:$AY$1007,MATCH($U169,매출원본!$BD$8:$BD$1007,0)),""))</f>
        <v/>
      </c>
      <c r="D169" s="33">
        <f>IF($U169="","",COUNTIFS(매출원본!$AX$8:$AX$1007,INDEX($R$8:$R$207,$U169),매출원본!$BA$8:$BA$1007,"포함"))</f>
        <v/>
      </c>
      <c r="E169" s="33">
        <f>IF($U169="","",SUMIFS(매출원본!$AT$8:$AT$1007,매출원본!$AX$8:$AX$1007,INDEX($R$8:$R$207,$U169),매출원본!$BA$8:$BA$1007,"포함"))</f>
        <v/>
      </c>
      <c r="F169" s="33">
        <f>IF($U169="","",SUMIFS(매출원본!$AU$8:$AU$1007,매출원본!$AX$8:$AX$1007,INDEX($R$8:$R$207,$U169),매출원본!$BA$8:$BA$1007,"포함"))</f>
        <v/>
      </c>
      <c r="G169" s="33">
        <f>IF($U169="","",SUMIFS(매출원본!$AV$8:$AV$1007,매출원본!$AX$8:$AX$1007,INDEX($R$8:$R$207,$U169),매출원본!$BA$8:$BA$1007,"포함"))</f>
        <v/>
      </c>
      <c r="H169" s="34">
        <f>IF(OR($U169="",$E$7=0),"",E169/$E$7)</f>
        <v/>
      </c>
      <c r="I169" s="33">
        <f>IF(OR($U169="",0&gt;=설정!$B$12),"",SUMIFS(매출원본!$AT$8:$AT$1007,매출원본!$AX$8:$AX$1007,INDEX($R$8:$R$207,$U169),매출원본!$BA$8:$BA$1007,"포함",매출원본!$AS$8:$AS$1007,"&gt;="&amp;EDATE(설정!$B$10,0),매출원본!$AS$8:$AS$1007,"&lt;="&amp;EOMONTH(설정!$B$10,0)))</f>
        <v/>
      </c>
      <c r="J169" s="33">
        <f>IF(OR($U169="",1&gt;=설정!$B$12),"",SUMIFS(매출원본!$AT$8:$AT$1007,매출원본!$AX$8:$AX$1007,INDEX($R$8:$R$207,$U169),매출원본!$BA$8:$BA$1007,"포함",매출원본!$AS$8:$AS$1007,"&gt;="&amp;EDATE(설정!$B$10,1),매출원본!$AS$8:$AS$1007,"&lt;="&amp;EOMONTH(설정!$B$10,1)))</f>
        <v/>
      </c>
      <c r="K169" s="33">
        <f>IF(OR($U169="",2&gt;=설정!$B$12),"",SUMIFS(매출원본!$AT$8:$AT$1007,매출원본!$AX$8:$AX$1007,INDEX($R$8:$R$207,$U169),매출원본!$BA$8:$BA$1007,"포함",매출원본!$AS$8:$AS$1007,"&gt;="&amp;EDATE(설정!$B$10,2),매출원본!$AS$8:$AS$1007,"&lt;="&amp;EOMONTH(설정!$B$10,2)))</f>
        <v/>
      </c>
      <c r="L169" s="33">
        <f>IF(OR($U169="",3&gt;=설정!$B$12),"",SUMIFS(매출원본!$AT$8:$AT$1007,매출원본!$AX$8:$AX$1007,INDEX($R$8:$R$207,$U169),매출원본!$BA$8:$BA$1007,"포함",매출원본!$AS$8:$AS$1007,"&gt;="&amp;EDATE(설정!$B$10,3),매출원본!$AS$8:$AS$1007,"&lt;="&amp;EOMONTH(설정!$B$10,3)))</f>
        <v/>
      </c>
      <c r="M169" s="33">
        <f>IF(OR($U169="",4&gt;=설정!$B$12),"",SUMIFS(매출원본!$AT$8:$AT$1007,매출원본!$AX$8:$AX$1007,INDEX($R$8:$R$207,$U169),매출원본!$BA$8:$BA$1007,"포함",매출원본!$AS$8:$AS$1007,"&gt;="&amp;EDATE(설정!$B$10,4),매출원본!$AS$8:$AS$1007,"&lt;="&amp;EOMONTH(설정!$B$10,4)))</f>
        <v/>
      </c>
      <c r="N169" s="33">
        <f>IF(OR($U169="",5&gt;=설정!$B$12),"",SUMIFS(매출원본!$AT$8:$AT$1007,매출원본!$AX$8:$AX$1007,INDEX($R$8:$R$207,$U169),매출원본!$BA$8:$BA$1007,"포함",매출원본!$AS$8:$AS$1007,"&gt;="&amp;EDATE(설정!$B$10,5),매출원본!$AS$8:$AS$1007,"&lt;="&amp;EOMONTH(설정!$B$10,5)))</f>
        <v/>
      </c>
      <c r="Q169" s="35" t="n">
        <v>162</v>
      </c>
      <c r="R169" s="35">
        <f>IFERROR(INDEX(매출원본!$AX$8:$AX$1007,MATCH($Q169,매출원본!$BD$8:$BD$1007,0)),"")</f>
        <v/>
      </c>
      <c r="S169" s="35">
        <f>IF($R169="","",SUMIFS(매출원본!$AT$8:$AT$1007,매출원본!$AX$8:$AX$1007,$R169,매출원본!$BA$8:$BA$1007,"포함"))</f>
        <v/>
      </c>
      <c r="T169" s="35">
        <f>IF($R169="","",$S169-$Q169/100000)</f>
        <v/>
      </c>
      <c r="U169" s="35">
        <f>IFERROR(MATCH(LARGE($T$8:$T$207,162),$T$8:$T$207,0),"")</f>
        <v/>
      </c>
    </row>
    <row r="170">
      <c r="A170" s="32">
        <f>IF($U170="","",163)</f>
        <v/>
      </c>
      <c r="B170" s="10">
        <f>IF($U170="","",IFERROR(INDEX(매출원본!$AZ$8:$AZ$1007,MATCH($U170,매출원본!$BD$8:$BD$1007,0)),""))</f>
        <v/>
      </c>
      <c r="C170" s="10">
        <f>IF($U170="","",IFERROR(INDEX(매출원본!$AY$8:$AY$1007,MATCH($U170,매출원본!$BD$8:$BD$1007,0)),""))</f>
        <v/>
      </c>
      <c r="D170" s="33">
        <f>IF($U170="","",COUNTIFS(매출원본!$AX$8:$AX$1007,INDEX($R$8:$R$207,$U170),매출원본!$BA$8:$BA$1007,"포함"))</f>
        <v/>
      </c>
      <c r="E170" s="33">
        <f>IF($U170="","",SUMIFS(매출원본!$AT$8:$AT$1007,매출원본!$AX$8:$AX$1007,INDEX($R$8:$R$207,$U170),매출원본!$BA$8:$BA$1007,"포함"))</f>
        <v/>
      </c>
      <c r="F170" s="33">
        <f>IF($U170="","",SUMIFS(매출원본!$AU$8:$AU$1007,매출원본!$AX$8:$AX$1007,INDEX($R$8:$R$207,$U170),매출원본!$BA$8:$BA$1007,"포함"))</f>
        <v/>
      </c>
      <c r="G170" s="33">
        <f>IF($U170="","",SUMIFS(매출원본!$AV$8:$AV$1007,매출원본!$AX$8:$AX$1007,INDEX($R$8:$R$207,$U170),매출원본!$BA$8:$BA$1007,"포함"))</f>
        <v/>
      </c>
      <c r="H170" s="34">
        <f>IF(OR($U170="",$E$7=0),"",E170/$E$7)</f>
        <v/>
      </c>
      <c r="I170" s="33">
        <f>IF(OR($U170="",0&gt;=설정!$B$12),"",SUMIFS(매출원본!$AT$8:$AT$1007,매출원본!$AX$8:$AX$1007,INDEX($R$8:$R$207,$U170),매출원본!$BA$8:$BA$1007,"포함",매출원본!$AS$8:$AS$1007,"&gt;="&amp;EDATE(설정!$B$10,0),매출원본!$AS$8:$AS$1007,"&lt;="&amp;EOMONTH(설정!$B$10,0)))</f>
        <v/>
      </c>
      <c r="J170" s="33">
        <f>IF(OR($U170="",1&gt;=설정!$B$12),"",SUMIFS(매출원본!$AT$8:$AT$1007,매출원본!$AX$8:$AX$1007,INDEX($R$8:$R$207,$U170),매출원본!$BA$8:$BA$1007,"포함",매출원본!$AS$8:$AS$1007,"&gt;="&amp;EDATE(설정!$B$10,1),매출원본!$AS$8:$AS$1007,"&lt;="&amp;EOMONTH(설정!$B$10,1)))</f>
        <v/>
      </c>
      <c r="K170" s="33">
        <f>IF(OR($U170="",2&gt;=설정!$B$12),"",SUMIFS(매출원본!$AT$8:$AT$1007,매출원본!$AX$8:$AX$1007,INDEX($R$8:$R$207,$U170),매출원본!$BA$8:$BA$1007,"포함",매출원본!$AS$8:$AS$1007,"&gt;="&amp;EDATE(설정!$B$10,2),매출원본!$AS$8:$AS$1007,"&lt;="&amp;EOMONTH(설정!$B$10,2)))</f>
        <v/>
      </c>
      <c r="L170" s="33">
        <f>IF(OR($U170="",3&gt;=설정!$B$12),"",SUMIFS(매출원본!$AT$8:$AT$1007,매출원본!$AX$8:$AX$1007,INDEX($R$8:$R$207,$U170),매출원본!$BA$8:$BA$1007,"포함",매출원본!$AS$8:$AS$1007,"&gt;="&amp;EDATE(설정!$B$10,3),매출원본!$AS$8:$AS$1007,"&lt;="&amp;EOMONTH(설정!$B$10,3)))</f>
        <v/>
      </c>
      <c r="M170" s="33">
        <f>IF(OR($U170="",4&gt;=설정!$B$12),"",SUMIFS(매출원본!$AT$8:$AT$1007,매출원본!$AX$8:$AX$1007,INDEX($R$8:$R$207,$U170),매출원본!$BA$8:$BA$1007,"포함",매출원본!$AS$8:$AS$1007,"&gt;="&amp;EDATE(설정!$B$10,4),매출원본!$AS$8:$AS$1007,"&lt;="&amp;EOMONTH(설정!$B$10,4)))</f>
        <v/>
      </c>
      <c r="N170" s="33">
        <f>IF(OR($U170="",5&gt;=설정!$B$12),"",SUMIFS(매출원본!$AT$8:$AT$1007,매출원본!$AX$8:$AX$1007,INDEX($R$8:$R$207,$U170),매출원본!$BA$8:$BA$1007,"포함",매출원본!$AS$8:$AS$1007,"&gt;="&amp;EDATE(설정!$B$10,5),매출원본!$AS$8:$AS$1007,"&lt;="&amp;EOMONTH(설정!$B$10,5)))</f>
        <v/>
      </c>
      <c r="Q170" s="35" t="n">
        <v>163</v>
      </c>
      <c r="R170" s="35">
        <f>IFERROR(INDEX(매출원본!$AX$8:$AX$1007,MATCH($Q170,매출원본!$BD$8:$BD$1007,0)),"")</f>
        <v/>
      </c>
      <c r="S170" s="35">
        <f>IF($R170="","",SUMIFS(매출원본!$AT$8:$AT$1007,매출원본!$AX$8:$AX$1007,$R170,매출원본!$BA$8:$BA$1007,"포함"))</f>
        <v/>
      </c>
      <c r="T170" s="35">
        <f>IF($R170="","",$S170-$Q170/100000)</f>
        <v/>
      </c>
      <c r="U170" s="35">
        <f>IFERROR(MATCH(LARGE($T$8:$T$207,163),$T$8:$T$207,0),"")</f>
        <v/>
      </c>
    </row>
    <row r="171">
      <c r="A171" s="32">
        <f>IF($U171="","",164)</f>
        <v/>
      </c>
      <c r="B171" s="10">
        <f>IF($U171="","",IFERROR(INDEX(매출원본!$AZ$8:$AZ$1007,MATCH($U171,매출원본!$BD$8:$BD$1007,0)),""))</f>
        <v/>
      </c>
      <c r="C171" s="10">
        <f>IF($U171="","",IFERROR(INDEX(매출원본!$AY$8:$AY$1007,MATCH($U171,매출원본!$BD$8:$BD$1007,0)),""))</f>
        <v/>
      </c>
      <c r="D171" s="33">
        <f>IF($U171="","",COUNTIFS(매출원본!$AX$8:$AX$1007,INDEX($R$8:$R$207,$U171),매출원본!$BA$8:$BA$1007,"포함"))</f>
        <v/>
      </c>
      <c r="E171" s="33">
        <f>IF($U171="","",SUMIFS(매출원본!$AT$8:$AT$1007,매출원본!$AX$8:$AX$1007,INDEX($R$8:$R$207,$U171),매출원본!$BA$8:$BA$1007,"포함"))</f>
        <v/>
      </c>
      <c r="F171" s="33">
        <f>IF($U171="","",SUMIFS(매출원본!$AU$8:$AU$1007,매출원본!$AX$8:$AX$1007,INDEX($R$8:$R$207,$U171),매출원본!$BA$8:$BA$1007,"포함"))</f>
        <v/>
      </c>
      <c r="G171" s="33">
        <f>IF($U171="","",SUMIFS(매출원본!$AV$8:$AV$1007,매출원본!$AX$8:$AX$1007,INDEX($R$8:$R$207,$U171),매출원본!$BA$8:$BA$1007,"포함"))</f>
        <v/>
      </c>
      <c r="H171" s="34">
        <f>IF(OR($U171="",$E$7=0),"",E171/$E$7)</f>
        <v/>
      </c>
      <c r="I171" s="33">
        <f>IF(OR($U171="",0&gt;=설정!$B$12),"",SUMIFS(매출원본!$AT$8:$AT$1007,매출원본!$AX$8:$AX$1007,INDEX($R$8:$R$207,$U171),매출원본!$BA$8:$BA$1007,"포함",매출원본!$AS$8:$AS$1007,"&gt;="&amp;EDATE(설정!$B$10,0),매출원본!$AS$8:$AS$1007,"&lt;="&amp;EOMONTH(설정!$B$10,0)))</f>
        <v/>
      </c>
      <c r="J171" s="33">
        <f>IF(OR($U171="",1&gt;=설정!$B$12),"",SUMIFS(매출원본!$AT$8:$AT$1007,매출원본!$AX$8:$AX$1007,INDEX($R$8:$R$207,$U171),매출원본!$BA$8:$BA$1007,"포함",매출원본!$AS$8:$AS$1007,"&gt;="&amp;EDATE(설정!$B$10,1),매출원본!$AS$8:$AS$1007,"&lt;="&amp;EOMONTH(설정!$B$10,1)))</f>
        <v/>
      </c>
      <c r="K171" s="33">
        <f>IF(OR($U171="",2&gt;=설정!$B$12),"",SUMIFS(매출원본!$AT$8:$AT$1007,매출원본!$AX$8:$AX$1007,INDEX($R$8:$R$207,$U171),매출원본!$BA$8:$BA$1007,"포함",매출원본!$AS$8:$AS$1007,"&gt;="&amp;EDATE(설정!$B$10,2),매출원본!$AS$8:$AS$1007,"&lt;="&amp;EOMONTH(설정!$B$10,2)))</f>
        <v/>
      </c>
      <c r="L171" s="33">
        <f>IF(OR($U171="",3&gt;=설정!$B$12),"",SUMIFS(매출원본!$AT$8:$AT$1007,매출원본!$AX$8:$AX$1007,INDEX($R$8:$R$207,$U171),매출원본!$BA$8:$BA$1007,"포함",매출원본!$AS$8:$AS$1007,"&gt;="&amp;EDATE(설정!$B$10,3),매출원본!$AS$8:$AS$1007,"&lt;="&amp;EOMONTH(설정!$B$10,3)))</f>
        <v/>
      </c>
      <c r="M171" s="33">
        <f>IF(OR($U171="",4&gt;=설정!$B$12),"",SUMIFS(매출원본!$AT$8:$AT$1007,매출원본!$AX$8:$AX$1007,INDEX($R$8:$R$207,$U171),매출원본!$BA$8:$BA$1007,"포함",매출원본!$AS$8:$AS$1007,"&gt;="&amp;EDATE(설정!$B$10,4),매출원본!$AS$8:$AS$1007,"&lt;="&amp;EOMONTH(설정!$B$10,4)))</f>
        <v/>
      </c>
      <c r="N171" s="33">
        <f>IF(OR($U171="",5&gt;=설정!$B$12),"",SUMIFS(매출원본!$AT$8:$AT$1007,매출원본!$AX$8:$AX$1007,INDEX($R$8:$R$207,$U171),매출원본!$BA$8:$BA$1007,"포함",매출원본!$AS$8:$AS$1007,"&gt;="&amp;EDATE(설정!$B$10,5),매출원본!$AS$8:$AS$1007,"&lt;="&amp;EOMONTH(설정!$B$10,5)))</f>
        <v/>
      </c>
      <c r="Q171" s="35" t="n">
        <v>164</v>
      </c>
      <c r="R171" s="35">
        <f>IFERROR(INDEX(매출원본!$AX$8:$AX$1007,MATCH($Q171,매출원본!$BD$8:$BD$1007,0)),"")</f>
        <v/>
      </c>
      <c r="S171" s="35">
        <f>IF($R171="","",SUMIFS(매출원본!$AT$8:$AT$1007,매출원본!$AX$8:$AX$1007,$R171,매출원본!$BA$8:$BA$1007,"포함"))</f>
        <v/>
      </c>
      <c r="T171" s="35">
        <f>IF($R171="","",$S171-$Q171/100000)</f>
        <v/>
      </c>
      <c r="U171" s="35">
        <f>IFERROR(MATCH(LARGE($T$8:$T$207,164),$T$8:$T$207,0),"")</f>
        <v/>
      </c>
    </row>
    <row r="172">
      <c r="A172" s="32">
        <f>IF($U172="","",165)</f>
        <v/>
      </c>
      <c r="B172" s="10">
        <f>IF($U172="","",IFERROR(INDEX(매출원본!$AZ$8:$AZ$1007,MATCH($U172,매출원본!$BD$8:$BD$1007,0)),""))</f>
        <v/>
      </c>
      <c r="C172" s="10">
        <f>IF($U172="","",IFERROR(INDEX(매출원본!$AY$8:$AY$1007,MATCH($U172,매출원본!$BD$8:$BD$1007,0)),""))</f>
        <v/>
      </c>
      <c r="D172" s="33">
        <f>IF($U172="","",COUNTIFS(매출원본!$AX$8:$AX$1007,INDEX($R$8:$R$207,$U172),매출원본!$BA$8:$BA$1007,"포함"))</f>
        <v/>
      </c>
      <c r="E172" s="33">
        <f>IF($U172="","",SUMIFS(매출원본!$AT$8:$AT$1007,매출원본!$AX$8:$AX$1007,INDEX($R$8:$R$207,$U172),매출원본!$BA$8:$BA$1007,"포함"))</f>
        <v/>
      </c>
      <c r="F172" s="33">
        <f>IF($U172="","",SUMIFS(매출원본!$AU$8:$AU$1007,매출원본!$AX$8:$AX$1007,INDEX($R$8:$R$207,$U172),매출원본!$BA$8:$BA$1007,"포함"))</f>
        <v/>
      </c>
      <c r="G172" s="33">
        <f>IF($U172="","",SUMIFS(매출원본!$AV$8:$AV$1007,매출원본!$AX$8:$AX$1007,INDEX($R$8:$R$207,$U172),매출원본!$BA$8:$BA$1007,"포함"))</f>
        <v/>
      </c>
      <c r="H172" s="34">
        <f>IF(OR($U172="",$E$7=0),"",E172/$E$7)</f>
        <v/>
      </c>
      <c r="I172" s="33">
        <f>IF(OR($U172="",0&gt;=설정!$B$12),"",SUMIFS(매출원본!$AT$8:$AT$1007,매출원본!$AX$8:$AX$1007,INDEX($R$8:$R$207,$U172),매출원본!$BA$8:$BA$1007,"포함",매출원본!$AS$8:$AS$1007,"&gt;="&amp;EDATE(설정!$B$10,0),매출원본!$AS$8:$AS$1007,"&lt;="&amp;EOMONTH(설정!$B$10,0)))</f>
        <v/>
      </c>
      <c r="J172" s="33">
        <f>IF(OR($U172="",1&gt;=설정!$B$12),"",SUMIFS(매출원본!$AT$8:$AT$1007,매출원본!$AX$8:$AX$1007,INDEX($R$8:$R$207,$U172),매출원본!$BA$8:$BA$1007,"포함",매출원본!$AS$8:$AS$1007,"&gt;="&amp;EDATE(설정!$B$10,1),매출원본!$AS$8:$AS$1007,"&lt;="&amp;EOMONTH(설정!$B$10,1)))</f>
        <v/>
      </c>
      <c r="K172" s="33">
        <f>IF(OR($U172="",2&gt;=설정!$B$12),"",SUMIFS(매출원본!$AT$8:$AT$1007,매출원본!$AX$8:$AX$1007,INDEX($R$8:$R$207,$U172),매출원본!$BA$8:$BA$1007,"포함",매출원본!$AS$8:$AS$1007,"&gt;="&amp;EDATE(설정!$B$10,2),매출원본!$AS$8:$AS$1007,"&lt;="&amp;EOMONTH(설정!$B$10,2)))</f>
        <v/>
      </c>
      <c r="L172" s="33">
        <f>IF(OR($U172="",3&gt;=설정!$B$12),"",SUMIFS(매출원본!$AT$8:$AT$1007,매출원본!$AX$8:$AX$1007,INDEX($R$8:$R$207,$U172),매출원본!$BA$8:$BA$1007,"포함",매출원본!$AS$8:$AS$1007,"&gt;="&amp;EDATE(설정!$B$10,3),매출원본!$AS$8:$AS$1007,"&lt;="&amp;EOMONTH(설정!$B$10,3)))</f>
        <v/>
      </c>
      <c r="M172" s="33">
        <f>IF(OR($U172="",4&gt;=설정!$B$12),"",SUMIFS(매출원본!$AT$8:$AT$1007,매출원본!$AX$8:$AX$1007,INDEX($R$8:$R$207,$U172),매출원본!$BA$8:$BA$1007,"포함",매출원본!$AS$8:$AS$1007,"&gt;="&amp;EDATE(설정!$B$10,4),매출원본!$AS$8:$AS$1007,"&lt;="&amp;EOMONTH(설정!$B$10,4)))</f>
        <v/>
      </c>
      <c r="N172" s="33">
        <f>IF(OR($U172="",5&gt;=설정!$B$12),"",SUMIFS(매출원본!$AT$8:$AT$1007,매출원본!$AX$8:$AX$1007,INDEX($R$8:$R$207,$U172),매출원본!$BA$8:$BA$1007,"포함",매출원본!$AS$8:$AS$1007,"&gt;="&amp;EDATE(설정!$B$10,5),매출원본!$AS$8:$AS$1007,"&lt;="&amp;EOMONTH(설정!$B$10,5)))</f>
        <v/>
      </c>
      <c r="Q172" s="35" t="n">
        <v>165</v>
      </c>
      <c r="R172" s="35">
        <f>IFERROR(INDEX(매출원본!$AX$8:$AX$1007,MATCH($Q172,매출원본!$BD$8:$BD$1007,0)),"")</f>
        <v/>
      </c>
      <c r="S172" s="35">
        <f>IF($R172="","",SUMIFS(매출원본!$AT$8:$AT$1007,매출원본!$AX$8:$AX$1007,$R172,매출원본!$BA$8:$BA$1007,"포함"))</f>
        <v/>
      </c>
      <c r="T172" s="35">
        <f>IF($R172="","",$S172-$Q172/100000)</f>
        <v/>
      </c>
      <c r="U172" s="35">
        <f>IFERROR(MATCH(LARGE($T$8:$T$207,165),$T$8:$T$207,0),"")</f>
        <v/>
      </c>
    </row>
    <row r="173">
      <c r="A173" s="32">
        <f>IF($U173="","",166)</f>
        <v/>
      </c>
      <c r="B173" s="10">
        <f>IF($U173="","",IFERROR(INDEX(매출원본!$AZ$8:$AZ$1007,MATCH($U173,매출원본!$BD$8:$BD$1007,0)),""))</f>
        <v/>
      </c>
      <c r="C173" s="10">
        <f>IF($U173="","",IFERROR(INDEX(매출원본!$AY$8:$AY$1007,MATCH($U173,매출원본!$BD$8:$BD$1007,0)),""))</f>
        <v/>
      </c>
      <c r="D173" s="33">
        <f>IF($U173="","",COUNTIFS(매출원본!$AX$8:$AX$1007,INDEX($R$8:$R$207,$U173),매출원본!$BA$8:$BA$1007,"포함"))</f>
        <v/>
      </c>
      <c r="E173" s="33">
        <f>IF($U173="","",SUMIFS(매출원본!$AT$8:$AT$1007,매출원본!$AX$8:$AX$1007,INDEX($R$8:$R$207,$U173),매출원본!$BA$8:$BA$1007,"포함"))</f>
        <v/>
      </c>
      <c r="F173" s="33">
        <f>IF($U173="","",SUMIFS(매출원본!$AU$8:$AU$1007,매출원본!$AX$8:$AX$1007,INDEX($R$8:$R$207,$U173),매출원본!$BA$8:$BA$1007,"포함"))</f>
        <v/>
      </c>
      <c r="G173" s="33">
        <f>IF($U173="","",SUMIFS(매출원본!$AV$8:$AV$1007,매출원본!$AX$8:$AX$1007,INDEX($R$8:$R$207,$U173),매출원본!$BA$8:$BA$1007,"포함"))</f>
        <v/>
      </c>
      <c r="H173" s="34">
        <f>IF(OR($U173="",$E$7=0),"",E173/$E$7)</f>
        <v/>
      </c>
      <c r="I173" s="33">
        <f>IF(OR($U173="",0&gt;=설정!$B$12),"",SUMIFS(매출원본!$AT$8:$AT$1007,매출원본!$AX$8:$AX$1007,INDEX($R$8:$R$207,$U173),매출원본!$BA$8:$BA$1007,"포함",매출원본!$AS$8:$AS$1007,"&gt;="&amp;EDATE(설정!$B$10,0),매출원본!$AS$8:$AS$1007,"&lt;="&amp;EOMONTH(설정!$B$10,0)))</f>
        <v/>
      </c>
      <c r="J173" s="33">
        <f>IF(OR($U173="",1&gt;=설정!$B$12),"",SUMIFS(매출원본!$AT$8:$AT$1007,매출원본!$AX$8:$AX$1007,INDEX($R$8:$R$207,$U173),매출원본!$BA$8:$BA$1007,"포함",매출원본!$AS$8:$AS$1007,"&gt;="&amp;EDATE(설정!$B$10,1),매출원본!$AS$8:$AS$1007,"&lt;="&amp;EOMONTH(설정!$B$10,1)))</f>
        <v/>
      </c>
      <c r="K173" s="33">
        <f>IF(OR($U173="",2&gt;=설정!$B$12),"",SUMIFS(매출원본!$AT$8:$AT$1007,매출원본!$AX$8:$AX$1007,INDEX($R$8:$R$207,$U173),매출원본!$BA$8:$BA$1007,"포함",매출원본!$AS$8:$AS$1007,"&gt;="&amp;EDATE(설정!$B$10,2),매출원본!$AS$8:$AS$1007,"&lt;="&amp;EOMONTH(설정!$B$10,2)))</f>
        <v/>
      </c>
      <c r="L173" s="33">
        <f>IF(OR($U173="",3&gt;=설정!$B$12),"",SUMIFS(매출원본!$AT$8:$AT$1007,매출원본!$AX$8:$AX$1007,INDEX($R$8:$R$207,$U173),매출원본!$BA$8:$BA$1007,"포함",매출원본!$AS$8:$AS$1007,"&gt;="&amp;EDATE(설정!$B$10,3),매출원본!$AS$8:$AS$1007,"&lt;="&amp;EOMONTH(설정!$B$10,3)))</f>
        <v/>
      </c>
      <c r="M173" s="33">
        <f>IF(OR($U173="",4&gt;=설정!$B$12),"",SUMIFS(매출원본!$AT$8:$AT$1007,매출원본!$AX$8:$AX$1007,INDEX($R$8:$R$207,$U173),매출원본!$BA$8:$BA$1007,"포함",매출원본!$AS$8:$AS$1007,"&gt;="&amp;EDATE(설정!$B$10,4),매출원본!$AS$8:$AS$1007,"&lt;="&amp;EOMONTH(설정!$B$10,4)))</f>
        <v/>
      </c>
      <c r="N173" s="33">
        <f>IF(OR($U173="",5&gt;=설정!$B$12),"",SUMIFS(매출원본!$AT$8:$AT$1007,매출원본!$AX$8:$AX$1007,INDEX($R$8:$R$207,$U173),매출원본!$BA$8:$BA$1007,"포함",매출원본!$AS$8:$AS$1007,"&gt;="&amp;EDATE(설정!$B$10,5),매출원본!$AS$8:$AS$1007,"&lt;="&amp;EOMONTH(설정!$B$10,5)))</f>
        <v/>
      </c>
      <c r="Q173" s="35" t="n">
        <v>166</v>
      </c>
      <c r="R173" s="35">
        <f>IFERROR(INDEX(매출원본!$AX$8:$AX$1007,MATCH($Q173,매출원본!$BD$8:$BD$1007,0)),"")</f>
        <v/>
      </c>
      <c r="S173" s="35">
        <f>IF($R173="","",SUMIFS(매출원본!$AT$8:$AT$1007,매출원본!$AX$8:$AX$1007,$R173,매출원본!$BA$8:$BA$1007,"포함"))</f>
        <v/>
      </c>
      <c r="T173" s="35">
        <f>IF($R173="","",$S173-$Q173/100000)</f>
        <v/>
      </c>
      <c r="U173" s="35">
        <f>IFERROR(MATCH(LARGE($T$8:$T$207,166),$T$8:$T$207,0),"")</f>
        <v/>
      </c>
    </row>
    <row r="174">
      <c r="A174" s="32">
        <f>IF($U174="","",167)</f>
        <v/>
      </c>
      <c r="B174" s="10">
        <f>IF($U174="","",IFERROR(INDEX(매출원본!$AZ$8:$AZ$1007,MATCH($U174,매출원본!$BD$8:$BD$1007,0)),""))</f>
        <v/>
      </c>
      <c r="C174" s="10">
        <f>IF($U174="","",IFERROR(INDEX(매출원본!$AY$8:$AY$1007,MATCH($U174,매출원본!$BD$8:$BD$1007,0)),""))</f>
        <v/>
      </c>
      <c r="D174" s="33">
        <f>IF($U174="","",COUNTIFS(매출원본!$AX$8:$AX$1007,INDEX($R$8:$R$207,$U174),매출원본!$BA$8:$BA$1007,"포함"))</f>
        <v/>
      </c>
      <c r="E174" s="33">
        <f>IF($U174="","",SUMIFS(매출원본!$AT$8:$AT$1007,매출원본!$AX$8:$AX$1007,INDEX($R$8:$R$207,$U174),매출원본!$BA$8:$BA$1007,"포함"))</f>
        <v/>
      </c>
      <c r="F174" s="33">
        <f>IF($U174="","",SUMIFS(매출원본!$AU$8:$AU$1007,매출원본!$AX$8:$AX$1007,INDEX($R$8:$R$207,$U174),매출원본!$BA$8:$BA$1007,"포함"))</f>
        <v/>
      </c>
      <c r="G174" s="33">
        <f>IF($U174="","",SUMIFS(매출원본!$AV$8:$AV$1007,매출원본!$AX$8:$AX$1007,INDEX($R$8:$R$207,$U174),매출원본!$BA$8:$BA$1007,"포함"))</f>
        <v/>
      </c>
      <c r="H174" s="34">
        <f>IF(OR($U174="",$E$7=0),"",E174/$E$7)</f>
        <v/>
      </c>
      <c r="I174" s="33">
        <f>IF(OR($U174="",0&gt;=설정!$B$12),"",SUMIFS(매출원본!$AT$8:$AT$1007,매출원본!$AX$8:$AX$1007,INDEX($R$8:$R$207,$U174),매출원본!$BA$8:$BA$1007,"포함",매출원본!$AS$8:$AS$1007,"&gt;="&amp;EDATE(설정!$B$10,0),매출원본!$AS$8:$AS$1007,"&lt;="&amp;EOMONTH(설정!$B$10,0)))</f>
        <v/>
      </c>
      <c r="J174" s="33">
        <f>IF(OR($U174="",1&gt;=설정!$B$12),"",SUMIFS(매출원본!$AT$8:$AT$1007,매출원본!$AX$8:$AX$1007,INDEX($R$8:$R$207,$U174),매출원본!$BA$8:$BA$1007,"포함",매출원본!$AS$8:$AS$1007,"&gt;="&amp;EDATE(설정!$B$10,1),매출원본!$AS$8:$AS$1007,"&lt;="&amp;EOMONTH(설정!$B$10,1)))</f>
        <v/>
      </c>
      <c r="K174" s="33">
        <f>IF(OR($U174="",2&gt;=설정!$B$12),"",SUMIFS(매출원본!$AT$8:$AT$1007,매출원본!$AX$8:$AX$1007,INDEX($R$8:$R$207,$U174),매출원본!$BA$8:$BA$1007,"포함",매출원본!$AS$8:$AS$1007,"&gt;="&amp;EDATE(설정!$B$10,2),매출원본!$AS$8:$AS$1007,"&lt;="&amp;EOMONTH(설정!$B$10,2)))</f>
        <v/>
      </c>
      <c r="L174" s="33">
        <f>IF(OR($U174="",3&gt;=설정!$B$12),"",SUMIFS(매출원본!$AT$8:$AT$1007,매출원본!$AX$8:$AX$1007,INDEX($R$8:$R$207,$U174),매출원본!$BA$8:$BA$1007,"포함",매출원본!$AS$8:$AS$1007,"&gt;="&amp;EDATE(설정!$B$10,3),매출원본!$AS$8:$AS$1007,"&lt;="&amp;EOMONTH(설정!$B$10,3)))</f>
        <v/>
      </c>
      <c r="M174" s="33">
        <f>IF(OR($U174="",4&gt;=설정!$B$12),"",SUMIFS(매출원본!$AT$8:$AT$1007,매출원본!$AX$8:$AX$1007,INDEX($R$8:$R$207,$U174),매출원본!$BA$8:$BA$1007,"포함",매출원본!$AS$8:$AS$1007,"&gt;="&amp;EDATE(설정!$B$10,4),매출원본!$AS$8:$AS$1007,"&lt;="&amp;EOMONTH(설정!$B$10,4)))</f>
        <v/>
      </c>
      <c r="N174" s="33">
        <f>IF(OR($U174="",5&gt;=설정!$B$12),"",SUMIFS(매출원본!$AT$8:$AT$1007,매출원본!$AX$8:$AX$1007,INDEX($R$8:$R$207,$U174),매출원본!$BA$8:$BA$1007,"포함",매출원본!$AS$8:$AS$1007,"&gt;="&amp;EDATE(설정!$B$10,5),매출원본!$AS$8:$AS$1007,"&lt;="&amp;EOMONTH(설정!$B$10,5)))</f>
        <v/>
      </c>
      <c r="Q174" s="35" t="n">
        <v>167</v>
      </c>
      <c r="R174" s="35">
        <f>IFERROR(INDEX(매출원본!$AX$8:$AX$1007,MATCH($Q174,매출원본!$BD$8:$BD$1007,0)),"")</f>
        <v/>
      </c>
      <c r="S174" s="35">
        <f>IF($R174="","",SUMIFS(매출원본!$AT$8:$AT$1007,매출원본!$AX$8:$AX$1007,$R174,매출원본!$BA$8:$BA$1007,"포함"))</f>
        <v/>
      </c>
      <c r="T174" s="35">
        <f>IF($R174="","",$S174-$Q174/100000)</f>
        <v/>
      </c>
      <c r="U174" s="35">
        <f>IFERROR(MATCH(LARGE($T$8:$T$207,167),$T$8:$T$207,0),"")</f>
        <v/>
      </c>
    </row>
    <row r="175">
      <c r="A175" s="32">
        <f>IF($U175="","",168)</f>
        <v/>
      </c>
      <c r="B175" s="10">
        <f>IF($U175="","",IFERROR(INDEX(매출원본!$AZ$8:$AZ$1007,MATCH($U175,매출원본!$BD$8:$BD$1007,0)),""))</f>
        <v/>
      </c>
      <c r="C175" s="10">
        <f>IF($U175="","",IFERROR(INDEX(매출원본!$AY$8:$AY$1007,MATCH($U175,매출원본!$BD$8:$BD$1007,0)),""))</f>
        <v/>
      </c>
      <c r="D175" s="33">
        <f>IF($U175="","",COUNTIFS(매출원본!$AX$8:$AX$1007,INDEX($R$8:$R$207,$U175),매출원본!$BA$8:$BA$1007,"포함"))</f>
        <v/>
      </c>
      <c r="E175" s="33">
        <f>IF($U175="","",SUMIFS(매출원본!$AT$8:$AT$1007,매출원본!$AX$8:$AX$1007,INDEX($R$8:$R$207,$U175),매출원본!$BA$8:$BA$1007,"포함"))</f>
        <v/>
      </c>
      <c r="F175" s="33">
        <f>IF($U175="","",SUMIFS(매출원본!$AU$8:$AU$1007,매출원본!$AX$8:$AX$1007,INDEX($R$8:$R$207,$U175),매출원본!$BA$8:$BA$1007,"포함"))</f>
        <v/>
      </c>
      <c r="G175" s="33">
        <f>IF($U175="","",SUMIFS(매출원본!$AV$8:$AV$1007,매출원본!$AX$8:$AX$1007,INDEX($R$8:$R$207,$U175),매출원본!$BA$8:$BA$1007,"포함"))</f>
        <v/>
      </c>
      <c r="H175" s="34">
        <f>IF(OR($U175="",$E$7=0),"",E175/$E$7)</f>
        <v/>
      </c>
      <c r="I175" s="33">
        <f>IF(OR($U175="",0&gt;=설정!$B$12),"",SUMIFS(매출원본!$AT$8:$AT$1007,매출원본!$AX$8:$AX$1007,INDEX($R$8:$R$207,$U175),매출원본!$BA$8:$BA$1007,"포함",매출원본!$AS$8:$AS$1007,"&gt;="&amp;EDATE(설정!$B$10,0),매출원본!$AS$8:$AS$1007,"&lt;="&amp;EOMONTH(설정!$B$10,0)))</f>
        <v/>
      </c>
      <c r="J175" s="33">
        <f>IF(OR($U175="",1&gt;=설정!$B$12),"",SUMIFS(매출원본!$AT$8:$AT$1007,매출원본!$AX$8:$AX$1007,INDEX($R$8:$R$207,$U175),매출원본!$BA$8:$BA$1007,"포함",매출원본!$AS$8:$AS$1007,"&gt;="&amp;EDATE(설정!$B$10,1),매출원본!$AS$8:$AS$1007,"&lt;="&amp;EOMONTH(설정!$B$10,1)))</f>
        <v/>
      </c>
      <c r="K175" s="33">
        <f>IF(OR($U175="",2&gt;=설정!$B$12),"",SUMIFS(매출원본!$AT$8:$AT$1007,매출원본!$AX$8:$AX$1007,INDEX($R$8:$R$207,$U175),매출원본!$BA$8:$BA$1007,"포함",매출원본!$AS$8:$AS$1007,"&gt;="&amp;EDATE(설정!$B$10,2),매출원본!$AS$8:$AS$1007,"&lt;="&amp;EOMONTH(설정!$B$10,2)))</f>
        <v/>
      </c>
      <c r="L175" s="33">
        <f>IF(OR($U175="",3&gt;=설정!$B$12),"",SUMIFS(매출원본!$AT$8:$AT$1007,매출원본!$AX$8:$AX$1007,INDEX($R$8:$R$207,$U175),매출원본!$BA$8:$BA$1007,"포함",매출원본!$AS$8:$AS$1007,"&gt;="&amp;EDATE(설정!$B$10,3),매출원본!$AS$8:$AS$1007,"&lt;="&amp;EOMONTH(설정!$B$10,3)))</f>
        <v/>
      </c>
      <c r="M175" s="33">
        <f>IF(OR($U175="",4&gt;=설정!$B$12),"",SUMIFS(매출원본!$AT$8:$AT$1007,매출원본!$AX$8:$AX$1007,INDEX($R$8:$R$207,$U175),매출원본!$BA$8:$BA$1007,"포함",매출원본!$AS$8:$AS$1007,"&gt;="&amp;EDATE(설정!$B$10,4),매출원본!$AS$8:$AS$1007,"&lt;="&amp;EOMONTH(설정!$B$10,4)))</f>
        <v/>
      </c>
      <c r="N175" s="33">
        <f>IF(OR($U175="",5&gt;=설정!$B$12),"",SUMIFS(매출원본!$AT$8:$AT$1007,매출원본!$AX$8:$AX$1007,INDEX($R$8:$R$207,$U175),매출원본!$BA$8:$BA$1007,"포함",매출원본!$AS$8:$AS$1007,"&gt;="&amp;EDATE(설정!$B$10,5),매출원본!$AS$8:$AS$1007,"&lt;="&amp;EOMONTH(설정!$B$10,5)))</f>
        <v/>
      </c>
      <c r="Q175" s="35" t="n">
        <v>168</v>
      </c>
      <c r="R175" s="35">
        <f>IFERROR(INDEX(매출원본!$AX$8:$AX$1007,MATCH($Q175,매출원본!$BD$8:$BD$1007,0)),"")</f>
        <v/>
      </c>
      <c r="S175" s="35">
        <f>IF($R175="","",SUMIFS(매출원본!$AT$8:$AT$1007,매출원본!$AX$8:$AX$1007,$R175,매출원본!$BA$8:$BA$1007,"포함"))</f>
        <v/>
      </c>
      <c r="T175" s="35">
        <f>IF($R175="","",$S175-$Q175/100000)</f>
        <v/>
      </c>
      <c r="U175" s="35">
        <f>IFERROR(MATCH(LARGE($T$8:$T$207,168),$T$8:$T$207,0),"")</f>
        <v/>
      </c>
    </row>
    <row r="176">
      <c r="A176" s="32">
        <f>IF($U176="","",169)</f>
        <v/>
      </c>
      <c r="B176" s="10">
        <f>IF($U176="","",IFERROR(INDEX(매출원본!$AZ$8:$AZ$1007,MATCH($U176,매출원본!$BD$8:$BD$1007,0)),""))</f>
        <v/>
      </c>
      <c r="C176" s="10">
        <f>IF($U176="","",IFERROR(INDEX(매출원본!$AY$8:$AY$1007,MATCH($U176,매출원본!$BD$8:$BD$1007,0)),""))</f>
        <v/>
      </c>
      <c r="D176" s="33">
        <f>IF($U176="","",COUNTIFS(매출원본!$AX$8:$AX$1007,INDEX($R$8:$R$207,$U176),매출원본!$BA$8:$BA$1007,"포함"))</f>
        <v/>
      </c>
      <c r="E176" s="33">
        <f>IF($U176="","",SUMIFS(매출원본!$AT$8:$AT$1007,매출원본!$AX$8:$AX$1007,INDEX($R$8:$R$207,$U176),매출원본!$BA$8:$BA$1007,"포함"))</f>
        <v/>
      </c>
      <c r="F176" s="33">
        <f>IF($U176="","",SUMIFS(매출원본!$AU$8:$AU$1007,매출원본!$AX$8:$AX$1007,INDEX($R$8:$R$207,$U176),매출원본!$BA$8:$BA$1007,"포함"))</f>
        <v/>
      </c>
      <c r="G176" s="33">
        <f>IF($U176="","",SUMIFS(매출원본!$AV$8:$AV$1007,매출원본!$AX$8:$AX$1007,INDEX($R$8:$R$207,$U176),매출원본!$BA$8:$BA$1007,"포함"))</f>
        <v/>
      </c>
      <c r="H176" s="34">
        <f>IF(OR($U176="",$E$7=0),"",E176/$E$7)</f>
        <v/>
      </c>
      <c r="I176" s="33">
        <f>IF(OR($U176="",0&gt;=설정!$B$12),"",SUMIFS(매출원본!$AT$8:$AT$1007,매출원본!$AX$8:$AX$1007,INDEX($R$8:$R$207,$U176),매출원본!$BA$8:$BA$1007,"포함",매출원본!$AS$8:$AS$1007,"&gt;="&amp;EDATE(설정!$B$10,0),매출원본!$AS$8:$AS$1007,"&lt;="&amp;EOMONTH(설정!$B$10,0)))</f>
        <v/>
      </c>
      <c r="J176" s="33">
        <f>IF(OR($U176="",1&gt;=설정!$B$12),"",SUMIFS(매출원본!$AT$8:$AT$1007,매출원본!$AX$8:$AX$1007,INDEX($R$8:$R$207,$U176),매출원본!$BA$8:$BA$1007,"포함",매출원본!$AS$8:$AS$1007,"&gt;="&amp;EDATE(설정!$B$10,1),매출원본!$AS$8:$AS$1007,"&lt;="&amp;EOMONTH(설정!$B$10,1)))</f>
        <v/>
      </c>
      <c r="K176" s="33">
        <f>IF(OR($U176="",2&gt;=설정!$B$12),"",SUMIFS(매출원본!$AT$8:$AT$1007,매출원본!$AX$8:$AX$1007,INDEX($R$8:$R$207,$U176),매출원본!$BA$8:$BA$1007,"포함",매출원본!$AS$8:$AS$1007,"&gt;="&amp;EDATE(설정!$B$10,2),매출원본!$AS$8:$AS$1007,"&lt;="&amp;EOMONTH(설정!$B$10,2)))</f>
        <v/>
      </c>
      <c r="L176" s="33">
        <f>IF(OR($U176="",3&gt;=설정!$B$12),"",SUMIFS(매출원본!$AT$8:$AT$1007,매출원본!$AX$8:$AX$1007,INDEX($R$8:$R$207,$U176),매출원본!$BA$8:$BA$1007,"포함",매출원본!$AS$8:$AS$1007,"&gt;="&amp;EDATE(설정!$B$10,3),매출원본!$AS$8:$AS$1007,"&lt;="&amp;EOMONTH(설정!$B$10,3)))</f>
        <v/>
      </c>
      <c r="M176" s="33">
        <f>IF(OR($U176="",4&gt;=설정!$B$12),"",SUMIFS(매출원본!$AT$8:$AT$1007,매출원본!$AX$8:$AX$1007,INDEX($R$8:$R$207,$U176),매출원본!$BA$8:$BA$1007,"포함",매출원본!$AS$8:$AS$1007,"&gt;="&amp;EDATE(설정!$B$10,4),매출원본!$AS$8:$AS$1007,"&lt;="&amp;EOMONTH(설정!$B$10,4)))</f>
        <v/>
      </c>
      <c r="N176" s="33">
        <f>IF(OR($U176="",5&gt;=설정!$B$12),"",SUMIFS(매출원본!$AT$8:$AT$1007,매출원본!$AX$8:$AX$1007,INDEX($R$8:$R$207,$U176),매출원본!$BA$8:$BA$1007,"포함",매출원본!$AS$8:$AS$1007,"&gt;="&amp;EDATE(설정!$B$10,5),매출원본!$AS$8:$AS$1007,"&lt;="&amp;EOMONTH(설정!$B$10,5)))</f>
        <v/>
      </c>
      <c r="Q176" s="35" t="n">
        <v>169</v>
      </c>
      <c r="R176" s="35">
        <f>IFERROR(INDEX(매출원본!$AX$8:$AX$1007,MATCH($Q176,매출원본!$BD$8:$BD$1007,0)),"")</f>
        <v/>
      </c>
      <c r="S176" s="35">
        <f>IF($R176="","",SUMIFS(매출원본!$AT$8:$AT$1007,매출원본!$AX$8:$AX$1007,$R176,매출원본!$BA$8:$BA$1007,"포함"))</f>
        <v/>
      </c>
      <c r="T176" s="35">
        <f>IF($R176="","",$S176-$Q176/100000)</f>
        <v/>
      </c>
      <c r="U176" s="35">
        <f>IFERROR(MATCH(LARGE($T$8:$T$207,169),$T$8:$T$207,0),"")</f>
        <v/>
      </c>
    </row>
    <row r="177">
      <c r="A177" s="32">
        <f>IF($U177="","",170)</f>
        <v/>
      </c>
      <c r="B177" s="10">
        <f>IF($U177="","",IFERROR(INDEX(매출원본!$AZ$8:$AZ$1007,MATCH($U177,매출원본!$BD$8:$BD$1007,0)),""))</f>
        <v/>
      </c>
      <c r="C177" s="10">
        <f>IF($U177="","",IFERROR(INDEX(매출원본!$AY$8:$AY$1007,MATCH($U177,매출원본!$BD$8:$BD$1007,0)),""))</f>
        <v/>
      </c>
      <c r="D177" s="33">
        <f>IF($U177="","",COUNTIFS(매출원본!$AX$8:$AX$1007,INDEX($R$8:$R$207,$U177),매출원본!$BA$8:$BA$1007,"포함"))</f>
        <v/>
      </c>
      <c r="E177" s="33">
        <f>IF($U177="","",SUMIFS(매출원본!$AT$8:$AT$1007,매출원본!$AX$8:$AX$1007,INDEX($R$8:$R$207,$U177),매출원본!$BA$8:$BA$1007,"포함"))</f>
        <v/>
      </c>
      <c r="F177" s="33">
        <f>IF($U177="","",SUMIFS(매출원본!$AU$8:$AU$1007,매출원본!$AX$8:$AX$1007,INDEX($R$8:$R$207,$U177),매출원본!$BA$8:$BA$1007,"포함"))</f>
        <v/>
      </c>
      <c r="G177" s="33">
        <f>IF($U177="","",SUMIFS(매출원본!$AV$8:$AV$1007,매출원본!$AX$8:$AX$1007,INDEX($R$8:$R$207,$U177),매출원본!$BA$8:$BA$1007,"포함"))</f>
        <v/>
      </c>
      <c r="H177" s="34">
        <f>IF(OR($U177="",$E$7=0),"",E177/$E$7)</f>
        <v/>
      </c>
      <c r="I177" s="33">
        <f>IF(OR($U177="",0&gt;=설정!$B$12),"",SUMIFS(매출원본!$AT$8:$AT$1007,매출원본!$AX$8:$AX$1007,INDEX($R$8:$R$207,$U177),매출원본!$BA$8:$BA$1007,"포함",매출원본!$AS$8:$AS$1007,"&gt;="&amp;EDATE(설정!$B$10,0),매출원본!$AS$8:$AS$1007,"&lt;="&amp;EOMONTH(설정!$B$10,0)))</f>
        <v/>
      </c>
      <c r="J177" s="33">
        <f>IF(OR($U177="",1&gt;=설정!$B$12),"",SUMIFS(매출원본!$AT$8:$AT$1007,매출원본!$AX$8:$AX$1007,INDEX($R$8:$R$207,$U177),매출원본!$BA$8:$BA$1007,"포함",매출원본!$AS$8:$AS$1007,"&gt;="&amp;EDATE(설정!$B$10,1),매출원본!$AS$8:$AS$1007,"&lt;="&amp;EOMONTH(설정!$B$10,1)))</f>
        <v/>
      </c>
      <c r="K177" s="33">
        <f>IF(OR($U177="",2&gt;=설정!$B$12),"",SUMIFS(매출원본!$AT$8:$AT$1007,매출원본!$AX$8:$AX$1007,INDEX($R$8:$R$207,$U177),매출원본!$BA$8:$BA$1007,"포함",매출원본!$AS$8:$AS$1007,"&gt;="&amp;EDATE(설정!$B$10,2),매출원본!$AS$8:$AS$1007,"&lt;="&amp;EOMONTH(설정!$B$10,2)))</f>
        <v/>
      </c>
      <c r="L177" s="33">
        <f>IF(OR($U177="",3&gt;=설정!$B$12),"",SUMIFS(매출원본!$AT$8:$AT$1007,매출원본!$AX$8:$AX$1007,INDEX($R$8:$R$207,$U177),매출원본!$BA$8:$BA$1007,"포함",매출원본!$AS$8:$AS$1007,"&gt;="&amp;EDATE(설정!$B$10,3),매출원본!$AS$8:$AS$1007,"&lt;="&amp;EOMONTH(설정!$B$10,3)))</f>
        <v/>
      </c>
      <c r="M177" s="33">
        <f>IF(OR($U177="",4&gt;=설정!$B$12),"",SUMIFS(매출원본!$AT$8:$AT$1007,매출원본!$AX$8:$AX$1007,INDEX($R$8:$R$207,$U177),매출원본!$BA$8:$BA$1007,"포함",매출원본!$AS$8:$AS$1007,"&gt;="&amp;EDATE(설정!$B$10,4),매출원본!$AS$8:$AS$1007,"&lt;="&amp;EOMONTH(설정!$B$10,4)))</f>
        <v/>
      </c>
      <c r="N177" s="33">
        <f>IF(OR($U177="",5&gt;=설정!$B$12),"",SUMIFS(매출원본!$AT$8:$AT$1007,매출원본!$AX$8:$AX$1007,INDEX($R$8:$R$207,$U177),매출원본!$BA$8:$BA$1007,"포함",매출원본!$AS$8:$AS$1007,"&gt;="&amp;EDATE(설정!$B$10,5),매출원본!$AS$8:$AS$1007,"&lt;="&amp;EOMONTH(설정!$B$10,5)))</f>
        <v/>
      </c>
      <c r="Q177" s="35" t="n">
        <v>170</v>
      </c>
      <c r="R177" s="35">
        <f>IFERROR(INDEX(매출원본!$AX$8:$AX$1007,MATCH($Q177,매출원본!$BD$8:$BD$1007,0)),"")</f>
        <v/>
      </c>
      <c r="S177" s="35">
        <f>IF($R177="","",SUMIFS(매출원본!$AT$8:$AT$1007,매출원본!$AX$8:$AX$1007,$R177,매출원본!$BA$8:$BA$1007,"포함"))</f>
        <v/>
      </c>
      <c r="T177" s="35">
        <f>IF($R177="","",$S177-$Q177/100000)</f>
        <v/>
      </c>
      <c r="U177" s="35">
        <f>IFERROR(MATCH(LARGE($T$8:$T$207,170),$T$8:$T$207,0),"")</f>
        <v/>
      </c>
    </row>
    <row r="178">
      <c r="A178" s="32">
        <f>IF($U178="","",171)</f>
        <v/>
      </c>
      <c r="B178" s="10">
        <f>IF($U178="","",IFERROR(INDEX(매출원본!$AZ$8:$AZ$1007,MATCH($U178,매출원본!$BD$8:$BD$1007,0)),""))</f>
        <v/>
      </c>
      <c r="C178" s="10">
        <f>IF($U178="","",IFERROR(INDEX(매출원본!$AY$8:$AY$1007,MATCH($U178,매출원본!$BD$8:$BD$1007,0)),""))</f>
        <v/>
      </c>
      <c r="D178" s="33">
        <f>IF($U178="","",COUNTIFS(매출원본!$AX$8:$AX$1007,INDEX($R$8:$R$207,$U178),매출원본!$BA$8:$BA$1007,"포함"))</f>
        <v/>
      </c>
      <c r="E178" s="33">
        <f>IF($U178="","",SUMIFS(매출원본!$AT$8:$AT$1007,매출원본!$AX$8:$AX$1007,INDEX($R$8:$R$207,$U178),매출원본!$BA$8:$BA$1007,"포함"))</f>
        <v/>
      </c>
      <c r="F178" s="33">
        <f>IF($U178="","",SUMIFS(매출원본!$AU$8:$AU$1007,매출원본!$AX$8:$AX$1007,INDEX($R$8:$R$207,$U178),매출원본!$BA$8:$BA$1007,"포함"))</f>
        <v/>
      </c>
      <c r="G178" s="33">
        <f>IF($U178="","",SUMIFS(매출원본!$AV$8:$AV$1007,매출원본!$AX$8:$AX$1007,INDEX($R$8:$R$207,$U178),매출원본!$BA$8:$BA$1007,"포함"))</f>
        <v/>
      </c>
      <c r="H178" s="34">
        <f>IF(OR($U178="",$E$7=0),"",E178/$E$7)</f>
        <v/>
      </c>
      <c r="I178" s="33">
        <f>IF(OR($U178="",0&gt;=설정!$B$12),"",SUMIFS(매출원본!$AT$8:$AT$1007,매출원본!$AX$8:$AX$1007,INDEX($R$8:$R$207,$U178),매출원본!$BA$8:$BA$1007,"포함",매출원본!$AS$8:$AS$1007,"&gt;="&amp;EDATE(설정!$B$10,0),매출원본!$AS$8:$AS$1007,"&lt;="&amp;EOMONTH(설정!$B$10,0)))</f>
        <v/>
      </c>
      <c r="J178" s="33">
        <f>IF(OR($U178="",1&gt;=설정!$B$12),"",SUMIFS(매출원본!$AT$8:$AT$1007,매출원본!$AX$8:$AX$1007,INDEX($R$8:$R$207,$U178),매출원본!$BA$8:$BA$1007,"포함",매출원본!$AS$8:$AS$1007,"&gt;="&amp;EDATE(설정!$B$10,1),매출원본!$AS$8:$AS$1007,"&lt;="&amp;EOMONTH(설정!$B$10,1)))</f>
        <v/>
      </c>
      <c r="K178" s="33">
        <f>IF(OR($U178="",2&gt;=설정!$B$12),"",SUMIFS(매출원본!$AT$8:$AT$1007,매출원본!$AX$8:$AX$1007,INDEX($R$8:$R$207,$U178),매출원본!$BA$8:$BA$1007,"포함",매출원본!$AS$8:$AS$1007,"&gt;="&amp;EDATE(설정!$B$10,2),매출원본!$AS$8:$AS$1007,"&lt;="&amp;EOMONTH(설정!$B$10,2)))</f>
        <v/>
      </c>
      <c r="L178" s="33">
        <f>IF(OR($U178="",3&gt;=설정!$B$12),"",SUMIFS(매출원본!$AT$8:$AT$1007,매출원본!$AX$8:$AX$1007,INDEX($R$8:$R$207,$U178),매출원본!$BA$8:$BA$1007,"포함",매출원본!$AS$8:$AS$1007,"&gt;="&amp;EDATE(설정!$B$10,3),매출원본!$AS$8:$AS$1007,"&lt;="&amp;EOMONTH(설정!$B$10,3)))</f>
        <v/>
      </c>
      <c r="M178" s="33">
        <f>IF(OR($U178="",4&gt;=설정!$B$12),"",SUMIFS(매출원본!$AT$8:$AT$1007,매출원본!$AX$8:$AX$1007,INDEX($R$8:$R$207,$U178),매출원본!$BA$8:$BA$1007,"포함",매출원본!$AS$8:$AS$1007,"&gt;="&amp;EDATE(설정!$B$10,4),매출원본!$AS$8:$AS$1007,"&lt;="&amp;EOMONTH(설정!$B$10,4)))</f>
        <v/>
      </c>
      <c r="N178" s="33">
        <f>IF(OR($U178="",5&gt;=설정!$B$12),"",SUMIFS(매출원본!$AT$8:$AT$1007,매출원본!$AX$8:$AX$1007,INDEX($R$8:$R$207,$U178),매출원본!$BA$8:$BA$1007,"포함",매출원본!$AS$8:$AS$1007,"&gt;="&amp;EDATE(설정!$B$10,5),매출원본!$AS$8:$AS$1007,"&lt;="&amp;EOMONTH(설정!$B$10,5)))</f>
        <v/>
      </c>
      <c r="Q178" s="35" t="n">
        <v>171</v>
      </c>
      <c r="R178" s="35">
        <f>IFERROR(INDEX(매출원본!$AX$8:$AX$1007,MATCH($Q178,매출원본!$BD$8:$BD$1007,0)),"")</f>
        <v/>
      </c>
      <c r="S178" s="35">
        <f>IF($R178="","",SUMIFS(매출원본!$AT$8:$AT$1007,매출원본!$AX$8:$AX$1007,$R178,매출원본!$BA$8:$BA$1007,"포함"))</f>
        <v/>
      </c>
      <c r="T178" s="35">
        <f>IF($R178="","",$S178-$Q178/100000)</f>
        <v/>
      </c>
      <c r="U178" s="35">
        <f>IFERROR(MATCH(LARGE($T$8:$T$207,171),$T$8:$T$207,0),"")</f>
        <v/>
      </c>
    </row>
    <row r="179">
      <c r="A179" s="32">
        <f>IF($U179="","",172)</f>
        <v/>
      </c>
      <c r="B179" s="10">
        <f>IF($U179="","",IFERROR(INDEX(매출원본!$AZ$8:$AZ$1007,MATCH($U179,매출원본!$BD$8:$BD$1007,0)),""))</f>
        <v/>
      </c>
      <c r="C179" s="10">
        <f>IF($U179="","",IFERROR(INDEX(매출원본!$AY$8:$AY$1007,MATCH($U179,매출원본!$BD$8:$BD$1007,0)),""))</f>
        <v/>
      </c>
      <c r="D179" s="33">
        <f>IF($U179="","",COUNTIFS(매출원본!$AX$8:$AX$1007,INDEX($R$8:$R$207,$U179),매출원본!$BA$8:$BA$1007,"포함"))</f>
        <v/>
      </c>
      <c r="E179" s="33">
        <f>IF($U179="","",SUMIFS(매출원본!$AT$8:$AT$1007,매출원본!$AX$8:$AX$1007,INDEX($R$8:$R$207,$U179),매출원본!$BA$8:$BA$1007,"포함"))</f>
        <v/>
      </c>
      <c r="F179" s="33">
        <f>IF($U179="","",SUMIFS(매출원본!$AU$8:$AU$1007,매출원본!$AX$8:$AX$1007,INDEX($R$8:$R$207,$U179),매출원본!$BA$8:$BA$1007,"포함"))</f>
        <v/>
      </c>
      <c r="G179" s="33">
        <f>IF($U179="","",SUMIFS(매출원본!$AV$8:$AV$1007,매출원본!$AX$8:$AX$1007,INDEX($R$8:$R$207,$U179),매출원본!$BA$8:$BA$1007,"포함"))</f>
        <v/>
      </c>
      <c r="H179" s="34">
        <f>IF(OR($U179="",$E$7=0),"",E179/$E$7)</f>
        <v/>
      </c>
      <c r="I179" s="33">
        <f>IF(OR($U179="",0&gt;=설정!$B$12),"",SUMIFS(매출원본!$AT$8:$AT$1007,매출원본!$AX$8:$AX$1007,INDEX($R$8:$R$207,$U179),매출원본!$BA$8:$BA$1007,"포함",매출원본!$AS$8:$AS$1007,"&gt;="&amp;EDATE(설정!$B$10,0),매출원본!$AS$8:$AS$1007,"&lt;="&amp;EOMONTH(설정!$B$10,0)))</f>
        <v/>
      </c>
      <c r="J179" s="33">
        <f>IF(OR($U179="",1&gt;=설정!$B$12),"",SUMIFS(매출원본!$AT$8:$AT$1007,매출원본!$AX$8:$AX$1007,INDEX($R$8:$R$207,$U179),매출원본!$BA$8:$BA$1007,"포함",매출원본!$AS$8:$AS$1007,"&gt;="&amp;EDATE(설정!$B$10,1),매출원본!$AS$8:$AS$1007,"&lt;="&amp;EOMONTH(설정!$B$10,1)))</f>
        <v/>
      </c>
      <c r="K179" s="33">
        <f>IF(OR($U179="",2&gt;=설정!$B$12),"",SUMIFS(매출원본!$AT$8:$AT$1007,매출원본!$AX$8:$AX$1007,INDEX($R$8:$R$207,$U179),매출원본!$BA$8:$BA$1007,"포함",매출원본!$AS$8:$AS$1007,"&gt;="&amp;EDATE(설정!$B$10,2),매출원본!$AS$8:$AS$1007,"&lt;="&amp;EOMONTH(설정!$B$10,2)))</f>
        <v/>
      </c>
      <c r="L179" s="33">
        <f>IF(OR($U179="",3&gt;=설정!$B$12),"",SUMIFS(매출원본!$AT$8:$AT$1007,매출원본!$AX$8:$AX$1007,INDEX($R$8:$R$207,$U179),매출원본!$BA$8:$BA$1007,"포함",매출원본!$AS$8:$AS$1007,"&gt;="&amp;EDATE(설정!$B$10,3),매출원본!$AS$8:$AS$1007,"&lt;="&amp;EOMONTH(설정!$B$10,3)))</f>
        <v/>
      </c>
      <c r="M179" s="33">
        <f>IF(OR($U179="",4&gt;=설정!$B$12),"",SUMIFS(매출원본!$AT$8:$AT$1007,매출원본!$AX$8:$AX$1007,INDEX($R$8:$R$207,$U179),매출원본!$BA$8:$BA$1007,"포함",매출원본!$AS$8:$AS$1007,"&gt;="&amp;EDATE(설정!$B$10,4),매출원본!$AS$8:$AS$1007,"&lt;="&amp;EOMONTH(설정!$B$10,4)))</f>
        <v/>
      </c>
      <c r="N179" s="33">
        <f>IF(OR($U179="",5&gt;=설정!$B$12),"",SUMIFS(매출원본!$AT$8:$AT$1007,매출원본!$AX$8:$AX$1007,INDEX($R$8:$R$207,$U179),매출원본!$BA$8:$BA$1007,"포함",매출원본!$AS$8:$AS$1007,"&gt;="&amp;EDATE(설정!$B$10,5),매출원본!$AS$8:$AS$1007,"&lt;="&amp;EOMONTH(설정!$B$10,5)))</f>
        <v/>
      </c>
      <c r="Q179" s="35" t="n">
        <v>172</v>
      </c>
      <c r="R179" s="35">
        <f>IFERROR(INDEX(매출원본!$AX$8:$AX$1007,MATCH($Q179,매출원본!$BD$8:$BD$1007,0)),"")</f>
        <v/>
      </c>
      <c r="S179" s="35">
        <f>IF($R179="","",SUMIFS(매출원본!$AT$8:$AT$1007,매출원본!$AX$8:$AX$1007,$R179,매출원본!$BA$8:$BA$1007,"포함"))</f>
        <v/>
      </c>
      <c r="T179" s="35">
        <f>IF($R179="","",$S179-$Q179/100000)</f>
        <v/>
      </c>
      <c r="U179" s="35">
        <f>IFERROR(MATCH(LARGE($T$8:$T$207,172),$T$8:$T$207,0),"")</f>
        <v/>
      </c>
    </row>
    <row r="180">
      <c r="A180" s="32">
        <f>IF($U180="","",173)</f>
        <v/>
      </c>
      <c r="B180" s="10">
        <f>IF($U180="","",IFERROR(INDEX(매출원본!$AZ$8:$AZ$1007,MATCH($U180,매출원본!$BD$8:$BD$1007,0)),""))</f>
        <v/>
      </c>
      <c r="C180" s="10">
        <f>IF($U180="","",IFERROR(INDEX(매출원본!$AY$8:$AY$1007,MATCH($U180,매출원본!$BD$8:$BD$1007,0)),""))</f>
        <v/>
      </c>
      <c r="D180" s="33">
        <f>IF($U180="","",COUNTIFS(매출원본!$AX$8:$AX$1007,INDEX($R$8:$R$207,$U180),매출원본!$BA$8:$BA$1007,"포함"))</f>
        <v/>
      </c>
      <c r="E180" s="33">
        <f>IF($U180="","",SUMIFS(매출원본!$AT$8:$AT$1007,매출원본!$AX$8:$AX$1007,INDEX($R$8:$R$207,$U180),매출원본!$BA$8:$BA$1007,"포함"))</f>
        <v/>
      </c>
      <c r="F180" s="33">
        <f>IF($U180="","",SUMIFS(매출원본!$AU$8:$AU$1007,매출원본!$AX$8:$AX$1007,INDEX($R$8:$R$207,$U180),매출원본!$BA$8:$BA$1007,"포함"))</f>
        <v/>
      </c>
      <c r="G180" s="33">
        <f>IF($U180="","",SUMIFS(매출원본!$AV$8:$AV$1007,매출원본!$AX$8:$AX$1007,INDEX($R$8:$R$207,$U180),매출원본!$BA$8:$BA$1007,"포함"))</f>
        <v/>
      </c>
      <c r="H180" s="34">
        <f>IF(OR($U180="",$E$7=0),"",E180/$E$7)</f>
        <v/>
      </c>
      <c r="I180" s="33">
        <f>IF(OR($U180="",0&gt;=설정!$B$12),"",SUMIFS(매출원본!$AT$8:$AT$1007,매출원본!$AX$8:$AX$1007,INDEX($R$8:$R$207,$U180),매출원본!$BA$8:$BA$1007,"포함",매출원본!$AS$8:$AS$1007,"&gt;="&amp;EDATE(설정!$B$10,0),매출원본!$AS$8:$AS$1007,"&lt;="&amp;EOMONTH(설정!$B$10,0)))</f>
        <v/>
      </c>
      <c r="J180" s="33">
        <f>IF(OR($U180="",1&gt;=설정!$B$12),"",SUMIFS(매출원본!$AT$8:$AT$1007,매출원본!$AX$8:$AX$1007,INDEX($R$8:$R$207,$U180),매출원본!$BA$8:$BA$1007,"포함",매출원본!$AS$8:$AS$1007,"&gt;="&amp;EDATE(설정!$B$10,1),매출원본!$AS$8:$AS$1007,"&lt;="&amp;EOMONTH(설정!$B$10,1)))</f>
        <v/>
      </c>
      <c r="K180" s="33">
        <f>IF(OR($U180="",2&gt;=설정!$B$12),"",SUMIFS(매출원본!$AT$8:$AT$1007,매출원본!$AX$8:$AX$1007,INDEX($R$8:$R$207,$U180),매출원본!$BA$8:$BA$1007,"포함",매출원본!$AS$8:$AS$1007,"&gt;="&amp;EDATE(설정!$B$10,2),매출원본!$AS$8:$AS$1007,"&lt;="&amp;EOMONTH(설정!$B$10,2)))</f>
        <v/>
      </c>
      <c r="L180" s="33">
        <f>IF(OR($U180="",3&gt;=설정!$B$12),"",SUMIFS(매출원본!$AT$8:$AT$1007,매출원본!$AX$8:$AX$1007,INDEX($R$8:$R$207,$U180),매출원본!$BA$8:$BA$1007,"포함",매출원본!$AS$8:$AS$1007,"&gt;="&amp;EDATE(설정!$B$10,3),매출원본!$AS$8:$AS$1007,"&lt;="&amp;EOMONTH(설정!$B$10,3)))</f>
        <v/>
      </c>
      <c r="M180" s="33">
        <f>IF(OR($U180="",4&gt;=설정!$B$12),"",SUMIFS(매출원본!$AT$8:$AT$1007,매출원본!$AX$8:$AX$1007,INDEX($R$8:$R$207,$U180),매출원본!$BA$8:$BA$1007,"포함",매출원본!$AS$8:$AS$1007,"&gt;="&amp;EDATE(설정!$B$10,4),매출원본!$AS$8:$AS$1007,"&lt;="&amp;EOMONTH(설정!$B$10,4)))</f>
        <v/>
      </c>
      <c r="N180" s="33">
        <f>IF(OR($U180="",5&gt;=설정!$B$12),"",SUMIFS(매출원본!$AT$8:$AT$1007,매출원본!$AX$8:$AX$1007,INDEX($R$8:$R$207,$U180),매출원본!$BA$8:$BA$1007,"포함",매출원본!$AS$8:$AS$1007,"&gt;="&amp;EDATE(설정!$B$10,5),매출원본!$AS$8:$AS$1007,"&lt;="&amp;EOMONTH(설정!$B$10,5)))</f>
        <v/>
      </c>
      <c r="Q180" s="35" t="n">
        <v>173</v>
      </c>
      <c r="R180" s="35">
        <f>IFERROR(INDEX(매출원본!$AX$8:$AX$1007,MATCH($Q180,매출원본!$BD$8:$BD$1007,0)),"")</f>
        <v/>
      </c>
      <c r="S180" s="35">
        <f>IF($R180="","",SUMIFS(매출원본!$AT$8:$AT$1007,매출원본!$AX$8:$AX$1007,$R180,매출원본!$BA$8:$BA$1007,"포함"))</f>
        <v/>
      </c>
      <c r="T180" s="35">
        <f>IF($R180="","",$S180-$Q180/100000)</f>
        <v/>
      </c>
      <c r="U180" s="35">
        <f>IFERROR(MATCH(LARGE($T$8:$T$207,173),$T$8:$T$207,0),"")</f>
        <v/>
      </c>
    </row>
    <row r="181">
      <c r="A181" s="32">
        <f>IF($U181="","",174)</f>
        <v/>
      </c>
      <c r="B181" s="10">
        <f>IF($U181="","",IFERROR(INDEX(매출원본!$AZ$8:$AZ$1007,MATCH($U181,매출원본!$BD$8:$BD$1007,0)),""))</f>
        <v/>
      </c>
      <c r="C181" s="10">
        <f>IF($U181="","",IFERROR(INDEX(매출원본!$AY$8:$AY$1007,MATCH($U181,매출원본!$BD$8:$BD$1007,0)),""))</f>
        <v/>
      </c>
      <c r="D181" s="33">
        <f>IF($U181="","",COUNTIFS(매출원본!$AX$8:$AX$1007,INDEX($R$8:$R$207,$U181),매출원본!$BA$8:$BA$1007,"포함"))</f>
        <v/>
      </c>
      <c r="E181" s="33">
        <f>IF($U181="","",SUMIFS(매출원본!$AT$8:$AT$1007,매출원본!$AX$8:$AX$1007,INDEX($R$8:$R$207,$U181),매출원본!$BA$8:$BA$1007,"포함"))</f>
        <v/>
      </c>
      <c r="F181" s="33">
        <f>IF($U181="","",SUMIFS(매출원본!$AU$8:$AU$1007,매출원본!$AX$8:$AX$1007,INDEX($R$8:$R$207,$U181),매출원본!$BA$8:$BA$1007,"포함"))</f>
        <v/>
      </c>
      <c r="G181" s="33">
        <f>IF($U181="","",SUMIFS(매출원본!$AV$8:$AV$1007,매출원본!$AX$8:$AX$1007,INDEX($R$8:$R$207,$U181),매출원본!$BA$8:$BA$1007,"포함"))</f>
        <v/>
      </c>
      <c r="H181" s="34">
        <f>IF(OR($U181="",$E$7=0),"",E181/$E$7)</f>
        <v/>
      </c>
      <c r="I181" s="33">
        <f>IF(OR($U181="",0&gt;=설정!$B$12),"",SUMIFS(매출원본!$AT$8:$AT$1007,매출원본!$AX$8:$AX$1007,INDEX($R$8:$R$207,$U181),매출원본!$BA$8:$BA$1007,"포함",매출원본!$AS$8:$AS$1007,"&gt;="&amp;EDATE(설정!$B$10,0),매출원본!$AS$8:$AS$1007,"&lt;="&amp;EOMONTH(설정!$B$10,0)))</f>
        <v/>
      </c>
      <c r="J181" s="33">
        <f>IF(OR($U181="",1&gt;=설정!$B$12),"",SUMIFS(매출원본!$AT$8:$AT$1007,매출원본!$AX$8:$AX$1007,INDEX($R$8:$R$207,$U181),매출원본!$BA$8:$BA$1007,"포함",매출원본!$AS$8:$AS$1007,"&gt;="&amp;EDATE(설정!$B$10,1),매출원본!$AS$8:$AS$1007,"&lt;="&amp;EOMONTH(설정!$B$10,1)))</f>
        <v/>
      </c>
      <c r="K181" s="33">
        <f>IF(OR($U181="",2&gt;=설정!$B$12),"",SUMIFS(매출원본!$AT$8:$AT$1007,매출원본!$AX$8:$AX$1007,INDEX($R$8:$R$207,$U181),매출원본!$BA$8:$BA$1007,"포함",매출원본!$AS$8:$AS$1007,"&gt;="&amp;EDATE(설정!$B$10,2),매출원본!$AS$8:$AS$1007,"&lt;="&amp;EOMONTH(설정!$B$10,2)))</f>
        <v/>
      </c>
      <c r="L181" s="33">
        <f>IF(OR($U181="",3&gt;=설정!$B$12),"",SUMIFS(매출원본!$AT$8:$AT$1007,매출원본!$AX$8:$AX$1007,INDEX($R$8:$R$207,$U181),매출원본!$BA$8:$BA$1007,"포함",매출원본!$AS$8:$AS$1007,"&gt;="&amp;EDATE(설정!$B$10,3),매출원본!$AS$8:$AS$1007,"&lt;="&amp;EOMONTH(설정!$B$10,3)))</f>
        <v/>
      </c>
      <c r="M181" s="33">
        <f>IF(OR($U181="",4&gt;=설정!$B$12),"",SUMIFS(매출원본!$AT$8:$AT$1007,매출원본!$AX$8:$AX$1007,INDEX($R$8:$R$207,$U181),매출원본!$BA$8:$BA$1007,"포함",매출원본!$AS$8:$AS$1007,"&gt;="&amp;EDATE(설정!$B$10,4),매출원본!$AS$8:$AS$1007,"&lt;="&amp;EOMONTH(설정!$B$10,4)))</f>
        <v/>
      </c>
      <c r="N181" s="33">
        <f>IF(OR($U181="",5&gt;=설정!$B$12),"",SUMIFS(매출원본!$AT$8:$AT$1007,매출원본!$AX$8:$AX$1007,INDEX($R$8:$R$207,$U181),매출원본!$BA$8:$BA$1007,"포함",매출원본!$AS$8:$AS$1007,"&gt;="&amp;EDATE(설정!$B$10,5),매출원본!$AS$8:$AS$1007,"&lt;="&amp;EOMONTH(설정!$B$10,5)))</f>
        <v/>
      </c>
      <c r="Q181" s="35" t="n">
        <v>174</v>
      </c>
      <c r="R181" s="35">
        <f>IFERROR(INDEX(매출원본!$AX$8:$AX$1007,MATCH($Q181,매출원본!$BD$8:$BD$1007,0)),"")</f>
        <v/>
      </c>
      <c r="S181" s="35">
        <f>IF($R181="","",SUMIFS(매출원본!$AT$8:$AT$1007,매출원본!$AX$8:$AX$1007,$R181,매출원본!$BA$8:$BA$1007,"포함"))</f>
        <v/>
      </c>
      <c r="T181" s="35">
        <f>IF($R181="","",$S181-$Q181/100000)</f>
        <v/>
      </c>
      <c r="U181" s="35">
        <f>IFERROR(MATCH(LARGE($T$8:$T$207,174),$T$8:$T$207,0),"")</f>
        <v/>
      </c>
    </row>
    <row r="182">
      <c r="A182" s="32">
        <f>IF($U182="","",175)</f>
        <v/>
      </c>
      <c r="B182" s="10">
        <f>IF($U182="","",IFERROR(INDEX(매출원본!$AZ$8:$AZ$1007,MATCH($U182,매출원본!$BD$8:$BD$1007,0)),""))</f>
        <v/>
      </c>
      <c r="C182" s="10">
        <f>IF($U182="","",IFERROR(INDEX(매출원본!$AY$8:$AY$1007,MATCH($U182,매출원본!$BD$8:$BD$1007,0)),""))</f>
        <v/>
      </c>
      <c r="D182" s="33">
        <f>IF($U182="","",COUNTIFS(매출원본!$AX$8:$AX$1007,INDEX($R$8:$R$207,$U182),매출원본!$BA$8:$BA$1007,"포함"))</f>
        <v/>
      </c>
      <c r="E182" s="33">
        <f>IF($U182="","",SUMIFS(매출원본!$AT$8:$AT$1007,매출원본!$AX$8:$AX$1007,INDEX($R$8:$R$207,$U182),매출원본!$BA$8:$BA$1007,"포함"))</f>
        <v/>
      </c>
      <c r="F182" s="33">
        <f>IF($U182="","",SUMIFS(매출원본!$AU$8:$AU$1007,매출원본!$AX$8:$AX$1007,INDEX($R$8:$R$207,$U182),매출원본!$BA$8:$BA$1007,"포함"))</f>
        <v/>
      </c>
      <c r="G182" s="33">
        <f>IF($U182="","",SUMIFS(매출원본!$AV$8:$AV$1007,매출원본!$AX$8:$AX$1007,INDEX($R$8:$R$207,$U182),매출원본!$BA$8:$BA$1007,"포함"))</f>
        <v/>
      </c>
      <c r="H182" s="34">
        <f>IF(OR($U182="",$E$7=0),"",E182/$E$7)</f>
        <v/>
      </c>
      <c r="I182" s="33">
        <f>IF(OR($U182="",0&gt;=설정!$B$12),"",SUMIFS(매출원본!$AT$8:$AT$1007,매출원본!$AX$8:$AX$1007,INDEX($R$8:$R$207,$U182),매출원본!$BA$8:$BA$1007,"포함",매출원본!$AS$8:$AS$1007,"&gt;="&amp;EDATE(설정!$B$10,0),매출원본!$AS$8:$AS$1007,"&lt;="&amp;EOMONTH(설정!$B$10,0)))</f>
        <v/>
      </c>
      <c r="J182" s="33">
        <f>IF(OR($U182="",1&gt;=설정!$B$12),"",SUMIFS(매출원본!$AT$8:$AT$1007,매출원본!$AX$8:$AX$1007,INDEX($R$8:$R$207,$U182),매출원본!$BA$8:$BA$1007,"포함",매출원본!$AS$8:$AS$1007,"&gt;="&amp;EDATE(설정!$B$10,1),매출원본!$AS$8:$AS$1007,"&lt;="&amp;EOMONTH(설정!$B$10,1)))</f>
        <v/>
      </c>
      <c r="K182" s="33">
        <f>IF(OR($U182="",2&gt;=설정!$B$12),"",SUMIFS(매출원본!$AT$8:$AT$1007,매출원본!$AX$8:$AX$1007,INDEX($R$8:$R$207,$U182),매출원본!$BA$8:$BA$1007,"포함",매출원본!$AS$8:$AS$1007,"&gt;="&amp;EDATE(설정!$B$10,2),매출원본!$AS$8:$AS$1007,"&lt;="&amp;EOMONTH(설정!$B$10,2)))</f>
        <v/>
      </c>
      <c r="L182" s="33">
        <f>IF(OR($U182="",3&gt;=설정!$B$12),"",SUMIFS(매출원본!$AT$8:$AT$1007,매출원본!$AX$8:$AX$1007,INDEX($R$8:$R$207,$U182),매출원본!$BA$8:$BA$1007,"포함",매출원본!$AS$8:$AS$1007,"&gt;="&amp;EDATE(설정!$B$10,3),매출원본!$AS$8:$AS$1007,"&lt;="&amp;EOMONTH(설정!$B$10,3)))</f>
        <v/>
      </c>
      <c r="M182" s="33">
        <f>IF(OR($U182="",4&gt;=설정!$B$12),"",SUMIFS(매출원본!$AT$8:$AT$1007,매출원본!$AX$8:$AX$1007,INDEX($R$8:$R$207,$U182),매출원본!$BA$8:$BA$1007,"포함",매출원본!$AS$8:$AS$1007,"&gt;="&amp;EDATE(설정!$B$10,4),매출원본!$AS$8:$AS$1007,"&lt;="&amp;EOMONTH(설정!$B$10,4)))</f>
        <v/>
      </c>
      <c r="N182" s="33">
        <f>IF(OR($U182="",5&gt;=설정!$B$12),"",SUMIFS(매출원본!$AT$8:$AT$1007,매출원본!$AX$8:$AX$1007,INDEX($R$8:$R$207,$U182),매출원본!$BA$8:$BA$1007,"포함",매출원본!$AS$8:$AS$1007,"&gt;="&amp;EDATE(설정!$B$10,5),매출원본!$AS$8:$AS$1007,"&lt;="&amp;EOMONTH(설정!$B$10,5)))</f>
        <v/>
      </c>
      <c r="Q182" s="35" t="n">
        <v>175</v>
      </c>
      <c r="R182" s="35">
        <f>IFERROR(INDEX(매출원본!$AX$8:$AX$1007,MATCH($Q182,매출원본!$BD$8:$BD$1007,0)),"")</f>
        <v/>
      </c>
      <c r="S182" s="35">
        <f>IF($R182="","",SUMIFS(매출원본!$AT$8:$AT$1007,매출원본!$AX$8:$AX$1007,$R182,매출원본!$BA$8:$BA$1007,"포함"))</f>
        <v/>
      </c>
      <c r="T182" s="35">
        <f>IF($R182="","",$S182-$Q182/100000)</f>
        <v/>
      </c>
      <c r="U182" s="35">
        <f>IFERROR(MATCH(LARGE($T$8:$T$207,175),$T$8:$T$207,0),"")</f>
        <v/>
      </c>
    </row>
    <row r="183">
      <c r="A183" s="32">
        <f>IF($U183="","",176)</f>
        <v/>
      </c>
      <c r="B183" s="10">
        <f>IF($U183="","",IFERROR(INDEX(매출원본!$AZ$8:$AZ$1007,MATCH($U183,매출원본!$BD$8:$BD$1007,0)),""))</f>
        <v/>
      </c>
      <c r="C183" s="10">
        <f>IF($U183="","",IFERROR(INDEX(매출원본!$AY$8:$AY$1007,MATCH($U183,매출원본!$BD$8:$BD$1007,0)),""))</f>
        <v/>
      </c>
      <c r="D183" s="33">
        <f>IF($U183="","",COUNTIFS(매출원본!$AX$8:$AX$1007,INDEX($R$8:$R$207,$U183),매출원본!$BA$8:$BA$1007,"포함"))</f>
        <v/>
      </c>
      <c r="E183" s="33">
        <f>IF($U183="","",SUMIFS(매출원본!$AT$8:$AT$1007,매출원본!$AX$8:$AX$1007,INDEX($R$8:$R$207,$U183),매출원본!$BA$8:$BA$1007,"포함"))</f>
        <v/>
      </c>
      <c r="F183" s="33">
        <f>IF($U183="","",SUMIFS(매출원본!$AU$8:$AU$1007,매출원본!$AX$8:$AX$1007,INDEX($R$8:$R$207,$U183),매출원본!$BA$8:$BA$1007,"포함"))</f>
        <v/>
      </c>
      <c r="G183" s="33">
        <f>IF($U183="","",SUMIFS(매출원본!$AV$8:$AV$1007,매출원본!$AX$8:$AX$1007,INDEX($R$8:$R$207,$U183),매출원본!$BA$8:$BA$1007,"포함"))</f>
        <v/>
      </c>
      <c r="H183" s="34">
        <f>IF(OR($U183="",$E$7=0),"",E183/$E$7)</f>
        <v/>
      </c>
      <c r="I183" s="33">
        <f>IF(OR($U183="",0&gt;=설정!$B$12),"",SUMIFS(매출원본!$AT$8:$AT$1007,매출원본!$AX$8:$AX$1007,INDEX($R$8:$R$207,$U183),매출원본!$BA$8:$BA$1007,"포함",매출원본!$AS$8:$AS$1007,"&gt;="&amp;EDATE(설정!$B$10,0),매출원본!$AS$8:$AS$1007,"&lt;="&amp;EOMONTH(설정!$B$10,0)))</f>
        <v/>
      </c>
      <c r="J183" s="33">
        <f>IF(OR($U183="",1&gt;=설정!$B$12),"",SUMIFS(매출원본!$AT$8:$AT$1007,매출원본!$AX$8:$AX$1007,INDEX($R$8:$R$207,$U183),매출원본!$BA$8:$BA$1007,"포함",매출원본!$AS$8:$AS$1007,"&gt;="&amp;EDATE(설정!$B$10,1),매출원본!$AS$8:$AS$1007,"&lt;="&amp;EOMONTH(설정!$B$10,1)))</f>
        <v/>
      </c>
      <c r="K183" s="33">
        <f>IF(OR($U183="",2&gt;=설정!$B$12),"",SUMIFS(매출원본!$AT$8:$AT$1007,매출원본!$AX$8:$AX$1007,INDEX($R$8:$R$207,$U183),매출원본!$BA$8:$BA$1007,"포함",매출원본!$AS$8:$AS$1007,"&gt;="&amp;EDATE(설정!$B$10,2),매출원본!$AS$8:$AS$1007,"&lt;="&amp;EOMONTH(설정!$B$10,2)))</f>
        <v/>
      </c>
      <c r="L183" s="33">
        <f>IF(OR($U183="",3&gt;=설정!$B$12),"",SUMIFS(매출원본!$AT$8:$AT$1007,매출원본!$AX$8:$AX$1007,INDEX($R$8:$R$207,$U183),매출원본!$BA$8:$BA$1007,"포함",매출원본!$AS$8:$AS$1007,"&gt;="&amp;EDATE(설정!$B$10,3),매출원본!$AS$8:$AS$1007,"&lt;="&amp;EOMONTH(설정!$B$10,3)))</f>
        <v/>
      </c>
      <c r="M183" s="33">
        <f>IF(OR($U183="",4&gt;=설정!$B$12),"",SUMIFS(매출원본!$AT$8:$AT$1007,매출원본!$AX$8:$AX$1007,INDEX($R$8:$R$207,$U183),매출원본!$BA$8:$BA$1007,"포함",매출원본!$AS$8:$AS$1007,"&gt;="&amp;EDATE(설정!$B$10,4),매출원본!$AS$8:$AS$1007,"&lt;="&amp;EOMONTH(설정!$B$10,4)))</f>
        <v/>
      </c>
      <c r="N183" s="33">
        <f>IF(OR($U183="",5&gt;=설정!$B$12),"",SUMIFS(매출원본!$AT$8:$AT$1007,매출원본!$AX$8:$AX$1007,INDEX($R$8:$R$207,$U183),매출원본!$BA$8:$BA$1007,"포함",매출원본!$AS$8:$AS$1007,"&gt;="&amp;EDATE(설정!$B$10,5),매출원본!$AS$8:$AS$1007,"&lt;="&amp;EOMONTH(설정!$B$10,5)))</f>
        <v/>
      </c>
      <c r="Q183" s="35" t="n">
        <v>176</v>
      </c>
      <c r="R183" s="35">
        <f>IFERROR(INDEX(매출원본!$AX$8:$AX$1007,MATCH($Q183,매출원본!$BD$8:$BD$1007,0)),"")</f>
        <v/>
      </c>
      <c r="S183" s="35">
        <f>IF($R183="","",SUMIFS(매출원본!$AT$8:$AT$1007,매출원본!$AX$8:$AX$1007,$R183,매출원본!$BA$8:$BA$1007,"포함"))</f>
        <v/>
      </c>
      <c r="T183" s="35">
        <f>IF($R183="","",$S183-$Q183/100000)</f>
        <v/>
      </c>
      <c r="U183" s="35">
        <f>IFERROR(MATCH(LARGE($T$8:$T$207,176),$T$8:$T$207,0),"")</f>
        <v/>
      </c>
    </row>
    <row r="184">
      <c r="A184" s="32">
        <f>IF($U184="","",177)</f>
        <v/>
      </c>
      <c r="B184" s="10">
        <f>IF($U184="","",IFERROR(INDEX(매출원본!$AZ$8:$AZ$1007,MATCH($U184,매출원본!$BD$8:$BD$1007,0)),""))</f>
        <v/>
      </c>
      <c r="C184" s="10">
        <f>IF($U184="","",IFERROR(INDEX(매출원본!$AY$8:$AY$1007,MATCH($U184,매출원본!$BD$8:$BD$1007,0)),""))</f>
        <v/>
      </c>
      <c r="D184" s="33">
        <f>IF($U184="","",COUNTIFS(매출원본!$AX$8:$AX$1007,INDEX($R$8:$R$207,$U184),매출원본!$BA$8:$BA$1007,"포함"))</f>
        <v/>
      </c>
      <c r="E184" s="33">
        <f>IF($U184="","",SUMIFS(매출원본!$AT$8:$AT$1007,매출원본!$AX$8:$AX$1007,INDEX($R$8:$R$207,$U184),매출원본!$BA$8:$BA$1007,"포함"))</f>
        <v/>
      </c>
      <c r="F184" s="33">
        <f>IF($U184="","",SUMIFS(매출원본!$AU$8:$AU$1007,매출원본!$AX$8:$AX$1007,INDEX($R$8:$R$207,$U184),매출원본!$BA$8:$BA$1007,"포함"))</f>
        <v/>
      </c>
      <c r="G184" s="33">
        <f>IF($U184="","",SUMIFS(매출원본!$AV$8:$AV$1007,매출원본!$AX$8:$AX$1007,INDEX($R$8:$R$207,$U184),매출원본!$BA$8:$BA$1007,"포함"))</f>
        <v/>
      </c>
      <c r="H184" s="34">
        <f>IF(OR($U184="",$E$7=0),"",E184/$E$7)</f>
        <v/>
      </c>
      <c r="I184" s="33">
        <f>IF(OR($U184="",0&gt;=설정!$B$12),"",SUMIFS(매출원본!$AT$8:$AT$1007,매출원본!$AX$8:$AX$1007,INDEX($R$8:$R$207,$U184),매출원본!$BA$8:$BA$1007,"포함",매출원본!$AS$8:$AS$1007,"&gt;="&amp;EDATE(설정!$B$10,0),매출원본!$AS$8:$AS$1007,"&lt;="&amp;EOMONTH(설정!$B$10,0)))</f>
        <v/>
      </c>
      <c r="J184" s="33">
        <f>IF(OR($U184="",1&gt;=설정!$B$12),"",SUMIFS(매출원본!$AT$8:$AT$1007,매출원본!$AX$8:$AX$1007,INDEX($R$8:$R$207,$U184),매출원본!$BA$8:$BA$1007,"포함",매출원본!$AS$8:$AS$1007,"&gt;="&amp;EDATE(설정!$B$10,1),매출원본!$AS$8:$AS$1007,"&lt;="&amp;EOMONTH(설정!$B$10,1)))</f>
        <v/>
      </c>
      <c r="K184" s="33">
        <f>IF(OR($U184="",2&gt;=설정!$B$12),"",SUMIFS(매출원본!$AT$8:$AT$1007,매출원본!$AX$8:$AX$1007,INDEX($R$8:$R$207,$U184),매출원본!$BA$8:$BA$1007,"포함",매출원본!$AS$8:$AS$1007,"&gt;="&amp;EDATE(설정!$B$10,2),매출원본!$AS$8:$AS$1007,"&lt;="&amp;EOMONTH(설정!$B$10,2)))</f>
        <v/>
      </c>
      <c r="L184" s="33">
        <f>IF(OR($U184="",3&gt;=설정!$B$12),"",SUMIFS(매출원본!$AT$8:$AT$1007,매출원본!$AX$8:$AX$1007,INDEX($R$8:$R$207,$U184),매출원본!$BA$8:$BA$1007,"포함",매출원본!$AS$8:$AS$1007,"&gt;="&amp;EDATE(설정!$B$10,3),매출원본!$AS$8:$AS$1007,"&lt;="&amp;EOMONTH(설정!$B$10,3)))</f>
        <v/>
      </c>
      <c r="M184" s="33">
        <f>IF(OR($U184="",4&gt;=설정!$B$12),"",SUMIFS(매출원본!$AT$8:$AT$1007,매출원본!$AX$8:$AX$1007,INDEX($R$8:$R$207,$U184),매출원본!$BA$8:$BA$1007,"포함",매출원본!$AS$8:$AS$1007,"&gt;="&amp;EDATE(설정!$B$10,4),매출원본!$AS$8:$AS$1007,"&lt;="&amp;EOMONTH(설정!$B$10,4)))</f>
        <v/>
      </c>
      <c r="N184" s="33">
        <f>IF(OR($U184="",5&gt;=설정!$B$12),"",SUMIFS(매출원본!$AT$8:$AT$1007,매출원본!$AX$8:$AX$1007,INDEX($R$8:$R$207,$U184),매출원본!$BA$8:$BA$1007,"포함",매출원본!$AS$8:$AS$1007,"&gt;="&amp;EDATE(설정!$B$10,5),매출원본!$AS$8:$AS$1007,"&lt;="&amp;EOMONTH(설정!$B$10,5)))</f>
        <v/>
      </c>
      <c r="Q184" s="35" t="n">
        <v>177</v>
      </c>
      <c r="R184" s="35">
        <f>IFERROR(INDEX(매출원본!$AX$8:$AX$1007,MATCH($Q184,매출원본!$BD$8:$BD$1007,0)),"")</f>
        <v/>
      </c>
      <c r="S184" s="35">
        <f>IF($R184="","",SUMIFS(매출원본!$AT$8:$AT$1007,매출원본!$AX$8:$AX$1007,$R184,매출원본!$BA$8:$BA$1007,"포함"))</f>
        <v/>
      </c>
      <c r="T184" s="35">
        <f>IF($R184="","",$S184-$Q184/100000)</f>
        <v/>
      </c>
      <c r="U184" s="35">
        <f>IFERROR(MATCH(LARGE($T$8:$T$207,177),$T$8:$T$207,0),"")</f>
        <v/>
      </c>
    </row>
    <row r="185">
      <c r="A185" s="32">
        <f>IF($U185="","",178)</f>
        <v/>
      </c>
      <c r="B185" s="10">
        <f>IF($U185="","",IFERROR(INDEX(매출원본!$AZ$8:$AZ$1007,MATCH($U185,매출원본!$BD$8:$BD$1007,0)),""))</f>
        <v/>
      </c>
      <c r="C185" s="10">
        <f>IF($U185="","",IFERROR(INDEX(매출원본!$AY$8:$AY$1007,MATCH($U185,매출원본!$BD$8:$BD$1007,0)),""))</f>
        <v/>
      </c>
      <c r="D185" s="33">
        <f>IF($U185="","",COUNTIFS(매출원본!$AX$8:$AX$1007,INDEX($R$8:$R$207,$U185),매출원본!$BA$8:$BA$1007,"포함"))</f>
        <v/>
      </c>
      <c r="E185" s="33">
        <f>IF($U185="","",SUMIFS(매출원본!$AT$8:$AT$1007,매출원본!$AX$8:$AX$1007,INDEX($R$8:$R$207,$U185),매출원본!$BA$8:$BA$1007,"포함"))</f>
        <v/>
      </c>
      <c r="F185" s="33">
        <f>IF($U185="","",SUMIFS(매출원본!$AU$8:$AU$1007,매출원본!$AX$8:$AX$1007,INDEX($R$8:$R$207,$U185),매출원본!$BA$8:$BA$1007,"포함"))</f>
        <v/>
      </c>
      <c r="G185" s="33">
        <f>IF($U185="","",SUMIFS(매출원본!$AV$8:$AV$1007,매출원본!$AX$8:$AX$1007,INDEX($R$8:$R$207,$U185),매출원본!$BA$8:$BA$1007,"포함"))</f>
        <v/>
      </c>
      <c r="H185" s="34">
        <f>IF(OR($U185="",$E$7=0),"",E185/$E$7)</f>
        <v/>
      </c>
      <c r="I185" s="33">
        <f>IF(OR($U185="",0&gt;=설정!$B$12),"",SUMIFS(매출원본!$AT$8:$AT$1007,매출원본!$AX$8:$AX$1007,INDEX($R$8:$R$207,$U185),매출원본!$BA$8:$BA$1007,"포함",매출원본!$AS$8:$AS$1007,"&gt;="&amp;EDATE(설정!$B$10,0),매출원본!$AS$8:$AS$1007,"&lt;="&amp;EOMONTH(설정!$B$10,0)))</f>
        <v/>
      </c>
      <c r="J185" s="33">
        <f>IF(OR($U185="",1&gt;=설정!$B$12),"",SUMIFS(매출원본!$AT$8:$AT$1007,매출원본!$AX$8:$AX$1007,INDEX($R$8:$R$207,$U185),매출원본!$BA$8:$BA$1007,"포함",매출원본!$AS$8:$AS$1007,"&gt;="&amp;EDATE(설정!$B$10,1),매출원본!$AS$8:$AS$1007,"&lt;="&amp;EOMONTH(설정!$B$10,1)))</f>
        <v/>
      </c>
      <c r="K185" s="33">
        <f>IF(OR($U185="",2&gt;=설정!$B$12),"",SUMIFS(매출원본!$AT$8:$AT$1007,매출원본!$AX$8:$AX$1007,INDEX($R$8:$R$207,$U185),매출원본!$BA$8:$BA$1007,"포함",매출원본!$AS$8:$AS$1007,"&gt;="&amp;EDATE(설정!$B$10,2),매출원본!$AS$8:$AS$1007,"&lt;="&amp;EOMONTH(설정!$B$10,2)))</f>
        <v/>
      </c>
      <c r="L185" s="33">
        <f>IF(OR($U185="",3&gt;=설정!$B$12),"",SUMIFS(매출원본!$AT$8:$AT$1007,매출원본!$AX$8:$AX$1007,INDEX($R$8:$R$207,$U185),매출원본!$BA$8:$BA$1007,"포함",매출원본!$AS$8:$AS$1007,"&gt;="&amp;EDATE(설정!$B$10,3),매출원본!$AS$8:$AS$1007,"&lt;="&amp;EOMONTH(설정!$B$10,3)))</f>
        <v/>
      </c>
      <c r="M185" s="33">
        <f>IF(OR($U185="",4&gt;=설정!$B$12),"",SUMIFS(매출원본!$AT$8:$AT$1007,매출원본!$AX$8:$AX$1007,INDEX($R$8:$R$207,$U185),매출원본!$BA$8:$BA$1007,"포함",매출원본!$AS$8:$AS$1007,"&gt;="&amp;EDATE(설정!$B$10,4),매출원본!$AS$8:$AS$1007,"&lt;="&amp;EOMONTH(설정!$B$10,4)))</f>
        <v/>
      </c>
      <c r="N185" s="33">
        <f>IF(OR($U185="",5&gt;=설정!$B$12),"",SUMIFS(매출원본!$AT$8:$AT$1007,매출원본!$AX$8:$AX$1007,INDEX($R$8:$R$207,$U185),매출원본!$BA$8:$BA$1007,"포함",매출원본!$AS$8:$AS$1007,"&gt;="&amp;EDATE(설정!$B$10,5),매출원본!$AS$8:$AS$1007,"&lt;="&amp;EOMONTH(설정!$B$10,5)))</f>
        <v/>
      </c>
      <c r="Q185" s="35" t="n">
        <v>178</v>
      </c>
      <c r="R185" s="35">
        <f>IFERROR(INDEX(매출원본!$AX$8:$AX$1007,MATCH($Q185,매출원본!$BD$8:$BD$1007,0)),"")</f>
        <v/>
      </c>
      <c r="S185" s="35">
        <f>IF($R185="","",SUMIFS(매출원본!$AT$8:$AT$1007,매출원본!$AX$8:$AX$1007,$R185,매출원본!$BA$8:$BA$1007,"포함"))</f>
        <v/>
      </c>
      <c r="T185" s="35">
        <f>IF($R185="","",$S185-$Q185/100000)</f>
        <v/>
      </c>
      <c r="U185" s="35">
        <f>IFERROR(MATCH(LARGE($T$8:$T$207,178),$T$8:$T$207,0),"")</f>
        <v/>
      </c>
    </row>
    <row r="186">
      <c r="A186" s="32">
        <f>IF($U186="","",179)</f>
        <v/>
      </c>
      <c r="B186" s="10">
        <f>IF($U186="","",IFERROR(INDEX(매출원본!$AZ$8:$AZ$1007,MATCH($U186,매출원본!$BD$8:$BD$1007,0)),""))</f>
        <v/>
      </c>
      <c r="C186" s="10">
        <f>IF($U186="","",IFERROR(INDEX(매출원본!$AY$8:$AY$1007,MATCH($U186,매출원본!$BD$8:$BD$1007,0)),""))</f>
        <v/>
      </c>
      <c r="D186" s="33">
        <f>IF($U186="","",COUNTIFS(매출원본!$AX$8:$AX$1007,INDEX($R$8:$R$207,$U186),매출원본!$BA$8:$BA$1007,"포함"))</f>
        <v/>
      </c>
      <c r="E186" s="33">
        <f>IF($U186="","",SUMIFS(매출원본!$AT$8:$AT$1007,매출원본!$AX$8:$AX$1007,INDEX($R$8:$R$207,$U186),매출원본!$BA$8:$BA$1007,"포함"))</f>
        <v/>
      </c>
      <c r="F186" s="33">
        <f>IF($U186="","",SUMIFS(매출원본!$AU$8:$AU$1007,매출원본!$AX$8:$AX$1007,INDEX($R$8:$R$207,$U186),매출원본!$BA$8:$BA$1007,"포함"))</f>
        <v/>
      </c>
      <c r="G186" s="33">
        <f>IF($U186="","",SUMIFS(매출원본!$AV$8:$AV$1007,매출원본!$AX$8:$AX$1007,INDEX($R$8:$R$207,$U186),매출원본!$BA$8:$BA$1007,"포함"))</f>
        <v/>
      </c>
      <c r="H186" s="34">
        <f>IF(OR($U186="",$E$7=0),"",E186/$E$7)</f>
        <v/>
      </c>
      <c r="I186" s="33">
        <f>IF(OR($U186="",0&gt;=설정!$B$12),"",SUMIFS(매출원본!$AT$8:$AT$1007,매출원본!$AX$8:$AX$1007,INDEX($R$8:$R$207,$U186),매출원본!$BA$8:$BA$1007,"포함",매출원본!$AS$8:$AS$1007,"&gt;="&amp;EDATE(설정!$B$10,0),매출원본!$AS$8:$AS$1007,"&lt;="&amp;EOMONTH(설정!$B$10,0)))</f>
        <v/>
      </c>
      <c r="J186" s="33">
        <f>IF(OR($U186="",1&gt;=설정!$B$12),"",SUMIFS(매출원본!$AT$8:$AT$1007,매출원본!$AX$8:$AX$1007,INDEX($R$8:$R$207,$U186),매출원본!$BA$8:$BA$1007,"포함",매출원본!$AS$8:$AS$1007,"&gt;="&amp;EDATE(설정!$B$10,1),매출원본!$AS$8:$AS$1007,"&lt;="&amp;EOMONTH(설정!$B$10,1)))</f>
        <v/>
      </c>
      <c r="K186" s="33">
        <f>IF(OR($U186="",2&gt;=설정!$B$12),"",SUMIFS(매출원본!$AT$8:$AT$1007,매출원본!$AX$8:$AX$1007,INDEX($R$8:$R$207,$U186),매출원본!$BA$8:$BA$1007,"포함",매출원본!$AS$8:$AS$1007,"&gt;="&amp;EDATE(설정!$B$10,2),매출원본!$AS$8:$AS$1007,"&lt;="&amp;EOMONTH(설정!$B$10,2)))</f>
        <v/>
      </c>
      <c r="L186" s="33">
        <f>IF(OR($U186="",3&gt;=설정!$B$12),"",SUMIFS(매출원본!$AT$8:$AT$1007,매출원본!$AX$8:$AX$1007,INDEX($R$8:$R$207,$U186),매출원본!$BA$8:$BA$1007,"포함",매출원본!$AS$8:$AS$1007,"&gt;="&amp;EDATE(설정!$B$10,3),매출원본!$AS$8:$AS$1007,"&lt;="&amp;EOMONTH(설정!$B$10,3)))</f>
        <v/>
      </c>
      <c r="M186" s="33">
        <f>IF(OR($U186="",4&gt;=설정!$B$12),"",SUMIFS(매출원본!$AT$8:$AT$1007,매출원본!$AX$8:$AX$1007,INDEX($R$8:$R$207,$U186),매출원본!$BA$8:$BA$1007,"포함",매출원본!$AS$8:$AS$1007,"&gt;="&amp;EDATE(설정!$B$10,4),매출원본!$AS$8:$AS$1007,"&lt;="&amp;EOMONTH(설정!$B$10,4)))</f>
        <v/>
      </c>
      <c r="N186" s="33">
        <f>IF(OR($U186="",5&gt;=설정!$B$12),"",SUMIFS(매출원본!$AT$8:$AT$1007,매출원본!$AX$8:$AX$1007,INDEX($R$8:$R$207,$U186),매출원본!$BA$8:$BA$1007,"포함",매출원본!$AS$8:$AS$1007,"&gt;="&amp;EDATE(설정!$B$10,5),매출원본!$AS$8:$AS$1007,"&lt;="&amp;EOMONTH(설정!$B$10,5)))</f>
        <v/>
      </c>
      <c r="Q186" s="35" t="n">
        <v>179</v>
      </c>
      <c r="R186" s="35">
        <f>IFERROR(INDEX(매출원본!$AX$8:$AX$1007,MATCH($Q186,매출원본!$BD$8:$BD$1007,0)),"")</f>
        <v/>
      </c>
      <c r="S186" s="35">
        <f>IF($R186="","",SUMIFS(매출원본!$AT$8:$AT$1007,매출원본!$AX$8:$AX$1007,$R186,매출원본!$BA$8:$BA$1007,"포함"))</f>
        <v/>
      </c>
      <c r="T186" s="35">
        <f>IF($R186="","",$S186-$Q186/100000)</f>
        <v/>
      </c>
      <c r="U186" s="35">
        <f>IFERROR(MATCH(LARGE($T$8:$T$207,179),$T$8:$T$207,0),"")</f>
        <v/>
      </c>
    </row>
    <row r="187">
      <c r="A187" s="32">
        <f>IF($U187="","",180)</f>
        <v/>
      </c>
      <c r="B187" s="10">
        <f>IF($U187="","",IFERROR(INDEX(매출원본!$AZ$8:$AZ$1007,MATCH($U187,매출원본!$BD$8:$BD$1007,0)),""))</f>
        <v/>
      </c>
      <c r="C187" s="10">
        <f>IF($U187="","",IFERROR(INDEX(매출원본!$AY$8:$AY$1007,MATCH($U187,매출원본!$BD$8:$BD$1007,0)),""))</f>
        <v/>
      </c>
      <c r="D187" s="33">
        <f>IF($U187="","",COUNTIFS(매출원본!$AX$8:$AX$1007,INDEX($R$8:$R$207,$U187),매출원본!$BA$8:$BA$1007,"포함"))</f>
        <v/>
      </c>
      <c r="E187" s="33">
        <f>IF($U187="","",SUMIFS(매출원본!$AT$8:$AT$1007,매출원본!$AX$8:$AX$1007,INDEX($R$8:$R$207,$U187),매출원본!$BA$8:$BA$1007,"포함"))</f>
        <v/>
      </c>
      <c r="F187" s="33">
        <f>IF($U187="","",SUMIFS(매출원본!$AU$8:$AU$1007,매출원본!$AX$8:$AX$1007,INDEX($R$8:$R$207,$U187),매출원본!$BA$8:$BA$1007,"포함"))</f>
        <v/>
      </c>
      <c r="G187" s="33">
        <f>IF($U187="","",SUMIFS(매출원본!$AV$8:$AV$1007,매출원본!$AX$8:$AX$1007,INDEX($R$8:$R$207,$U187),매출원본!$BA$8:$BA$1007,"포함"))</f>
        <v/>
      </c>
      <c r="H187" s="34">
        <f>IF(OR($U187="",$E$7=0),"",E187/$E$7)</f>
        <v/>
      </c>
      <c r="I187" s="33">
        <f>IF(OR($U187="",0&gt;=설정!$B$12),"",SUMIFS(매출원본!$AT$8:$AT$1007,매출원본!$AX$8:$AX$1007,INDEX($R$8:$R$207,$U187),매출원본!$BA$8:$BA$1007,"포함",매출원본!$AS$8:$AS$1007,"&gt;="&amp;EDATE(설정!$B$10,0),매출원본!$AS$8:$AS$1007,"&lt;="&amp;EOMONTH(설정!$B$10,0)))</f>
        <v/>
      </c>
      <c r="J187" s="33">
        <f>IF(OR($U187="",1&gt;=설정!$B$12),"",SUMIFS(매출원본!$AT$8:$AT$1007,매출원본!$AX$8:$AX$1007,INDEX($R$8:$R$207,$U187),매출원본!$BA$8:$BA$1007,"포함",매출원본!$AS$8:$AS$1007,"&gt;="&amp;EDATE(설정!$B$10,1),매출원본!$AS$8:$AS$1007,"&lt;="&amp;EOMONTH(설정!$B$10,1)))</f>
        <v/>
      </c>
      <c r="K187" s="33">
        <f>IF(OR($U187="",2&gt;=설정!$B$12),"",SUMIFS(매출원본!$AT$8:$AT$1007,매출원본!$AX$8:$AX$1007,INDEX($R$8:$R$207,$U187),매출원본!$BA$8:$BA$1007,"포함",매출원본!$AS$8:$AS$1007,"&gt;="&amp;EDATE(설정!$B$10,2),매출원본!$AS$8:$AS$1007,"&lt;="&amp;EOMONTH(설정!$B$10,2)))</f>
        <v/>
      </c>
      <c r="L187" s="33">
        <f>IF(OR($U187="",3&gt;=설정!$B$12),"",SUMIFS(매출원본!$AT$8:$AT$1007,매출원본!$AX$8:$AX$1007,INDEX($R$8:$R$207,$U187),매출원본!$BA$8:$BA$1007,"포함",매출원본!$AS$8:$AS$1007,"&gt;="&amp;EDATE(설정!$B$10,3),매출원본!$AS$8:$AS$1007,"&lt;="&amp;EOMONTH(설정!$B$10,3)))</f>
        <v/>
      </c>
      <c r="M187" s="33">
        <f>IF(OR($U187="",4&gt;=설정!$B$12),"",SUMIFS(매출원본!$AT$8:$AT$1007,매출원본!$AX$8:$AX$1007,INDEX($R$8:$R$207,$U187),매출원본!$BA$8:$BA$1007,"포함",매출원본!$AS$8:$AS$1007,"&gt;="&amp;EDATE(설정!$B$10,4),매출원본!$AS$8:$AS$1007,"&lt;="&amp;EOMONTH(설정!$B$10,4)))</f>
        <v/>
      </c>
      <c r="N187" s="33">
        <f>IF(OR($U187="",5&gt;=설정!$B$12),"",SUMIFS(매출원본!$AT$8:$AT$1007,매출원본!$AX$8:$AX$1007,INDEX($R$8:$R$207,$U187),매출원본!$BA$8:$BA$1007,"포함",매출원본!$AS$8:$AS$1007,"&gt;="&amp;EDATE(설정!$B$10,5),매출원본!$AS$8:$AS$1007,"&lt;="&amp;EOMONTH(설정!$B$10,5)))</f>
        <v/>
      </c>
      <c r="Q187" s="35" t="n">
        <v>180</v>
      </c>
      <c r="R187" s="35">
        <f>IFERROR(INDEX(매출원본!$AX$8:$AX$1007,MATCH($Q187,매출원본!$BD$8:$BD$1007,0)),"")</f>
        <v/>
      </c>
      <c r="S187" s="35">
        <f>IF($R187="","",SUMIFS(매출원본!$AT$8:$AT$1007,매출원본!$AX$8:$AX$1007,$R187,매출원본!$BA$8:$BA$1007,"포함"))</f>
        <v/>
      </c>
      <c r="T187" s="35">
        <f>IF($R187="","",$S187-$Q187/100000)</f>
        <v/>
      </c>
      <c r="U187" s="35">
        <f>IFERROR(MATCH(LARGE($T$8:$T$207,180),$T$8:$T$207,0),"")</f>
        <v/>
      </c>
    </row>
    <row r="188">
      <c r="A188" s="32">
        <f>IF($U188="","",181)</f>
        <v/>
      </c>
      <c r="B188" s="10">
        <f>IF($U188="","",IFERROR(INDEX(매출원본!$AZ$8:$AZ$1007,MATCH($U188,매출원본!$BD$8:$BD$1007,0)),""))</f>
        <v/>
      </c>
      <c r="C188" s="10">
        <f>IF($U188="","",IFERROR(INDEX(매출원본!$AY$8:$AY$1007,MATCH($U188,매출원본!$BD$8:$BD$1007,0)),""))</f>
        <v/>
      </c>
      <c r="D188" s="33">
        <f>IF($U188="","",COUNTIFS(매출원본!$AX$8:$AX$1007,INDEX($R$8:$R$207,$U188),매출원본!$BA$8:$BA$1007,"포함"))</f>
        <v/>
      </c>
      <c r="E188" s="33">
        <f>IF($U188="","",SUMIFS(매출원본!$AT$8:$AT$1007,매출원본!$AX$8:$AX$1007,INDEX($R$8:$R$207,$U188),매출원본!$BA$8:$BA$1007,"포함"))</f>
        <v/>
      </c>
      <c r="F188" s="33">
        <f>IF($U188="","",SUMIFS(매출원본!$AU$8:$AU$1007,매출원본!$AX$8:$AX$1007,INDEX($R$8:$R$207,$U188),매출원본!$BA$8:$BA$1007,"포함"))</f>
        <v/>
      </c>
      <c r="G188" s="33">
        <f>IF($U188="","",SUMIFS(매출원본!$AV$8:$AV$1007,매출원본!$AX$8:$AX$1007,INDEX($R$8:$R$207,$U188),매출원본!$BA$8:$BA$1007,"포함"))</f>
        <v/>
      </c>
      <c r="H188" s="34">
        <f>IF(OR($U188="",$E$7=0),"",E188/$E$7)</f>
        <v/>
      </c>
      <c r="I188" s="33">
        <f>IF(OR($U188="",0&gt;=설정!$B$12),"",SUMIFS(매출원본!$AT$8:$AT$1007,매출원본!$AX$8:$AX$1007,INDEX($R$8:$R$207,$U188),매출원본!$BA$8:$BA$1007,"포함",매출원본!$AS$8:$AS$1007,"&gt;="&amp;EDATE(설정!$B$10,0),매출원본!$AS$8:$AS$1007,"&lt;="&amp;EOMONTH(설정!$B$10,0)))</f>
        <v/>
      </c>
      <c r="J188" s="33">
        <f>IF(OR($U188="",1&gt;=설정!$B$12),"",SUMIFS(매출원본!$AT$8:$AT$1007,매출원본!$AX$8:$AX$1007,INDEX($R$8:$R$207,$U188),매출원본!$BA$8:$BA$1007,"포함",매출원본!$AS$8:$AS$1007,"&gt;="&amp;EDATE(설정!$B$10,1),매출원본!$AS$8:$AS$1007,"&lt;="&amp;EOMONTH(설정!$B$10,1)))</f>
        <v/>
      </c>
      <c r="K188" s="33">
        <f>IF(OR($U188="",2&gt;=설정!$B$12),"",SUMIFS(매출원본!$AT$8:$AT$1007,매출원본!$AX$8:$AX$1007,INDEX($R$8:$R$207,$U188),매출원본!$BA$8:$BA$1007,"포함",매출원본!$AS$8:$AS$1007,"&gt;="&amp;EDATE(설정!$B$10,2),매출원본!$AS$8:$AS$1007,"&lt;="&amp;EOMONTH(설정!$B$10,2)))</f>
        <v/>
      </c>
      <c r="L188" s="33">
        <f>IF(OR($U188="",3&gt;=설정!$B$12),"",SUMIFS(매출원본!$AT$8:$AT$1007,매출원본!$AX$8:$AX$1007,INDEX($R$8:$R$207,$U188),매출원본!$BA$8:$BA$1007,"포함",매출원본!$AS$8:$AS$1007,"&gt;="&amp;EDATE(설정!$B$10,3),매출원본!$AS$8:$AS$1007,"&lt;="&amp;EOMONTH(설정!$B$10,3)))</f>
        <v/>
      </c>
      <c r="M188" s="33">
        <f>IF(OR($U188="",4&gt;=설정!$B$12),"",SUMIFS(매출원본!$AT$8:$AT$1007,매출원본!$AX$8:$AX$1007,INDEX($R$8:$R$207,$U188),매출원본!$BA$8:$BA$1007,"포함",매출원본!$AS$8:$AS$1007,"&gt;="&amp;EDATE(설정!$B$10,4),매출원본!$AS$8:$AS$1007,"&lt;="&amp;EOMONTH(설정!$B$10,4)))</f>
        <v/>
      </c>
      <c r="N188" s="33">
        <f>IF(OR($U188="",5&gt;=설정!$B$12),"",SUMIFS(매출원본!$AT$8:$AT$1007,매출원본!$AX$8:$AX$1007,INDEX($R$8:$R$207,$U188),매출원본!$BA$8:$BA$1007,"포함",매출원본!$AS$8:$AS$1007,"&gt;="&amp;EDATE(설정!$B$10,5),매출원본!$AS$8:$AS$1007,"&lt;="&amp;EOMONTH(설정!$B$10,5)))</f>
        <v/>
      </c>
      <c r="Q188" s="35" t="n">
        <v>181</v>
      </c>
      <c r="R188" s="35">
        <f>IFERROR(INDEX(매출원본!$AX$8:$AX$1007,MATCH($Q188,매출원본!$BD$8:$BD$1007,0)),"")</f>
        <v/>
      </c>
      <c r="S188" s="35">
        <f>IF($R188="","",SUMIFS(매출원본!$AT$8:$AT$1007,매출원본!$AX$8:$AX$1007,$R188,매출원본!$BA$8:$BA$1007,"포함"))</f>
        <v/>
      </c>
      <c r="T188" s="35">
        <f>IF($R188="","",$S188-$Q188/100000)</f>
        <v/>
      </c>
      <c r="U188" s="35">
        <f>IFERROR(MATCH(LARGE($T$8:$T$207,181),$T$8:$T$207,0),"")</f>
        <v/>
      </c>
    </row>
    <row r="189">
      <c r="A189" s="32">
        <f>IF($U189="","",182)</f>
        <v/>
      </c>
      <c r="B189" s="10">
        <f>IF($U189="","",IFERROR(INDEX(매출원본!$AZ$8:$AZ$1007,MATCH($U189,매출원본!$BD$8:$BD$1007,0)),""))</f>
        <v/>
      </c>
      <c r="C189" s="10">
        <f>IF($U189="","",IFERROR(INDEX(매출원본!$AY$8:$AY$1007,MATCH($U189,매출원본!$BD$8:$BD$1007,0)),""))</f>
        <v/>
      </c>
      <c r="D189" s="33">
        <f>IF($U189="","",COUNTIFS(매출원본!$AX$8:$AX$1007,INDEX($R$8:$R$207,$U189),매출원본!$BA$8:$BA$1007,"포함"))</f>
        <v/>
      </c>
      <c r="E189" s="33">
        <f>IF($U189="","",SUMIFS(매출원본!$AT$8:$AT$1007,매출원본!$AX$8:$AX$1007,INDEX($R$8:$R$207,$U189),매출원본!$BA$8:$BA$1007,"포함"))</f>
        <v/>
      </c>
      <c r="F189" s="33">
        <f>IF($U189="","",SUMIFS(매출원본!$AU$8:$AU$1007,매출원본!$AX$8:$AX$1007,INDEX($R$8:$R$207,$U189),매출원본!$BA$8:$BA$1007,"포함"))</f>
        <v/>
      </c>
      <c r="G189" s="33">
        <f>IF($U189="","",SUMIFS(매출원본!$AV$8:$AV$1007,매출원본!$AX$8:$AX$1007,INDEX($R$8:$R$207,$U189),매출원본!$BA$8:$BA$1007,"포함"))</f>
        <v/>
      </c>
      <c r="H189" s="34">
        <f>IF(OR($U189="",$E$7=0),"",E189/$E$7)</f>
        <v/>
      </c>
      <c r="I189" s="33">
        <f>IF(OR($U189="",0&gt;=설정!$B$12),"",SUMIFS(매출원본!$AT$8:$AT$1007,매출원본!$AX$8:$AX$1007,INDEX($R$8:$R$207,$U189),매출원본!$BA$8:$BA$1007,"포함",매출원본!$AS$8:$AS$1007,"&gt;="&amp;EDATE(설정!$B$10,0),매출원본!$AS$8:$AS$1007,"&lt;="&amp;EOMONTH(설정!$B$10,0)))</f>
        <v/>
      </c>
      <c r="J189" s="33">
        <f>IF(OR($U189="",1&gt;=설정!$B$12),"",SUMIFS(매출원본!$AT$8:$AT$1007,매출원본!$AX$8:$AX$1007,INDEX($R$8:$R$207,$U189),매출원본!$BA$8:$BA$1007,"포함",매출원본!$AS$8:$AS$1007,"&gt;="&amp;EDATE(설정!$B$10,1),매출원본!$AS$8:$AS$1007,"&lt;="&amp;EOMONTH(설정!$B$10,1)))</f>
        <v/>
      </c>
      <c r="K189" s="33">
        <f>IF(OR($U189="",2&gt;=설정!$B$12),"",SUMIFS(매출원본!$AT$8:$AT$1007,매출원본!$AX$8:$AX$1007,INDEX($R$8:$R$207,$U189),매출원본!$BA$8:$BA$1007,"포함",매출원본!$AS$8:$AS$1007,"&gt;="&amp;EDATE(설정!$B$10,2),매출원본!$AS$8:$AS$1007,"&lt;="&amp;EOMONTH(설정!$B$10,2)))</f>
        <v/>
      </c>
      <c r="L189" s="33">
        <f>IF(OR($U189="",3&gt;=설정!$B$12),"",SUMIFS(매출원본!$AT$8:$AT$1007,매출원본!$AX$8:$AX$1007,INDEX($R$8:$R$207,$U189),매출원본!$BA$8:$BA$1007,"포함",매출원본!$AS$8:$AS$1007,"&gt;="&amp;EDATE(설정!$B$10,3),매출원본!$AS$8:$AS$1007,"&lt;="&amp;EOMONTH(설정!$B$10,3)))</f>
        <v/>
      </c>
      <c r="M189" s="33">
        <f>IF(OR($U189="",4&gt;=설정!$B$12),"",SUMIFS(매출원본!$AT$8:$AT$1007,매출원본!$AX$8:$AX$1007,INDEX($R$8:$R$207,$U189),매출원본!$BA$8:$BA$1007,"포함",매출원본!$AS$8:$AS$1007,"&gt;="&amp;EDATE(설정!$B$10,4),매출원본!$AS$8:$AS$1007,"&lt;="&amp;EOMONTH(설정!$B$10,4)))</f>
        <v/>
      </c>
      <c r="N189" s="33">
        <f>IF(OR($U189="",5&gt;=설정!$B$12),"",SUMIFS(매출원본!$AT$8:$AT$1007,매출원본!$AX$8:$AX$1007,INDEX($R$8:$R$207,$U189),매출원본!$BA$8:$BA$1007,"포함",매출원본!$AS$8:$AS$1007,"&gt;="&amp;EDATE(설정!$B$10,5),매출원본!$AS$8:$AS$1007,"&lt;="&amp;EOMONTH(설정!$B$10,5)))</f>
        <v/>
      </c>
      <c r="Q189" s="35" t="n">
        <v>182</v>
      </c>
      <c r="R189" s="35">
        <f>IFERROR(INDEX(매출원본!$AX$8:$AX$1007,MATCH($Q189,매출원본!$BD$8:$BD$1007,0)),"")</f>
        <v/>
      </c>
      <c r="S189" s="35">
        <f>IF($R189="","",SUMIFS(매출원본!$AT$8:$AT$1007,매출원본!$AX$8:$AX$1007,$R189,매출원본!$BA$8:$BA$1007,"포함"))</f>
        <v/>
      </c>
      <c r="T189" s="35">
        <f>IF($R189="","",$S189-$Q189/100000)</f>
        <v/>
      </c>
      <c r="U189" s="35">
        <f>IFERROR(MATCH(LARGE($T$8:$T$207,182),$T$8:$T$207,0),"")</f>
        <v/>
      </c>
    </row>
    <row r="190">
      <c r="A190" s="32">
        <f>IF($U190="","",183)</f>
        <v/>
      </c>
      <c r="B190" s="10">
        <f>IF($U190="","",IFERROR(INDEX(매출원본!$AZ$8:$AZ$1007,MATCH($U190,매출원본!$BD$8:$BD$1007,0)),""))</f>
        <v/>
      </c>
      <c r="C190" s="10">
        <f>IF($U190="","",IFERROR(INDEX(매출원본!$AY$8:$AY$1007,MATCH($U190,매출원본!$BD$8:$BD$1007,0)),""))</f>
        <v/>
      </c>
      <c r="D190" s="33">
        <f>IF($U190="","",COUNTIFS(매출원본!$AX$8:$AX$1007,INDEX($R$8:$R$207,$U190),매출원본!$BA$8:$BA$1007,"포함"))</f>
        <v/>
      </c>
      <c r="E190" s="33">
        <f>IF($U190="","",SUMIFS(매출원본!$AT$8:$AT$1007,매출원본!$AX$8:$AX$1007,INDEX($R$8:$R$207,$U190),매출원본!$BA$8:$BA$1007,"포함"))</f>
        <v/>
      </c>
      <c r="F190" s="33">
        <f>IF($U190="","",SUMIFS(매출원본!$AU$8:$AU$1007,매출원본!$AX$8:$AX$1007,INDEX($R$8:$R$207,$U190),매출원본!$BA$8:$BA$1007,"포함"))</f>
        <v/>
      </c>
      <c r="G190" s="33">
        <f>IF($U190="","",SUMIFS(매출원본!$AV$8:$AV$1007,매출원본!$AX$8:$AX$1007,INDEX($R$8:$R$207,$U190),매출원본!$BA$8:$BA$1007,"포함"))</f>
        <v/>
      </c>
      <c r="H190" s="34">
        <f>IF(OR($U190="",$E$7=0),"",E190/$E$7)</f>
        <v/>
      </c>
      <c r="I190" s="33">
        <f>IF(OR($U190="",0&gt;=설정!$B$12),"",SUMIFS(매출원본!$AT$8:$AT$1007,매출원본!$AX$8:$AX$1007,INDEX($R$8:$R$207,$U190),매출원본!$BA$8:$BA$1007,"포함",매출원본!$AS$8:$AS$1007,"&gt;="&amp;EDATE(설정!$B$10,0),매출원본!$AS$8:$AS$1007,"&lt;="&amp;EOMONTH(설정!$B$10,0)))</f>
        <v/>
      </c>
      <c r="J190" s="33">
        <f>IF(OR($U190="",1&gt;=설정!$B$12),"",SUMIFS(매출원본!$AT$8:$AT$1007,매출원본!$AX$8:$AX$1007,INDEX($R$8:$R$207,$U190),매출원본!$BA$8:$BA$1007,"포함",매출원본!$AS$8:$AS$1007,"&gt;="&amp;EDATE(설정!$B$10,1),매출원본!$AS$8:$AS$1007,"&lt;="&amp;EOMONTH(설정!$B$10,1)))</f>
        <v/>
      </c>
      <c r="K190" s="33">
        <f>IF(OR($U190="",2&gt;=설정!$B$12),"",SUMIFS(매출원본!$AT$8:$AT$1007,매출원본!$AX$8:$AX$1007,INDEX($R$8:$R$207,$U190),매출원본!$BA$8:$BA$1007,"포함",매출원본!$AS$8:$AS$1007,"&gt;="&amp;EDATE(설정!$B$10,2),매출원본!$AS$8:$AS$1007,"&lt;="&amp;EOMONTH(설정!$B$10,2)))</f>
        <v/>
      </c>
      <c r="L190" s="33">
        <f>IF(OR($U190="",3&gt;=설정!$B$12),"",SUMIFS(매출원본!$AT$8:$AT$1007,매출원본!$AX$8:$AX$1007,INDEX($R$8:$R$207,$U190),매출원본!$BA$8:$BA$1007,"포함",매출원본!$AS$8:$AS$1007,"&gt;="&amp;EDATE(설정!$B$10,3),매출원본!$AS$8:$AS$1007,"&lt;="&amp;EOMONTH(설정!$B$10,3)))</f>
        <v/>
      </c>
      <c r="M190" s="33">
        <f>IF(OR($U190="",4&gt;=설정!$B$12),"",SUMIFS(매출원본!$AT$8:$AT$1007,매출원본!$AX$8:$AX$1007,INDEX($R$8:$R$207,$U190),매출원본!$BA$8:$BA$1007,"포함",매출원본!$AS$8:$AS$1007,"&gt;="&amp;EDATE(설정!$B$10,4),매출원본!$AS$8:$AS$1007,"&lt;="&amp;EOMONTH(설정!$B$10,4)))</f>
        <v/>
      </c>
      <c r="N190" s="33">
        <f>IF(OR($U190="",5&gt;=설정!$B$12),"",SUMIFS(매출원본!$AT$8:$AT$1007,매출원본!$AX$8:$AX$1007,INDEX($R$8:$R$207,$U190),매출원본!$BA$8:$BA$1007,"포함",매출원본!$AS$8:$AS$1007,"&gt;="&amp;EDATE(설정!$B$10,5),매출원본!$AS$8:$AS$1007,"&lt;="&amp;EOMONTH(설정!$B$10,5)))</f>
        <v/>
      </c>
      <c r="Q190" s="35" t="n">
        <v>183</v>
      </c>
      <c r="R190" s="35">
        <f>IFERROR(INDEX(매출원본!$AX$8:$AX$1007,MATCH($Q190,매출원본!$BD$8:$BD$1007,0)),"")</f>
        <v/>
      </c>
      <c r="S190" s="35">
        <f>IF($R190="","",SUMIFS(매출원본!$AT$8:$AT$1007,매출원본!$AX$8:$AX$1007,$R190,매출원본!$BA$8:$BA$1007,"포함"))</f>
        <v/>
      </c>
      <c r="T190" s="35">
        <f>IF($R190="","",$S190-$Q190/100000)</f>
        <v/>
      </c>
      <c r="U190" s="35">
        <f>IFERROR(MATCH(LARGE($T$8:$T$207,183),$T$8:$T$207,0),"")</f>
        <v/>
      </c>
    </row>
    <row r="191">
      <c r="A191" s="32">
        <f>IF($U191="","",184)</f>
        <v/>
      </c>
      <c r="B191" s="10">
        <f>IF($U191="","",IFERROR(INDEX(매출원본!$AZ$8:$AZ$1007,MATCH($U191,매출원본!$BD$8:$BD$1007,0)),""))</f>
        <v/>
      </c>
      <c r="C191" s="10">
        <f>IF($U191="","",IFERROR(INDEX(매출원본!$AY$8:$AY$1007,MATCH($U191,매출원본!$BD$8:$BD$1007,0)),""))</f>
        <v/>
      </c>
      <c r="D191" s="33">
        <f>IF($U191="","",COUNTIFS(매출원본!$AX$8:$AX$1007,INDEX($R$8:$R$207,$U191),매출원본!$BA$8:$BA$1007,"포함"))</f>
        <v/>
      </c>
      <c r="E191" s="33">
        <f>IF($U191="","",SUMIFS(매출원본!$AT$8:$AT$1007,매출원본!$AX$8:$AX$1007,INDEX($R$8:$R$207,$U191),매출원본!$BA$8:$BA$1007,"포함"))</f>
        <v/>
      </c>
      <c r="F191" s="33">
        <f>IF($U191="","",SUMIFS(매출원본!$AU$8:$AU$1007,매출원본!$AX$8:$AX$1007,INDEX($R$8:$R$207,$U191),매출원본!$BA$8:$BA$1007,"포함"))</f>
        <v/>
      </c>
      <c r="G191" s="33">
        <f>IF($U191="","",SUMIFS(매출원본!$AV$8:$AV$1007,매출원본!$AX$8:$AX$1007,INDEX($R$8:$R$207,$U191),매출원본!$BA$8:$BA$1007,"포함"))</f>
        <v/>
      </c>
      <c r="H191" s="34">
        <f>IF(OR($U191="",$E$7=0),"",E191/$E$7)</f>
        <v/>
      </c>
      <c r="I191" s="33">
        <f>IF(OR($U191="",0&gt;=설정!$B$12),"",SUMIFS(매출원본!$AT$8:$AT$1007,매출원본!$AX$8:$AX$1007,INDEX($R$8:$R$207,$U191),매출원본!$BA$8:$BA$1007,"포함",매출원본!$AS$8:$AS$1007,"&gt;="&amp;EDATE(설정!$B$10,0),매출원본!$AS$8:$AS$1007,"&lt;="&amp;EOMONTH(설정!$B$10,0)))</f>
        <v/>
      </c>
      <c r="J191" s="33">
        <f>IF(OR($U191="",1&gt;=설정!$B$12),"",SUMIFS(매출원본!$AT$8:$AT$1007,매출원본!$AX$8:$AX$1007,INDEX($R$8:$R$207,$U191),매출원본!$BA$8:$BA$1007,"포함",매출원본!$AS$8:$AS$1007,"&gt;="&amp;EDATE(설정!$B$10,1),매출원본!$AS$8:$AS$1007,"&lt;="&amp;EOMONTH(설정!$B$10,1)))</f>
        <v/>
      </c>
      <c r="K191" s="33">
        <f>IF(OR($U191="",2&gt;=설정!$B$12),"",SUMIFS(매출원본!$AT$8:$AT$1007,매출원본!$AX$8:$AX$1007,INDEX($R$8:$R$207,$U191),매출원본!$BA$8:$BA$1007,"포함",매출원본!$AS$8:$AS$1007,"&gt;="&amp;EDATE(설정!$B$10,2),매출원본!$AS$8:$AS$1007,"&lt;="&amp;EOMONTH(설정!$B$10,2)))</f>
        <v/>
      </c>
      <c r="L191" s="33">
        <f>IF(OR($U191="",3&gt;=설정!$B$12),"",SUMIFS(매출원본!$AT$8:$AT$1007,매출원본!$AX$8:$AX$1007,INDEX($R$8:$R$207,$U191),매출원본!$BA$8:$BA$1007,"포함",매출원본!$AS$8:$AS$1007,"&gt;="&amp;EDATE(설정!$B$10,3),매출원본!$AS$8:$AS$1007,"&lt;="&amp;EOMONTH(설정!$B$10,3)))</f>
        <v/>
      </c>
      <c r="M191" s="33">
        <f>IF(OR($U191="",4&gt;=설정!$B$12),"",SUMIFS(매출원본!$AT$8:$AT$1007,매출원본!$AX$8:$AX$1007,INDEX($R$8:$R$207,$U191),매출원본!$BA$8:$BA$1007,"포함",매출원본!$AS$8:$AS$1007,"&gt;="&amp;EDATE(설정!$B$10,4),매출원본!$AS$8:$AS$1007,"&lt;="&amp;EOMONTH(설정!$B$10,4)))</f>
        <v/>
      </c>
      <c r="N191" s="33">
        <f>IF(OR($U191="",5&gt;=설정!$B$12),"",SUMIFS(매출원본!$AT$8:$AT$1007,매출원본!$AX$8:$AX$1007,INDEX($R$8:$R$207,$U191),매출원본!$BA$8:$BA$1007,"포함",매출원본!$AS$8:$AS$1007,"&gt;="&amp;EDATE(설정!$B$10,5),매출원본!$AS$8:$AS$1007,"&lt;="&amp;EOMONTH(설정!$B$10,5)))</f>
        <v/>
      </c>
      <c r="Q191" s="35" t="n">
        <v>184</v>
      </c>
      <c r="R191" s="35">
        <f>IFERROR(INDEX(매출원본!$AX$8:$AX$1007,MATCH($Q191,매출원본!$BD$8:$BD$1007,0)),"")</f>
        <v/>
      </c>
      <c r="S191" s="35">
        <f>IF($R191="","",SUMIFS(매출원본!$AT$8:$AT$1007,매출원본!$AX$8:$AX$1007,$R191,매출원본!$BA$8:$BA$1007,"포함"))</f>
        <v/>
      </c>
      <c r="T191" s="35">
        <f>IF($R191="","",$S191-$Q191/100000)</f>
        <v/>
      </c>
      <c r="U191" s="35">
        <f>IFERROR(MATCH(LARGE($T$8:$T$207,184),$T$8:$T$207,0),"")</f>
        <v/>
      </c>
    </row>
    <row r="192">
      <c r="A192" s="32">
        <f>IF($U192="","",185)</f>
        <v/>
      </c>
      <c r="B192" s="10">
        <f>IF($U192="","",IFERROR(INDEX(매출원본!$AZ$8:$AZ$1007,MATCH($U192,매출원본!$BD$8:$BD$1007,0)),""))</f>
        <v/>
      </c>
      <c r="C192" s="10">
        <f>IF($U192="","",IFERROR(INDEX(매출원본!$AY$8:$AY$1007,MATCH($U192,매출원본!$BD$8:$BD$1007,0)),""))</f>
        <v/>
      </c>
      <c r="D192" s="33">
        <f>IF($U192="","",COUNTIFS(매출원본!$AX$8:$AX$1007,INDEX($R$8:$R$207,$U192),매출원본!$BA$8:$BA$1007,"포함"))</f>
        <v/>
      </c>
      <c r="E192" s="33">
        <f>IF($U192="","",SUMIFS(매출원본!$AT$8:$AT$1007,매출원본!$AX$8:$AX$1007,INDEX($R$8:$R$207,$U192),매출원본!$BA$8:$BA$1007,"포함"))</f>
        <v/>
      </c>
      <c r="F192" s="33">
        <f>IF($U192="","",SUMIFS(매출원본!$AU$8:$AU$1007,매출원본!$AX$8:$AX$1007,INDEX($R$8:$R$207,$U192),매출원본!$BA$8:$BA$1007,"포함"))</f>
        <v/>
      </c>
      <c r="G192" s="33">
        <f>IF($U192="","",SUMIFS(매출원본!$AV$8:$AV$1007,매출원본!$AX$8:$AX$1007,INDEX($R$8:$R$207,$U192),매출원본!$BA$8:$BA$1007,"포함"))</f>
        <v/>
      </c>
      <c r="H192" s="34">
        <f>IF(OR($U192="",$E$7=0),"",E192/$E$7)</f>
        <v/>
      </c>
      <c r="I192" s="33">
        <f>IF(OR($U192="",0&gt;=설정!$B$12),"",SUMIFS(매출원본!$AT$8:$AT$1007,매출원본!$AX$8:$AX$1007,INDEX($R$8:$R$207,$U192),매출원본!$BA$8:$BA$1007,"포함",매출원본!$AS$8:$AS$1007,"&gt;="&amp;EDATE(설정!$B$10,0),매출원본!$AS$8:$AS$1007,"&lt;="&amp;EOMONTH(설정!$B$10,0)))</f>
        <v/>
      </c>
      <c r="J192" s="33">
        <f>IF(OR($U192="",1&gt;=설정!$B$12),"",SUMIFS(매출원본!$AT$8:$AT$1007,매출원본!$AX$8:$AX$1007,INDEX($R$8:$R$207,$U192),매출원본!$BA$8:$BA$1007,"포함",매출원본!$AS$8:$AS$1007,"&gt;="&amp;EDATE(설정!$B$10,1),매출원본!$AS$8:$AS$1007,"&lt;="&amp;EOMONTH(설정!$B$10,1)))</f>
        <v/>
      </c>
      <c r="K192" s="33">
        <f>IF(OR($U192="",2&gt;=설정!$B$12),"",SUMIFS(매출원본!$AT$8:$AT$1007,매출원본!$AX$8:$AX$1007,INDEX($R$8:$R$207,$U192),매출원본!$BA$8:$BA$1007,"포함",매출원본!$AS$8:$AS$1007,"&gt;="&amp;EDATE(설정!$B$10,2),매출원본!$AS$8:$AS$1007,"&lt;="&amp;EOMONTH(설정!$B$10,2)))</f>
        <v/>
      </c>
      <c r="L192" s="33">
        <f>IF(OR($U192="",3&gt;=설정!$B$12),"",SUMIFS(매출원본!$AT$8:$AT$1007,매출원본!$AX$8:$AX$1007,INDEX($R$8:$R$207,$U192),매출원본!$BA$8:$BA$1007,"포함",매출원본!$AS$8:$AS$1007,"&gt;="&amp;EDATE(설정!$B$10,3),매출원본!$AS$8:$AS$1007,"&lt;="&amp;EOMONTH(설정!$B$10,3)))</f>
        <v/>
      </c>
      <c r="M192" s="33">
        <f>IF(OR($U192="",4&gt;=설정!$B$12),"",SUMIFS(매출원본!$AT$8:$AT$1007,매출원본!$AX$8:$AX$1007,INDEX($R$8:$R$207,$U192),매출원본!$BA$8:$BA$1007,"포함",매출원본!$AS$8:$AS$1007,"&gt;="&amp;EDATE(설정!$B$10,4),매출원본!$AS$8:$AS$1007,"&lt;="&amp;EOMONTH(설정!$B$10,4)))</f>
        <v/>
      </c>
      <c r="N192" s="33">
        <f>IF(OR($U192="",5&gt;=설정!$B$12),"",SUMIFS(매출원본!$AT$8:$AT$1007,매출원본!$AX$8:$AX$1007,INDEX($R$8:$R$207,$U192),매출원본!$BA$8:$BA$1007,"포함",매출원본!$AS$8:$AS$1007,"&gt;="&amp;EDATE(설정!$B$10,5),매출원본!$AS$8:$AS$1007,"&lt;="&amp;EOMONTH(설정!$B$10,5)))</f>
        <v/>
      </c>
      <c r="Q192" s="35" t="n">
        <v>185</v>
      </c>
      <c r="R192" s="35">
        <f>IFERROR(INDEX(매출원본!$AX$8:$AX$1007,MATCH($Q192,매출원본!$BD$8:$BD$1007,0)),"")</f>
        <v/>
      </c>
      <c r="S192" s="35">
        <f>IF($R192="","",SUMIFS(매출원본!$AT$8:$AT$1007,매출원본!$AX$8:$AX$1007,$R192,매출원본!$BA$8:$BA$1007,"포함"))</f>
        <v/>
      </c>
      <c r="T192" s="35">
        <f>IF($R192="","",$S192-$Q192/100000)</f>
        <v/>
      </c>
      <c r="U192" s="35">
        <f>IFERROR(MATCH(LARGE($T$8:$T$207,185),$T$8:$T$207,0),"")</f>
        <v/>
      </c>
    </row>
    <row r="193">
      <c r="A193" s="32">
        <f>IF($U193="","",186)</f>
        <v/>
      </c>
      <c r="B193" s="10">
        <f>IF($U193="","",IFERROR(INDEX(매출원본!$AZ$8:$AZ$1007,MATCH($U193,매출원본!$BD$8:$BD$1007,0)),""))</f>
        <v/>
      </c>
      <c r="C193" s="10">
        <f>IF($U193="","",IFERROR(INDEX(매출원본!$AY$8:$AY$1007,MATCH($U193,매출원본!$BD$8:$BD$1007,0)),""))</f>
        <v/>
      </c>
      <c r="D193" s="33">
        <f>IF($U193="","",COUNTIFS(매출원본!$AX$8:$AX$1007,INDEX($R$8:$R$207,$U193),매출원본!$BA$8:$BA$1007,"포함"))</f>
        <v/>
      </c>
      <c r="E193" s="33">
        <f>IF($U193="","",SUMIFS(매출원본!$AT$8:$AT$1007,매출원본!$AX$8:$AX$1007,INDEX($R$8:$R$207,$U193),매출원본!$BA$8:$BA$1007,"포함"))</f>
        <v/>
      </c>
      <c r="F193" s="33">
        <f>IF($U193="","",SUMIFS(매출원본!$AU$8:$AU$1007,매출원본!$AX$8:$AX$1007,INDEX($R$8:$R$207,$U193),매출원본!$BA$8:$BA$1007,"포함"))</f>
        <v/>
      </c>
      <c r="G193" s="33">
        <f>IF($U193="","",SUMIFS(매출원본!$AV$8:$AV$1007,매출원본!$AX$8:$AX$1007,INDEX($R$8:$R$207,$U193),매출원본!$BA$8:$BA$1007,"포함"))</f>
        <v/>
      </c>
      <c r="H193" s="34">
        <f>IF(OR($U193="",$E$7=0),"",E193/$E$7)</f>
        <v/>
      </c>
      <c r="I193" s="33">
        <f>IF(OR($U193="",0&gt;=설정!$B$12),"",SUMIFS(매출원본!$AT$8:$AT$1007,매출원본!$AX$8:$AX$1007,INDEX($R$8:$R$207,$U193),매출원본!$BA$8:$BA$1007,"포함",매출원본!$AS$8:$AS$1007,"&gt;="&amp;EDATE(설정!$B$10,0),매출원본!$AS$8:$AS$1007,"&lt;="&amp;EOMONTH(설정!$B$10,0)))</f>
        <v/>
      </c>
      <c r="J193" s="33">
        <f>IF(OR($U193="",1&gt;=설정!$B$12),"",SUMIFS(매출원본!$AT$8:$AT$1007,매출원본!$AX$8:$AX$1007,INDEX($R$8:$R$207,$U193),매출원본!$BA$8:$BA$1007,"포함",매출원본!$AS$8:$AS$1007,"&gt;="&amp;EDATE(설정!$B$10,1),매출원본!$AS$8:$AS$1007,"&lt;="&amp;EOMONTH(설정!$B$10,1)))</f>
        <v/>
      </c>
      <c r="K193" s="33">
        <f>IF(OR($U193="",2&gt;=설정!$B$12),"",SUMIFS(매출원본!$AT$8:$AT$1007,매출원본!$AX$8:$AX$1007,INDEX($R$8:$R$207,$U193),매출원본!$BA$8:$BA$1007,"포함",매출원본!$AS$8:$AS$1007,"&gt;="&amp;EDATE(설정!$B$10,2),매출원본!$AS$8:$AS$1007,"&lt;="&amp;EOMONTH(설정!$B$10,2)))</f>
        <v/>
      </c>
      <c r="L193" s="33">
        <f>IF(OR($U193="",3&gt;=설정!$B$12),"",SUMIFS(매출원본!$AT$8:$AT$1007,매출원본!$AX$8:$AX$1007,INDEX($R$8:$R$207,$U193),매출원본!$BA$8:$BA$1007,"포함",매출원본!$AS$8:$AS$1007,"&gt;="&amp;EDATE(설정!$B$10,3),매출원본!$AS$8:$AS$1007,"&lt;="&amp;EOMONTH(설정!$B$10,3)))</f>
        <v/>
      </c>
      <c r="M193" s="33">
        <f>IF(OR($U193="",4&gt;=설정!$B$12),"",SUMIFS(매출원본!$AT$8:$AT$1007,매출원본!$AX$8:$AX$1007,INDEX($R$8:$R$207,$U193),매출원본!$BA$8:$BA$1007,"포함",매출원본!$AS$8:$AS$1007,"&gt;="&amp;EDATE(설정!$B$10,4),매출원본!$AS$8:$AS$1007,"&lt;="&amp;EOMONTH(설정!$B$10,4)))</f>
        <v/>
      </c>
      <c r="N193" s="33">
        <f>IF(OR($U193="",5&gt;=설정!$B$12),"",SUMIFS(매출원본!$AT$8:$AT$1007,매출원본!$AX$8:$AX$1007,INDEX($R$8:$R$207,$U193),매출원본!$BA$8:$BA$1007,"포함",매출원본!$AS$8:$AS$1007,"&gt;="&amp;EDATE(설정!$B$10,5),매출원본!$AS$8:$AS$1007,"&lt;="&amp;EOMONTH(설정!$B$10,5)))</f>
        <v/>
      </c>
      <c r="Q193" s="35" t="n">
        <v>186</v>
      </c>
      <c r="R193" s="35">
        <f>IFERROR(INDEX(매출원본!$AX$8:$AX$1007,MATCH($Q193,매출원본!$BD$8:$BD$1007,0)),"")</f>
        <v/>
      </c>
      <c r="S193" s="35">
        <f>IF($R193="","",SUMIFS(매출원본!$AT$8:$AT$1007,매출원본!$AX$8:$AX$1007,$R193,매출원본!$BA$8:$BA$1007,"포함"))</f>
        <v/>
      </c>
      <c r="T193" s="35">
        <f>IF($R193="","",$S193-$Q193/100000)</f>
        <v/>
      </c>
      <c r="U193" s="35">
        <f>IFERROR(MATCH(LARGE($T$8:$T$207,186),$T$8:$T$207,0),"")</f>
        <v/>
      </c>
    </row>
    <row r="194">
      <c r="A194" s="32">
        <f>IF($U194="","",187)</f>
        <v/>
      </c>
      <c r="B194" s="10">
        <f>IF($U194="","",IFERROR(INDEX(매출원본!$AZ$8:$AZ$1007,MATCH($U194,매출원본!$BD$8:$BD$1007,0)),""))</f>
        <v/>
      </c>
      <c r="C194" s="10">
        <f>IF($U194="","",IFERROR(INDEX(매출원본!$AY$8:$AY$1007,MATCH($U194,매출원본!$BD$8:$BD$1007,0)),""))</f>
        <v/>
      </c>
      <c r="D194" s="33">
        <f>IF($U194="","",COUNTIFS(매출원본!$AX$8:$AX$1007,INDEX($R$8:$R$207,$U194),매출원본!$BA$8:$BA$1007,"포함"))</f>
        <v/>
      </c>
      <c r="E194" s="33">
        <f>IF($U194="","",SUMIFS(매출원본!$AT$8:$AT$1007,매출원본!$AX$8:$AX$1007,INDEX($R$8:$R$207,$U194),매출원본!$BA$8:$BA$1007,"포함"))</f>
        <v/>
      </c>
      <c r="F194" s="33">
        <f>IF($U194="","",SUMIFS(매출원본!$AU$8:$AU$1007,매출원본!$AX$8:$AX$1007,INDEX($R$8:$R$207,$U194),매출원본!$BA$8:$BA$1007,"포함"))</f>
        <v/>
      </c>
      <c r="G194" s="33">
        <f>IF($U194="","",SUMIFS(매출원본!$AV$8:$AV$1007,매출원본!$AX$8:$AX$1007,INDEX($R$8:$R$207,$U194),매출원본!$BA$8:$BA$1007,"포함"))</f>
        <v/>
      </c>
      <c r="H194" s="34">
        <f>IF(OR($U194="",$E$7=0),"",E194/$E$7)</f>
        <v/>
      </c>
      <c r="I194" s="33">
        <f>IF(OR($U194="",0&gt;=설정!$B$12),"",SUMIFS(매출원본!$AT$8:$AT$1007,매출원본!$AX$8:$AX$1007,INDEX($R$8:$R$207,$U194),매출원본!$BA$8:$BA$1007,"포함",매출원본!$AS$8:$AS$1007,"&gt;="&amp;EDATE(설정!$B$10,0),매출원본!$AS$8:$AS$1007,"&lt;="&amp;EOMONTH(설정!$B$10,0)))</f>
        <v/>
      </c>
      <c r="J194" s="33">
        <f>IF(OR($U194="",1&gt;=설정!$B$12),"",SUMIFS(매출원본!$AT$8:$AT$1007,매출원본!$AX$8:$AX$1007,INDEX($R$8:$R$207,$U194),매출원본!$BA$8:$BA$1007,"포함",매출원본!$AS$8:$AS$1007,"&gt;="&amp;EDATE(설정!$B$10,1),매출원본!$AS$8:$AS$1007,"&lt;="&amp;EOMONTH(설정!$B$10,1)))</f>
        <v/>
      </c>
      <c r="K194" s="33">
        <f>IF(OR($U194="",2&gt;=설정!$B$12),"",SUMIFS(매출원본!$AT$8:$AT$1007,매출원본!$AX$8:$AX$1007,INDEX($R$8:$R$207,$U194),매출원본!$BA$8:$BA$1007,"포함",매출원본!$AS$8:$AS$1007,"&gt;="&amp;EDATE(설정!$B$10,2),매출원본!$AS$8:$AS$1007,"&lt;="&amp;EOMONTH(설정!$B$10,2)))</f>
        <v/>
      </c>
      <c r="L194" s="33">
        <f>IF(OR($U194="",3&gt;=설정!$B$12),"",SUMIFS(매출원본!$AT$8:$AT$1007,매출원본!$AX$8:$AX$1007,INDEX($R$8:$R$207,$U194),매출원본!$BA$8:$BA$1007,"포함",매출원본!$AS$8:$AS$1007,"&gt;="&amp;EDATE(설정!$B$10,3),매출원본!$AS$8:$AS$1007,"&lt;="&amp;EOMONTH(설정!$B$10,3)))</f>
        <v/>
      </c>
      <c r="M194" s="33">
        <f>IF(OR($U194="",4&gt;=설정!$B$12),"",SUMIFS(매출원본!$AT$8:$AT$1007,매출원본!$AX$8:$AX$1007,INDEX($R$8:$R$207,$U194),매출원본!$BA$8:$BA$1007,"포함",매출원본!$AS$8:$AS$1007,"&gt;="&amp;EDATE(설정!$B$10,4),매출원본!$AS$8:$AS$1007,"&lt;="&amp;EOMONTH(설정!$B$10,4)))</f>
        <v/>
      </c>
      <c r="N194" s="33">
        <f>IF(OR($U194="",5&gt;=설정!$B$12),"",SUMIFS(매출원본!$AT$8:$AT$1007,매출원본!$AX$8:$AX$1007,INDEX($R$8:$R$207,$U194),매출원본!$BA$8:$BA$1007,"포함",매출원본!$AS$8:$AS$1007,"&gt;="&amp;EDATE(설정!$B$10,5),매출원본!$AS$8:$AS$1007,"&lt;="&amp;EOMONTH(설정!$B$10,5)))</f>
        <v/>
      </c>
      <c r="Q194" s="35" t="n">
        <v>187</v>
      </c>
      <c r="R194" s="35">
        <f>IFERROR(INDEX(매출원본!$AX$8:$AX$1007,MATCH($Q194,매출원본!$BD$8:$BD$1007,0)),"")</f>
        <v/>
      </c>
      <c r="S194" s="35">
        <f>IF($R194="","",SUMIFS(매출원본!$AT$8:$AT$1007,매출원본!$AX$8:$AX$1007,$R194,매출원본!$BA$8:$BA$1007,"포함"))</f>
        <v/>
      </c>
      <c r="T194" s="35">
        <f>IF($R194="","",$S194-$Q194/100000)</f>
        <v/>
      </c>
      <c r="U194" s="35">
        <f>IFERROR(MATCH(LARGE($T$8:$T$207,187),$T$8:$T$207,0),"")</f>
        <v/>
      </c>
    </row>
    <row r="195">
      <c r="A195" s="32">
        <f>IF($U195="","",188)</f>
        <v/>
      </c>
      <c r="B195" s="10">
        <f>IF($U195="","",IFERROR(INDEX(매출원본!$AZ$8:$AZ$1007,MATCH($U195,매출원본!$BD$8:$BD$1007,0)),""))</f>
        <v/>
      </c>
      <c r="C195" s="10">
        <f>IF($U195="","",IFERROR(INDEX(매출원본!$AY$8:$AY$1007,MATCH($U195,매출원본!$BD$8:$BD$1007,0)),""))</f>
        <v/>
      </c>
      <c r="D195" s="33">
        <f>IF($U195="","",COUNTIFS(매출원본!$AX$8:$AX$1007,INDEX($R$8:$R$207,$U195),매출원본!$BA$8:$BA$1007,"포함"))</f>
        <v/>
      </c>
      <c r="E195" s="33">
        <f>IF($U195="","",SUMIFS(매출원본!$AT$8:$AT$1007,매출원본!$AX$8:$AX$1007,INDEX($R$8:$R$207,$U195),매출원본!$BA$8:$BA$1007,"포함"))</f>
        <v/>
      </c>
      <c r="F195" s="33">
        <f>IF($U195="","",SUMIFS(매출원본!$AU$8:$AU$1007,매출원본!$AX$8:$AX$1007,INDEX($R$8:$R$207,$U195),매출원본!$BA$8:$BA$1007,"포함"))</f>
        <v/>
      </c>
      <c r="G195" s="33">
        <f>IF($U195="","",SUMIFS(매출원본!$AV$8:$AV$1007,매출원본!$AX$8:$AX$1007,INDEX($R$8:$R$207,$U195),매출원본!$BA$8:$BA$1007,"포함"))</f>
        <v/>
      </c>
      <c r="H195" s="34">
        <f>IF(OR($U195="",$E$7=0),"",E195/$E$7)</f>
        <v/>
      </c>
      <c r="I195" s="33">
        <f>IF(OR($U195="",0&gt;=설정!$B$12),"",SUMIFS(매출원본!$AT$8:$AT$1007,매출원본!$AX$8:$AX$1007,INDEX($R$8:$R$207,$U195),매출원본!$BA$8:$BA$1007,"포함",매출원본!$AS$8:$AS$1007,"&gt;="&amp;EDATE(설정!$B$10,0),매출원본!$AS$8:$AS$1007,"&lt;="&amp;EOMONTH(설정!$B$10,0)))</f>
        <v/>
      </c>
      <c r="J195" s="33">
        <f>IF(OR($U195="",1&gt;=설정!$B$12),"",SUMIFS(매출원본!$AT$8:$AT$1007,매출원본!$AX$8:$AX$1007,INDEX($R$8:$R$207,$U195),매출원본!$BA$8:$BA$1007,"포함",매출원본!$AS$8:$AS$1007,"&gt;="&amp;EDATE(설정!$B$10,1),매출원본!$AS$8:$AS$1007,"&lt;="&amp;EOMONTH(설정!$B$10,1)))</f>
        <v/>
      </c>
      <c r="K195" s="33">
        <f>IF(OR($U195="",2&gt;=설정!$B$12),"",SUMIFS(매출원본!$AT$8:$AT$1007,매출원본!$AX$8:$AX$1007,INDEX($R$8:$R$207,$U195),매출원본!$BA$8:$BA$1007,"포함",매출원본!$AS$8:$AS$1007,"&gt;="&amp;EDATE(설정!$B$10,2),매출원본!$AS$8:$AS$1007,"&lt;="&amp;EOMONTH(설정!$B$10,2)))</f>
        <v/>
      </c>
      <c r="L195" s="33">
        <f>IF(OR($U195="",3&gt;=설정!$B$12),"",SUMIFS(매출원본!$AT$8:$AT$1007,매출원본!$AX$8:$AX$1007,INDEX($R$8:$R$207,$U195),매출원본!$BA$8:$BA$1007,"포함",매출원본!$AS$8:$AS$1007,"&gt;="&amp;EDATE(설정!$B$10,3),매출원본!$AS$8:$AS$1007,"&lt;="&amp;EOMONTH(설정!$B$10,3)))</f>
        <v/>
      </c>
      <c r="M195" s="33">
        <f>IF(OR($U195="",4&gt;=설정!$B$12),"",SUMIFS(매출원본!$AT$8:$AT$1007,매출원본!$AX$8:$AX$1007,INDEX($R$8:$R$207,$U195),매출원본!$BA$8:$BA$1007,"포함",매출원본!$AS$8:$AS$1007,"&gt;="&amp;EDATE(설정!$B$10,4),매출원본!$AS$8:$AS$1007,"&lt;="&amp;EOMONTH(설정!$B$10,4)))</f>
        <v/>
      </c>
      <c r="N195" s="33">
        <f>IF(OR($U195="",5&gt;=설정!$B$12),"",SUMIFS(매출원본!$AT$8:$AT$1007,매출원본!$AX$8:$AX$1007,INDEX($R$8:$R$207,$U195),매출원본!$BA$8:$BA$1007,"포함",매출원본!$AS$8:$AS$1007,"&gt;="&amp;EDATE(설정!$B$10,5),매출원본!$AS$8:$AS$1007,"&lt;="&amp;EOMONTH(설정!$B$10,5)))</f>
        <v/>
      </c>
      <c r="Q195" s="35" t="n">
        <v>188</v>
      </c>
      <c r="R195" s="35">
        <f>IFERROR(INDEX(매출원본!$AX$8:$AX$1007,MATCH($Q195,매출원본!$BD$8:$BD$1007,0)),"")</f>
        <v/>
      </c>
      <c r="S195" s="35">
        <f>IF($R195="","",SUMIFS(매출원본!$AT$8:$AT$1007,매출원본!$AX$8:$AX$1007,$R195,매출원본!$BA$8:$BA$1007,"포함"))</f>
        <v/>
      </c>
      <c r="T195" s="35">
        <f>IF($R195="","",$S195-$Q195/100000)</f>
        <v/>
      </c>
      <c r="U195" s="35">
        <f>IFERROR(MATCH(LARGE($T$8:$T$207,188),$T$8:$T$207,0),"")</f>
        <v/>
      </c>
    </row>
    <row r="196">
      <c r="A196" s="32">
        <f>IF($U196="","",189)</f>
        <v/>
      </c>
      <c r="B196" s="10">
        <f>IF($U196="","",IFERROR(INDEX(매출원본!$AZ$8:$AZ$1007,MATCH($U196,매출원본!$BD$8:$BD$1007,0)),""))</f>
        <v/>
      </c>
      <c r="C196" s="10">
        <f>IF($U196="","",IFERROR(INDEX(매출원본!$AY$8:$AY$1007,MATCH($U196,매출원본!$BD$8:$BD$1007,0)),""))</f>
        <v/>
      </c>
      <c r="D196" s="33">
        <f>IF($U196="","",COUNTIFS(매출원본!$AX$8:$AX$1007,INDEX($R$8:$R$207,$U196),매출원본!$BA$8:$BA$1007,"포함"))</f>
        <v/>
      </c>
      <c r="E196" s="33">
        <f>IF($U196="","",SUMIFS(매출원본!$AT$8:$AT$1007,매출원본!$AX$8:$AX$1007,INDEX($R$8:$R$207,$U196),매출원본!$BA$8:$BA$1007,"포함"))</f>
        <v/>
      </c>
      <c r="F196" s="33">
        <f>IF($U196="","",SUMIFS(매출원본!$AU$8:$AU$1007,매출원본!$AX$8:$AX$1007,INDEX($R$8:$R$207,$U196),매출원본!$BA$8:$BA$1007,"포함"))</f>
        <v/>
      </c>
      <c r="G196" s="33">
        <f>IF($U196="","",SUMIFS(매출원본!$AV$8:$AV$1007,매출원본!$AX$8:$AX$1007,INDEX($R$8:$R$207,$U196),매출원본!$BA$8:$BA$1007,"포함"))</f>
        <v/>
      </c>
      <c r="H196" s="34">
        <f>IF(OR($U196="",$E$7=0),"",E196/$E$7)</f>
        <v/>
      </c>
      <c r="I196" s="33">
        <f>IF(OR($U196="",0&gt;=설정!$B$12),"",SUMIFS(매출원본!$AT$8:$AT$1007,매출원본!$AX$8:$AX$1007,INDEX($R$8:$R$207,$U196),매출원본!$BA$8:$BA$1007,"포함",매출원본!$AS$8:$AS$1007,"&gt;="&amp;EDATE(설정!$B$10,0),매출원본!$AS$8:$AS$1007,"&lt;="&amp;EOMONTH(설정!$B$10,0)))</f>
        <v/>
      </c>
      <c r="J196" s="33">
        <f>IF(OR($U196="",1&gt;=설정!$B$12),"",SUMIFS(매출원본!$AT$8:$AT$1007,매출원본!$AX$8:$AX$1007,INDEX($R$8:$R$207,$U196),매출원본!$BA$8:$BA$1007,"포함",매출원본!$AS$8:$AS$1007,"&gt;="&amp;EDATE(설정!$B$10,1),매출원본!$AS$8:$AS$1007,"&lt;="&amp;EOMONTH(설정!$B$10,1)))</f>
        <v/>
      </c>
      <c r="K196" s="33">
        <f>IF(OR($U196="",2&gt;=설정!$B$12),"",SUMIFS(매출원본!$AT$8:$AT$1007,매출원본!$AX$8:$AX$1007,INDEX($R$8:$R$207,$U196),매출원본!$BA$8:$BA$1007,"포함",매출원본!$AS$8:$AS$1007,"&gt;="&amp;EDATE(설정!$B$10,2),매출원본!$AS$8:$AS$1007,"&lt;="&amp;EOMONTH(설정!$B$10,2)))</f>
        <v/>
      </c>
      <c r="L196" s="33">
        <f>IF(OR($U196="",3&gt;=설정!$B$12),"",SUMIFS(매출원본!$AT$8:$AT$1007,매출원본!$AX$8:$AX$1007,INDEX($R$8:$R$207,$U196),매출원본!$BA$8:$BA$1007,"포함",매출원본!$AS$8:$AS$1007,"&gt;="&amp;EDATE(설정!$B$10,3),매출원본!$AS$8:$AS$1007,"&lt;="&amp;EOMONTH(설정!$B$10,3)))</f>
        <v/>
      </c>
      <c r="M196" s="33">
        <f>IF(OR($U196="",4&gt;=설정!$B$12),"",SUMIFS(매출원본!$AT$8:$AT$1007,매출원본!$AX$8:$AX$1007,INDEX($R$8:$R$207,$U196),매출원본!$BA$8:$BA$1007,"포함",매출원본!$AS$8:$AS$1007,"&gt;="&amp;EDATE(설정!$B$10,4),매출원본!$AS$8:$AS$1007,"&lt;="&amp;EOMONTH(설정!$B$10,4)))</f>
        <v/>
      </c>
      <c r="N196" s="33">
        <f>IF(OR($U196="",5&gt;=설정!$B$12),"",SUMIFS(매출원본!$AT$8:$AT$1007,매출원본!$AX$8:$AX$1007,INDEX($R$8:$R$207,$U196),매출원본!$BA$8:$BA$1007,"포함",매출원본!$AS$8:$AS$1007,"&gt;="&amp;EDATE(설정!$B$10,5),매출원본!$AS$8:$AS$1007,"&lt;="&amp;EOMONTH(설정!$B$10,5)))</f>
        <v/>
      </c>
      <c r="Q196" s="35" t="n">
        <v>189</v>
      </c>
      <c r="R196" s="35">
        <f>IFERROR(INDEX(매출원본!$AX$8:$AX$1007,MATCH($Q196,매출원본!$BD$8:$BD$1007,0)),"")</f>
        <v/>
      </c>
      <c r="S196" s="35">
        <f>IF($R196="","",SUMIFS(매출원본!$AT$8:$AT$1007,매출원본!$AX$8:$AX$1007,$R196,매출원본!$BA$8:$BA$1007,"포함"))</f>
        <v/>
      </c>
      <c r="T196" s="35">
        <f>IF($R196="","",$S196-$Q196/100000)</f>
        <v/>
      </c>
      <c r="U196" s="35">
        <f>IFERROR(MATCH(LARGE($T$8:$T$207,189),$T$8:$T$207,0),"")</f>
        <v/>
      </c>
    </row>
    <row r="197">
      <c r="A197" s="32">
        <f>IF($U197="","",190)</f>
        <v/>
      </c>
      <c r="B197" s="10">
        <f>IF($U197="","",IFERROR(INDEX(매출원본!$AZ$8:$AZ$1007,MATCH($U197,매출원본!$BD$8:$BD$1007,0)),""))</f>
        <v/>
      </c>
      <c r="C197" s="10">
        <f>IF($U197="","",IFERROR(INDEX(매출원본!$AY$8:$AY$1007,MATCH($U197,매출원본!$BD$8:$BD$1007,0)),""))</f>
        <v/>
      </c>
      <c r="D197" s="33">
        <f>IF($U197="","",COUNTIFS(매출원본!$AX$8:$AX$1007,INDEX($R$8:$R$207,$U197),매출원본!$BA$8:$BA$1007,"포함"))</f>
        <v/>
      </c>
      <c r="E197" s="33">
        <f>IF($U197="","",SUMIFS(매출원본!$AT$8:$AT$1007,매출원본!$AX$8:$AX$1007,INDEX($R$8:$R$207,$U197),매출원본!$BA$8:$BA$1007,"포함"))</f>
        <v/>
      </c>
      <c r="F197" s="33">
        <f>IF($U197="","",SUMIFS(매출원본!$AU$8:$AU$1007,매출원본!$AX$8:$AX$1007,INDEX($R$8:$R$207,$U197),매출원본!$BA$8:$BA$1007,"포함"))</f>
        <v/>
      </c>
      <c r="G197" s="33">
        <f>IF($U197="","",SUMIFS(매출원본!$AV$8:$AV$1007,매출원본!$AX$8:$AX$1007,INDEX($R$8:$R$207,$U197),매출원본!$BA$8:$BA$1007,"포함"))</f>
        <v/>
      </c>
      <c r="H197" s="34">
        <f>IF(OR($U197="",$E$7=0),"",E197/$E$7)</f>
        <v/>
      </c>
      <c r="I197" s="33">
        <f>IF(OR($U197="",0&gt;=설정!$B$12),"",SUMIFS(매출원본!$AT$8:$AT$1007,매출원본!$AX$8:$AX$1007,INDEX($R$8:$R$207,$U197),매출원본!$BA$8:$BA$1007,"포함",매출원본!$AS$8:$AS$1007,"&gt;="&amp;EDATE(설정!$B$10,0),매출원본!$AS$8:$AS$1007,"&lt;="&amp;EOMONTH(설정!$B$10,0)))</f>
        <v/>
      </c>
      <c r="J197" s="33">
        <f>IF(OR($U197="",1&gt;=설정!$B$12),"",SUMIFS(매출원본!$AT$8:$AT$1007,매출원본!$AX$8:$AX$1007,INDEX($R$8:$R$207,$U197),매출원본!$BA$8:$BA$1007,"포함",매출원본!$AS$8:$AS$1007,"&gt;="&amp;EDATE(설정!$B$10,1),매출원본!$AS$8:$AS$1007,"&lt;="&amp;EOMONTH(설정!$B$10,1)))</f>
        <v/>
      </c>
      <c r="K197" s="33">
        <f>IF(OR($U197="",2&gt;=설정!$B$12),"",SUMIFS(매출원본!$AT$8:$AT$1007,매출원본!$AX$8:$AX$1007,INDEX($R$8:$R$207,$U197),매출원본!$BA$8:$BA$1007,"포함",매출원본!$AS$8:$AS$1007,"&gt;="&amp;EDATE(설정!$B$10,2),매출원본!$AS$8:$AS$1007,"&lt;="&amp;EOMONTH(설정!$B$10,2)))</f>
        <v/>
      </c>
      <c r="L197" s="33">
        <f>IF(OR($U197="",3&gt;=설정!$B$12),"",SUMIFS(매출원본!$AT$8:$AT$1007,매출원본!$AX$8:$AX$1007,INDEX($R$8:$R$207,$U197),매출원본!$BA$8:$BA$1007,"포함",매출원본!$AS$8:$AS$1007,"&gt;="&amp;EDATE(설정!$B$10,3),매출원본!$AS$8:$AS$1007,"&lt;="&amp;EOMONTH(설정!$B$10,3)))</f>
        <v/>
      </c>
      <c r="M197" s="33">
        <f>IF(OR($U197="",4&gt;=설정!$B$12),"",SUMIFS(매출원본!$AT$8:$AT$1007,매출원본!$AX$8:$AX$1007,INDEX($R$8:$R$207,$U197),매출원본!$BA$8:$BA$1007,"포함",매출원본!$AS$8:$AS$1007,"&gt;="&amp;EDATE(설정!$B$10,4),매출원본!$AS$8:$AS$1007,"&lt;="&amp;EOMONTH(설정!$B$10,4)))</f>
        <v/>
      </c>
      <c r="N197" s="33">
        <f>IF(OR($U197="",5&gt;=설정!$B$12),"",SUMIFS(매출원본!$AT$8:$AT$1007,매출원본!$AX$8:$AX$1007,INDEX($R$8:$R$207,$U197),매출원본!$BA$8:$BA$1007,"포함",매출원본!$AS$8:$AS$1007,"&gt;="&amp;EDATE(설정!$B$10,5),매출원본!$AS$8:$AS$1007,"&lt;="&amp;EOMONTH(설정!$B$10,5)))</f>
        <v/>
      </c>
      <c r="Q197" s="35" t="n">
        <v>190</v>
      </c>
      <c r="R197" s="35">
        <f>IFERROR(INDEX(매출원본!$AX$8:$AX$1007,MATCH($Q197,매출원본!$BD$8:$BD$1007,0)),"")</f>
        <v/>
      </c>
      <c r="S197" s="35">
        <f>IF($R197="","",SUMIFS(매출원본!$AT$8:$AT$1007,매출원본!$AX$8:$AX$1007,$R197,매출원본!$BA$8:$BA$1007,"포함"))</f>
        <v/>
      </c>
      <c r="T197" s="35">
        <f>IF($R197="","",$S197-$Q197/100000)</f>
        <v/>
      </c>
      <c r="U197" s="35">
        <f>IFERROR(MATCH(LARGE($T$8:$T$207,190),$T$8:$T$207,0),"")</f>
        <v/>
      </c>
    </row>
    <row r="198">
      <c r="A198" s="32">
        <f>IF($U198="","",191)</f>
        <v/>
      </c>
      <c r="B198" s="10">
        <f>IF($U198="","",IFERROR(INDEX(매출원본!$AZ$8:$AZ$1007,MATCH($U198,매출원본!$BD$8:$BD$1007,0)),""))</f>
        <v/>
      </c>
      <c r="C198" s="10">
        <f>IF($U198="","",IFERROR(INDEX(매출원본!$AY$8:$AY$1007,MATCH($U198,매출원본!$BD$8:$BD$1007,0)),""))</f>
        <v/>
      </c>
      <c r="D198" s="33">
        <f>IF($U198="","",COUNTIFS(매출원본!$AX$8:$AX$1007,INDEX($R$8:$R$207,$U198),매출원본!$BA$8:$BA$1007,"포함"))</f>
        <v/>
      </c>
      <c r="E198" s="33">
        <f>IF($U198="","",SUMIFS(매출원본!$AT$8:$AT$1007,매출원본!$AX$8:$AX$1007,INDEX($R$8:$R$207,$U198),매출원본!$BA$8:$BA$1007,"포함"))</f>
        <v/>
      </c>
      <c r="F198" s="33">
        <f>IF($U198="","",SUMIFS(매출원본!$AU$8:$AU$1007,매출원본!$AX$8:$AX$1007,INDEX($R$8:$R$207,$U198),매출원본!$BA$8:$BA$1007,"포함"))</f>
        <v/>
      </c>
      <c r="G198" s="33">
        <f>IF($U198="","",SUMIFS(매출원본!$AV$8:$AV$1007,매출원본!$AX$8:$AX$1007,INDEX($R$8:$R$207,$U198),매출원본!$BA$8:$BA$1007,"포함"))</f>
        <v/>
      </c>
      <c r="H198" s="34">
        <f>IF(OR($U198="",$E$7=0),"",E198/$E$7)</f>
        <v/>
      </c>
      <c r="I198" s="33">
        <f>IF(OR($U198="",0&gt;=설정!$B$12),"",SUMIFS(매출원본!$AT$8:$AT$1007,매출원본!$AX$8:$AX$1007,INDEX($R$8:$R$207,$U198),매출원본!$BA$8:$BA$1007,"포함",매출원본!$AS$8:$AS$1007,"&gt;="&amp;EDATE(설정!$B$10,0),매출원본!$AS$8:$AS$1007,"&lt;="&amp;EOMONTH(설정!$B$10,0)))</f>
        <v/>
      </c>
      <c r="J198" s="33">
        <f>IF(OR($U198="",1&gt;=설정!$B$12),"",SUMIFS(매출원본!$AT$8:$AT$1007,매출원본!$AX$8:$AX$1007,INDEX($R$8:$R$207,$U198),매출원본!$BA$8:$BA$1007,"포함",매출원본!$AS$8:$AS$1007,"&gt;="&amp;EDATE(설정!$B$10,1),매출원본!$AS$8:$AS$1007,"&lt;="&amp;EOMONTH(설정!$B$10,1)))</f>
        <v/>
      </c>
      <c r="K198" s="33">
        <f>IF(OR($U198="",2&gt;=설정!$B$12),"",SUMIFS(매출원본!$AT$8:$AT$1007,매출원본!$AX$8:$AX$1007,INDEX($R$8:$R$207,$U198),매출원본!$BA$8:$BA$1007,"포함",매출원본!$AS$8:$AS$1007,"&gt;="&amp;EDATE(설정!$B$10,2),매출원본!$AS$8:$AS$1007,"&lt;="&amp;EOMONTH(설정!$B$10,2)))</f>
        <v/>
      </c>
      <c r="L198" s="33">
        <f>IF(OR($U198="",3&gt;=설정!$B$12),"",SUMIFS(매출원본!$AT$8:$AT$1007,매출원본!$AX$8:$AX$1007,INDEX($R$8:$R$207,$U198),매출원본!$BA$8:$BA$1007,"포함",매출원본!$AS$8:$AS$1007,"&gt;="&amp;EDATE(설정!$B$10,3),매출원본!$AS$8:$AS$1007,"&lt;="&amp;EOMONTH(설정!$B$10,3)))</f>
        <v/>
      </c>
      <c r="M198" s="33">
        <f>IF(OR($U198="",4&gt;=설정!$B$12),"",SUMIFS(매출원본!$AT$8:$AT$1007,매출원본!$AX$8:$AX$1007,INDEX($R$8:$R$207,$U198),매출원본!$BA$8:$BA$1007,"포함",매출원본!$AS$8:$AS$1007,"&gt;="&amp;EDATE(설정!$B$10,4),매출원본!$AS$8:$AS$1007,"&lt;="&amp;EOMONTH(설정!$B$10,4)))</f>
        <v/>
      </c>
      <c r="N198" s="33">
        <f>IF(OR($U198="",5&gt;=설정!$B$12),"",SUMIFS(매출원본!$AT$8:$AT$1007,매출원본!$AX$8:$AX$1007,INDEX($R$8:$R$207,$U198),매출원본!$BA$8:$BA$1007,"포함",매출원본!$AS$8:$AS$1007,"&gt;="&amp;EDATE(설정!$B$10,5),매출원본!$AS$8:$AS$1007,"&lt;="&amp;EOMONTH(설정!$B$10,5)))</f>
        <v/>
      </c>
      <c r="Q198" s="35" t="n">
        <v>191</v>
      </c>
      <c r="R198" s="35">
        <f>IFERROR(INDEX(매출원본!$AX$8:$AX$1007,MATCH($Q198,매출원본!$BD$8:$BD$1007,0)),"")</f>
        <v/>
      </c>
      <c r="S198" s="35">
        <f>IF($R198="","",SUMIFS(매출원본!$AT$8:$AT$1007,매출원본!$AX$8:$AX$1007,$R198,매출원본!$BA$8:$BA$1007,"포함"))</f>
        <v/>
      </c>
      <c r="T198" s="35">
        <f>IF($R198="","",$S198-$Q198/100000)</f>
        <v/>
      </c>
      <c r="U198" s="35">
        <f>IFERROR(MATCH(LARGE($T$8:$T$207,191),$T$8:$T$207,0),"")</f>
        <v/>
      </c>
    </row>
    <row r="199">
      <c r="A199" s="32">
        <f>IF($U199="","",192)</f>
        <v/>
      </c>
      <c r="B199" s="10">
        <f>IF($U199="","",IFERROR(INDEX(매출원본!$AZ$8:$AZ$1007,MATCH($U199,매출원본!$BD$8:$BD$1007,0)),""))</f>
        <v/>
      </c>
      <c r="C199" s="10">
        <f>IF($U199="","",IFERROR(INDEX(매출원본!$AY$8:$AY$1007,MATCH($U199,매출원본!$BD$8:$BD$1007,0)),""))</f>
        <v/>
      </c>
      <c r="D199" s="33">
        <f>IF($U199="","",COUNTIFS(매출원본!$AX$8:$AX$1007,INDEX($R$8:$R$207,$U199),매출원본!$BA$8:$BA$1007,"포함"))</f>
        <v/>
      </c>
      <c r="E199" s="33">
        <f>IF($U199="","",SUMIFS(매출원본!$AT$8:$AT$1007,매출원본!$AX$8:$AX$1007,INDEX($R$8:$R$207,$U199),매출원본!$BA$8:$BA$1007,"포함"))</f>
        <v/>
      </c>
      <c r="F199" s="33">
        <f>IF($U199="","",SUMIFS(매출원본!$AU$8:$AU$1007,매출원본!$AX$8:$AX$1007,INDEX($R$8:$R$207,$U199),매출원본!$BA$8:$BA$1007,"포함"))</f>
        <v/>
      </c>
      <c r="G199" s="33">
        <f>IF($U199="","",SUMIFS(매출원본!$AV$8:$AV$1007,매출원본!$AX$8:$AX$1007,INDEX($R$8:$R$207,$U199),매출원본!$BA$8:$BA$1007,"포함"))</f>
        <v/>
      </c>
      <c r="H199" s="34">
        <f>IF(OR($U199="",$E$7=0),"",E199/$E$7)</f>
        <v/>
      </c>
      <c r="I199" s="33">
        <f>IF(OR($U199="",0&gt;=설정!$B$12),"",SUMIFS(매출원본!$AT$8:$AT$1007,매출원본!$AX$8:$AX$1007,INDEX($R$8:$R$207,$U199),매출원본!$BA$8:$BA$1007,"포함",매출원본!$AS$8:$AS$1007,"&gt;="&amp;EDATE(설정!$B$10,0),매출원본!$AS$8:$AS$1007,"&lt;="&amp;EOMONTH(설정!$B$10,0)))</f>
        <v/>
      </c>
      <c r="J199" s="33">
        <f>IF(OR($U199="",1&gt;=설정!$B$12),"",SUMIFS(매출원본!$AT$8:$AT$1007,매출원본!$AX$8:$AX$1007,INDEX($R$8:$R$207,$U199),매출원본!$BA$8:$BA$1007,"포함",매출원본!$AS$8:$AS$1007,"&gt;="&amp;EDATE(설정!$B$10,1),매출원본!$AS$8:$AS$1007,"&lt;="&amp;EOMONTH(설정!$B$10,1)))</f>
        <v/>
      </c>
      <c r="K199" s="33">
        <f>IF(OR($U199="",2&gt;=설정!$B$12),"",SUMIFS(매출원본!$AT$8:$AT$1007,매출원본!$AX$8:$AX$1007,INDEX($R$8:$R$207,$U199),매출원본!$BA$8:$BA$1007,"포함",매출원본!$AS$8:$AS$1007,"&gt;="&amp;EDATE(설정!$B$10,2),매출원본!$AS$8:$AS$1007,"&lt;="&amp;EOMONTH(설정!$B$10,2)))</f>
        <v/>
      </c>
      <c r="L199" s="33">
        <f>IF(OR($U199="",3&gt;=설정!$B$12),"",SUMIFS(매출원본!$AT$8:$AT$1007,매출원본!$AX$8:$AX$1007,INDEX($R$8:$R$207,$U199),매출원본!$BA$8:$BA$1007,"포함",매출원본!$AS$8:$AS$1007,"&gt;="&amp;EDATE(설정!$B$10,3),매출원본!$AS$8:$AS$1007,"&lt;="&amp;EOMONTH(설정!$B$10,3)))</f>
        <v/>
      </c>
      <c r="M199" s="33">
        <f>IF(OR($U199="",4&gt;=설정!$B$12),"",SUMIFS(매출원본!$AT$8:$AT$1007,매출원본!$AX$8:$AX$1007,INDEX($R$8:$R$207,$U199),매출원본!$BA$8:$BA$1007,"포함",매출원본!$AS$8:$AS$1007,"&gt;="&amp;EDATE(설정!$B$10,4),매출원본!$AS$8:$AS$1007,"&lt;="&amp;EOMONTH(설정!$B$10,4)))</f>
        <v/>
      </c>
      <c r="N199" s="33">
        <f>IF(OR($U199="",5&gt;=설정!$B$12),"",SUMIFS(매출원본!$AT$8:$AT$1007,매출원본!$AX$8:$AX$1007,INDEX($R$8:$R$207,$U199),매출원본!$BA$8:$BA$1007,"포함",매출원본!$AS$8:$AS$1007,"&gt;="&amp;EDATE(설정!$B$10,5),매출원본!$AS$8:$AS$1007,"&lt;="&amp;EOMONTH(설정!$B$10,5)))</f>
        <v/>
      </c>
      <c r="Q199" s="35" t="n">
        <v>192</v>
      </c>
      <c r="R199" s="35">
        <f>IFERROR(INDEX(매출원본!$AX$8:$AX$1007,MATCH($Q199,매출원본!$BD$8:$BD$1007,0)),"")</f>
        <v/>
      </c>
      <c r="S199" s="35">
        <f>IF($R199="","",SUMIFS(매출원본!$AT$8:$AT$1007,매출원본!$AX$8:$AX$1007,$R199,매출원본!$BA$8:$BA$1007,"포함"))</f>
        <v/>
      </c>
      <c r="T199" s="35">
        <f>IF($R199="","",$S199-$Q199/100000)</f>
        <v/>
      </c>
      <c r="U199" s="35">
        <f>IFERROR(MATCH(LARGE($T$8:$T$207,192),$T$8:$T$207,0),"")</f>
        <v/>
      </c>
    </row>
    <row r="200">
      <c r="A200" s="32">
        <f>IF($U200="","",193)</f>
        <v/>
      </c>
      <c r="B200" s="10">
        <f>IF($U200="","",IFERROR(INDEX(매출원본!$AZ$8:$AZ$1007,MATCH($U200,매출원본!$BD$8:$BD$1007,0)),""))</f>
        <v/>
      </c>
      <c r="C200" s="10">
        <f>IF($U200="","",IFERROR(INDEX(매출원본!$AY$8:$AY$1007,MATCH($U200,매출원본!$BD$8:$BD$1007,0)),""))</f>
        <v/>
      </c>
      <c r="D200" s="33">
        <f>IF($U200="","",COUNTIFS(매출원본!$AX$8:$AX$1007,INDEX($R$8:$R$207,$U200),매출원본!$BA$8:$BA$1007,"포함"))</f>
        <v/>
      </c>
      <c r="E200" s="33">
        <f>IF($U200="","",SUMIFS(매출원본!$AT$8:$AT$1007,매출원본!$AX$8:$AX$1007,INDEX($R$8:$R$207,$U200),매출원본!$BA$8:$BA$1007,"포함"))</f>
        <v/>
      </c>
      <c r="F200" s="33">
        <f>IF($U200="","",SUMIFS(매출원본!$AU$8:$AU$1007,매출원본!$AX$8:$AX$1007,INDEX($R$8:$R$207,$U200),매출원본!$BA$8:$BA$1007,"포함"))</f>
        <v/>
      </c>
      <c r="G200" s="33">
        <f>IF($U200="","",SUMIFS(매출원본!$AV$8:$AV$1007,매출원본!$AX$8:$AX$1007,INDEX($R$8:$R$207,$U200),매출원본!$BA$8:$BA$1007,"포함"))</f>
        <v/>
      </c>
      <c r="H200" s="34">
        <f>IF(OR($U200="",$E$7=0),"",E200/$E$7)</f>
        <v/>
      </c>
      <c r="I200" s="33">
        <f>IF(OR($U200="",0&gt;=설정!$B$12),"",SUMIFS(매출원본!$AT$8:$AT$1007,매출원본!$AX$8:$AX$1007,INDEX($R$8:$R$207,$U200),매출원본!$BA$8:$BA$1007,"포함",매출원본!$AS$8:$AS$1007,"&gt;="&amp;EDATE(설정!$B$10,0),매출원본!$AS$8:$AS$1007,"&lt;="&amp;EOMONTH(설정!$B$10,0)))</f>
        <v/>
      </c>
      <c r="J200" s="33">
        <f>IF(OR($U200="",1&gt;=설정!$B$12),"",SUMIFS(매출원본!$AT$8:$AT$1007,매출원본!$AX$8:$AX$1007,INDEX($R$8:$R$207,$U200),매출원본!$BA$8:$BA$1007,"포함",매출원본!$AS$8:$AS$1007,"&gt;="&amp;EDATE(설정!$B$10,1),매출원본!$AS$8:$AS$1007,"&lt;="&amp;EOMONTH(설정!$B$10,1)))</f>
        <v/>
      </c>
      <c r="K200" s="33">
        <f>IF(OR($U200="",2&gt;=설정!$B$12),"",SUMIFS(매출원본!$AT$8:$AT$1007,매출원본!$AX$8:$AX$1007,INDEX($R$8:$R$207,$U200),매출원본!$BA$8:$BA$1007,"포함",매출원본!$AS$8:$AS$1007,"&gt;="&amp;EDATE(설정!$B$10,2),매출원본!$AS$8:$AS$1007,"&lt;="&amp;EOMONTH(설정!$B$10,2)))</f>
        <v/>
      </c>
      <c r="L200" s="33">
        <f>IF(OR($U200="",3&gt;=설정!$B$12),"",SUMIFS(매출원본!$AT$8:$AT$1007,매출원본!$AX$8:$AX$1007,INDEX($R$8:$R$207,$U200),매출원본!$BA$8:$BA$1007,"포함",매출원본!$AS$8:$AS$1007,"&gt;="&amp;EDATE(설정!$B$10,3),매출원본!$AS$8:$AS$1007,"&lt;="&amp;EOMONTH(설정!$B$10,3)))</f>
        <v/>
      </c>
      <c r="M200" s="33">
        <f>IF(OR($U200="",4&gt;=설정!$B$12),"",SUMIFS(매출원본!$AT$8:$AT$1007,매출원본!$AX$8:$AX$1007,INDEX($R$8:$R$207,$U200),매출원본!$BA$8:$BA$1007,"포함",매출원본!$AS$8:$AS$1007,"&gt;="&amp;EDATE(설정!$B$10,4),매출원본!$AS$8:$AS$1007,"&lt;="&amp;EOMONTH(설정!$B$10,4)))</f>
        <v/>
      </c>
      <c r="N200" s="33">
        <f>IF(OR($U200="",5&gt;=설정!$B$12),"",SUMIFS(매출원본!$AT$8:$AT$1007,매출원본!$AX$8:$AX$1007,INDEX($R$8:$R$207,$U200),매출원본!$BA$8:$BA$1007,"포함",매출원본!$AS$8:$AS$1007,"&gt;="&amp;EDATE(설정!$B$10,5),매출원본!$AS$8:$AS$1007,"&lt;="&amp;EOMONTH(설정!$B$10,5)))</f>
        <v/>
      </c>
      <c r="Q200" s="35" t="n">
        <v>193</v>
      </c>
      <c r="R200" s="35">
        <f>IFERROR(INDEX(매출원본!$AX$8:$AX$1007,MATCH($Q200,매출원본!$BD$8:$BD$1007,0)),"")</f>
        <v/>
      </c>
      <c r="S200" s="35">
        <f>IF($R200="","",SUMIFS(매출원본!$AT$8:$AT$1007,매출원본!$AX$8:$AX$1007,$R200,매출원본!$BA$8:$BA$1007,"포함"))</f>
        <v/>
      </c>
      <c r="T200" s="35">
        <f>IF($R200="","",$S200-$Q200/100000)</f>
        <v/>
      </c>
      <c r="U200" s="35">
        <f>IFERROR(MATCH(LARGE($T$8:$T$207,193),$T$8:$T$207,0),"")</f>
        <v/>
      </c>
    </row>
    <row r="201">
      <c r="A201" s="32">
        <f>IF($U201="","",194)</f>
        <v/>
      </c>
      <c r="B201" s="10">
        <f>IF($U201="","",IFERROR(INDEX(매출원본!$AZ$8:$AZ$1007,MATCH($U201,매출원본!$BD$8:$BD$1007,0)),""))</f>
        <v/>
      </c>
      <c r="C201" s="10">
        <f>IF($U201="","",IFERROR(INDEX(매출원본!$AY$8:$AY$1007,MATCH($U201,매출원본!$BD$8:$BD$1007,0)),""))</f>
        <v/>
      </c>
      <c r="D201" s="33">
        <f>IF($U201="","",COUNTIFS(매출원본!$AX$8:$AX$1007,INDEX($R$8:$R$207,$U201),매출원본!$BA$8:$BA$1007,"포함"))</f>
        <v/>
      </c>
      <c r="E201" s="33">
        <f>IF($U201="","",SUMIFS(매출원본!$AT$8:$AT$1007,매출원본!$AX$8:$AX$1007,INDEX($R$8:$R$207,$U201),매출원본!$BA$8:$BA$1007,"포함"))</f>
        <v/>
      </c>
      <c r="F201" s="33">
        <f>IF($U201="","",SUMIFS(매출원본!$AU$8:$AU$1007,매출원본!$AX$8:$AX$1007,INDEX($R$8:$R$207,$U201),매출원본!$BA$8:$BA$1007,"포함"))</f>
        <v/>
      </c>
      <c r="G201" s="33">
        <f>IF($U201="","",SUMIFS(매출원본!$AV$8:$AV$1007,매출원본!$AX$8:$AX$1007,INDEX($R$8:$R$207,$U201),매출원본!$BA$8:$BA$1007,"포함"))</f>
        <v/>
      </c>
      <c r="H201" s="34">
        <f>IF(OR($U201="",$E$7=0),"",E201/$E$7)</f>
        <v/>
      </c>
      <c r="I201" s="33">
        <f>IF(OR($U201="",0&gt;=설정!$B$12),"",SUMIFS(매출원본!$AT$8:$AT$1007,매출원본!$AX$8:$AX$1007,INDEX($R$8:$R$207,$U201),매출원본!$BA$8:$BA$1007,"포함",매출원본!$AS$8:$AS$1007,"&gt;="&amp;EDATE(설정!$B$10,0),매출원본!$AS$8:$AS$1007,"&lt;="&amp;EOMONTH(설정!$B$10,0)))</f>
        <v/>
      </c>
      <c r="J201" s="33">
        <f>IF(OR($U201="",1&gt;=설정!$B$12),"",SUMIFS(매출원본!$AT$8:$AT$1007,매출원본!$AX$8:$AX$1007,INDEX($R$8:$R$207,$U201),매출원본!$BA$8:$BA$1007,"포함",매출원본!$AS$8:$AS$1007,"&gt;="&amp;EDATE(설정!$B$10,1),매출원본!$AS$8:$AS$1007,"&lt;="&amp;EOMONTH(설정!$B$10,1)))</f>
        <v/>
      </c>
      <c r="K201" s="33">
        <f>IF(OR($U201="",2&gt;=설정!$B$12),"",SUMIFS(매출원본!$AT$8:$AT$1007,매출원본!$AX$8:$AX$1007,INDEX($R$8:$R$207,$U201),매출원본!$BA$8:$BA$1007,"포함",매출원본!$AS$8:$AS$1007,"&gt;="&amp;EDATE(설정!$B$10,2),매출원본!$AS$8:$AS$1007,"&lt;="&amp;EOMONTH(설정!$B$10,2)))</f>
        <v/>
      </c>
      <c r="L201" s="33">
        <f>IF(OR($U201="",3&gt;=설정!$B$12),"",SUMIFS(매출원본!$AT$8:$AT$1007,매출원본!$AX$8:$AX$1007,INDEX($R$8:$R$207,$U201),매출원본!$BA$8:$BA$1007,"포함",매출원본!$AS$8:$AS$1007,"&gt;="&amp;EDATE(설정!$B$10,3),매출원본!$AS$8:$AS$1007,"&lt;="&amp;EOMONTH(설정!$B$10,3)))</f>
        <v/>
      </c>
      <c r="M201" s="33">
        <f>IF(OR($U201="",4&gt;=설정!$B$12),"",SUMIFS(매출원본!$AT$8:$AT$1007,매출원본!$AX$8:$AX$1007,INDEX($R$8:$R$207,$U201),매출원본!$BA$8:$BA$1007,"포함",매출원본!$AS$8:$AS$1007,"&gt;="&amp;EDATE(설정!$B$10,4),매출원본!$AS$8:$AS$1007,"&lt;="&amp;EOMONTH(설정!$B$10,4)))</f>
        <v/>
      </c>
      <c r="N201" s="33">
        <f>IF(OR($U201="",5&gt;=설정!$B$12),"",SUMIFS(매출원본!$AT$8:$AT$1007,매출원본!$AX$8:$AX$1007,INDEX($R$8:$R$207,$U201),매출원본!$BA$8:$BA$1007,"포함",매출원본!$AS$8:$AS$1007,"&gt;="&amp;EDATE(설정!$B$10,5),매출원본!$AS$8:$AS$1007,"&lt;="&amp;EOMONTH(설정!$B$10,5)))</f>
        <v/>
      </c>
      <c r="Q201" s="35" t="n">
        <v>194</v>
      </c>
      <c r="R201" s="35">
        <f>IFERROR(INDEX(매출원본!$AX$8:$AX$1007,MATCH($Q201,매출원본!$BD$8:$BD$1007,0)),"")</f>
        <v/>
      </c>
      <c r="S201" s="35">
        <f>IF($R201="","",SUMIFS(매출원본!$AT$8:$AT$1007,매출원본!$AX$8:$AX$1007,$R201,매출원본!$BA$8:$BA$1007,"포함"))</f>
        <v/>
      </c>
      <c r="T201" s="35">
        <f>IF($R201="","",$S201-$Q201/100000)</f>
        <v/>
      </c>
      <c r="U201" s="35">
        <f>IFERROR(MATCH(LARGE($T$8:$T$207,194),$T$8:$T$207,0),"")</f>
        <v/>
      </c>
    </row>
    <row r="202">
      <c r="A202" s="32">
        <f>IF($U202="","",195)</f>
        <v/>
      </c>
      <c r="B202" s="10">
        <f>IF($U202="","",IFERROR(INDEX(매출원본!$AZ$8:$AZ$1007,MATCH($U202,매출원본!$BD$8:$BD$1007,0)),""))</f>
        <v/>
      </c>
      <c r="C202" s="10">
        <f>IF($U202="","",IFERROR(INDEX(매출원본!$AY$8:$AY$1007,MATCH($U202,매출원본!$BD$8:$BD$1007,0)),""))</f>
        <v/>
      </c>
      <c r="D202" s="33">
        <f>IF($U202="","",COUNTIFS(매출원본!$AX$8:$AX$1007,INDEX($R$8:$R$207,$U202),매출원본!$BA$8:$BA$1007,"포함"))</f>
        <v/>
      </c>
      <c r="E202" s="33">
        <f>IF($U202="","",SUMIFS(매출원본!$AT$8:$AT$1007,매출원본!$AX$8:$AX$1007,INDEX($R$8:$R$207,$U202),매출원본!$BA$8:$BA$1007,"포함"))</f>
        <v/>
      </c>
      <c r="F202" s="33">
        <f>IF($U202="","",SUMIFS(매출원본!$AU$8:$AU$1007,매출원본!$AX$8:$AX$1007,INDEX($R$8:$R$207,$U202),매출원본!$BA$8:$BA$1007,"포함"))</f>
        <v/>
      </c>
      <c r="G202" s="33">
        <f>IF($U202="","",SUMIFS(매출원본!$AV$8:$AV$1007,매출원본!$AX$8:$AX$1007,INDEX($R$8:$R$207,$U202),매출원본!$BA$8:$BA$1007,"포함"))</f>
        <v/>
      </c>
      <c r="H202" s="34">
        <f>IF(OR($U202="",$E$7=0),"",E202/$E$7)</f>
        <v/>
      </c>
      <c r="I202" s="33">
        <f>IF(OR($U202="",0&gt;=설정!$B$12),"",SUMIFS(매출원본!$AT$8:$AT$1007,매출원본!$AX$8:$AX$1007,INDEX($R$8:$R$207,$U202),매출원본!$BA$8:$BA$1007,"포함",매출원본!$AS$8:$AS$1007,"&gt;="&amp;EDATE(설정!$B$10,0),매출원본!$AS$8:$AS$1007,"&lt;="&amp;EOMONTH(설정!$B$10,0)))</f>
        <v/>
      </c>
      <c r="J202" s="33">
        <f>IF(OR($U202="",1&gt;=설정!$B$12),"",SUMIFS(매출원본!$AT$8:$AT$1007,매출원본!$AX$8:$AX$1007,INDEX($R$8:$R$207,$U202),매출원본!$BA$8:$BA$1007,"포함",매출원본!$AS$8:$AS$1007,"&gt;="&amp;EDATE(설정!$B$10,1),매출원본!$AS$8:$AS$1007,"&lt;="&amp;EOMONTH(설정!$B$10,1)))</f>
        <v/>
      </c>
      <c r="K202" s="33">
        <f>IF(OR($U202="",2&gt;=설정!$B$12),"",SUMIFS(매출원본!$AT$8:$AT$1007,매출원본!$AX$8:$AX$1007,INDEX($R$8:$R$207,$U202),매출원본!$BA$8:$BA$1007,"포함",매출원본!$AS$8:$AS$1007,"&gt;="&amp;EDATE(설정!$B$10,2),매출원본!$AS$8:$AS$1007,"&lt;="&amp;EOMONTH(설정!$B$10,2)))</f>
        <v/>
      </c>
      <c r="L202" s="33">
        <f>IF(OR($U202="",3&gt;=설정!$B$12),"",SUMIFS(매출원본!$AT$8:$AT$1007,매출원본!$AX$8:$AX$1007,INDEX($R$8:$R$207,$U202),매출원본!$BA$8:$BA$1007,"포함",매출원본!$AS$8:$AS$1007,"&gt;="&amp;EDATE(설정!$B$10,3),매출원본!$AS$8:$AS$1007,"&lt;="&amp;EOMONTH(설정!$B$10,3)))</f>
        <v/>
      </c>
      <c r="M202" s="33">
        <f>IF(OR($U202="",4&gt;=설정!$B$12),"",SUMIFS(매출원본!$AT$8:$AT$1007,매출원본!$AX$8:$AX$1007,INDEX($R$8:$R$207,$U202),매출원본!$BA$8:$BA$1007,"포함",매출원본!$AS$8:$AS$1007,"&gt;="&amp;EDATE(설정!$B$10,4),매출원본!$AS$8:$AS$1007,"&lt;="&amp;EOMONTH(설정!$B$10,4)))</f>
        <v/>
      </c>
      <c r="N202" s="33">
        <f>IF(OR($U202="",5&gt;=설정!$B$12),"",SUMIFS(매출원본!$AT$8:$AT$1007,매출원본!$AX$8:$AX$1007,INDEX($R$8:$R$207,$U202),매출원본!$BA$8:$BA$1007,"포함",매출원본!$AS$8:$AS$1007,"&gt;="&amp;EDATE(설정!$B$10,5),매출원본!$AS$8:$AS$1007,"&lt;="&amp;EOMONTH(설정!$B$10,5)))</f>
        <v/>
      </c>
      <c r="Q202" s="35" t="n">
        <v>195</v>
      </c>
      <c r="R202" s="35">
        <f>IFERROR(INDEX(매출원본!$AX$8:$AX$1007,MATCH($Q202,매출원본!$BD$8:$BD$1007,0)),"")</f>
        <v/>
      </c>
      <c r="S202" s="35">
        <f>IF($R202="","",SUMIFS(매출원본!$AT$8:$AT$1007,매출원본!$AX$8:$AX$1007,$R202,매출원본!$BA$8:$BA$1007,"포함"))</f>
        <v/>
      </c>
      <c r="T202" s="35">
        <f>IF($R202="","",$S202-$Q202/100000)</f>
        <v/>
      </c>
      <c r="U202" s="35">
        <f>IFERROR(MATCH(LARGE($T$8:$T$207,195),$T$8:$T$207,0),"")</f>
        <v/>
      </c>
    </row>
    <row r="203">
      <c r="A203" s="32">
        <f>IF($U203="","",196)</f>
        <v/>
      </c>
      <c r="B203" s="10">
        <f>IF($U203="","",IFERROR(INDEX(매출원본!$AZ$8:$AZ$1007,MATCH($U203,매출원본!$BD$8:$BD$1007,0)),""))</f>
        <v/>
      </c>
      <c r="C203" s="10">
        <f>IF($U203="","",IFERROR(INDEX(매출원본!$AY$8:$AY$1007,MATCH($U203,매출원본!$BD$8:$BD$1007,0)),""))</f>
        <v/>
      </c>
      <c r="D203" s="33">
        <f>IF($U203="","",COUNTIFS(매출원본!$AX$8:$AX$1007,INDEX($R$8:$R$207,$U203),매출원본!$BA$8:$BA$1007,"포함"))</f>
        <v/>
      </c>
      <c r="E203" s="33">
        <f>IF($U203="","",SUMIFS(매출원본!$AT$8:$AT$1007,매출원본!$AX$8:$AX$1007,INDEX($R$8:$R$207,$U203),매출원본!$BA$8:$BA$1007,"포함"))</f>
        <v/>
      </c>
      <c r="F203" s="33">
        <f>IF($U203="","",SUMIFS(매출원본!$AU$8:$AU$1007,매출원본!$AX$8:$AX$1007,INDEX($R$8:$R$207,$U203),매출원본!$BA$8:$BA$1007,"포함"))</f>
        <v/>
      </c>
      <c r="G203" s="33">
        <f>IF($U203="","",SUMIFS(매출원본!$AV$8:$AV$1007,매출원본!$AX$8:$AX$1007,INDEX($R$8:$R$207,$U203),매출원본!$BA$8:$BA$1007,"포함"))</f>
        <v/>
      </c>
      <c r="H203" s="34">
        <f>IF(OR($U203="",$E$7=0),"",E203/$E$7)</f>
        <v/>
      </c>
      <c r="I203" s="33">
        <f>IF(OR($U203="",0&gt;=설정!$B$12),"",SUMIFS(매출원본!$AT$8:$AT$1007,매출원본!$AX$8:$AX$1007,INDEX($R$8:$R$207,$U203),매출원본!$BA$8:$BA$1007,"포함",매출원본!$AS$8:$AS$1007,"&gt;="&amp;EDATE(설정!$B$10,0),매출원본!$AS$8:$AS$1007,"&lt;="&amp;EOMONTH(설정!$B$10,0)))</f>
        <v/>
      </c>
      <c r="J203" s="33">
        <f>IF(OR($U203="",1&gt;=설정!$B$12),"",SUMIFS(매출원본!$AT$8:$AT$1007,매출원본!$AX$8:$AX$1007,INDEX($R$8:$R$207,$U203),매출원본!$BA$8:$BA$1007,"포함",매출원본!$AS$8:$AS$1007,"&gt;="&amp;EDATE(설정!$B$10,1),매출원본!$AS$8:$AS$1007,"&lt;="&amp;EOMONTH(설정!$B$10,1)))</f>
        <v/>
      </c>
      <c r="K203" s="33">
        <f>IF(OR($U203="",2&gt;=설정!$B$12),"",SUMIFS(매출원본!$AT$8:$AT$1007,매출원본!$AX$8:$AX$1007,INDEX($R$8:$R$207,$U203),매출원본!$BA$8:$BA$1007,"포함",매출원본!$AS$8:$AS$1007,"&gt;="&amp;EDATE(설정!$B$10,2),매출원본!$AS$8:$AS$1007,"&lt;="&amp;EOMONTH(설정!$B$10,2)))</f>
        <v/>
      </c>
      <c r="L203" s="33">
        <f>IF(OR($U203="",3&gt;=설정!$B$12),"",SUMIFS(매출원본!$AT$8:$AT$1007,매출원본!$AX$8:$AX$1007,INDEX($R$8:$R$207,$U203),매출원본!$BA$8:$BA$1007,"포함",매출원본!$AS$8:$AS$1007,"&gt;="&amp;EDATE(설정!$B$10,3),매출원본!$AS$8:$AS$1007,"&lt;="&amp;EOMONTH(설정!$B$10,3)))</f>
        <v/>
      </c>
      <c r="M203" s="33">
        <f>IF(OR($U203="",4&gt;=설정!$B$12),"",SUMIFS(매출원본!$AT$8:$AT$1007,매출원본!$AX$8:$AX$1007,INDEX($R$8:$R$207,$U203),매출원본!$BA$8:$BA$1007,"포함",매출원본!$AS$8:$AS$1007,"&gt;="&amp;EDATE(설정!$B$10,4),매출원본!$AS$8:$AS$1007,"&lt;="&amp;EOMONTH(설정!$B$10,4)))</f>
        <v/>
      </c>
      <c r="N203" s="33">
        <f>IF(OR($U203="",5&gt;=설정!$B$12),"",SUMIFS(매출원본!$AT$8:$AT$1007,매출원본!$AX$8:$AX$1007,INDEX($R$8:$R$207,$U203),매출원본!$BA$8:$BA$1007,"포함",매출원본!$AS$8:$AS$1007,"&gt;="&amp;EDATE(설정!$B$10,5),매출원본!$AS$8:$AS$1007,"&lt;="&amp;EOMONTH(설정!$B$10,5)))</f>
        <v/>
      </c>
      <c r="Q203" s="35" t="n">
        <v>196</v>
      </c>
      <c r="R203" s="35">
        <f>IFERROR(INDEX(매출원본!$AX$8:$AX$1007,MATCH($Q203,매출원본!$BD$8:$BD$1007,0)),"")</f>
        <v/>
      </c>
      <c r="S203" s="35">
        <f>IF($R203="","",SUMIFS(매출원본!$AT$8:$AT$1007,매출원본!$AX$8:$AX$1007,$R203,매출원본!$BA$8:$BA$1007,"포함"))</f>
        <v/>
      </c>
      <c r="T203" s="35">
        <f>IF($R203="","",$S203-$Q203/100000)</f>
        <v/>
      </c>
      <c r="U203" s="35">
        <f>IFERROR(MATCH(LARGE($T$8:$T$207,196),$T$8:$T$207,0),"")</f>
        <v/>
      </c>
    </row>
    <row r="204">
      <c r="A204" s="32">
        <f>IF($U204="","",197)</f>
        <v/>
      </c>
      <c r="B204" s="10">
        <f>IF($U204="","",IFERROR(INDEX(매출원본!$AZ$8:$AZ$1007,MATCH($U204,매출원본!$BD$8:$BD$1007,0)),""))</f>
        <v/>
      </c>
      <c r="C204" s="10">
        <f>IF($U204="","",IFERROR(INDEX(매출원본!$AY$8:$AY$1007,MATCH($U204,매출원본!$BD$8:$BD$1007,0)),""))</f>
        <v/>
      </c>
      <c r="D204" s="33">
        <f>IF($U204="","",COUNTIFS(매출원본!$AX$8:$AX$1007,INDEX($R$8:$R$207,$U204),매출원본!$BA$8:$BA$1007,"포함"))</f>
        <v/>
      </c>
      <c r="E204" s="33">
        <f>IF($U204="","",SUMIFS(매출원본!$AT$8:$AT$1007,매출원본!$AX$8:$AX$1007,INDEX($R$8:$R$207,$U204),매출원본!$BA$8:$BA$1007,"포함"))</f>
        <v/>
      </c>
      <c r="F204" s="33">
        <f>IF($U204="","",SUMIFS(매출원본!$AU$8:$AU$1007,매출원본!$AX$8:$AX$1007,INDEX($R$8:$R$207,$U204),매출원본!$BA$8:$BA$1007,"포함"))</f>
        <v/>
      </c>
      <c r="G204" s="33">
        <f>IF($U204="","",SUMIFS(매출원본!$AV$8:$AV$1007,매출원본!$AX$8:$AX$1007,INDEX($R$8:$R$207,$U204),매출원본!$BA$8:$BA$1007,"포함"))</f>
        <v/>
      </c>
      <c r="H204" s="34">
        <f>IF(OR($U204="",$E$7=0),"",E204/$E$7)</f>
        <v/>
      </c>
      <c r="I204" s="33">
        <f>IF(OR($U204="",0&gt;=설정!$B$12),"",SUMIFS(매출원본!$AT$8:$AT$1007,매출원본!$AX$8:$AX$1007,INDEX($R$8:$R$207,$U204),매출원본!$BA$8:$BA$1007,"포함",매출원본!$AS$8:$AS$1007,"&gt;="&amp;EDATE(설정!$B$10,0),매출원본!$AS$8:$AS$1007,"&lt;="&amp;EOMONTH(설정!$B$10,0)))</f>
        <v/>
      </c>
      <c r="J204" s="33">
        <f>IF(OR($U204="",1&gt;=설정!$B$12),"",SUMIFS(매출원본!$AT$8:$AT$1007,매출원본!$AX$8:$AX$1007,INDEX($R$8:$R$207,$U204),매출원본!$BA$8:$BA$1007,"포함",매출원본!$AS$8:$AS$1007,"&gt;="&amp;EDATE(설정!$B$10,1),매출원본!$AS$8:$AS$1007,"&lt;="&amp;EOMONTH(설정!$B$10,1)))</f>
        <v/>
      </c>
      <c r="K204" s="33">
        <f>IF(OR($U204="",2&gt;=설정!$B$12),"",SUMIFS(매출원본!$AT$8:$AT$1007,매출원본!$AX$8:$AX$1007,INDEX($R$8:$R$207,$U204),매출원본!$BA$8:$BA$1007,"포함",매출원본!$AS$8:$AS$1007,"&gt;="&amp;EDATE(설정!$B$10,2),매출원본!$AS$8:$AS$1007,"&lt;="&amp;EOMONTH(설정!$B$10,2)))</f>
        <v/>
      </c>
      <c r="L204" s="33">
        <f>IF(OR($U204="",3&gt;=설정!$B$12),"",SUMIFS(매출원본!$AT$8:$AT$1007,매출원본!$AX$8:$AX$1007,INDEX($R$8:$R$207,$U204),매출원본!$BA$8:$BA$1007,"포함",매출원본!$AS$8:$AS$1007,"&gt;="&amp;EDATE(설정!$B$10,3),매출원본!$AS$8:$AS$1007,"&lt;="&amp;EOMONTH(설정!$B$10,3)))</f>
        <v/>
      </c>
      <c r="M204" s="33">
        <f>IF(OR($U204="",4&gt;=설정!$B$12),"",SUMIFS(매출원본!$AT$8:$AT$1007,매출원본!$AX$8:$AX$1007,INDEX($R$8:$R$207,$U204),매출원본!$BA$8:$BA$1007,"포함",매출원본!$AS$8:$AS$1007,"&gt;="&amp;EDATE(설정!$B$10,4),매출원본!$AS$8:$AS$1007,"&lt;="&amp;EOMONTH(설정!$B$10,4)))</f>
        <v/>
      </c>
      <c r="N204" s="33">
        <f>IF(OR($U204="",5&gt;=설정!$B$12),"",SUMIFS(매출원본!$AT$8:$AT$1007,매출원본!$AX$8:$AX$1007,INDEX($R$8:$R$207,$U204),매출원본!$BA$8:$BA$1007,"포함",매출원본!$AS$8:$AS$1007,"&gt;="&amp;EDATE(설정!$B$10,5),매출원본!$AS$8:$AS$1007,"&lt;="&amp;EOMONTH(설정!$B$10,5)))</f>
        <v/>
      </c>
      <c r="Q204" s="35" t="n">
        <v>197</v>
      </c>
      <c r="R204" s="35">
        <f>IFERROR(INDEX(매출원본!$AX$8:$AX$1007,MATCH($Q204,매출원본!$BD$8:$BD$1007,0)),"")</f>
        <v/>
      </c>
      <c r="S204" s="35">
        <f>IF($R204="","",SUMIFS(매출원본!$AT$8:$AT$1007,매출원본!$AX$8:$AX$1007,$R204,매출원본!$BA$8:$BA$1007,"포함"))</f>
        <v/>
      </c>
      <c r="T204" s="35">
        <f>IF($R204="","",$S204-$Q204/100000)</f>
        <v/>
      </c>
      <c r="U204" s="35">
        <f>IFERROR(MATCH(LARGE($T$8:$T$207,197),$T$8:$T$207,0),"")</f>
        <v/>
      </c>
    </row>
    <row r="205">
      <c r="A205" s="32">
        <f>IF($U205="","",198)</f>
        <v/>
      </c>
      <c r="B205" s="10">
        <f>IF($U205="","",IFERROR(INDEX(매출원본!$AZ$8:$AZ$1007,MATCH($U205,매출원본!$BD$8:$BD$1007,0)),""))</f>
        <v/>
      </c>
      <c r="C205" s="10">
        <f>IF($U205="","",IFERROR(INDEX(매출원본!$AY$8:$AY$1007,MATCH($U205,매출원본!$BD$8:$BD$1007,0)),""))</f>
        <v/>
      </c>
      <c r="D205" s="33">
        <f>IF($U205="","",COUNTIFS(매출원본!$AX$8:$AX$1007,INDEX($R$8:$R$207,$U205),매출원본!$BA$8:$BA$1007,"포함"))</f>
        <v/>
      </c>
      <c r="E205" s="33">
        <f>IF($U205="","",SUMIFS(매출원본!$AT$8:$AT$1007,매출원본!$AX$8:$AX$1007,INDEX($R$8:$R$207,$U205),매출원본!$BA$8:$BA$1007,"포함"))</f>
        <v/>
      </c>
      <c r="F205" s="33">
        <f>IF($U205="","",SUMIFS(매출원본!$AU$8:$AU$1007,매출원본!$AX$8:$AX$1007,INDEX($R$8:$R$207,$U205),매출원본!$BA$8:$BA$1007,"포함"))</f>
        <v/>
      </c>
      <c r="G205" s="33">
        <f>IF($U205="","",SUMIFS(매출원본!$AV$8:$AV$1007,매출원본!$AX$8:$AX$1007,INDEX($R$8:$R$207,$U205),매출원본!$BA$8:$BA$1007,"포함"))</f>
        <v/>
      </c>
      <c r="H205" s="34">
        <f>IF(OR($U205="",$E$7=0),"",E205/$E$7)</f>
        <v/>
      </c>
      <c r="I205" s="33">
        <f>IF(OR($U205="",0&gt;=설정!$B$12),"",SUMIFS(매출원본!$AT$8:$AT$1007,매출원본!$AX$8:$AX$1007,INDEX($R$8:$R$207,$U205),매출원본!$BA$8:$BA$1007,"포함",매출원본!$AS$8:$AS$1007,"&gt;="&amp;EDATE(설정!$B$10,0),매출원본!$AS$8:$AS$1007,"&lt;="&amp;EOMONTH(설정!$B$10,0)))</f>
        <v/>
      </c>
      <c r="J205" s="33">
        <f>IF(OR($U205="",1&gt;=설정!$B$12),"",SUMIFS(매출원본!$AT$8:$AT$1007,매출원본!$AX$8:$AX$1007,INDEX($R$8:$R$207,$U205),매출원본!$BA$8:$BA$1007,"포함",매출원본!$AS$8:$AS$1007,"&gt;="&amp;EDATE(설정!$B$10,1),매출원본!$AS$8:$AS$1007,"&lt;="&amp;EOMONTH(설정!$B$10,1)))</f>
        <v/>
      </c>
      <c r="K205" s="33">
        <f>IF(OR($U205="",2&gt;=설정!$B$12),"",SUMIFS(매출원본!$AT$8:$AT$1007,매출원본!$AX$8:$AX$1007,INDEX($R$8:$R$207,$U205),매출원본!$BA$8:$BA$1007,"포함",매출원본!$AS$8:$AS$1007,"&gt;="&amp;EDATE(설정!$B$10,2),매출원본!$AS$8:$AS$1007,"&lt;="&amp;EOMONTH(설정!$B$10,2)))</f>
        <v/>
      </c>
      <c r="L205" s="33">
        <f>IF(OR($U205="",3&gt;=설정!$B$12),"",SUMIFS(매출원본!$AT$8:$AT$1007,매출원본!$AX$8:$AX$1007,INDEX($R$8:$R$207,$U205),매출원본!$BA$8:$BA$1007,"포함",매출원본!$AS$8:$AS$1007,"&gt;="&amp;EDATE(설정!$B$10,3),매출원본!$AS$8:$AS$1007,"&lt;="&amp;EOMONTH(설정!$B$10,3)))</f>
        <v/>
      </c>
      <c r="M205" s="33">
        <f>IF(OR($U205="",4&gt;=설정!$B$12),"",SUMIFS(매출원본!$AT$8:$AT$1007,매출원본!$AX$8:$AX$1007,INDEX($R$8:$R$207,$U205),매출원본!$BA$8:$BA$1007,"포함",매출원본!$AS$8:$AS$1007,"&gt;="&amp;EDATE(설정!$B$10,4),매출원본!$AS$8:$AS$1007,"&lt;="&amp;EOMONTH(설정!$B$10,4)))</f>
        <v/>
      </c>
      <c r="N205" s="33">
        <f>IF(OR($U205="",5&gt;=설정!$B$12),"",SUMIFS(매출원본!$AT$8:$AT$1007,매출원본!$AX$8:$AX$1007,INDEX($R$8:$R$207,$U205),매출원본!$BA$8:$BA$1007,"포함",매출원본!$AS$8:$AS$1007,"&gt;="&amp;EDATE(설정!$B$10,5),매출원본!$AS$8:$AS$1007,"&lt;="&amp;EOMONTH(설정!$B$10,5)))</f>
        <v/>
      </c>
      <c r="Q205" s="35" t="n">
        <v>198</v>
      </c>
      <c r="R205" s="35">
        <f>IFERROR(INDEX(매출원본!$AX$8:$AX$1007,MATCH($Q205,매출원본!$BD$8:$BD$1007,0)),"")</f>
        <v/>
      </c>
      <c r="S205" s="35">
        <f>IF($R205="","",SUMIFS(매출원본!$AT$8:$AT$1007,매출원본!$AX$8:$AX$1007,$R205,매출원본!$BA$8:$BA$1007,"포함"))</f>
        <v/>
      </c>
      <c r="T205" s="35">
        <f>IF($R205="","",$S205-$Q205/100000)</f>
        <v/>
      </c>
      <c r="U205" s="35">
        <f>IFERROR(MATCH(LARGE($T$8:$T$207,198),$T$8:$T$207,0),"")</f>
        <v/>
      </c>
    </row>
    <row r="206">
      <c r="A206" s="32">
        <f>IF($U206="","",199)</f>
        <v/>
      </c>
      <c r="B206" s="10">
        <f>IF($U206="","",IFERROR(INDEX(매출원본!$AZ$8:$AZ$1007,MATCH($U206,매출원본!$BD$8:$BD$1007,0)),""))</f>
        <v/>
      </c>
      <c r="C206" s="10">
        <f>IF($U206="","",IFERROR(INDEX(매출원본!$AY$8:$AY$1007,MATCH($U206,매출원본!$BD$8:$BD$1007,0)),""))</f>
        <v/>
      </c>
      <c r="D206" s="33">
        <f>IF($U206="","",COUNTIFS(매출원본!$AX$8:$AX$1007,INDEX($R$8:$R$207,$U206),매출원본!$BA$8:$BA$1007,"포함"))</f>
        <v/>
      </c>
      <c r="E206" s="33">
        <f>IF($U206="","",SUMIFS(매출원본!$AT$8:$AT$1007,매출원본!$AX$8:$AX$1007,INDEX($R$8:$R$207,$U206),매출원본!$BA$8:$BA$1007,"포함"))</f>
        <v/>
      </c>
      <c r="F206" s="33">
        <f>IF($U206="","",SUMIFS(매출원본!$AU$8:$AU$1007,매출원본!$AX$8:$AX$1007,INDEX($R$8:$R$207,$U206),매출원본!$BA$8:$BA$1007,"포함"))</f>
        <v/>
      </c>
      <c r="G206" s="33">
        <f>IF($U206="","",SUMIFS(매출원본!$AV$8:$AV$1007,매출원본!$AX$8:$AX$1007,INDEX($R$8:$R$207,$U206),매출원본!$BA$8:$BA$1007,"포함"))</f>
        <v/>
      </c>
      <c r="H206" s="34">
        <f>IF(OR($U206="",$E$7=0),"",E206/$E$7)</f>
        <v/>
      </c>
      <c r="I206" s="33">
        <f>IF(OR($U206="",0&gt;=설정!$B$12),"",SUMIFS(매출원본!$AT$8:$AT$1007,매출원본!$AX$8:$AX$1007,INDEX($R$8:$R$207,$U206),매출원본!$BA$8:$BA$1007,"포함",매출원본!$AS$8:$AS$1007,"&gt;="&amp;EDATE(설정!$B$10,0),매출원본!$AS$8:$AS$1007,"&lt;="&amp;EOMONTH(설정!$B$10,0)))</f>
        <v/>
      </c>
      <c r="J206" s="33">
        <f>IF(OR($U206="",1&gt;=설정!$B$12),"",SUMIFS(매출원본!$AT$8:$AT$1007,매출원본!$AX$8:$AX$1007,INDEX($R$8:$R$207,$U206),매출원본!$BA$8:$BA$1007,"포함",매출원본!$AS$8:$AS$1007,"&gt;="&amp;EDATE(설정!$B$10,1),매출원본!$AS$8:$AS$1007,"&lt;="&amp;EOMONTH(설정!$B$10,1)))</f>
        <v/>
      </c>
      <c r="K206" s="33">
        <f>IF(OR($U206="",2&gt;=설정!$B$12),"",SUMIFS(매출원본!$AT$8:$AT$1007,매출원본!$AX$8:$AX$1007,INDEX($R$8:$R$207,$U206),매출원본!$BA$8:$BA$1007,"포함",매출원본!$AS$8:$AS$1007,"&gt;="&amp;EDATE(설정!$B$10,2),매출원본!$AS$8:$AS$1007,"&lt;="&amp;EOMONTH(설정!$B$10,2)))</f>
        <v/>
      </c>
      <c r="L206" s="33">
        <f>IF(OR($U206="",3&gt;=설정!$B$12),"",SUMIFS(매출원본!$AT$8:$AT$1007,매출원본!$AX$8:$AX$1007,INDEX($R$8:$R$207,$U206),매출원본!$BA$8:$BA$1007,"포함",매출원본!$AS$8:$AS$1007,"&gt;="&amp;EDATE(설정!$B$10,3),매출원본!$AS$8:$AS$1007,"&lt;="&amp;EOMONTH(설정!$B$10,3)))</f>
        <v/>
      </c>
      <c r="M206" s="33">
        <f>IF(OR($U206="",4&gt;=설정!$B$12),"",SUMIFS(매출원본!$AT$8:$AT$1007,매출원본!$AX$8:$AX$1007,INDEX($R$8:$R$207,$U206),매출원본!$BA$8:$BA$1007,"포함",매출원본!$AS$8:$AS$1007,"&gt;="&amp;EDATE(설정!$B$10,4),매출원본!$AS$8:$AS$1007,"&lt;="&amp;EOMONTH(설정!$B$10,4)))</f>
        <v/>
      </c>
      <c r="N206" s="33">
        <f>IF(OR($U206="",5&gt;=설정!$B$12),"",SUMIFS(매출원본!$AT$8:$AT$1007,매출원본!$AX$8:$AX$1007,INDEX($R$8:$R$207,$U206),매출원본!$BA$8:$BA$1007,"포함",매출원본!$AS$8:$AS$1007,"&gt;="&amp;EDATE(설정!$B$10,5),매출원본!$AS$8:$AS$1007,"&lt;="&amp;EOMONTH(설정!$B$10,5)))</f>
        <v/>
      </c>
      <c r="Q206" s="35" t="n">
        <v>199</v>
      </c>
      <c r="R206" s="35">
        <f>IFERROR(INDEX(매출원본!$AX$8:$AX$1007,MATCH($Q206,매출원본!$BD$8:$BD$1007,0)),"")</f>
        <v/>
      </c>
      <c r="S206" s="35">
        <f>IF($R206="","",SUMIFS(매출원본!$AT$8:$AT$1007,매출원본!$AX$8:$AX$1007,$R206,매출원본!$BA$8:$BA$1007,"포함"))</f>
        <v/>
      </c>
      <c r="T206" s="35">
        <f>IF($R206="","",$S206-$Q206/100000)</f>
        <v/>
      </c>
      <c r="U206" s="35">
        <f>IFERROR(MATCH(LARGE($T$8:$T$207,199),$T$8:$T$207,0),"")</f>
        <v/>
      </c>
    </row>
    <row r="207">
      <c r="A207" s="32">
        <f>IF($U207="","",200)</f>
        <v/>
      </c>
      <c r="B207" s="10">
        <f>IF($U207="","",IFERROR(INDEX(매출원본!$AZ$8:$AZ$1007,MATCH($U207,매출원본!$BD$8:$BD$1007,0)),""))</f>
        <v/>
      </c>
      <c r="C207" s="10">
        <f>IF($U207="","",IFERROR(INDEX(매출원본!$AY$8:$AY$1007,MATCH($U207,매출원본!$BD$8:$BD$1007,0)),""))</f>
        <v/>
      </c>
      <c r="D207" s="33">
        <f>IF($U207="","",COUNTIFS(매출원본!$AX$8:$AX$1007,INDEX($R$8:$R$207,$U207),매출원본!$BA$8:$BA$1007,"포함"))</f>
        <v/>
      </c>
      <c r="E207" s="33">
        <f>IF($U207="","",SUMIFS(매출원본!$AT$8:$AT$1007,매출원본!$AX$8:$AX$1007,INDEX($R$8:$R$207,$U207),매출원본!$BA$8:$BA$1007,"포함"))</f>
        <v/>
      </c>
      <c r="F207" s="33">
        <f>IF($U207="","",SUMIFS(매출원본!$AU$8:$AU$1007,매출원본!$AX$8:$AX$1007,INDEX($R$8:$R$207,$U207),매출원본!$BA$8:$BA$1007,"포함"))</f>
        <v/>
      </c>
      <c r="G207" s="33">
        <f>IF($U207="","",SUMIFS(매출원본!$AV$8:$AV$1007,매출원본!$AX$8:$AX$1007,INDEX($R$8:$R$207,$U207),매출원본!$BA$8:$BA$1007,"포함"))</f>
        <v/>
      </c>
      <c r="H207" s="34">
        <f>IF(OR($U207="",$E$7=0),"",E207/$E$7)</f>
        <v/>
      </c>
      <c r="I207" s="33">
        <f>IF(OR($U207="",0&gt;=설정!$B$12),"",SUMIFS(매출원본!$AT$8:$AT$1007,매출원본!$AX$8:$AX$1007,INDEX($R$8:$R$207,$U207),매출원본!$BA$8:$BA$1007,"포함",매출원본!$AS$8:$AS$1007,"&gt;="&amp;EDATE(설정!$B$10,0),매출원본!$AS$8:$AS$1007,"&lt;="&amp;EOMONTH(설정!$B$10,0)))</f>
        <v/>
      </c>
      <c r="J207" s="33">
        <f>IF(OR($U207="",1&gt;=설정!$B$12),"",SUMIFS(매출원본!$AT$8:$AT$1007,매출원본!$AX$8:$AX$1007,INDEX($R$8:$R$207,$U207),매출원본!$BA$8:$BA$1007,"포함",매출원본!$AS$8:$AS$1007,"&gt;="&amp;EDATE(설정!$B$10,1),매출원본!$AS$8:$AS$1007,"&lt;="&amp;EOMONTH(설정!$B$10,1)))</f>
        <v/>
      </c>
      <c r="K207" s="33">
        <f>IF(OR($U207="",2&gt;=설정!$B$12),"",SUMIFS(매출원본!$AT$8:$AT$1007,매출원본!$AX$8:$AX$1007,INDEX($R$8:$R$207,$U207),매출원본!$BA$8:$BA$1007,"포함",매출원본!$AS$8:$AS$1007,"&gt;="&amp;EDATE(설정!$B$10,2),매출원본!$AS$8:$AS$1007,"&lt;="&amp;EOMONTH(설정!$B$10,2)))</f>
        <v/>
      </c>
      <c r="L207" s="33">
        <f>IF(OR($U207="",3&gt;=설정!$B$12),"",SUMIFS(매출원본!$AT$8:$AT$1007,매출원본!$AX$8:$AX$1007,INDEX($R$8:$R$207,$U207),매출원본!$BA$8:$BA$1007,"포함",매출원본!$AS$8:$AS$1007,"&gt;="&amp;EDATE(설정!$B$10,3),매출원본!$AS$8:$AS$1007,"&lt;="&amp;EOMONTH(설정!$B$10,3)))</f>
        <v/>
      </c>
      <c r="M207" s="33">
        <f>IF(OR($U207="",4&gt;=설정!$B$12),"",SUMIFS(매출원본!$AT$8:$AT$1007,매출원본!$AX$8:$AX$1007,INDEX($R$8:$R$207,$U207),매출원본!$BA$8:$BA$1007,"포함",매출원본!$AS$8:$AS$1007,"&gt;="&amp;EDATE(설정!$B$10,4),매출원본!$AS$8:$AS$1007,"&lt;="&amp;EOMONTH(설정!$B$10,4)))</f>
        <v/>
      </c>
      <c r="N207" s="33">
        <f>IF(OR($U207="",5&gt;=설정!$B$12),"",SUMIFS(매출원본!$AT$8:$AT$1007,매출원본!$AX$8:$AX$1007,INDEX($R$8:$R$207,$U207),매출원본!$BA$8:$BA$1007,"포함",매출원본!$AS$8:$AS$1007,"&gt;="&amp;EDATE(설정!$B$10,5),매출원본!$AS$8:$AS$1007,"&lt;="&amp;EOMONTH(설정!$B$10,5)))</f>
        <v/>
      </c>
      <c r="Q207" s="35" t="n">
        <v>200</v>
      </c>
      <c r="R207" s="35">
        <f>IFERROR(INDEX(매출원본!$AX$8:$AX$1007,MATCH($Q207,매출원본!$BD$8:$BD$1007,0)),"")</f>
        <v/>
      </c>
      <c r="S207" s="35">
        <f>IF($R207="","",SUMIFS(매출원본!$AT$8:$AT$1007,매출원본!$AX$8:$AX$1007,$R207,매출원본!$BA$8:$BA$1007,"포함"))</f>
        <v/>
      </c>
      <c r="T207" s="35">
        <f>IF($R207="","",$S207-$Q207/100000)</f>
        <v/>
      </c>
      <c r="U207" s="35">
        <f>IFERROR(MATCH(LARGE($T$8:$T$207,200),$T$8:$T$207,0),"")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U20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7" customWidth="1" min="4" max="4"/>
    <col width="15" customWidth="1" min="5" max="5"/>
    <col width="13" customWidth="1" min="6" max="6"/>
    <col width="15" customWidth="1" min="7" max="7"/>
    <col width="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14" t="inlineStr">
        <is>
          <t>② 매입처별 — 매입 거래처별·월별 합계 (자동)</t>
        </is>
      </c>
    </row>
    <row r="2">
      <c r="A2" s="15" t="inlineStr">
        <is>
          <t>✍ 직접 입력: 없음 — 공급가액 큰 순서로 자동 정렬됩니다.</t>
        </is>
      </c>
    </row>
    <row r="3">
      <c r="A3" s="2" t="inlineStr">
        <is>
          <t>⚙ 자동 계산: [매입원본]에서 신고기간에 포함된 세금계산서만 사업자번호 기준으로 묶습니다. 수정(마이너스) 세금계산서는 자동 차감.</t>
        </is>
      </c>
    </row>
    <row r="4">
      <c r="A4" s="25">
        <f>설정!$B$5&amp;"  ·  "&amp;설정!$B$6&amp;"년 "&amp;설정!$B$7&amp;"  ("&amp;TEXT(설정!$B$10,"YYYY-MM-DD")&amp;" ~ "&amp;TEXT(설정!$B$11,"YYYY-MM-DD")&amp;")"</f>
        <v/>
      </c>
    </row>
    <row r="6">
      <c r="A6" s="26" t="inlineStr">
        <is>
          <t>순위</t>
        </is>
      </c>
      <c r="B6" s="26" t="inlineStr">
        <is>
          <t>사업자번호</t>
        </is>
      </c>
      <c r="C6" s="26" t="inlineStr">
        <is>
          <t>거래처 상호</t>
        </is>
      </c>
      <c r="D6" s="26" t="inlineStr">
        <is>
          <t>매수</t>
        </is>
      </c>
      <c r="E6" s="26" t="inlineStr">
        <is>
          <t>공급가액</t>
        </is>
      </c>
      <c r="F6" s="26" t="inlineStr">
        <is>
          <t>세액</t>
        </is>
      </c>
      <c r="G6" s="26" t="inlineStr">
        <is>
          <t>합계</t>
        </is>
      </c>
      <c r="H6" s="26" t="inlineStr">
        <is>
          <t>비중</t>
        </is>
      </c>
      <c r="I6" s="26">
        <f>IF(0&lt;설정!$B$12,TEXT(EDATE(설정!$B$10,0),"M월")&amp;" 공급가액","")</f>
        <v/>
      </c>
      <c r="J6" s="26">
        <f>IF(1&lt;설정!$B$12,TEXT(EDATE(설정!$B$10,1),"M월")&amp;" 공급가액","")</f>
        <v/>
      </c>
      <c r="K6" s="26">
        <f>IF(2&lt;설정!$B$12,TEXT(EDATE(설정!$B$10,2),"M월")&amp;" 공급가액","")</f>
        <v/>
      </c>
      <c r="L6" s="26">
        <f>IF(3&lt;설정!$B$12,TEXT(EDATE(설정!$B$10,3),"M월")&amp;" 공급가액","")</f>
        <v/>
      </c>
      <c r="M6" s="26">
        <f>IF(4&lt;설정!$B$12,TEXT(EDATE(설정!$B$10,4),"M월")&amp;" 공급가액","")</f>
        <v/>
      </c>
      <c r="N6" s="26">
        <f>IF(5&lt;설정!$B$12,TEXT(EDATE(설정!$B$10,5),"M월")&amp;" 공급가액","")</f>
        <v/>
      </c>
      <c r="Q6" s="27" t="inlineStr">
        <is>
          <t>순번(보조)</t>
        </is>
      </c>
      <c r="R6" s="27" t="inlineStr">
        <is>
          <t>거래처키(보조)</t>
        </is>
      </c>
      <c r="S6" s="27" t="inlineStr">
        <is>
          <t>공급가액(보조)</t>
        </is>
      </c>
      <c r="T6" s="27" t="inlineStr">
        <is>
          <t>정렬값(보조)</t>
        </is>
      </c>
    </row>
    <row r="7">
      <c r="A7" s="28" t="inlineStr">
        <is>
          <t>합계</t>
        </is>
      </c>
      <c r="B7" s="29" t="inlineStr"/>
      <c r="C7" s="28">
        <f>COUNTIF($R$8:$R$207,"?*")&amp;"곳"</f>
        <v/>
      </c>
      <c r="D7" s="30">
        <f>SUM(D8:D207)</f>
        <v/>
      </c>
      <c r="E7" s="30">
        <f>SUM(E8:E207)</f>
        <v/>
      </c>
      <c r="F7" s="30">
        <f>SUM(F8:F207)</f>
        <v/>
      </c>
      <c r="G7" s="30">
        <f>SUM(G8:G207)</f>
        <v/>
      </c>
      <c r="H7" s="31">
        <f>IF(E7=0,"",1)</f>
        <v/>
      </c>
      <c r="I7" s="30">
        <f>SUM(I8:I207)</f>
        <v/>
      </c>
      <c r="J7" s="30">
        <f>SUM(J8:J207)</f>
        <v/>
      </c>
      <c r="K7" s="30">
        <f>SUM(K8:K207)</f>
        <v/>
      </c>
      <c r="L7" s="30">
        <f>SUM(L8:L207)</f>
        <v/>
      </c>
      <c r="M7" s="30">
        <f>SUM(M8:M207)</f>
        <v/>
      </c>
      <c r="N7" s="30">
        <f>SUM(N8:N207)</f>
        <v/>
      </c>
    </row>
    <row r="8">
      <c r="A8" s="32">
        <f>IF($U8="","",1)</f>
        <v/>
      </c>
      <c r="B8" s="10">
        <f>IF($U8="","",IFERROR(INDEX(매입원본!$AZ$8:$AZ$1007,MATCH($U8,매입원본!$BD$8:$BD$1007,0)),""))</f>
        <v/>
      </c>
      <c r="C8" s="10">
        <f>IF($U8="","",IFERROR(INDEX(매입원본!$AY$8:$AY$1007,MATCH($U8,매입원본!$BD$8:$BD$1007,0)),""))</f>
        <v/>
      </c>
      <c r="D8" s="33">
        <f>IF($U8="","",COUNTIFS(매입원본!$AX$8:$AX$1007,INDEX($R$8:$R$207,$U8),매입원본!$BA$8:$BA$1007,"포함"))</f>
        <v/>
      </c>
      <c r="E8" s="33">
        <f>IF($U8="","",SUMIFS(매입원본!$AT$8:$AT$1007,매입원본!$AX$8:$AX$1007,INDEX($R$8:$R$207,$U8),매입원본!$BA$8:$BA$1007,"포함"))</f>
        <v/>
      </c>
      <c r="F8" s="33">
        <f>IF($U8="","",SUMIFS(매입원본!$AU$8:$AU$1007,매입원본!$AX$8:$AX$1007,INDEX($R$8:$R$207,$U8),매입원본!$BA$8:$BA$1007,"포함"))</f>
        <v/>
      </c>
      <c r="G8" s="33">
        <f>IF($U8="","",SUMIFS(매입원본!$AV$8:$AV$1007,매입원본!$AX$8:$AX$1007,INDEX($R$8:$R$207,$U8),매입원본!$BA$8:$BA$1007,"포함"))</f>
        <v/>
      </c>
      <c r="H8" s="34">
        <f>IF(OR($U8="",$E$7=0),"",E8/$E$7)</f>
        <v/>
      </c>
      <c r="I8" s="33">
        <f>IF(OR($U8="",0&gt;=설정!$B$12),"",SUMIFS(매입원본!$AT$8:$AT$1007,매입원본!$AX$8:$AX$1007,INDEX($R$8:$R$207,$U8),매입원본!$BA$8:$BA$1007,"포함",매입원본!$AS$8:$AS$1007,"&gt;="&amp;EDATE(설정!$B$10,0),매입원본!$AS$8:$AS$1007,"&lt;="&amp;EOMONTH(설정!$B$10,0)))</f>
        <v/>
      </c>
      <c r="J8" s="33">
        <f>IF(OR($U8="",1&gt;=설정!$B$12),"",SUMIFS(매입원본!$AT$8:$AT$1007,매입원본!$AX$8:$AX$1007,INDEX($R$8:$R$207,$U8),매입원본!$BA$8:$BA$1007,"포함",매입원본!$AS$8:$AS$1007,"&gt;="&amp;EDATE(설정!$B$10,1),매입원본!$AS$8:$AS$1007,"&lt;="&amp;EOMONTH(설정!$B$10,1)))</f>
        <v/>
      </c>
      <c r="K8" s="33">
        <f>IF(OR($U8="",2&gt;=설정!$B$12),"",SUMIFS(매입원본!$AT$8:$AT$1007,매입원본!$AX$8:$AX$1007,INDEX($R$8:$R$207,$U8),매입원본!$BA$8:$BA$1007,"포함",매입원본!$AS$8:$AS$1007,"&gt;="&amp;EDATE(설정!$B$10,2),매입원본!$AS$8:$AS$1007,"&lt;="&amp;EOMONTH(설정!$B$10,2)))</f>
        <v/>
      </c>
      <c r="L8" s="33">
        <f>IF(OR($U8="",3&gt;=설정!$B$12),"",SUMIFS(매입원본!$AT$8:$AT$1007,매입원본!$AX$8:$AX$1007,INDEX($R$8:$R$207,$U8),매입원본!$BA$8:$BA$1007,"포함",매입원본!$AS$8:$AS$1007,"&gt;="&amp;EDATE(설정!$B$10,3),매입원본!$AS$8:$AS$1007,"&lt;="&amp;EOMONTH(설정!$B$10,3)))</f>
        <v/>
      </c>
      <c r="M8" s="33">
        <f>IF(OR($U8="",4&gt;=설정!$B$12),"",SUMIFS(매입원본!$AT$8:$AT$1007,매입원본!$AX$8:$AX$1007,INDEX($R$8:$R$207,$U8),매입원본!$BA$8:$BA$1007,"포함",매입원본!$AS$8:$AS$1007,"&gt;="&amp;EDATE(설정!$B$10,4),매입원본!$AS$8:$AS$1007,"&lt;="&amp;EOMONTH(설정!$B$10,4)))</f>
        <v/>
      </c>
      <c r="N8" s="33">
        <f>IF(OR($U8="",5&gt;=설정!$B$12),"",SUMIFS(매입원본!$AT$8:$AT$1007,매입원본!$AX$8:$AX$1007,INDEX($R$8:$R$207,$U8),매입원본!$BA$8:$BA$1007,"포함",매입원본!$AS$8:$AS$1007,"&gt;="&amp;EDATE(설정!$B$10,5),매입원본!$AS$8:$AS$1007,"&lt;="&amp;EOMONTH(설정!$B$10,5)))</f>
        <v/>
      </c>
      <c r="Q8" s="35" t="n">
        <v>1</v>
      </c>
      <c r="R8" s="35">
        <f>IFERROR(INDEX(매입원본!$AX$8:$AX$1007,MATCH($Q8,매입원본!$BD$8:$BD$1007,0)),"")</f>
        <v/>
      </c>
      <c r="S8" s="35">
        <f>IF($R8="","",SUMIFS(매입원본!$AT$8:$AT$1007,매입원본!$AX$8:$AX$1007,$R8,매입원본!$BA$8:$BA$1007,"포함"))</f>
        <v/>
      </c>
      <c r="T8" s="35">
        <f>IF($R8="","",$S8-$Q8/100000)</f>
        <v/>
      </c>
      <c r="U8" s="35">
        <f>IFERROR(MATCH(LARGE($T$8:$T$207,1),$T$8:$T$207,0),"")</f>
        <v/>
      </c>
    </row>
    <row r="9">
      <c r="A9" s="32">
        <f>IF($U9="","",2)</f>
        <v/>
      </c>
      <c r="B9" s="10">
        <f>IF($U9="","",IFERROR(INDEX(매입원본!$AZ$8:$AZ$1007,MATCH($U9,매입원본!$BD$8:$BD$1007,0)),""))</f>
        <v/>
      </c>
      <c r="C9" s="10">
        <f>IF($U9="","",IFERROR(INDEX(매입원본!$AY$8:$AY$1007,MATCH($U9,매입원본!$BD$8:$BD$1007,0)),""))</f>
        <v/>
      </c>
      <c r="D9" s="33">
        <f>IF($U9="","",COUNTIFS(매입원본!$AX$8:$AX$1007,INDEX($R$8:$R$207,$U9),매입원본!$BA$8:$BA$1007,"포함"))</f>
        <v/>
      </c>
      <c r="E9" s="33">
        <f>IF($U9="","",SUMIFS(매입원본!$AT$8:$AT$1007,매입원본!$AX$8:$AX$1007,INDEX($R$8:$R$207,$U9),매입원본!$BA$8:$BA$1007,"포함"))</f>
        <v/>
      </c>
      <c r="F9" s="33">
        <f>IF($U9="","",SUMIFS(매입원본!$AU$8:$AU$1007,매입원본!$AX$8:$AX$1007,INDEX($R$8:$R$207,$U9),매입원본!$BA$8:$BA$1007,"포함"))</f>
        <v/>
      </c>
      <c r="G9" s="33">
        <f>IF($U9="","",SUMIFS(매입원본!$AV$8:$AV$1007,매입원본!$AX$8:$AX$1007,INDEX($R$8:$R$207,$U9),매입원본!$BA$8:$BA$1007,"포함"))</f>
        <v/>
      </c>
      <c r="H9" s="34">
        <f>IF(OR($U9="",$E$7=0),"",E9/$E$7)</f>
        <v/>
      </c>
      <c r="I9" s="33">
        <f>IF(OR($U9="",0&gt;=설정!$B$12),"",SUMIFS(매입원본!$AT$8:$AT$1007,매입원본!$AX$8:$AX$1007,INDEX($R$8:$R$207,$U9),매입원본!$BA$8:$BA$1007,"포함",매입원본!$AS$8:$AS$1007,"&gt;="&amp;EDATE(설정!$B$10,0),매입원본!$AS$8:$AS$1007,"&lt;="&amp;EOMONTH(설정!$B$10,0)))</f>
        <v/>
      </c>
      <c r="J9" s="33">
        <f>IF(OR($U9="",1&gt;=설정!$B$12),"",SUMIFS(매입원본!$AT$8:$AT$1007,매입원본!$AX$8:$AX$1007,INDEX($R$8:$R$207,$U9),매입원본!$BA$8:$BA$1007,"포함",매입원본!$AS$8:$AS$1007,"&gt;="&amp;EDATE(설정!$B$10,1),매입원본!$AS$8:$AS$1007,"&lt;="&amp;EOMONTH(설정!$B$10,1)))</f>
        <v/>
      </c>
      <c r="K9" s="33">
        <f>IF(OR($U9="",2&gt;=설정!$B$12),"",SUMIFS(매입원본!$AT$8:$AT$1007,매입원본!$AX$8:$AX$1007,INDEX($R$8:$R$207,$U9),매입원본!$BA$8:$BA$1007,"포함",매입원본!$AS$8:$AS$1007,"&gt;="&amp;EDATE(설정!$B$10,2),매입원본!$AS$8:$AS$1007,"&lt;="&amp;EOMONTH(설정!$B$10,2)))</f>
        <v/>
      </c>
      <c r="L9" s="33">
        <f>IF(OR($U9="",3&gt;=설정!$B$12),"",SUMIFS(매입원본!$AT$8:$AT$1007,매입원본!$AX$8:$AX$1007,INDEX($R$8:$R$207,$U9),매입원본!$BA$8:$BA$1007,"포함",매입원본!$AS$8:$AS$1007,"&gt;="&amp;EDATE(설정!$B$10,3),매입원본!$AS$8:$AS$1007,"&lt;="&amp;EOMONTH(설정!$B$10,3)))</f>
        <v/>
      </c>
      <c r="M9" s="33">
        <f>IF(OR($U9="",4&gt;=설정!$B$12),"",SUMIFS(매입원본!$AT$8:$AT$1007,매입원본!$AX$8:$AX$1007,INDEX($R$8:$R$207,$U9),매입원본!$BA$8:$BA$1007,"포함",매입원본!$AS$8:$AS$1007,"&gt;="&amp;EDATE(설정!$B$10,4),매입원본!$AS$8:$AS$1007,"&lt;="&amp;EOMONTH(설정!$B$10,4)))</f>
        <v/>
      </c>
      <c r="N9" s="33">
        <f>IF(OR($U9="",5&gt;=설정!$B$12),"",SUMIFS(매입원본!$AT$8:$AT$1007,매입원본!$AX$8:$AX$1007,INDEX($R$8:$R$207,$U9),매입원본!$BA$8:$BA$1007,"포함",매입원본!$AS$8:$AS$1007,"&gt;="&amp;EDATE(설정!$B$10,5),매입원본!$AS$8:$AS$1007,"&lt;="&amp;EOMONTH(설정!$B$10,5)))</f>
        <v/>
      </c>
      <c r="Q9" s="35" t="n">
        <v>2</v>
      </c>
      <c r="R9" s="35">
        <f>IFERROR(INDEX(매입원본!$AX$8:$AX$1007,MATCH($Q9,매입원본!$BD$8:$BD$1007,0)),"")</f>
        <v/>
      </c>
      <c r="S9" s="35">
        <f>IF($R9="","",SUMIFS(매입원본!$AT$8:$AT$1007,매입원본!$AX$8:$AX$1007,$R9,매입원본!$BA$8:$BA$1007,"포함"))</f>
        <v/>
      </c>
      <c r="T9" s="35">
        <f>IF($R9="","",$S9-$Q9/100000)</f>
        <v/>
      </c>
      <c r="U9" s="35">
        <f>IFERROR(MATCH(LARGE($T$8:$T$207,2),$T$8:$T$207,0),"")</f>
        <v/>
      </c>
    </row>
    <row r="10">
      <c r="A10" s="32">
        <f>IF($U10="","",3)</f>
        <v/>
      </c>
      <c r="B10" s="10">
        <f>IF($U10="","",IFERROR(INDEX(매입원본!$AZ$8:$AZ$1007,MATCH($U10,매입원본!$BD$8:$BD$1007,0)),""))</f>
        <v/>
      </c>
      <c r="C10" s="10">
        <f>IF($U10="","",IFERROR(INDEX(매입원본!$AY$8:$AY$1007,MATCH($U10,매입원본!$BD$8:$BD$1007,0)),""))</f>
        <v/>
      </c>
      <c r="D10" s="33">
        <f>IF($U10="","",COUNTIFS(매입원본!$AX$8:$AX$1007,INDEX($R$8:$R$207,$U10),매입원본!$BA$8:$BA$1007,"포함"))</f>
        <v/>
      </c>
      <c r="E10" s="33">
        <f>IF($U10="","",SUMIFS(매입원본!$AT$8:$AT$1007,매입원본!$AX$8:$AX$1007,INDEX($R$8:$R$207,$U10),매입원본!$BA$8:$BA$1007,"포함"))</f>
        <v/>
      </c>
      <c r="F10" s="33">
        <f>IF($U10="","",SUMIFS(매입원본!$AU$8:$AU$1007,매입원본!$AX$8:$AX$1007,INDEX($R$8:$R$207,$U10),매입원본!$BA$8:$BA$1007,"포함"))</f>
        <v/>
      </c>
      <c r="G10" s="33">
        <f>IF($U10="","",SUMIFS(매입원본!$AV$8:$AV$1007,매입원본!$AX$8:$AX$1007,INDEX($R$8:$R$207,$U10),매입원본!$BA$8:$BA$1007,"포함"))</f>
        <v/>
      </c>
      <c r="H10" s="34">
        <f>IF(OR($U10="",$E$7=0),"",E10/$E$7)</f>
        <v/>
      </c>
      <c r="I10" s="33">
        <f>IF(OR($U10="",0&gt;=설정!$B$12),"",SUMIFS(매입원본!$AT$8:$AT$1007,매입원본!$AX$8:$AX$1007,INDEX($R$8:$R$207,$U10),매입원본!$BA$8:$BA$1007,"포함",매입원본!$AS$8:$AS$1007,"&gt;="&amp;EDATE(설정!$B$10,0),매입원본!$AS$8:$AS$1007,"&lt;="&amp;EOMONTH(설정!$B$10,0)))</f>
        <v/>
      </c>
      <c r="J10" s="33">
        <f>IF(OR($U10="",1&gt;=설정!$B$12),"",SUMIFS(매입원본!$AT$8:$AT$1007,매입원본!$AX$8:$AX$1007,INDEX($R$8:$R$207,$U10),매입원본!$BA$8:$BA$1007,"포함",매입원본!$AS$8:$AS$1007,"&gt;="&amp;EDATE(설정!$B$10,1),매입원본!$AS$8:$AS$1007,"&lt;="&amp;EOMONTH(설정!$B$10,1)))</f>
        <v/>
      </c>
      <c r="K10" s="33">
        <f>IF(OR($U10="",2&gt;=설정!$B$12),"",SUMIFS(매입원본!$AT$8:$AT$1007,매입원본!$AX$8:$AX$1007,INDEX($R$8:$R$207,$U10),매입원본!$BA$8:$BA$1007,"포함",매입원본!$AS$8:$AS$1007,"&gt;="&amp;EDATE(설정!$B$10,2),매입원본!$AS$8:$AS$1007,"&lt;="&amp;EOMONTH(설정!$B$10,2)))</f>
        <v/>
      </c>
      <c r="L10" s="33">
        <f>IF(OR($U10="",3&gt;=설정!$B$12),"",SUMIFS(매입원본!$AT$8:$AT$1007,매입원본!$AX$8:$AX$1007,INDEX($R$8:$R$207,$U10),매입원본!$BA$8:$BA$1007,"포함",매입원본!$AS$8:$AS$1007,"&gt;="&amp;EDATE(설정!$B$10,3),매입원본!$AS$8:$AS$1007,"&lt;="&amp;EOMONTH(설정!$B$10,3)))</f>
        <v/>
      </c>
      <c r="M10" s="33">
        <f>IF(OR($U10="",4&gt;=설정!$B$12),"",SUMIFS(매입원본!$AT$8:$AT$1007,매입원본!$AX$8:$AX$1007,INDEX($R$8:$R$207,$U10),매입원본!$BA$8:$BA$1007,"포함",매입원본!$AS$8:$AS$1007,"&gt;="&amp;EDATE(설정!$B$10,4),매입원본!$AS$8:$AS$1007,"&lt;="&amp;EOMONTH(설정!$B$10,4)))</f>
        <v/>
      </c>
      <c r="N10" s="33">
        <f>IF(OR($U10="",5&gt;=설정!$B$12),"",SUMIFS(매입원본!$AT$8:$AT$1007,매입원본!$AX$8:$AX$1007,INDEX($R$8:$R$207,$U10),매입원본!$BA$8:$BA$1007,"포함",매입원본!$AS$8:$AS$1007,"&gt;="&amp;EDATE(설정!$B$10,5),매입원본!$AS$8:$AS$1007,"&lt;="&amp;EOMONTH(설정!$B$10,5)))</f>
        <v/>
      </c>
      <c r="Q10" s="35" t="n">
        <v>3</v>
      </c>
      <c r="R10" s="35">
        <f>IFERROR(INDEX(매입원본!$AX$8:$AX$1007,MATCH($Q10,매입원본!$BD$8:$BD$1007,0)),"")</f>
        <v/>
      </c>
      <c r="S10" s="35">
        <f>IF($R10="","",SUMIFS(매입원본!$AT$8:$AT$1007,매입원본!$AX$8:$AX$1007,$R10,매입원본!$BA$8:$BA$1007,"포함"))</f>
        <v/>
      </c>
      <c r="T10" s="35">
        <f>IF($R10="","",$S10-$Q10/100000)</f>
        <v/>
      </c>
      <c r="U10" s="35">
        <f>IFERROR(MATCH(LARGE($T$8:$T$207,3),$T$8:$T$207,0),"")</f>
        <v/>
      </c>
    </row>
    <row r="11">
      <c r="A11" s="32">
        <f>IF($U11="","",4)</f>
        <v/>
      </c>
      <c r="B11" s="10">
        <f>IF($U11="","",IFERROR(INDEX(매입원본!$AZ$8:$AZ$1007,MATCH($U11,매입원본!$BD$8:$BD$1007,0)),""))</f>
        <v/>
      </c>
      <c r="C11" s="10">
        <f>IF($U11="","",IFERROR(INDEX(매입원본!$AY$8:$AY$1007,MATCH($U11,매입원본!$BD$8:$BD$1007,0)),""))</f>
        <v/>
      </c>
      <c r="D11" s="33">
        <f>IF($U11="","",COUNTIFS(매입원본!$AX$8:$AX$1007,INDEX($R$8:$R$207,$U11),매입원본!$BA$8:$BA$1007,"포함"))</f>
        <v/>
      </c>
      <c r="E11" s="33">
        <f>IF($U11="","",SUMIFS(매입원본!$AT$8:$AT$1007,매입원본!$AX$8:$AX$1007,INDEX($R$8:$R$207,$U11),매입원본!$BA$8:$BA$1007,"포함"))</f>
        <v/>
      </c>
      <c r="F11" s="33">
        <f>IF($U11="","",SUMIFS(매입원본!$AU$8:$AU$1007,매입원본!$AX$8:$AX$1007,INDEX($R$8:$R$207,$U11),매입원본!$BA$8:$BA$1007,"포함"))</f>
        <v/>
      </c>
      <c r="G11" s="33">
        <f>IF($U11="","",SUMIFS(매입원본!$AV$8:$AV$1007,매입원본!$AX$8:$AX$1007,INDEX($R$8:$R$207,$U11),매입원본!$BA$8:$BA$1007,"포함"))</f>
        <v/>
      </c>
      <c r="H11" s="34">
        <f>IF(OR($U11="",$E$7=0),"",E11/$E$7)</f>
        <v/>
      </c>
      <c r="I11" s="33">
        <f>IF(OR($U11="",0&gt;=설정!$B$12),"",SUMIFS(매입원본!$AT$8:$AT$1007,매입원본!$AX$8:$AX$1007,INDEX($R$8:$R$207,$U11),매입원본!$BA$8:$BA$1007,"포함",매입원본!$AS$8:$AS$1007,"&gt;="&amp;EDATE(설정!$B$10,0),매입원본!$AS$8:$AS$1007,"&lt;="&amp;EOMONTH(설정!$B$10,0)))</f>
        <v/>
      </c>
      <c r="J11" s="33">
        <f>IF(OR($U11="",1&gt;=설정!$B$12),"",SUMIFS(매입원본!$AT$8:$AT$1007,매입원본!$AX$8:$AX$1007,INDEX($R$8:$R$207,$U11),매입원본!$BA$8:$BA$1007,"포함",매입원본!$AS$8:$AS$1007,"&gt;="&amp;EDATE(설정!$B$10,1),매입원본!$AS$8:$AS$1007,"&lt;="&amp;EOMONTH(설정!$B$10,1)))</f>
        <v/>
      </c>
      <c r="K11" s="33">
        <f>IF(OR($U11="",2&gt;=설정!$B$12),"",SUMIFS(매입원본!$AT$8:$AT$1007,매입원본!$AX$8:$AX$1007,INDEX($R$8:$R$207,$U11),매입원본!$BA$8:$BA$1007,"포함",매입원본!$AS$8:$AS$1007,"&gt;="&amp;EDATE(설정!$B$10,2),매입원본!$AS$8:$AS$1007,"&lt;="&amp;EOMONTH(설정!$B$10,2)))</f>
        <v/>
      </c>
      <c r="L11" s="33">
        <f>IF(OR($U11="",3&gt;=설정!$B$12),"",SUMIFS(매입원본!$AT$8:$AT$1007,매입원본!$AX$8:$AX$1007,INDEX($R$8:$R$207,$U11),매입원본!$BA$8:$BA$1007,"포함",매입원본!$AS$8:$AS$1007,"&gt;="&amp;EDATE(설정!$B$10,3),매입원본!$AS$8:$AS$1007,"&lt;="&amp;EOMONTH(설정!$B$10,3)))</f>
        <v/>
      </c>
      <c r="M11" s="33">
        <f>IF(OR($U11="",4&gt;=설정!$B$12),"",SUMIFS(매입원본!$AT$8:$AT$1007,매입원본!$AX$8:$AX$1007,INDEX($R$8:$R$207,$U11),매입원본!$BA$8:$BA$1007,"포함",매입원본!$AS$8:$AS$1007,"&gt;="&amp;EDATE(설정!$B$10,4),매입원본!$AS$8:$AS$1007,"&lt;="&amp;EOMONTH(설정!$B$10,4)))</f>
        <v/>
      </c>
      <c r="N11" s="33">
        <f>IF(OR($U11="",5&gt;=설정!$B$12),"",SUMIFS(매입원본!$AT$8:$AT$1007,매입원본!$AX$8:$AX$1007,INDEX($R$8:$R$207,$U11),매입원본!$BA$8:$BA$1007,"포함",매입원본!$AS$8:$AS$1007,"&gt;="&amp;EDATE(설정!$B$10,5),매입원본!$AS$8:$AS$1007,"&lt;="&amp;EOMONTH(설정!$B$10,5)))</f>
        <v/>
      </c>
      <c r="Q11" s="35" t="n">
        <v>4</v>
      </c>
      <c r="R11" s="35">
        <f>IFERROR(INDEX(매입원본!$AX$8:$AX$1007,MATCH($Q11,매입원본!$BD$8:$BD$1007,0)),"")</f>
        <v/>
      </c>
      <c r="S11" s="35">
        <f>IF($R11="","",SUMIFS(매입원본!$AT$8:$AT$1007,매입원본!$AX$8:$AX$1007,$R11,매입원본!$BA$8:$BA$1007,"포함"))</f>
        <v/>
      </c>
      <c r="T11" s="35">
        <f>IF($R11="","",$S11-$Q11/100000)</f>
        <v/>
      </c>
      <c r="U11" s="35">
        <f>IFERROR(MATCH(LARGE($T$8:$T$207,4),$T$8:$T$207,0),"")</f>
        <v/>
      </c>
    </row>
    <row r="12">
      <c r="A12" s="32">
        <f>IF($U12="","",5)</f>
        <v/>
      </c>
      <c r="B12" s="10">
        <f>IF($U12="","",IFERROR(INDEX(매입원본!$AZ$8:$AZ$1007,MATCH($U12,매입원본!$BD$8:$BD$1007,0)),""))</f>
        <v/>
      </c>
      <c r="C12" s="10">
        <f>IF($U12="","",IFERROR(INDEX(매입원본!$AY$8:$AY$1007,MATCH($U12,매입원본!$BD$8:$BD$1007,0)),""))</f>
        <v/>
      </c>
      <c r="D12" s="33">
        <f>IF($U12="","",COUNTIFS(매입원본!$AX$8:$AX$1007,INDEX($R$8:$R$207,$U12),매입원본!$BA$8:$BA$1007,"포함"))</f>
        <v/>
      </c>
      <c r="E12" s="33">
        <f>IF($U12="","",SUMIFS(매입원본!$AT$8:$AT$1007,매입원본!$AX$8:$AX$1007,INDEX($R$8:$R$207,$U12),매입원본!$BA$8:$BA$1007,"포함"))</f>
        <v/>
      </c>
      <c r="F12" s="33">
        <f>IF($U12="","",SUMIFS(매입원본!$AU$8:$AU$1007,매입원본!$AX$8:$AX$1007,INDEX($R$8:$R$207,$U12),매입원본!$BA$8:$BA$1007,"포함"))</f>
        <v/>
      </c>
      <c r="G12" s="33">
        <f>IF($U12="","",SUMIFS(매입원본!$AV$8:$AV$1007,매입원본!$AX$8:$AX$1007,INDEX($R$8:$R$207,$U12),매입원본!$BA$8:$BA$1007,"포함"))</f>
        <v/>
      </c>
      <c r="H12" s="34">
        <f>IF(OR($U12="",$E$7=0),"",E12/$E$7)</f>
        <v/>
      </c>
      <c r="I12" s="33">
        <f>IF(OR($U12="",0&gt;=설정!$B$12),"",SUMIFS(매입원본!$AT$8:$AT$1007,매입원본!$AX$8:$AX$1007,INDEX($R$8:$R$207,$U12),매입원본!$BA$8:$BA$1007,"포함",매입원본!$AS$8:$AS$1007,"&gt;="&amp;EDATE(설정!$B$10,0),매입원본!$AS$8:$AS$1007,"&lt;="&amp;EOMONTH(설정!$B$10,0)))</f>
        <v/>
      </c>
      <c r="J12" s="33">
        <f>IF(OR($U12="",1&gt;=설정!$B$12),"",SUMIFS(매입원본!$AT$8:$AT$1007,매입원본!$AX$8:$AX$1007,INDEX($R$8:$R$207,$U12),매입원본!$BA$8:$BA$1007,"포함",매입원본!$AS$8:$AS$1007,"&gt;="&amp;EDATE(설정!$B$10,1),매입원본!$AS$8:$AS$1007,"&lt;="&amp;EOMONTH(설정!$B$10,1)))</f>
        <v/>
      </c>
      <c r="K12" s="33">
        <f>IF(OR($U12="",2&gt;=설정!$B$12),"",SUMIFS(매입원본!$AT$8:$AT$1007,매입원본!$AX$8:$AX$1007,INDEX($R$8:$R$207,$U12),매입원본!$BA$8:$BA$1007,"포함",매입원본!$AS$8:$AS$1007,"&gt;="&amp;EDATE(설정!$B$10,2),매입원본!$AS$8:$AS$1007,"&lt;="&amp;EOMONTH(설정!$B$10,2)))</f>
        <v/>
      </c>
      <c r="L12" s="33">
        <f>IF(OR($U12="",3&gt;=설정!$B$12),"",SUMIFS(매입원본!$AT$8:$AT$1007,매입원본!$AX$8:$AX$1007,INDEX($R$8:$R$207,$U12),매입원본!$BA$8:$BA$1007,"포함",매입원본!$AS$8:$AS$1007,"&gt;="&amp;EDATE(설정!$B$10,3),매입원본!$AS$8:$AS$1007,"&lt;="&amp;EOMONTH(설정!$B$10,3)))</f>
        <v/>
      </c>
      <c r="M12" s="33">
        <f>IF(OR($U12="",4&gt;=설정!$B$12),"",SUMIFS(매입원본!$AT$8:$AT$1007,매입원본!$AX$8:$AX$1007,INDEX($R$8:$R$207,$U12),매입원본!$BA$8:$BA$1007,"포함",매입원본!$AS$8:$AS$1007,"&gt;="&amp;EDATE(설정!$B$10,4),매입원본!$AS$8:$AS$1007,"&lt;="&amp;EOMONTH(설정!$B$10,4)))</f>
        <v/>
      </c>
      <c r="N12" s="33">
        <f>IF(OR($U12="",5&gt;=설정!$B$12),"",SUMIFS(매입원본!$AT$8:$AT$1007,매입원본!$AX$8:$AX$1007,INDEX($R$8:$R$207,$U12),매입원본!$BA$8:$BA$1007,"포함",매입원본!$AS$8:$AS$1007,"&gt;="&amp;EDATE(설정!$B$10,5),매입원본!$AS$8:$AS$1007,"&lt;="&amp;EOMONTH(설정!$B$10,5)))</f>
        <v/>
      </c>
      <c r="Q12" s="35" t="n">
        <v>5</v>
      </c>
      <c r="R12" s="35">
        <f>IFERROR(INDEX(매입원본!$AX$8:$AX$1007,MATCH($Q12,매입원본!$BD$8:$BD$1007,0)),"")</f>
        <v/>
      </c>
      <c r="S12" s="35">
        <f>IF($R12="","",SUMIFS(매입원본!$AT$8:$AT$1007,매입원본!$AX$8:$AX$1007,$R12,매입원본!$BA$8:$BA$1007,"포함"))</f>
        <v/>
      </c>
      <c r="T12" s="35">
        <f>IF($R12="","",$S12-$Q12/100000)</f>
        <v/>
      </c>
      <c r="U12" s="35">
        <f>IFERROR(MATCH(LARGE($T$8:$T$207,5),$T$8:$T$207,0),"")</f>
        <v/>
      </c>
    </row>
    <row r="13">
      <c r="A13" s="32">
        <f>IF($U13="","",6)</f>
        <v/>
      </c>
      <c r="B13" s="10">
        <f>IF($U13="","",IFERROR(INDEX(매입원본!$AZ$8:$AZ$1007,MATCH($U13,매입원본!$BD$8:$BD$1007,0)),""))</f>
        <v/>
      </c>
      <c r="C13" s="10">
        <f>IF($U13="","",IFERROR(INDEX(매입원본!$AY$8:$AY$1007,MATCH($U13,매입원본!$BD$8:$BD$1007,0)),""))</f>
        <v/>
      </c>
      <c r="D13" s="33">
        <f>IF($U13="","",COUNTIFS(매입원본!$AX$8:$AX$1007,INDEX($R$8:$R$207,$U13),매입원본!$BA$8:$BA$1007,"포함"))</f>
        <v/>
      </c>
      <c r="E13" s="33">
        <f>IF($U13="","",SUMIFS(매입원본!$AT$8:$AT$1007,매입원본!$AX$8:$AX$1007,INDEX($R$8:$R$207,$U13),매입원본!$BA$8:$BA$1007,"포함"))</f>
        <v/>
      </c>
      <c r="F13" s="33">
        <f>IF($U13="","",SUMIFS(매입원본!$AU$8:$AU$1007,매입원본!$AX$8:$AX$1007,INDEX($R$8:$R$207,$U13),매입원본!$BA$8:$BA$1007,"포함"))</f>
        <v/>
      </c>
      <c r="G13" s="33">
        <f>IF($U13="","",SUMIFS(매입원본!$AV$8:$AV$1007,매입원본!$AX$8:$AX$1007,INDEX($R$8:$R$207,$U13),매입원본!$BA$8:$BA$1007,"포함"))</f>
        <v/>
      </c>
      <c r="H13" s="34">
        <f>IF(OR($U13="",$E$7=0),"",E13/$E$7)</f>
        <v/>
      </c>
      <c r="I13" s="33">
        <f>IF(OR($U13="",0&gt;=설정!$B$12),"",SUMIFS(매입원본!$AT$8:$AT$1007,매입원본!$AX$8:$AX$1007,INDEX($R$8:$R$207,$U13),매입원본!$BA$8:$BA$1007,"포함",매입원본!$AS$8:$AS$1007,"&gt;="&amp;EDATE(설정!$B$10,0),매입원본!$AS$8:$AS$1007,"&lt;="&amp;EOMONTH(설정!$B$10,0)))</f>
        <v/>
      </c>
      <c r="J13" s="33">
        <f>IF(OR($U13="",1&gt;=설정!$B$12),"",SUMIFS(매입원본!$AT$8:$AT$1007,매입원본!$AX$8:$AX$1007,INDEX($R$8:$R$207,$U13),매입원본!$BA$8:$BA$1007,"포함",매입원본!$AS$8:$AS$1007,"&gt;="&amp;EDATE(설정!$B$10,1),매입원본!$AS$8:$AS$1007,"&lt;="&amp;EOMONTH(설정!$B$10,1)))</f>
        <v/>
      </c>
      <c r="K13" s="33">
        <f>IF(OR($U13="",2&gt;=설정!$B$12),"",SUMIFS(매입원본!$AT$8:$AT$1007,매입원본!$AX$8:$AX$1007,INDEX($R$8:$R$207,$U13),매입원본!$BA$8:$BA$1007,"포함",매입원본!$AS$8:$AS$1007,"&gt;="&amp;EDATE(설정!$B$10,2),매입원본!$AS$8:$AS$1007,"&lt;="&amp;EOMONTH(설정!$B$10,2)))</f>
        <v/>
      </c>
      <c r="L13" s="33">
        <f>IF(OR($U13="",3&gt;=설정!$B$12),"",SUMIFS(매입원본!$AT$8:$AT$1007,매입원본!$AX$8:$AX$1007,INDEX($R$8:$R$207,$U13),매입원본!$BA$8:$BA$1007,"포함",매입원본!$AS$8:$AS$1007,"&gt;="&amp;EDATE(설정!$B$10,3),매입원본!$AS$8:$AS$1007,"&lt;="&amp;EOMONTH(설정!$B$10,3)))</f>
        <v/>
      </c>
      <c r="M13" s="33">
        <f>IF(OR($U13="",4&gt;=설정!$B$12),"",SUMIFS(매입원본!$AT$8:$AT$1007,매입원본!$AX$8:$AX$1007,INDEX($R$8:$R$207,$U13),매입원본!$BA$8:$BA$1007,"포함",매입원본!$AS$8:$AS$1007,"&gt;="&amp;EDATE(설정!$B$10,4),매입원본!$AS$8:$AS$1007,"&lt;="&amp;EOMONTH(설정!$B$10,4)))</f>
        <v/>
      </c>
      <c r="N13" s="33">
        <f>IF(OR($U13="",5&gt;=설정!$B$12),"",SUMIFS(매입원본!$AT$8:$AT$1007,매입원본!$AX$8:$AX$1007,INDEX($R$8:$R$207,$U13),매입원본!$BA$8:$BA$1007,"포함",매입원본!$AS$8:$AS$1007,"&gt;="&amp;EDATE(설정!$B$10,5),매입원본!$AS$8:$AS$1007,"&lt;="&amp;EOMONTH(설정!$B$10,5)))</f>
        <v/>
      </c>
      <c r="Q13" s="35" t="n">
        <v>6</v>
      </c>
      <c r="R13" s="35">
        <f>IFERROR(INDEX(매입원본!$AX$8:$AX$1007,MATCH($Q13,매입원본!$BD$8:$BD$1007,0)),"")</f>
        <v/>
      </c>
      <c r="S13" s="35">
        <f>IF($R13="","",SUMIFS(매입원본!$AT$8:$AT$1007,매입원본!$AX$8:$AX$1007,$R13,매입원본!$BA$8:$BA$1007,"포함"))</f>
        <v/>
      </c>
      <c r="T13" s="35">
        <f>IF($R13="","",$S13-$Q13/100000)</f>
        <v/>
      </c>
      <c r="U13" s="35">
        <f>IFERROR(MATCH(LARGE($T$8:$T$207,6),$T$8:$T$207,0),"")</f>
        <v/>
      </c>
    </row>
    <row r="14">
      <c r="A14" s="32">
        <f>IF($U14="","",7)</f>
        <v/>
      </c>
      <c r="B14" s="10">
        <f>IF($U14="","",IFERROR(INDEX(매입원본!$AZ$8:$AZ$1007,MATCH($U14,매입원본!$BD$8:$BD$1007,0)),""))</f>
        <v/>
      </c>
      <c r="C14" s="10">
        <f>IF($U14="","",IFERROR(INDEX(매입원본!$AY$8:$AY$1007,MATCH($U14,매입원본!$BD$8:$BD$1007,0)),""))</f>
        <v/>
      </c>
      <c r="D14" s="33">
        <f>IF($U14="","",COUNTIFS(매입원본!$AX$8:$AX$1007,INDEX($R$8:$R$207,$U14),매입원본!$BA$8:$BA$1007,"포함"))</f>
        <v/>
      </c>
      <c r="E14" s="33">
        <f>IF($U14="","",SUMIFS(매입원본!$AT$8:$AT$1007,매입원본!$AX$8:$AX$1007,INDEX($R$8:$R$207,$U14),매입원본!$BA$8:$BA$1007,"포함"))</f>
        <v/>
      </c>
      <c r="F14" s="33">
        <f>IF($U14="","",SUMIFS(매입원본!$AU$8:$AU$1007,매입원본!$AX$8:$AX$1007,INDEX($R$8:$R$207,$U14),매입원본!$BA$8:$BA$1007,"포함"))</f>
        <v/>
      </c>
      <c r="G14" s="33">
        <f>IF($U14="","",SUMIFS(매입원본!$AV$8:$AV$1007,매입원본!$AX$8:$AX$1007,INDEX($R$8:$R$207,$U14),매입원본!$BA$8:$BA$1007,"포함"))</f>
        <v/>
      </c>
      <c r="H14" s="34">
        <f>IF(OR($U14="",$E$7=0),"",E14/$E$7)</f>
        <v/>
      </c>
      <c r="I14" s="33">
        <f>IF(OR($U14="",0&gt;=설정!$B$12),"",SUMIFS(매입원본!$AT$8:$AT$1007,매입원본!$AX$8:$AX$1007,INDEX($R$8:$R$207,$U14),매입원본!$BA$8:$BA$1007,"포함",매입원본!$AS$8:$AS$1007,"&gt;="&amp;EDATE(설정!$B$10,0),매입원본!$AS$8:$AS$1007,"&lt;="&amp;EOMONTH(설정!$B$10,0)))</f>
        <v/>
      </c>
      <c r="J14" s="33">
        <f>IF(OR($U14="",1&gt;=설정!$B$12),"",SUMIFS(매입원본!$AT$8:$AT$1007,매입원본!$AX$8:$AX$1007,INDEX($R$8:$R$207,$U14),매입원본!$BA$8:$BA$1007,"포함",매입원본!$AS$8:$AS$1007,"&gt;="&amp;EDATE(설정!$B$10,1),매입원본!$AS$8:$AS$1007,"&lt;="&amp;EOMONTH(설정!$B$10,1)))</f>
        <v/>
      </c>
      <c r="K14" s="33">
        <f>IF(OR($U14="",2&gt;=설정!$B$12),"",SUMIFS(매입원본!$AT$8:$AT$1007,매입원본!$AX$8:$AX$1007,INDEX($R$8:$R$207,$U14),매입원본!$BA$8:$BA$1007,"포함",매입원본!$AS$8:$AS$1007,"&gt;="&amp;EDATE(설정!$B$10,2),매입원본!$AS$8:$AS$1007,"&lt;="&amp;EOMONTH(설정!$B$10,2)))</f>
        <v/>
      </c>
      <c r="L14" s="33">
        <f>IF(OR($U14="",3&gt;=설정!$B$12),"",SUMIFS(매입원본!$AT$8:$AT$1007,매입원본!$AX$8:$AX$1007,INDEX($R$8:$R$207,$U14),매입원본!$BA$8:$BA$1007,"포함",매입원본!$AS$8:$AS$1007,"&gt;="&amp;EDATE(설정!$B$10,3),매입원본!$AS$8:$AS$1007,"&lt;="&amp;EOMONTH(설정!$B$10,3)))</f>
        <v/>
      </c>
      <c r="M14" s="33">
        <f>IF(OR($U14="",4&gt;=설정!$B$12),"",SUMIFS(매입원본!$AT$8:$AT$1007,매입원본!$AX$8:$AX$1007,INDEX($R$8:$R$207,$U14),매입원본!$BA$8:$BA$1007,"포함",매입원본!$AS$8:$AS$1007,"&gt;="&amp;EDATE(설정!$B$10,4),매입원본!$AS$8:$AS$1007,"&lt;="&amp;EOMONTH(설정!$B$10,4)))</f>
        <v/>
      </c>
      <c r="N14" s="33">
        <f>IF(OR($U14="",5&gt;=설정!$B$12),"",SUMIFS(매입원본!$AT$8:$AT$1007,매입원본!$AX$8:$AX$1007,INDEX($R$8:$R$207,$U14),매입원본!$BA$8:$BA$1007,"포함",매입원본!$AS$8:$AS$1007,"&gt;="&amp;EDATE(설정!$B$10,5),매입원본!$AS$8:$AS$1007,"&lt;="&amp;EOMONTH(설정!$B$10,5)))</f>
        <v/>
      </c>
      <c r="Q14" s="35" t="n">
        <v>7</v>
      </c>
      <c r="R14" s="35">
        <f>IFERROR(INDEX(매입원본!$AX$8:$AX$1007,MATCH($Q14,매입원본!$BD$8:$BD$1007,0)),"")</f>
        <v/>
      </c>
      <c r="S14" s="35">
        <f>IF($R14="","",SUMIFS(매입원본!$AT$8:$AT$1007,매입원본!$AX$8:$AX$1007,$R14,매입원본!$BA$8:$BA$1007,"포함"))</f>
        <v/>
      </c>
      <c r="T14" s="35">
        <f>IF($R14="","",$S14-$Q14/100000)</f>
        <v/>
      </c>
      <c r="U14" s="35">
        <f>IFERROR(MATCH(LARGE($T$8:$T$207,7),$T$8:$T$207,0),"")</f>
        <v/>
      </c>
    </row>
    <row r="15">
      <c r="A15" s="32">
        <f>IF($U15="","",8)</f>
        <v/>
      </c>
      <c r="B15" s="10">
        <f>IF($U15="","",IFERROR(INDEX(매입원본!$AZ$8:$AZ$1007,MATCH($U15,매입원본!$BD$8:$BD$1007,0)),""))</f>
        <v/>
      </c>
      <c r="C15" s="10">
        <f>IF($U15="","",IFERROR(INDEX(매입원본!$AY$8:$AY$1007,MATCH($U15,매입원본!$BD$8:$BD$1007,0)),""))</f>
        <v/>
      </c>
      <c r="D15" s="33">
        <f>IF($U15="","",COUNTIFS(매입원본!$AX$8:$AX$1007,INDEX($R$8:$R$207,$U15),매입원본!$BA$8:$BA$1007,"포함"))</f>
        <v/>
      </c>
      <c r="E15" s="33">
        <f>IF($U15="","",SUMIFS(매입원본!$AT$8:$AT$1007,매입원본!$AX$8:$AX$1007,INDEX($R$8:$R$207,$U15),매입원본!$BA$8:$BA$1007,"포함"))</f>
        <v/>
      </c>
      <c r="F15" s="33">
        <f>IF($U15="","",SUMIFS(매입원본!$AU$8:$AU$1007,매입원본!$AX$8:$AX$1007,INDEX($R$8:$R$207,$U15),매입원본!$BA$8:$BA$1007,"포함"))</f>
        <v/>
      </c>
      <c r="G15" s="33">
        <f>IF($U15="","",SUMIFS(매입원본!$AV$8:$AV$1007,매입원본!$AX$8:$AX$1007,INDEX($R$8:$R$207,$U15),매입원본!$BA$8:$BA$1007,"포함"))</f>
        <v/>
      </c>
      <c r="H15" s="34">
        <f>IF(OR($U15="",$E$7=0),"",E15/$E$7)</f>
        <v/>
      </c>
      <c r="I15" s="33">
        <f>IF(OR($U15="",0&gt;=설정!$B$12),"",SUMIFS(매입원본!$AT$8:$AT$1007,매입원본!$AX$8:$AX$1007,INDEX($R$8:$R$207,$U15),매입원본!$BA$8:$BA$1007,"포함",매입원본!$AS$8:$AS$1007,"&gt;="&amp;EDATE(설정!$B$10,0),매입원본!$AS$8:$AS$1007,"&lt;="&amp;EOMONTH(설정!$B$10,0)))</f>
        <v/>
      </c>
      <c r="J15" s="33">
        <f>IF(OR($U15="",1&gt;=설정!$B$12),"",SUMIFS(매입원본!$AT$8:$AT$1007,매입원본!$AX$8:$AX$1007,INDEX($R$8:$R$207,$U15),매입원본!$BA$8:$BA$1007,"포함",매입원본!$AS$8:$AS$1007,"&gt;="&amp;EDATE(설정!$B$10,1),매입원본!$AS$8:$AS$1007,"&lt;="&amp;EOMONTH(설정!$B$10,1)))</f>
        <v/>
      </c>
      <c r="K15" s="33">
        <f>IF(OR($U15="",2&gt;=설정!$B$12),"",SUMIFS(매입원본!$AT$8:$AT$1007,매입원본!$AX$8:$AX$1007,INDEX($R$8:$R$207,$U15),매입원본!$BA$8:$BA$1007,"포함",매입원본!$AS$8:$AS$1007,"&gt;="&amp;EDATE(설정!$B$10,2),매입원본!$AS$8:$AS$1007,"&lt;="&amp;EOMONTH(설정!$B$10,2)))</f>
        <v/>
      </c>
      <c r="L15" s="33">
        <f>IF(OR($U15="",3&gt;=설정!$B$12),"",SUMIFS(매입원본!$AT$8:$AT$1007,매입원본!$AX$8:$AX$1007,INDEX($R$8:$R$207,$U15),매입원본!$BA$8:$BA$1007,"포함",매입원본!$AS$8:$AS$1007,"&gt;="&amp;EDATE(설정!$B$10,3),매입원본!$AS$8:$AS$1007,"&lt;="&amp;EOMONTH(설정!$B$10,3)))</f>
        <v/>
      </c>
      <c r="M15" s="33">
        <f>IF(OR($U15="",4&gt;=설정!$B$12),"",SUMIFS(매입원본!$AT$8:$AT$1007,매입원본!$AX$8:$AX$1007,INDEX($R$8:$R$207,$U15),매입원본!$BA$8:$BA$1007,"포함",매입원본!$AS$8:$AS$1007,"&gt;="&amp;EDATE(설정!$B$10,4),매입원본!$AS$8:$AS$1007,"&lt;="&amp;EOMONTH(설정!$B$10,4)))</f>
        <v/>
      </c>
      <c r="N15" s="33">
        <f>IF(OR($U15="",5&gt;=설정!$B$12),"",SUMIFS(매입원본!$AT$8:$AT$1007,매입원본!$AX$8:$AX$1007,INDEX($R$8:$R$207,$U15),매입원본!$BA$8:$BA$1007,"포함",매입원본!$AS$8:$AS$1007,"&gt;="&amp;EDATE(설정!$B$10,5),매입원본!$AS$8:$AS$1007,"&lt;="&amp;EOMONTH(설정!$B$10,5)))</f>
        <v/>
      </c>
      <c r="Q15" s="35" t="n">
        <v>8</v>
      </c>
      <c r="R15" s="35">
        <f>IFERROR(INDEX(매입원본!$AX$8:$AX$1007,MATCH($Q15,매입원본!$BD$8:$BD$1007,0)),"")</f>
        <v/>
      </c>
      <c r="S15" s="35">
        <f>IF($R15="","",SUMIFS(매입원본!$AT$8:$AT$1007,매입원본!$AX$8:$AX$1007,$R15,매입원본!$BA$8:$BA$1007,"포함"))</f>
        <v/>
      </c>
      <c r="T15" s="35">
        <f>IF($R15="","",$S15-$Q15/100000)</f>
        <v/>
      </c>
      <c r="U15" s="35">
        <f>IFERROR(MATCH(LARGE($T$8:$T$207,8),$T$8:$T$207,0),"")</f>
        <v/>
      </c>
    </row>
    <row r="16">
      <c r="A16" s="32">
        <f>IF($U16="","",9)</f>
        <v/>
      </c>
      <c r="B16" s="10">
        <f>IF($U16="","",IFERROR(INDEX(매입원본!$AZ$8:$AZ$1007,MATCH($U16,매입원본!$BD$8:$BD$1007,0)),""))</f>
        <v/>
      </c>
      <c r="C16" s="10">
        <f>IF($U16="","",IFERROR(INDEX(매입원본!$AY$8:$AY$1007,MATCH($U16,매입원본!$BD$8:$BD$1007,0)),""))</f>
        <v/>
      </c>
      <c r="D16" s="33">
        <f>IF($U16="","",COUNTIFS(매입원본!$AX$8:$AX$1007,INDEX($R$8:$R$207,$U16),매입원본!$BA$8:$BA$1007,"포함"))</f>
        <v/>
      </c>
      <c r="E16" s="33">
        <f>IF($U16="","",SUMIFS(매입원본!$AT$8:$AT$1007,매입원본!$AX$8:$AX$1007,INDEX($R$8:$R$207,$U16),매입원본!$BA$8:$BA$1007,"포함"))</f>
        <v/>
      </c>
      <c r="F16" s="33">
        <f>IF($U16="","",SUMIFS(매입원본!$AU$8:$AU$1007,매입원본!$AX$8:$AX$1007,INDEX($R$8:$R$207,$U16),매입원본!$BA$8:$BA$1007,"포함"))</f>
        <v/>
      </c>
      <c r="G16" s="33">
        <f>IF($U16="","",SUMIFS(매입원본!$AV$8:$AV$1007,매입원본!$AX$8:$AX$1007,INDEX($R$8:$R$207,$U16),매입원본!$BA$8:$BA$1007,"포함"))</f>
        <v/>
      </c>
      <c r="H16" s="34">
        <f>IF(OR($U16="",$E$7=0),"",E16/$E$7)</f>
        <v/>
      </c>
      <c r="I16" s="33">
        <f>IF(OR($U16="",0&gt;=설정!$B$12),"",SUMIFS(매입원본!$AT$8:$AT$1007,매입원본!$AX$8:$AX$1007,INDEX($R$8:$R$207,$U16),매입원본!$BA$8:$BA$1007,"포함",매입원본!$AS$8:$AS$1007,"&gt;="&amp;EDATE(설정!$B$10,0),매입원본!$AS$8:$AS$1007,"&lt;="&amp;EOMONTH(설정!$B$10,0)))</f>
        <v/>
      </c>
      <c r="J16" s="33">
        <f>IF(OR($U16="",1&gt;=설정!$B$12),"",SUMIFS(매입원본!$AT$8:$AT$1007,매입원본!$AX$8:$AX$1007,INDEX($R$8:$R$207,$U16),매입원본!$BA$8:$BA$1007,"포함",매입원본!$AS$8:$AS$1007,"&gt;="&amp;EDATE(설정!$B$10,1),매입원본!$AS$8:$AS$1007,"&lt;="&amp;EOMONTH(설정!$B$10,1)))</f>
        <v/>
      </c>
      <c r="K16" s="33">
        <f>IF(OR($U16="",2&gt;=설정!$B$12),"",SUMIFS(매입원본!$AT$8:$AT$1007,매입원본!$AX$8:$AX$1007,INDEX($R$8:$R$207,$U16),매입원본!$BA$8:$BA$1007,"포함",매입원본!$AS$8:$AS$1007,"&gt;="&amp;EDATE(설정!$B$10,2),매입원본!$AS$8:$AS$1007,"&lt;="&amp;EOMONTH(설정!$B$10,2)))</f>
        <v/>
      </c>
      <c r="L16" s="33">
        <f>IF(OR($U16="",3&gt;=설정!$B$12),"",SUMIFS(매입원본!$AT$8:$AT$1007,매입원본!$AX$8:$AX$1007,INDEX($R$8:$R$207,$U16),매입원본!$BA$8:$BA$1007,"포함",매입원본!$AS$8:$AS$1007,"&gt;="&amp;EDATE(설정!$B$10,3),매입원본!$AS$8:$AS$1007,"&lt;="&amp;EOMONTH(설정!$B$10,3)))</f>
        <v/>
      </c>
      <c r="M16" s="33">
        <f>IF(OR($U16="",4&gt;=설정!$B$12),"",SUMIFS(매입원본!$AT$8:$AT$1007,매입원본!$AX$8:$AX$1007,INDEX($R$8:$R$207,$U16),매입원본!$BA$8:$BA$1007,"포함",매입원본!$AS$8:$AS$1007,"&gt;="&amp;EDATE(설정!$B$10,4),매입원본!$AS$8:$AS$1007,"&lt;="&amp;EOMONTH(설정!$B$10,4)))</f>
        <v/>
      </c>
      <c r="N16" s="33">
        <f>IF(OR($U16="",5&gt;=설정!$B$12),"",SUMIFS(매입원본!$AT$8:$AT$1007,매입원본!$AX$8:$AX$1007,INDEX($R$8:$R$207,$U16),매입원본!$BA$8:$BA$1007,"포함",매입원본!$AS$8:$AS$1007,"&gt;="&amp;EDATE(설정!$B$10,5),매입원본!$AS$8:$AS$1007,"&lt;="&amp;EOMONTH(설정!$B$10,5)))</f>
        <v/>
      </c>
      <c r="Q16" s="35" t="n">
        <v>9</v>
      </c>
      <c r="R16" s="35">
        <f>IFERROR(INDEX(매입원본!$AX$8:$AX$1007,MATCH($Q16,매입원본!$BD$8:$BD$1007,0)),"")</f>
        <v/>
      </c>
      <c r="S16" s="35">
        <f>IF($R16="","",SUMIFS(매입원본!$AT$8:$AT$1007,매입원본!$AX$8:$AX$1007,$R16,매입원본!$BA$8:$BA$1007,"포함"))</f>
        <v/>
      </c>
      <c r="T16" s="35">
        <f>IF($R16="","",$S16-$Q16/100000)</f>
        <v/>
      </c>
      <c r="U16" s="35">
        <f>IFERROR(MATCH(LARGE($T$8:$T$207,9),$T$8:$T$207,0),"")</f>
        <v/>
      </c>
    </row>
    <row r="17">
      <c r="A17" s="32">
        <f>IF($U17="","",10)</f>
        <v/>
      </c>
      <c r="B17" s="10">
        <f>IF($U17="","",IFERROR(INDEX(매입원본!$AZ$8:$AZ$1007,MATCH($U17,매입원본!$BD$8:$BD$1007,0)),""))</f>
        <v/>
      </c>
      <c r="C17" s="10">
        <f>IF($U17="","",IFERROR(INDEX(매입원본!$AY$8:$AY$1007,MATCH($U17,매입원본!$BD$8:$BD$1007,0)),""))</f>
        <v/>
      </c>
      <c r="D17" s="33">
        <f>IF($U17="","",COUNTIFS(매입원본!$AX$8:$AX$1007,INDEX($R$8:$R$207,$U17),매입원본!$BA$8:$BA$1007,"포함"))</f>
        <v/>
      </c>
      <c r="E17" s="33">
        <f>IF($U17="","",SUMIFS(매입원본!$AT$8:$AT$1007,매입원본!$AX$8:$AX$1007,INDEX($R$8:$R$207,$U17),매입원본!$BA$8:$BA$1007,"포함"))</f>
        <v/>
      </c>
      <c r="F17" s="33">
        <f>IF($U17="","",SUMIFS(매입원본!$AU$8:$AU$1007,매입원본!$AX$8:$AX$1007,INDEX($R$8:$R$207,$U17),매입원본!$BA$8:$BA$1007,"포함"))</f>
        <v/>
      </c>
      <c r="G17" s="33">
        <f>IF($U17="","",SUMIFS(매입원본!$AV$8:$AV$1007,매입원본!$AX$8:$AX$1007,INDEX($R$8:$R$207,$U17),매입원본!$BA$8:$BA$1007,"포함"))</f>
        <v/>
      </c>
      <c r="H17" s="34">
        <f>IF(OR($U17="",$E$7=0),"",E17/$E$7)</f>
        <v/>
      </c>
      <c r="I17" s="33">
        <f>IF(OR($U17="",0&gt;=설정!$B$12),"",SUMIFS(매입원본!$AT$8:$AT$1007,매입원본!$AX$8:$AX$1007,INDEX($R$8:$R$207,$U17),매입원본!$BA$8:$BA$1007,"포함",매입원본!$AS$8:$AS$1007,"&gt;="&amp;EDATE(설정!$B$10,0),매입원본!$AS$8:$AS$1007,"&lt;="&amp;EOMONTH(설정!$B$10,0)))</f>
        <v/>
      </c>
      <c r="J17" s="33">
        <f>IF(OR($U17="",1&gt;=설정!$B$12),"",SUMIFS(매입원본!$AT$8:$AT$1007,매입원본!$AX$8:$AX$1007,INDEX($R$8:$R$207,$U17),매입원본!$BA$8:$BA$1007,"포함",매입원본!$AS$8:$AS$1007,"&gt;="&amp;EDATE(설정!$B$10,1),매입원본!$AS$8:$AS$1007,"&lt;="&amp;EOMONTH(설정!$B$10,1)))</f>
        <v/>
      </c>
      <c r="K17" s="33">
        <f>IF(OR($U17="",2&gt;=설정!$B$12),"",SUMIFS(매입원본!$AT$8:$AT$1007,매입원본!$AX$8:$AX$1007,INDEX($R$8:$R$207,$U17),매입원본!$BA$8:$BA$1007,"포함",매입원본!$AS$8:$AS$1007,"&gt;="&amp;EDATE(설정!$B$10,2),매입원본!$AS$8:$AS$1007,"&lt;="&amp;EOMONTH(설정!$B$10,2)))</f>
        <v/>
      </c>
      <c r="L17" s="33">
        <f>IF(OR($U17="",3&gt;=설정!$B$12),"",SUMIFS(매입원본!$AT$8:$AT$1007,매입원본!$AX$8:$AX$1007,INDEX($R$8:$R$207,$U17),매입원본!$BA$8:$BA$1007,"포함",매입원본!$AS$8:$AS$1007,"&gt;="&amp;EDATE(설정!$B$10,3),매입원본!$AS$8:$AS$1007,"&lt;="&amp;EOMONTH(설정!$B$10,3)))</f>
        <v/>
      </c>
      <c r="M17" s="33">
        <f>IF(OR($U17="",4&gt;=설정!$B$12),"",SUMIFS(매입원본!$AT$8:$AT$1007,매입원본!$AX$8:$AX$1007,INDEX($R$8:$R$207,$U17),매입원본!$BA$8:$BA$1007,"포함",매입원본!$AS$8:$AS$1007,"&gt;="&amp;EDATE(설정!$B$10,4),매입원본!$AS$8:$AS$1007,"&lt;="&amp;EOMONTH(설정!$B$10,4)))</f>
        <v/>
      </c>
      <c r="N17" s="33">
        <f>IF(OR($U17="",5&gt;=설정!$B$12),"",SUMIFS(매입원본!$AT$8:$AT$1007,매입원본!$AX$8:$AX$1007,INDEX($R$8:$R$207,$U17),매입원본!$BA$8:$BA$1007,"포함",매입원본!$AS$8:$AS$1007,"&gt;="&amp;EDATE(설정!$B$10,5),매입원본!$AS$8:$AS$1007,"&lt;="&amp;EOMONTH(설정!$B$10,5)))</f>
        <v/>
      </c>
      <c r="Q17" s="35" t="n">
        <v>10</v>
      </c>
      <c r="R17" s="35">
        <f>IFERROR(INDEX(매입원본!$AX$8:$AX$1007,MATCH($Q17,매입원본!$BD$8:$BD$1007,0)),"")</f>
        <v/>
      </c>
      <c r="S17" s="35">
        <f>IF($R17="","",SUMIFS(매입원본!$AT$8:$AT$1007,매입원본!$AX$8:$AX$1007,$R17,매입원본!$BA$8:$BA$1007,"포함"))</f>
        <v/>
      </c>
      <c r="T17" s="35">
        <f>IF($R17="","",$S17-$Q17/100000)</f>
        <v/>
      </c>
      <c r="U17" s="35">
        <f>IFERROR(MATCH(LARGE($T$8:$T$207,10),$T$8:$T$207,0),"")</f>
        <v/>
      </c>
    </row>
    <row r="18">
      <c r="A18" s="32">
        <f>IF($U18="","",11)</f>
        <v/>
      </c>
      <c r="B18" s="10">
        <f>IF($U18="","",IFERROR(INDEX(매입원본!$AZ$8:$AZ$1007,MATCH($U18,매입원본!$BD$8:$BD$1007,0)),""))</f>
        <v/>
      </c>
      <c r="C18" s="10">
        <f>IF($U18="","",IFERROR(INDEX(매입원본!$AY$8:$AY$1007,MATCH($U18,매입원본!$BD$8:$BD$1007,0)),""))</f>
        <v/>
      </c>
      <c r="D18" s="33">
        <f>IF($U18="","",COUNTIFS(매입원본!$AX$8:$AX$1007,INDEX($R$8:$R$207,$U18),매입원본!$BA$8:$BA$1007,"포함"))</f>
        <v/>
      </c>
      <c r="E18" s="33">
        <f>IF($U18="","",SUMIFS(매입원본!$AT$8:$AT$1007,매입원본!$AX$8:$AX$1007,INDEX($R$8:$R$207,$U18),매입원본!$BA$8:$BA$1007,"포함"))</f>
        <v/>
      </c>
      <c r="F18" s="33">
        <f>IF($U18="","",SUMIFS(매입원본!$AU$8:$AU$1007,매입원본!$AX$8:$AX$1007,INDEX($R$8:$R$207,$U18),매입원본!$BA$8:$BA$1007,"포함"))</f>
        <v/>
      </c>
      <c r="G18" s="33">
        <f>IF($U18="","",SUMIFS(매입원본!$AV$8:$AV$1007,매입원본!$AX$8:$AX$1007,INDEX($R$8:$R$207,$U18),매입원본!$BA$8:$BA$1007,"포함"))</f>
        <v/>
      </c>
      <c r="H18" s="34">
        <f>IF(OR($U18="",$E$7=0),"",E18/$E$7)</f>
        <v/>
      </c>
      <c r="I18" s="33">
        <f>IF(OR($U18="",0&gt;=설정!$B$12),"",SUMIFS(매입원본!$AT$8:$AT$1007,매입원본!$AX$8:$AX$1007,INDEX($R$8:$R$207,$U18),매입원본!$BA$8:$BA$1007,"포함",매입원본!$AS$8:$AS$1007,"&gt;="&amp;EDATE(설정!$B$10,0),매입원본!$AS$8:$AS$1007,"&lt;="&amp;EOMONTH(설정!$B$10,0)))</f>
        <v/>
      </c>
      <c r="J18" s="33">
        <f>IF(OR($U18="",1&gt;=설정!$B$12),"",SUMIFS(매입원본!$AT$8:$AT$1007,매입원본!$AX$8:$AX$1007,INDEX($R$8:$R$207,$U18),매입원본!$BA$8:$BA$1007,"포함",매입원본!$AS$8:$AS$1007,"&gt;="&amp;EDATE(설정!$B$10,1),매입원본!$AS$8:$AS$1007,"&lt;="&amp;EOMONTH(설정!$B$10,1)))</f>
        <v/>
      </c>
      <c r="K18" s="33">
        <f>IF(OR($U18="",2&gt;=설정!$B$12),"",SUMIFS(매입원본!$AT$8:$AT$1007,매입원본!$AX$8:$AX$1007,INDEX($R$8:$R$207,$U18),매입원본!$BA$8:$BA$1007,"포함",매입원본!$AS$8:$AS$1007,"&gt;="&amp;EDATE(설정!$B$10,2),매입원본!$AS$8:$AS$1007,"&lt;="&amp;EOMONTH(설정!$B$10,2)))</f>
        <v/>
      </c>
      <c r="L18" s="33">
        <f>IF(OR($U18="",3&gt;=설정!$B$12),"",SUMIFS(매입원본!$AT$8:$AT$1007,매입원본!$AX$8:$AX$1007,INDEX($R$8:$R$207,$U18),매입원본!$BA$8:$BA$1007,"포함",매입원본!$AS$8:$AS$1007,"&gt;="&amp;EDATE(설정!$B$10,3),매입원본!$AS$8:$AS$1007,"&lt;="&amp;EOMONTH(설정!$B$10,3)))</f>
        <v/>
      </c>
      <c r="M18" s="33">
        <f>IF(OR($U18="",4&gt;=설정!$B$12),"",SUMIFS(매입원본!$AT$8:$AT$1007,매입원본!$AX$8:$AX$1007,INDEX($R$8:$R$207,$U18),매입원본!$BA$8:$BA$1007,"포함",매입원본!$AS$8:$AS$1007,"&gt;="&amp;EDATE(설정!$B$10,4),매입원본!$AS$8:$AS$1007,"&lt;="&amp;EOMONTH(설정!$B$10,4)))</f>
        <v/>
      </c>
      <c r="N18" s="33">
        <f>IF(OR($U18="",5&gt;=설정!$B$12),"",SUMIFS(매입원본!$AT$8:$AT$1007,매입원본!$AX$8:$AX$1007,INDEX($R$8:$R$207,$U18),매입원본!$BA$8:$BA$1007,"포함",매입원본!$AS$8:$AS$1007,"&gt;="&amp;EDATE(설정!$B$10,5),매입원본!$AS$8:$AS$1007,"&lt;="&amp;EOMONTH(설정!$B$10,5)))</f>
        <v/>
      </c>
      <c r="Q18" s="35" t="n">
        <v>11</v>
      </c>
      <c r="R18" s="35">
        <f>IFERROR(INDEX(매입원본!$AX$8:$AX$1007,MATCH($Q18,매입원본!$BD$8:$BD$1007,0)),"")</f>
        <v/>
      </c>
      <c r="S18" s="35">
        <f>IF($R18="","",SUMIFS(매입원본!$AT$8:$AT$1007,매입원본!$AX$8:$AX$1007,$R18,매입원본!$BA$8:$BA$1007,"포함"))</f>
        <v/>
      </c>
      <c r="T18" s="35">
        <f>IF($R18="","",$S18-$Q18/100000)</f>
        <v/>
      </c>
      <c r="U18" s="35">
        <f>IFERROR(MATCH(LARGE($T$8:$T$207,11),$T$8:$T$207,0),"")</f>
        <v/>
      </c>
    </row>
    <row r="19">
      <c r="A19" s="32">
        <f>IF($U19="","",12)</f>
        <v/>
      </c>
      <c r="B19" s="10">
        <f>IF($U19="","",IFERROR(INDEX(매입원본!$AZ$8:$AZ$1007,MATCH($U19,매입원본!$BD$8:$BD$1007,0)),""))</f>
        <v/>
      </c>
      <c r="C19" s="10">
        <f>IF($U19="","",IFERROR(INDEX(매입원본!$AY$8:$AY$1007,MATCH($U19,매입원본!$BD$8:$BD$1007,0)),""))</f>
        <v/>
      </c>
      <c r="D19" s="33">
        <f>IF($U19="","",COUNTIFS(매입원본!$AX$8:$AX$1007,INDEX($R$8:$R$207,$U19),매입원본!$BA$8:$BA$1007,"포함"))</f>
        <v/>
      </c>
      <c r="E19" s="33">
        <f>IF($U19="","",SUMIFS(매입원본!$AT$8:$AT$1007,매입원본!$AX$8:$AX$1007,INDEX($R$8:$R$207,$U19),매입원본!$BA$8:$BA$1007,"포함"))</f>
        <v/>
      </c>
      <c r="F19" s="33">
        <f>IF($U19="","",SUMIFS(매입원본!$AU$8:$AU$1007,매입원본!$AX$8:$AX$1007,INDEX($R$8:$R$207,$U19),매입원본!$BA$8:$BA$1007,"포함"))</f>
        <v/>
      </c>
      <c r="G19" s="33">
        <f>IF($U19="","",SUMIFS(매입원본!$AV$8:$AV$1007,매입원본!$AX$8:$AX$1007,INDEX($R$8:$R$207,$U19),매입원본!$BA$8:$BA$1007,"포함"))</f>
        <v/>
      </c>
      <c r="H19" s="34">
        <f>IF(OR($U19="",$E$7=0),"",E19/$E$7)</f>
        <v/>
      </c>
      <c r="I19" s="33">
        <f>IF(OR($U19="",0&gt;=설정!$B$12),"",SUMIFS(매입원본!$AT$8:$AT$1007,매입원본!$AX$8:$AX$1007,INDEX($R$8:$R$207,$U19),매입원본!$BA$8:$BA$1007,"포함",매입원본!$AS$8:$AS$1007,"&gt;="&amp;EDATE(설정!$B$10,0),매입원본!$AS$8:$AS$1007,"&lt;="&amp;EOMONTH(설정!$B$10,0)))</f>
        <v/>
      </c>
      <c r="J19" s="33">
        <f>IF(OR($U19="",1&gt;=설정!$B$12),"",SUMIFS(매입원본!$AT$8:$AT$1007,매입원본!$AX$8:$AX$1007,INDEX($R$8:$R$207,$U19),매입원본!$BA$8:$BA$1007,"포함",매입원본!$AS$8:$AS$1007,"&gt;="&amp;EDATE(설정!$B$10,1),매입원본!$AS$8:$AS$1007,"&lt;="&amp;EOMONTH(설정!$B$10,1)))</f>
        <v/>
      </c>
      <c r="K19" s="33">
        <f>IF(OR($U19="",2&gt;=설정!$B$12),"",SUMIFS(매입원본!$AT$8:$AT$1007,매입원본!$AX$8:$AX$1007,INDEX($R$8:$R$207,$U19),매입원본!$BA$8:$BA$1007,"포함",매입원본!$AS$8:$AS$1007,"&gt;="&amp;EDATE(설정!$B$10,2),매입원본!$AS$8:$AS$1007,"&lt;="&amp;EOMONTH(설정!$B$10,2)))</f>
        <v/>
      </c>
      <c r="L19" s="33">
        <f>IF(OR($U19="",3&gt;=설정!$B$12),"",SUMIFS(매입원본!$AT$8:$AT$1007,매입원본!$AX$8:$AX$1007,INDEX($R$8:$R$207,$U19),매입원본!$BA$8:$BA$1007,"포함",매입원본!$AS$8:$AS$1007,"&gt;="&amp;EDATE(설정!$B$10,3),매입원본!$AS$8:$AS$1007,"&lt;="&amp;EOMONTH(설정!$B$10,3)))</f>
        <v/>
      </c>
      <c r="M19" s="33">
        <f>IF(OR($U19="",4&gt;=설정!$B$12),"",SUMIFS(매입원본!$AT$8:$AT$1007,매입원본!$AX$8:$AX$1007,INDEX($R$8:$R$207,$U19),매입원본!$BA$8:$BA$1007,"포함",매입원본!$AS$8:$AS$1007,"&gt;="&amp;EDATE(설정!$B$10,4),매입원본!$AS$8:$AS$1007,"&lt;="&amp;EOMONTH(설정!$B$10,4)))</f>
        <v/>
      </c>
      <c r="N19" s="33">
        <f>IF(OR($U19="",5&gt;=설정!$B$12),"",SUMIFS(매입원본!$AT$8:$AT$1007,매입원본!$AX$8:$AX$1007,INDEX($R$8:$R$207,$U19),매입원본!$BA$8:$BA$1007,"포함",매입원본!$AS$8:$AS$1007,"&gt;="&amp;EDATE(설정!$B$10,5),매입원본!$AS$8:$AS$1007,"&lt;="&amp;EOMONTH(설정!$B$10,5)))</f>
        <v/>
      </c>
      <c r="Q19" s="35" t="n">
        <v>12</v>
      </c>
      <c r="R19" s="35">
        <f>IFERROR(INDEX(매입원본!$AX$8:$AX$1007,MATCH($Q19,매입원본!$BD$8:$BD$1007,0)),"")</f>
        <v/>
      </c>
      <c r="S19" s="35">
        <f>IF($R19="","",SUMIFS(매입원본!$AT$8:$AT$1007,매입원본!$AX$8:$AX$1007,$R19,매입원본!$BA$8:$BA$1007,"포함"))</f>
        <v/>
      </c>
      <c r="T19" s="35">
        <f>IF($R19="","",$S19-$Q19/100000)</f>
        <v/>
      </c>
      <c r="U19" s="35">
        <f>IFERROR(MATCH(LARGE($T$8:$T$207,12),$T$8:$T$207,0),"")</f>
        <v/>
      </c>
    </row>
    <row r="20">
      <c r="A20" s="32">
        <f>IF($U20="","",13)</f>
        <v/>
      </c>
      <c r="B20" s="10">
        <f>IF($U20="","",IFERROR(INDEX(매입원본!$AZ$8:$AZ$1007,MATCH($U20,매입원본!$BD$8:$BD$1007,0)),""))</f>
        <v/>
      </c>
      <c r="C20" s="10">
        <f>IF($U20="","",IFERROR(INDEX(매입원본!$AY$8:$AY$1007,MATCH($U20,매입원본!$BD$8:$BD$1007,0)),""))</f>
        <v/>
      </c>
      <c r="D20" s="33">
        <f>IF($U20="","",COUNTIFS(매입원본!$AX$8:$AX$1007,INDEX($R$8:$R$207,$U20),매입원본!$BA$8:$BA$1007,"포함"))</f>
        <v/>
      </c>
      <c r="E20" s="33">
        <f>IF($U20="","",SUMIFS(매입원본!$AT$8:$AT$1007,매입원본!$AX$8:$AX$1007,INDEX($R$8:$R$207,$U20),매입원본!$BA$8:$BA$1007,"포함"))</f>
        <v/>
      </c>
      <c r="F20" s="33">
        <f>IF($U20="","",SUMIFS(매입원본!$AU$8:$AU$1007,매입원본!$AX$8:$AX$1007,INDEX($R$8:$R$207,$U20),매입원본!$BA$8:$BA$1007,"포함"))</f>
        <v/>
      </c>
      <c r="G20" s="33">
        <f>IF($U20="","",SUMIFS(매입원본!$AV$8:$AV$1007,매입원본!$AX$8:$AX$1007,INDEX($R$8:$R$207,$U20),매입원본!$BA$8:$BA$1007,"포함"))</f>
        <v/>
      </c>
      <c r="H20" s="34">
        <f>IF(OR($U20="",$E$7=0),"",E20/$E$7)</f>
        <v/>
      </c>
      <c r="I20" s="33">
        <f>IF(OR($U20="",0&gt;=설정!$B$12),"",SUMIFS(매입원본!$AT$8:$AT$1007,매입원본!$AX$8:$AX$1007,INDEX($R$8:$R$207,$U20),매입원본!$BA$8:$BA$1007,"포함",매입원본!$AS$8:$AS$1007,"&gt;="&amp;EDATE(설정!$B$10,0),매입원본!$AS$8:$AS$1007,"&lt;="&amp;EOMONTH(설정!$B$10,0)))</f>
        <v/>
      </c>
      <c r="J20" s="33">
        <f>IF(OR($U20="",1&gt;=설정!$B$12),"",SUMIFS(매입원본!$AT$8:$AT$1007,매입원본!$AX$8:$AX$1007,INDEX($R$8:$R$207,$U20),매입원본!$BA$8:$BA$1007,"포함",매입원본!$AS$8:$AS$1007,"&gt;="&amp;EDATE(설정!$B$10,1),매입원본!$AS$8:$AS$1007,"&lt;="&amp;EOMONTH(설정!$B$10,1)))</f>
        <v/>
      </c>
      <c r="K20" s="33">
        <f>IF(OR($U20="",2&gt;=설정!$B$12),"",SUMIFS(매입원본!$AT$8:$AT$1007,매입원본!$AX$8:$AX$1007,INDEX($R$8:$R$207,$U20),매입원본!$BA$8:$BA$1007,"포함",매입원본!$AS$8:$AS$1007,"&gt;="&amp;EDATE(설정!$B$10,2),매입원본!$AS$8:$AS$1007,"&lt;="&amp;EOMONTH(설정!$B$10,2)))</f>
        <v/>
      </c>
      <c r="L20" s="33">
        <f>IF(OR($U20="",3&gt;=설정!$B$12),"",SUMIFS(매입원본!$AT$8:$AT$1007,매입원본!$AX$8:$AX$1007,INDEX($R$8:$R$207,$U20),매입원본!$BA$8:$BA$1007,"포함",매입원본!$AS$8:$AS$1007,"&gt;="&amp;EDATE(설정!$B$10,3),매입원본!$AS$8:$AS$1007,"&lt;="&amp;EOMONTH(설정!$B$10,3)))</f>
        <v/>
      </c>
      <c r="M20" s="33">
        <f>IF(OR($U20="",4&gt;=설정!$B$12),"",SUMIFS(매입원본!$AT$8:$AT$1007,매입원본!$AX$8:$AX$1007,INDEX($R$8:$R$207,$U20),매입원본!$BA$8:$BA$1007,"포함",매입원본!$AS$8:$AS$1007,"&gt;="&amp;EDATE(설정!$B$10,4),매입원본!$AS$8:$AS$1007,"&lt;="&amp;EOMONTH(설정!$B$10,4)))</f>
        <v/>
      </c>
      <c r="N20" s="33">
        <f>IF(OR($U20="",5&gt;=설정!$B$12),"",SUMIFS(매입원본!$AT$8:$AT$1007,매입원본!$AX$8:$AX$1007,INDEX($R$8:$R$207,$U20),매입원본!$BA$8:$BA$1007,"포함",매입원본!$AS$8:$AS$1007,"&gt;="&amp;EDATE(설정!$B$10,5),매입원본!$AS$8:$AS$1007,"&lt;="&amp;EOMONTH(설정!$B$10,5)))</f>
        <v/>
      </c>
      <c r="Q20" s="35" t="n">
        <v>13</v>
      </c>
      <c r="R20" s="35">
        <f>IFERROR(INDEX(매입원본!$AX$8:$AX$1007,MATCH($Q20,매입원본!$BD$8:$BD$1007,0)),"")</f>
        <v/>
      </c>
      <c r="S20" s="35">
        <f>IF($R20="","",SUMIFS(매입원본!$AT$8:$AT$1007,매입원본!$AX$8:$AX$1007,$R20,매입원본!$BA$8:$BA$1007,"포함"))</f>
        <v/>
      </c>
      <c r="T20" s="35">
        <f>IF($R20="","",$S20-$Q20/100000)</f>
        <v/>
      </c>
      <c r="U20" s="35">
        <f>IFERROR(MATCH(LARGE($T$8:$T$207,13),$T$8:$T$207,0),"")</f>
        <v/>
      </c>
    </row>
    <row r="21">
      <c r="A21" s="32">
        <f>IF($U21="","",14)</f>
        <v/>
      </c>
      <c r="B21" s="10">
        <f>IF($U21="","",IFERROR(INDEX(매입원본!$AZ$8:$AZ$1007,MATCH($U21,매입원본!$BD$8:$BD$1007,0)),""))</f>
        <v/>
      </c>
      <c r="C21" s="10">
        <f>IF($U21="","",IFERROR(INDEX(매입원본!$AY$8:$AY$1007,MATCH($U21,매입원본!$BD$8:$BD$1007,0)),""))</f>
        <v/>
      </c>
      <c r="D21" s="33">
        <f>IF($U21="","",COUNTIFS(매입원본!$AX$8:$AX$1007,INDEX($R$8:$R$207,$U21),매입원본!$BA$8:$BA$1007,"포함"))</f>
        <v/>
      </c>
      <c r="E21" s="33">
        <f>IF($U21="","",SUMIFS(매입원본!$AT$8:$AT$1007,매입원본!$AX$8:$AX$1007,INDEX($R$8:$R$207,$U21),매입원본!$BA$8:$BA$1007,"포함"))</f>
        <v/>
      </c>
      <c r="F21" s="33">
        <f>IF($U21="","",SUMIFS(매입원본!$AU$8:$AU$1007,매입원본!$AX$8:$AX$1007,INDEX($R$8:$R$207,$U21),매입원본!$BA$8:$BA$1007,"포함"))</f>
        <v/>
      </c>
      <c r="G21" s="33">
        <f>IF($U21="","",SUMIFS(매입원본!$AV$8:$AV$1007,매입원본!$AX$8:$AX$1007,INDEX($R$8:$R$207,$U21),매입원본!$BA$8:$BA$1007,"포함"))</f>
        <v/>
      </c>
      <c r="H21" s="34">
        <f>IF(OR($U21="",$E$7=0),"",E21/$E$7)</f>
        <v/>
      </c>
      <c r="I21" s="33">
        <f>IF(OR($U21="",0&gt;=설정!$B$12),"",SUMIFS(매입원본!$AT$8:$AT$1007,매입원본!$AX$8:$AX$1007,INDEX($R$8:$R$207,$U21),매입원본!$BA$8:$BA$1007,"포함",매입원본!$AS$8:$AS$1007,"&gt;="&amp;EDATE(설정!$B$10,0),매입원본!$AS$8:$AS$1007,"&lt;="&amp;EOMONTH(설정!$B$10,0)))</f>
        <v/>
      </c>
      <c r="J21" s="33">
        <f>IF(OR($U21="",1&gt;=설정!$B$12),"",SUMIFS(매입원본!$AT$8:$AT$1007,매입원본!$AX$8:$AX$1007,INDEX($R$8:$R$207,$U21),매입원본!$BA$8:$BA$1007,"포함",매입원본!$AS$8:$AS$1007,"&gt;="&amp;EDATE(설정!$B$10,1),매입원본!$AS$8:$AS$1007,"&lt;="&amp;EOMONTH(설정!$B$10,1)))</f>
        <v/>
      </c>
      <c r="K21" s="33">
        <f>IF(OR($U21="",2&gt;=설정!$B$12),"",SUMIFS(매입원본!$AT$8:$AT$1007,매입원본!$AX$8:$AX$1007,INDEX($R$8:$R$207,$U21),매입원본!$BA$8:$BA$1007,"포함",매입원본!$AS$8:$AS$1007,"&gt;="&amp;EDATE(설정!$B$10,2),매입원본!$AS$8:$AS$1007,"&lt;="&amp;EOMONTH(설정!$B$10,2)))</f>
        <v/>
      </c>
      <c r="L21" s="33">
        <f>IF(OR($U21="",3&gt;=설정!$B$12),"",SUMIFS(매입원본!$AT$8:$AT$1007,매입원본!$AX$8:$AX$1007,INDEX($R$8:$R$207,$U21),매입원본!$BA$8:$BA$1007,"포함",매입원본!$AS$8:$AS$1007,"&gt;="&amp;EDATE(설정!$B$10,3),매입원본!$AS$8:$AS$1007,"&lt;="&amp;EOMONTH(설정!$B$10,3)))</f>
        <v/>
      </c>
      <c r="M21" s="33">
        <f>IF(OR($U21="",4&gt;=설정!$B$12),"",SUMIFS(매입원본!$AT$8:$AT$1007,매입원본!$AX$8:$AX$1007,INDEX($R$8:$R$207,$U21),매입원본!$BA$8:$BA$1007,"포함",매입원본!$AS$8:$AS$1007,"&gt;="&amp;EDATE(설정!$B$10,4),매입원본!$AS$8:$AS$1007,"&lt;="&amp;EOMONTH(설정!$B$10,4)))</f>
        <v/>
      </c>
      <c r="N21" s="33">
        <f>IF(OR($U21="",5&gt;=설정!$B$12),"",SUMIFS(매입원본!$AT$8:$AT$1007,매입원본!$AX$8:$AX$1007,INDEX($R$8:$R$207,$U21),매입원본!$BA$8:$BA$1007,"포함",매입원본!$AS$8:$AS$1007,"&gt;="&amp;EDATE(설정!$B$10,5),매입원본!$AS$8:$AS$1007,"&lt;="&amp;EOMONTH(설정!$B$10,5)))</f>
        <v/>
      </c>
      <c r="Q21" s="35" t="n">
        <v>14</v>
      </c>
      <c r="R21" s="35">
        <f>IFERROR(INDEX(매입원본!$AX$8:$AX$1007,MATCH($Q21,매입원본!$BD$8:$BD$1007,0)),"")</f>
        <v/>
      </c>
      <c r="S21" s="35">
        <f>IF($R21="","",SUMIFS(매입원본!$AT$8:$AT$1007,매입원본!$AX$8:$AX$1007,$R21,매입원본!$BA$8:$BA$1007,"포함"))</f>
        <v/>
      </c>
      <c r="T21" s="35">
        <f>IF($R21="","",$S21-$Q21/100000)</f>
        <v/>
      </c>
      <c r="U21" s="35">
        <f>IFERROR(MATCH(LARGE($T$8:$T$207,14),$T$8:$T$207,0),"")</f>
        <v/>
      </c>
    </row>
    <row r="22">
      <c r="A22" s="32">
        <f>IF($U22="","",15)</f>
        <v/>
      </c>
      <c r="B22" s="10">
        <f>IF($U22="","",IFERROR(INDEX(매입원본!$AZ$8:$AZ$1007,MATCH($U22,매입원본!$BD$8:$BD$1007,0)),""))</f>
        <v/>
      </c>
      <c r="C22" s="10">
        <f>IF($U22="","",IFERROR(INDEX(매입원본!$AY$8:$AY$1007,MATCH($U22,매입원본!$BD$8:$BD$1007,0)),""))</f>
        <v/>
      </c>
      <c r="D22" s="33">
        <f>IF($U22="","",COUNTIFS(매입원본!$AX$8:$AX$1007,INDEX($R$8:$R$207,$U22),매입원본!$BA$8:$BA$1007,"포함"))</f>
        <v/>
      </c>
      <c r="E22" s="33">
        <f>IF($U22="","",SUMIFS(매입원본!$AT$8:$AT$1007,매입원본!$AX$8:$AX$1007,INDEX($R$8:$R$207,$U22),매입원본!$BA$8:$BA$1007,"포함"))</f>
        <v/>
      </c>
      <c r="F22" s="33">
        <f>IF($U22="","",SUMIFS(매입원본!$AU$8:$AU$1007,매입원본!$AX$8:$AX$1007,INDEX($R$8:$R$207,$U22),매입원본!$BA$8:$BA$1007,"포함"))</f>
        <v/>
      </c>
      <c r="G22" s="33">
        <f>IF($U22="","",SUMIFS(매입원본!$AV$8:$AV$1007,매입원본!$AX$8:$AX$1007,INDEX($R$8:$R$207,$U22),매입원본!$BA$8:$BA$1007,"포함"))</f>
        <v/>
      </c>
      <c r="H22" s="34">
        <f>IF(OR($U22="",$E$7=0),"",E22/$E$7)</f>
        <v/>
      </c>
      <c r="I22" s="33">
        <f>IF(OR($U22="",0&gt;=설정!$B$12),"",SUMIFS(매입원본!$AT$8:$AT$1007,매입원본!$AX$8:$AX$1007,INDEX($R$8:$R$207,$U22),매입원본!$BA$8:$BA$1007,"포함",매입원본!$AS$8:$AS$1007,"&gt;="&amp;EDATE(설정!$B$10,0),매입원본!$AS$8:$AS$1007,"&lt;="&amp;EOMONTH(설정!$B$10,0)))</f>
        <v/>
      </c>
      <c r="J22" s="33">
        <f>IF(OR($U22="",1&gt;=설정!$B$12),"",SUMIFS(매입원본!$AT$8:$AT$1007,매입원본!$AX$8:$AX$1007,INDEX($R$8:$R$207,$U22),매입원본!$BA$8:$BA$1007,"포함",매입원본!$AS$8:$AS$1007,"&gt;="&amp;EDATE(설정!$B$10,1),매입원본!$AS$8:$AS$1007,"&lt;="&amp;EOMONTH(설정!$B$10,1)))</f>
        <v/>
      </c>
      <c r="K22" s="33">
        <f>IF(OR($U22="",2&gt;=설정!$B$12),"",SUMIFS(매입원본!$AT$8:$AT$1007,매입원본!$AX$8:$AX$1007,INDEX($R$8:$R$207,$U22),매입원본!$BA$8:$BA$1007,"포함",매입원본!$AS$8:$AS$1007,"&gt;="&amp;EDATE(설정!$B$10,2),매입원본!$AS$8:$AS$1007,"&lt;="&amp;EOMONTH(설정!$B$10,2)))</f>
        <v/>
      </c>
      <c r="L22" s="33">
        <f>IF(OR($U22="",3&gt;=설정!$B$12),"",SUMIFS(매입원본!$AT$8:$AT$1007,매입원본!$AX$8:$AX$1007,INDEX($R$8:$R$207,$U22),매입원본!$BA$8:$BA$1007,"포함",매입원본!$AS$8:$AS$1007,"&gt;="&amp;EDATE(설정!$B$10,3),매입원본!$AS$8:$AS$1007,"&lt;="&amp;EOMONTH(설정!$B$10,3)))</f>
        <v/>
      </c>
      <c r="M22" s="33">
        <f>IF(OR($U22="",4&gt;=설정!$B$12),"",SUMIFS(매입원본!$AT$8:$AT$1007,매입원본!$AX$8:$AX$1007,INDEX($R$8:$R$207,$U22),매입원본!$BA$8:$BA$1007,"포함",매입원본!$AS$8:$AS$1007,"&gt;="&amp;EDATE(설정!$B$10,4),매입원본!$AS$8:$AS$1007,"&lt;="&amp;EOMONTH(설정!$B$10,4)))</f>
        <v/>
      </c>
      <c r="N22" s="33">
        <f>IF(OR($U22="",5&gt;=설정!$B$12),"",SUMIFS(매입원본!$AT$8:$AT$1007,매입원본!$AX$8:$AX$1007,INDEX($R$8:$R$207,$U22),매입원본!$BA$8:$BA$1007,"포함",매입원본!$AS$8:$AS$1007,"&gt;="&amp;EDATE(설정!$B$10,5),매입원본!$AS$8:$AS$1007,"&lt;="&amp;EOMONTH(설정!$B$10,5)))</f>
        <v/>
      </c>
      <c r="Q22" s="35" t="n">
        <v>15</v>
      </c>
      <c r="R22" s="35">
        <f>IFERROR(INDEX(매입원본!$AX$8:$AX$1007,MATCH($Q22,매입원본!$BD$8:$BD$1007,0)),"")</f>
        <v/>
      </c>
      <c r="S22" s="35">
        <f>IF($R22="","",SUMIFS(매입원본!$AT$8:$AT$1007,매입원본!$AX$8:$AX$1007,$R22,매입원본!$BA$8:$BA$1007,"포함"))</f>
        <v/>
      </c>
      <c r="T22" s="35">
        <f>IF($R22="","",$S22-$Q22/100000)</f>
        <v/>
      </c>
      <c r="U22" s="35">
        <f>IFERROR(MATCH(LARGE($T$8:$T$207,15),$T$8:$T$207,0),"")</f>
        <v/>
      </c>
    </row>
    <row r="23">
      <c r="A23" s="32">
        <f>IF($U23="","",16)</f>
        <v/>
      </c>
      <c r="B23" s="10">
        <f>IF($U23="","",IFERROR(INDEX(매입원본!$AZ$8:$AZ$1007,MATCH($U23,매입원본!$BD$8:$BD$1007,0)),""))</f>
        <v/>
      </c>
      <c r="C23" s="10">
        <f>IF($U23="","",IFERROR(INDEX(매입원본!$AY$8:$AY$1007,MATCH($U23,매입원본!$BD$8:$BD$1007,0)),""))</f>
        <v/>
      </c>
      <c r="D23" s="33">
        <f>IF($U23="","",COUNTIFS(매입원본!$AX$8:$AX$1007,INDEX($R$8:$R$207,$U23),매입원본!$BA$8:$BA$1007,"포함"))</f>
        <v/>
      </c>
      <c r="E23" s="33">
        <f>IF($U23="","",SUMIFS(매입원본!$AT$8:$AT$1007,매입원본!$AX$8:$AX$1007,INDEX($R$8:$R$207,$U23),매입원본!$BA$8:$BA$1007,"포함"))</f>
        <v/>
      </c>
      <c r="F23" s="33">
        <f>IF($U23="","",SUMIFS(매입원본!$AU$8:$AU$1007,매입원본!$AX$8:$AX$1007,INDEX($R$8:$R$207,$U23),매입원본!$BA$8:$BA$1007,"포함"))</f>
        <v/>
      </c>
      <c r="G23" s="33">
        <f>IF($U23="","",SUMIFS(매입원본!$AV$8:$AV$1007,매입원본!$AX$8:$AX$1007,INDEX($R$8:$R$207,$U23),매입원본!$BA$8:$BA$1007,"포함"))</f>
        <v/>
      </c>
      <c r="H23" s="34">
        <f>IF(OR($U23="",$E$7=0),"",E23/$E$7)</f>
        <v/>
      </c>
      <c r="I23" s="33">
        <f>IF(OR($U23="",0&gt;=설정!$B$12),"",SUMIFS(매입원본!$AT$8:$AT$1007,매입원본!$AX$8:$AX$1007,INDEX($R$8:$R$207,$U23),매입원본!$BA$8:$BA$1007,"포함",매입원본!$AS$8:$AS$1007,"&gt;="&amp;EDATE(설정!$B$10,0),매입원본!$AS$8:$AS$1007,"&lt;="&amp;EOMONTH(설정!$B$10,0)))</f>
        <v/>
      </c>
      <c r="J23" s="33">
        <f>IF(OR($U23="",1&gt;=설정!$B$12),"",SUMIFS(매입원본!$AT$8:$AT$1007,매입원본!$AX$8:$AX$1007,INDEX($R$8:$R$207,$U23),매입원본!$BA$8:$BA$1007,"포함",매입원본!$AS$8:$AS$1007,"&gt;="&amp;EDATE(설정!$B$10,1),매입원본!$AS$8:$AS$1007,"&lt;="&amp;EOMONTH(설정!$B$10,1)))</f>
        <v/>
      </c>
      <c r="K23" s="33">
        <f>IF(OR($U23="",2&gt;=설정!$B$12),"",SUMIFS(매입원본!$AT$8:$AT$1007,매입원본!$AX$8:$AX$1007,INDEX($R$8:$R$207,$U23),매입원본!$BA$8:$BA$1007,"포함",매입원본!$AS$8:$AS$1007,"&gt;="&amp;EDATE(설정!$B$10,2),매입원본!$AS$8:$AS$1007,"&lt;="&amp;EOMONTH(설정!$B$10,2)))</f>
        <v/>
      </c>
      <c r="L23" s="33">
        <f>IF(OR($U23="",3&gt;=설정!$B$12),"",SUMIFS(매입원본!$AT$8:$AT$1007,매입원본!$AX$8:$AX$1007,INDEX($R$8:$R$207,$U23),매입원본!$BA$8:$BA$1007,"포함",매입원본!$AS$8:$AS$1007,"&gt;="&amp;EDATE(설정!$B$10,3),매입원본!$AS$8:$AS$1007,"&lt;="&amp;EOMONTH(설정!$B$10,3)))</f>
        <v/>
      </c>
      <c r="M23" s="33">
        <f>IF(OR($U23="",4&gt;=설정!$B$12),"",SUMIFS(매입원본!$AT$8:$AT$1007,매입원본!$AX$8:$AX$1007,INDEX($R$8:$R$207,$U23),매입원본!$BA$8:$BA$1007,"포함",매입원본!$AS$8:$AS$1007,"&gt;="&amp;EDATE(설정!$B$10,4),매입원본!$AS$8:$AS$1007,"&lt;="&amp;EOMONTH(설정!$B$10,4)))</f>
        <v/>
      </c>
      <c r="N23" s="33">
        <f>IF(OR($U23="",5&gt;=설정!$B$12),"",SUMIFS(매입원본!$AT$8:$AT$1007,매입원본!$AX$8:$AX$1007,INDEX($R$8:$R$207,$U23),매입원본!$BA$8:$BA$1007,"포함",매입원본!$AS$8:$AS$1007,"&gt;="&amp;EDATE(설정!$B$10,5),매입원본!$AS$8:$AS$1007,"&lt;="&amp;EOMONTH(설정!$B$10,5)))</f>
        <v/>
      </c>
      <c r="Q23" s="35" t="n">
        <v>16</v>
      </c>
      <c r="R23" s="35">
        <f>IFERROR(INDEX(매입원본!$AX$8:$AX$1007,MATCH($Q23,매입원본!$BD$8:$BD$1007,0)),"")</f>
        <v/>
      </c>
      <c r="S23" s="35">
        <f>IF($R23="","",SUMIFS(매입원본!$AT$8:$AT$1007,매입원본!$AX$8:$AX$1007,$R23,매입원본!$BA$8:$BA$1007,"포함"))</f>
        <v/>
      </c>
      <c r="T23" s="35">
        <f>IF($R23="","",$S23-$Q23/100000)</f>
        <v/>
      </c>
      <c r="U23" s="35">
        <f>IFERROR(MATCH(LARGE($T$8:$T$207,16),$T$8:$T$207,0),"")</f>
        <v/>
      </c>
    </row>
    <row r="24">
      <c r="A24" s="32">
        <f>IF($U24="","",17)</f>
        <v/>
      </c>
      <c r="B24" s="10">
        <f>IF($U24="","",IFERROR(INDEX(매입원본!$AZ$8:$AZ$1007,MATCH($U24,매입원본!$BD$8:$BD$1007,0)),""))</f>
        <v/>
      </c>
      <c r="C24" s="10">
        <f>IF($U24="","",IFERROR(INDEX(매입원본!$AY$8:$AY$1007,MATCH($U24,매입원본!$BD$8:$BD$1007,0)),""))</f>
        <v/>
      </c>
      <c r="D24" s="33">
        <f>IF($U24="","",COUNTIFS(매입원본!$AX$8:$AX$1007,INDEX($R$8:$R$207,$U24),매입원본!$BA$8:$BA$1007,"포함"))</f>
        <v/>
      </c>
      <c r="E24" s="33">
        <f>IF($U24="","",SUMIFS(매입원본!$AT$8:$AT$1007,매입원본!$AX$8:$AX$1007,INDEX($R$8:$R$207,$U24),매입원본!$BA$8:$BA$1007,"포함"))</f>
        <v/>
      </c>
      <c r="F24" s="33">
        <f>IF($U24="","",SUMIFS(매입원본!$AU$8:$AU$1007,매입원본!$AX$8:$AX$1007,INDEX($R$8:$R$207,$U24),매입원본!$BA$8:$BA$1007,"포함"))</f>
        <v/>
      </c>
      <c r="G24" s="33">
        <f>IF($U24="","",SUMIFS(매입원본!$AV$8:$AV$1007,매입원본!$AX$8:$AX$1007,INDEX($R$8:$R$207,$U24),매입원본!$BA$8:$BA$1007,"포함"))</f>
        <v/>
      </c>
      <c r="H24" s="34">
        <f>IF(OR($U24="",$E$7=0),"",E24/$E$7)</f>
        <v/>
      </c>
      <c r="I24" s="33">
        <f>IF(OR($U24="",0&gt;=설정!$B$12),"",SUMIFS(매입원본!$AT$8:$AT$1007,매입원본!$AX$8:$AX$1007,INDEX($R$8:$R$207,$U24),매입원본!$BA$8:$BA$1007,"포함",매입원본!$AS$8:$AS$1007,"&gt;="&amp;EDATE(설정!$B$10,0),매입원본!$AS$8:$AS$1007,"&lt;="&amp;EOMONTH(설정!$B$10,0)))</f>
        <v/>
      </c>
      <c r="J24" s="33">
        <f>IF(OR($U24="",1&gt;=설정!$B$12),"",SUMIFS(매입원본!$AT$8:$AT$1007,매입원본!$AX$8:$AX$1007,INDEX($R$8:$R$207,$U24),매입원본!$BA$8:$BA$1007,"포함",매입원본!$AS$8:$AS$1007,"&gt;="&amp;EDATE(설정!$B$10,1),매입원본!$AS$8:$AS$1007,"&lt;="&amp;EOMONTH(설정!$B$10,1)))</f>
        <v/>
      </c>
      <c r="K24" s="33">
        <f>IF(OR($U24="",2&gt;=설정!$B$12),"",SUMIFS(매입원본!$AT$8:$AT$1007,매입원본!$AX$8:$AX$1007,INDEX($R$8:$R$207,$U24),매입원본!$BA$8:$BA$1007,"포함",매입원본!$AS$8:$AS$1007,"&gt;="&amp;EDATE(설정!$B$10,2),매입원본!$AS$8:$AS$1007,"&lt;="&amp;EOMONTH(설정!$B$10,2)))</f>
        <v/>
      </c>
      <c r="L24" s="33">
        <f>IF(OR($U24="",3&gt;=설정!$B$12),"",SUMIFS(매입원본!$AT$8:$AT$1007,매입원본!$AX$8:$AX$1007,INDEX($R$8:$R$207,$U24),매입원본!$BA$8:$BA$1007,"포함",매입원본!$AS$8:$AS$1007,"&gt;="&amp;EDATE(설정!$B$10,3),매입원본!$AS$8:$AS$1007,"&lt;="&amp;EOMONTH(설정!$B$10,3)))</f>
        <v/>
      </c>
      <c r="M24" s="33">
        <f>IF(OR($U24="",4&gt;=설정!$B$12),"",SUMIFS(매입원본!$AT$8:$AT$1007,매입원본!$AX$8:$AX$1007,INDEX($R$8:$R$207,$U24),매입원본!$BA$8:$BA$1007,"포함",매입원본!$AS$8:$AS$1007,"&gt;="&amp;EDATE(설정!$B$10,4),매입원본!$AS$8:$AS$1007,"&lt;="&amp;EOMONTH(설정!$B$10,4)))</f>
        <v/>
      </c>
      <c r="N24" s="33">
        <f>IF(OR($U24="",5&gt;=설정!$B$12),"",SUMIFS(매입원본!$AT$8:$AT$1007,매입원본!$AX$8:$AX$1007,INDEX($R$8:$R$207,$U24),매입원본!$BA$8:$BA$1007,"포함",매입원본!$AS$8:$AS$1007,"&gt;="&amp;EDATE(설정!$B$10,5),매입원본!$AS$8:$AS$1007,"&lt;="&amp;EOMONTH(설정!$B$10,5)))</f>
        <v/>
      </c>
      <c r="Q24" s="35" t="n">
        <v>17</v>
      </c>
      <c r="R24" s="35">
        <f>IFERROR(INDEX(매입원본!$AX$8:$AX$1007,MATCH($Q24,매입원본!$BD$8:$BD$1007,0)),"")</f>
        <v/>
      </c>
      <c r="S24" s="35">
        <f>IF($R24="","",SUMIFS(매입원본!$AT$8:$AT$1007,매입원본!$AX$8:$AX$1007,$R24,매입원본!$BA$8:$BA$1007,"포함"))</f>
        <v/>
      </c>
      <c r="T24" s="35">
        <f>IF($R24="","",$S24-$Q24/100000)</f>
        <v/>
      </c>
      <c r="U24" s="35">
        <f>IFERROR(MATCH(LARGE($T$8:$T$207,17),$T$8:$T$207,0),"")</f>
        <v/>
      </c>
    </row>
    <row r="25">
      <c r="A25" s="32">
        <f>IF($U25="","",18)</f>
        <v/>
      </c>
      <c r="B25" s="10">
        <f>IF($U25="","",IFERROR(INDEX(매입원본!$AZ$8:$AZ$1007,MATCH($U25,매입원본!$BD$8:$BD$1007,0)),""))</f>
        <v/>
      </c>
      <c r="C25" s="10">
        <f>IF($U25="","",IFERROR(INDEX(매입원본!$AY$8:$AY$1007,MATCH($U25,매입원본!$BD$8:$BD$1007,0)),""))</f>
        <v/>
      </c>
      <c r="D25" s="33">
        <f>IF($U25="","",COUNTIFS(매입원본!$AX$8:$AX$1007,INDEX($R$8:$R$207,$U25),매입원본!$BA$8:$BA$1007,"포함"))</f>
        <v/>
      </c>
      <c r="E25" s="33">
        <f>IF($U25="","",SUMIFS(매입원본!$AT$8:$AT$1007,매입원본!$AX$8:$AX$1007,INDEX($R$8:$R$207,$U25),매입원본!$BA$8:$BA$1007,"포함"))</f>
        <v/>
      </c>
      <c r="F25" s="33">
        <f>IF($U25="","",SUMIFS(매입원본!$AU$8:$AU$1007,매입원본!$AX$8:$AX$1007,INDEX($R$8:$R$207,$U25),매입원본!$BA$8:$BA$1007,"포함"))</f>
        <v/>
      </c>
      <c r="G25" s="33">
        <f>IF($U25="","",SUMIFS(매입원본!$AV$8:$AV$1007,매입원본!$AX$8:$AX$1007,INDEX($R$8:$R$207,$U25),매입원본!$BA$8:$BA$1007,"포함"))</f>
        <v/>
      </c>
      <c r="H25" s="34">
        <f>IF(OR($U25="",$E$7=0),"",E25/$E$7)</f>
        <v/>
      </c>
      <c r="I25" s="33">
        <f>IF(OR($U25="",0&gt;=설정!$B$12),"",SUMIFS(매입원본!$AT$8:$AT$1007,매입원본!$AX$8:$AX$1007,INDEX($R$8:$R$207,$U25),매입원본!$BA$8:$BA$1007,"포함",매입원본!$AS$8:$AS$1007,"&gt;="&amp;EDATE(설정!$B$10,0),매입원본!$AS$8:$AS$1007,"&lt;="&amp;EOMONTH(설정!$B$10,0)))</f>
        <v/>
      </c>
      <c r="J25" s="33">
        <f>IF(OR($U25="",1&gt;=설정!$B$12),"",SUMIFS(매입원본!$AT$8:$AT$1007,매입원본!$AX$8:$AX$1007,INDEX($R$8:$R$207,$U25),매입원본!$BA$8:$BA$1007,"포함",매입원본!$AS$8:$AS$1007,"&gt;="&amp;EDATE(설정!$B$10,1),매입원본!$AS$8:$AS$1007,"&lt;="&amp;EOMONTH(설정!$B$10,1)))</f>
        <v/>
      </c>
      <c r="K25" s="33">
        <f>IF(OR($U25="",2&gt;=설정!$B$12),"",SUMIFS(매입원본!$AT$8:$AT$1007,매입원본!$AX$8:$AX$1007,INDEX($R$8:$R$207,$U25),매입원본!$BA$8:$BA$1007,"포함",매입원본!$AS$8:$AS$1007,"&gt;="&amp;EDATE(설정!$B$10,2),매입원본!$AS$8:$AS$1007,"&lt;="&amp;EOMONTH(설정!$B$10,2)))</f>
        <v/>
      </c>
      <c r="L25" s="33">
        <f>IF(OR($U25="",3&gt;=설정!$B$12),"",SUMIFS(매입원본!$AT$8:$AT$1007,매입원본!$AX$8:$AX$1007,INDEX($R$8:$R$207,$U25),매입원본!$BA$8:$BA$1007,"포함",매입원본!$AS$8:$AS$1007,"&gt;="&amp;EDATE(설정!$B$10,3),매입원본!$AS$8:$AS$1007,"&lt;="&amp;EOMONTH(설정!$B$10,3)))</f>
        <v/>
      </c>
      <c r="M25" s="33">
        <f>IF(OR($U25="",4&gt;=설정!$B$12),"",SUMIFS(매입원본!$AT$8:$AT$1007,매입원본!$AX$8:$AX$1007,INDEX($R$8:$R$207,$U25),매입원본!$BA$8:$BA$1007,"포함",매입원본!$AS$8:$AS$1007,"&gt;="&amp;EDATE(설정!$B$10,4),매입원본!$AS$8:$AS$1007,"&lt;="&amp;EOMONTH(설정!$B$10,4)))</f>
        <v/>
      </c>
      <c r="N25" s="33">
        <f>IF(OR($U25="",5&gt;=설정!$B$12),"",SUMIFS(매입원본!$AT$8:$AT$1007,매입원본!$AX$8:$AX$1007,INDEX($R$8:$R$207,$U25),매입원본!$BA$8:$BA$1007,"포함",매입원본!$AS$8:$AS$1007,"&gt;="&amp;EDATE(설정!$B$10,5),매입원본!$AS$8:$AS$1007,"&lt;="&amp;EOMONTH(설정!$B$10,5)))</f>
        <v/>
      </c>
      <c r="Q25" s="35" t="n">
        <v>18</v>
      </c>
      <c r="R25" s="35">
        <f>IFERROR(INDEX(매입원본!$AX$8:$AX$1007,MATCH($Q25,매입원본!$BD$8:$BD$1007,0)),"")</f>
        <v/>
      </c>
      <c r="S25" s="35">
        <f>IF($R25="","",SUMIFS(매입원본!$AT$8:$AT$1007,매입원본!$AX$8:$AX$1007,$R25,매입원본!$BA$8:$BA$1007,"포함"))</f>
        <v/>
      </c>
      <c r="T25" s="35">
        <f>IF($R25="","",$S25-$Q25/100000)</f>
        <v/>
      </c>
      <c r="U25" s="35">
        <f>IFERROR(MATCH(LARGE($T$8:$T$207,18),$T$8:$T$207,0),"")</f>
        <v/>
      </c>
    </row>
    <row r="26">
      <c r="A26" s="32">
        <f>IF($U26="","",19)</f>
        <v/>
      </c>
      <c r="B26" s="10">
        <f>IF($U26="","",IFERROR(INDEX(매입원본!$AZ$8:$AZ$1007,MATCH($U26,매입원본!$BD$8:$BD$1007,0)),""))</f>
        <v/>
      </c>
      <c r="C26" s="10">
        <f>IF($U26="","",IFERROR(INDEX(매입원본!$AY$8:$AY$1007,MATCH($U26,매입원본!$BD$8:$BD$1007,0)),""))</f>
        <v/>
      </c>
      <c r="D26" s="33">
        <f>IF($U26="","",COUNTIFS(매입원본!$AX$8:$AX$1007,INDEX($R$8:$R$207,$U26),매입원본!$BA$8:$BA$1007,"포함"))</f>
        <v/>
      </c>
      <c r="E26" s="33">
        <f>IF($U26="","",SUMIFS(매입원본!$AT$8:$AT$1007,매입원본!$AX$8:$AX$1007,INDEX($R$8:$R$207,$U26),매입원본!$BA$8:$BA$1007,"포함"))</f>
        <v/>
      </c>
      <c r="F26" s="33">
        <f>IF($U26="","",SUMIFS(매입원본!$AU$8:$AU$1007,매입원본!$AX$8:$AX$1007,INDEX($R$8:$R$207,$U26),매입원본!$BA$8:$BA$1007,"포함"))</f>
        <v/>
      </c>
      <c r="G26" s="33">
        <f>IF($U26="","",SUMIFS(매입원본!$AV$8:$AV$1007,매입원본!$AX$8:$AX$1007,INDEX($R$8:$R$207,$U26),매입원본!$BA$8:$BA$1007,"포함"))</f>
        <v/>
      </c>
      <c r="H26" s="34">
        <f>IF(OR($U26="",$E$7=0),"",E26/$E$7)</f>
        <v/>
      </c>
      <c r="I26" s="33">
        <f>IF(OR($U26="",0&gt;=설정!$B$12),"",SUMIFS(매입원본!$AT$8:$AT$1007,매입원본!$AX$8:$AX$1007,INDEX($R$8:$R$207,$U26),매입원본!$BA$8:$BA$1007,"포함",매입원본!$AS$8:$AS$1007,"&gt;="&amp;EDATE(설정!$B$10,0),매입원본!$AS$8:$AS$1007,"&lt;="&amp;EOMONTH(설정!$B$10,0)))</f>
        <v/>
      </c>
      <c r="J26" s="33">
        <f>IF(OR($U26="",1&gt;=설정!$B$12),"",SUMIFS(매입원본!$AT$8:$AT$1007,매입원본!$AX$8:$AX$1007,INDEX($R$8:$R$207,$U26),매입원본!$BA$8:$BA$1007,"포함",매입원본!$AS$8:$AS$1007,"&gt;="&amp;EDATE(설정!$B$10,1),매입원본!$AS$8:$AS$1007,"&lt;="&amp;EOMONTH(설정!$B$10,1)))</f>
        <v/>
      </c>
      <c r="K26" s="33">
        <f>IF(OR($U26="",2&gt;=설정!$B$12),"",SUMIFS(매입원본!$AT$8:$AT$1007,매입원본!$AX$8:$AX$1007,INDEX($R$8:$R$207,$U26),매입원본!$BA$8:$BA$1007,"포함",매입원본!$AS$8:$AS$1007,"&gt;="&amp;EDATE(설정!$B$10,2),매입원본!$AS$8:$AS$1007,"&lt;="&amp;EOMONTH(설정!$B$10,2)))</f>
        <v/>
      </c>
      <c r="L26" s="33">
        <f>IF(OR($U26="",3&gt;=설정!$B$12),"",SUMIFS(매입원본!$AT$8:$AT$1007,매입원본!$AX$8:$AX$1007,INDEX($R$8:$R$207,$U26),매입원본!$BA$8:$BA$1007,"포함",매입원본!$AS$8:$AS$1007,"&gt;="&amp;EDATE(설정!$B$10,3),매입원본!$AS$8:$AS$1007,"&lt;="&amp;EOMONTH(설정!$B$10,3)))</f>
        <v/>
      </c>
      <c r="M26" s="33">
        <f>IF(OR($U26="",4&gt;=설정!$B$12),"",SUMIFS(매입원본!$AT$8:$AT$1007,매입원본!$AX$8:$AX$1007,INDEX($R$8:$R$207,$U26),매입원본!$BA$8:$BA$1007,"포함",매입원본!$AS$8:$AS$1007,"&gt;="&amp;EDATE(설정!$B$10,4),매입원본!$AS$8:$AS$1007,"&lt;="&amp;EOMONTH(설정!$B$10,4)))</f>
        <v/>
      </c>
      <c r="N26" s="33">
        <f>IF(OR($U26="",5&gt;=설정!$B$12),"",SUMIFS(매입원본!$AT$8:$AT$1007,매입원본!$AX$8:$AX$1007,INDEX($R$8:$R$207,$U26),매입원본!$BA$8:$BA$1007,"포함",매입원본!$AS$8:$AS$1007,"&gt;="&amp;EDATE(설정!$B$10,5),매입원본!$AS$8:$AS$1007,"&lt;="&amp;EOMONTH(설정!$B$10,5)))</f>
        <v/>
      </c>
      <c r="Q26" s="35" t="n">
        <v>19</v>
      </c>
      <c r="R26" s="35">
        <f>IFERROR(INDEX(매입원본!$AX$8:$AX$1007,MATCH($Q26,매입원본!$BD$8:$BD$1007,0)),"")</f>
        <v/>
      </c>
      <c r="S26" s="35">
        <f>IF($R26="","",SUMIFS(매입원본!$AT$8:$AT$1007,매입원본!$AX$8:$AX$1007,$R26,매입원본!$BA$8:$BA$1007,"포함"))</f>
        <v/>
      </c>
      <c r="T26" s="35">
        <f>IF($R26="","",$S26-$Q26/100000)</f>
        <v/>
      </c>
      <c r="U26" s="35">
        <f>IFERROR(MATCH(LARGE($T$8:$T$207,19),$T$8:$T$207,0),"")</f>
        <v/>
      </c>
    </row>
    <row r="27">
      <c r="A27" s="32">
        <f>IF($U27="","",20)</f>
        <v/>
      </c>
      <c r="B27" s="10">
        <f>IF($U27="","",IFERROR(INDEX(매입원본!$AZ$8:$AZ$1007,MATCH($U27,매입원본!$BD$8:$BD$1007,0)),""))</f>
        <v/>
      </c>
      <c r="C27" s="10">
        <f>IF($U27="","",IFERROR(INDEX(매입원본!$AY$8:$AY$1007,MATCH($U27,매입원본!$BD$8:$BD$1007,0)),""))</f>
        <v/>
      </c>
      <c r="D27" s="33">
        <f>IF($U27="","",COUNTIFS(매입원본!$AX$8:$AX$1007,INDEX($R$8:$R$207,$U27),매입원본!$BA$8:$BA$1007,"포함"))</f>
        <v/>
      </c>
      <c r="E27" s="33">
        <f>IF($U27="","",SUMIFS(매입원본!$AT$8:$AT$1007,매입원본!$AX$8:$AX$1007,INDEX($R$8:$R$207,$U27),매입원본!$BA$8:$BA$1007,"포함"))</f>
        <v/>
      </c>
      <c r="F27" s="33">
        <f>IF($U27="","",SUMIFS(매입원본!$AU$8:$AU$1007,매입원본!$AX$8:$AX$1007,INDEX($R$8:$R$207,$U27),매입원본!$BA$8:$BA$1007,"포함"))</f>
        <v/>
      </c>
      <c r="G27" s="33">
        <f>IF($U27="","",SUMIFS(매입원본!$AV$8:$AV$1007,매입원본!$AX$8:$AX$1007,INDEX($R$8:$R$207,$U27),매입원본!$BA$8:$BA$1007,"포함"))</f>
        <v/>
      </c>
      <c r="H27" s="34">
        <f>IF(OR($U27="",$E$7=0),"",E27/$E$7)</f>
        <v/>
      </c>
      <c r="I27" s="33">
        <f>IF(OR($U27="",0&gt;=설정!$B$12),"",SUMIFS(매입원본!$AT$8:$AT$1007,매입원본!$AX$8:$AX$1007,INDEX($R$8:$R$207,$U27),매입원본!$BA$8:$BA$1007,"포함",매입원본!$AS$8:$AS$1007,"&gt;="&amp;EDATE(설정!$B$10,0),매입원본!$AS$8:$AS$1007,"&lt;="&amp;EOMONTH(설정!$B$10,0)))</f>
        <v/>
      </c>
      <c r="J27" s="33">
        <f>IF(OR($U27="",1&gt;=설정!$B$12),"",SUMIFS(매입원본!$AT$8:$AT$1007,매입원본!$AX$8:$AX$1007,INDEX($R$8:$R$207,$U27),매입원본!$BA$8:$BA$1007,"포함",매입원본!$AS$8:$AS$1007,"&gt;="&amp;EDATE(설정!$B$10,1),매입원본!$AS$8:$AS$1007,"&lt;="&amp;EOMONTH(설정!$B$10,1)))</f>
        <v/>
      </c>
      <c r="K27" s="33">
        <f>IF(OR($U27="",2&gt;=설정!$B$12),"",SUMIFS(매입원본!$AT$8:$AT$1007,매입원본!$AX$8:$AX$1007,INDEX($R$8:$R$207,$U27),매입원본!$BA$8:$BA$1007,"포함",매입원본!$AS$8:$AS$1007,"&gt;="&amp;EDATE(설정!$B$10,2),매입원본!$AS$8:$AS$1007,"&lt;="&amp;EOMONTH(설정!$B$10,2)))</f>
        <v/>
      </c>
      <c r="L27" s="33">
        <f>IF(OR($U27="",3&gt;=설정!$B$12),"",SUMIFS(매입원본!$AT$8:$AT$1007,매입원본!$AX$8:$AX$1007,INDEX($R$8:$R$207,$U27),매입원본!$BA$8:$BA$1007,"포함",매입원본!$AS$8:$AS$1007,"&gt;="&amp;EDATE(설정!$B$10,3),매입원본!$AS$8:$AS$1007,"&lt;="&amp;EOMONTH(설정!$B$10,3)))</f>
        <v/>
      </c>
      <c r="M27" s="33">
        <f>IF(OR($U27="",4&gt;=설정!$B$12),"",SUMIFS(매입원본!$AT$8:$AT$1007,매입원본!$AX$8:$AX$1007,INDEX($R$8:$R$207,$U27),매입원본!$BA$8:$BA$1007,"포함",매입원본!$AS$8:$AS$1007,"&gt;="&amp;EDATE(설정!$B$10,4),매입원본!$AS$8:$AS$1007,"&lt;="&amp;EOMONTH(설정!$B$10,4)))</f>
        <v/>
      </c>
      <c r="N27" s="33">
        <f>IF(OR($U27="",5&gt;=설정!$B$12),"",SUMIFS(매입원본!$AT$8:$AT$1007,매입원본!$AX$8:$AX$1007,INDEX($R$8:$R$207,$U27),매입원본!$BA$8:$BA$1007,"포함",매입원본!$AS$8:$AS$1007,"&gt;="&amp;EDATE(설정!$B$10,5),매입원본!$AS$8:$AS$1007,"&lt;="&amp;EOMONTH(설정!$B$10,5)))</f>
        <v/>
      </c>
      <c r="Q27" s="35" t="n">
        <v>20</v>
      </c>
      <c r="R27" s="35">
        <f>IFERROR(INDEX(매입원본!$AX$8:$AX$1007,MATCH($Q27,매입원본!$BD$8:$BD$1007,0)),"")</f>
        <v/>
      </c>
      <c r="S27" s="35">
        <f>IF($R27="","",SUMIFS(매입원본!$AT$8:$AT$1007,매입원본!$AX$8:$AX$1007,$R27,매입원본!$BA$8:$BA$1007,"포함"))</f>
        <v/>
      </c>
      <c r="T27" s="35">
        <f>IF($R27="","",$S27-$Q27/100000)</f>
        <v/>
      </c>
      <c r="U27" s="35">
        <f>IFERROR(MATCH(LARGE($T$8:$T$207,20),$T$8:$T$207,0),"")</f>
        <v/>
      </c>
    </row>
    <row r="28">
      <c r="A28" s="32">
        <f>IF($U28="","",21)</f>
        <v/>
      </c>
      <c r="B28" s="10">
        <f>IF($U28="","",IFERROR(INDEX(매입원본!$AZ$8:$AZ$1007,MATCH($U28,매입원본!$BD$8:$BD$1007,0)),""))</f>
        <v/>
      </c>
      <c r="C28" s="10">
        <f>IF($U28="","",IFERROR(INDEX(매입원본!$AY$8:$AY$1007,MATCH($U28,매입원본!$BD$8:$BD$1007,0)),""))</f>
        <v/>
      </c>
      <c r="D28" s="33">
        <f>IF($U28="","",COUNTIFS(매입원본!$AX$8:$AX$1007,INDEX($R$8:$R$207,$U28),매입원본!$BA$8:$BA$1007,"포함"))</f>
        <v/>
      </c>
      <c r="E28" s="33">
        <f>IF($U28="","",SUMIFS(매입원본!$AT$8:$AT$1007,매입원본!$AX$8:$AX$1007,INDEX($R$8:$R$207,$U28),매입원본!$BA$8:$BA$1007,"포함"))</f>
        <v/>
      </c>
      <c r="F28" s="33">
        <f>IF($U28="","",SUMIFS(매입원본!$AU$8:$AU$1007,매입원본!$AX$8:$AX$1007,INDEX($R$8:$R$207,$U28),매입원본!$BA$8:$BA$1007,"포함"))</f>
        <v/>
      </c>
      <c r="G28" s="33">
        <f>IF($U28="","",SUMIFS(매입원본!$AV$8:$AV$1007,매입원본!$AX$8:$AX$1007,INDEX($R$8:$R$207,$U28),매입원본!$BA$8:$BA$1007,"포함"))</f>
        <v/>
      </c>
      <c r="H28" s="34">
        <f>IF(OR($U28="",$E$7=0),"",E28/$E$7)</f>
        <v/>
      </c>
      <c r="I28" s="33">
        <f>IF(OR($U28="",0&gt;=설정!$B$12),"",SUMIFS(매입원본!$AT$8:$AT$1007,매입원본!$AX$8:$AX$1007,INDEX($R$8:$R$207,$U28),매입원본!$BA$8:$BA$1007,"포함",매입원본!$AS$8:$AS$1007,"&gt;="&amp;EDATE(설정!$B$10,0),매입원본!$AS$8:$AS$1007,"&lt;="&amp;EOMONTH(설정!$B$10,0)))</f>
        <v/>
      </c>
      <c r="J28" s="33">
        <f>IF(OR($U28="",1&gt;=설정!$B$12),"",SUMIFS(매입원본!$AT$8:$AT$1007,매입원본!$AX$8:$AX$1007,INDEX($R$8:$R$207,$U28),매입원본!$BA$8:$BA$1007,"포함",매입원본!$AS$8:$AS$1007,"&gt;="&amp;EDATE(설정!$B$10,1),매입원본!$AS$8:$AS$1007,"&lt;="&amp;EOMONTH(설정!$B$10,1)))</f>
        <v/>
      </c>
      <c r="K28" s="33">
        <f>IF(OR($U28="",2&gt;=설정!$B$12),"",SUMIFS(매입원본!$AT$8:$AT$1007,매입원본!$AX$8:$AX$1007,INDEX($R$8:$R$207,$U28),매입원본!$BA$8:$BA$1007,"포함",매입원본!$AS$8:$AS$1007,"&gt;="&amp;EDATE(설정!$B$10,2),매입원본!$AS$8:$AS$1007,"&lt;="&amp;EOMONTH(설정!$B$10,2)))</f>
        <v/>
      </c>
      <c r="L28" s="33">
        <f>IF(OR($U28="",3&gt;=설정!$B$12),"",SUMIFS(매입원본!$AT$8:$AT$1007,매입원본!$AX$8:$AX$1007,INDEX($R$8:$R$207,$U28),매입원본!$BA$8:$BA$1007,"포함",매입원본!$AS$8:$AS$1007,"&gt;="&amp;EDATE(설정!$B$10,3),매입원본!$AS$8:$AS$1007,"&lt;="&amp;EOMONTH(설정!$B$10,3)))</f>
        <v/>
      </c>
      <c r="M28" s="33">
        <f>IF(OR($U28="",4&gt;=설정!$B$12),"",SUMIFS(매입원본!$AT$8:$AT$1007,매입원본!$AX$8:$AX$1007,INDEX($R$8:$R$207,$U28),매입원본!$BA$8:$BA$1007,"포함",매입원본!$AS$8:$AS$1007,"&gt;="&amp;EDATE(설정!$B$10,4),매입원본!$AS$8:$AS$1007,"&lt;="&amp;EOMONTH(설정!$B$10,4)))</f>
        <v/>
      </c>
      <c r="N28" s="33">
        <f>IF(OR($U28="",5&gt;=설정!$B$12),"",SUMIFS(매입원본!$AT$8:$AT$1007,매입원본!$AX$8:$AX$1007,INDEX($R$8:$R$207,$U28),매입원본!$BA$8:$BA$1007,"포함",매입원본!$AS$8:$AS$1007,"&gt;="&amp;EDATE(설정!$B$10,5),매입원본!$AS$8:$AS$1007,"&lt;="&amp;EOMONTH(설정!$B$10,5)))</f>
        <v/>
      </c>
      <c r="Q28" s="35" t="n">
        <v>21</v>
      </c>
      <c r="R28" s="35">
        <f>IFERROR(INDEX(매입원본!$AX$8:$AX$1007,MATCH($Q28,매입원본!$BD$8:$BD$1007,0)),"")</f>
        <v/>
      </c>
      <c r="S28" s="35">
        <f>IF($R28="","",SUMIFS(매입원본!$AT$8:$AT$1007,매입원본!$AX$8:$AX$1007,$R28,매입원본!$BA$8:$BA$1007,"포함"))</f>
        <v/>
      </c>
      <c r="T28" s="35">
        <f>IF($R28="","",$S28-$Q28/100000)</f>
        <v/>
      </c>
      <c r="U28" s="35">
        <f>IFERROR(MATCH(LARGE($T$8:$T$207,21),$T$8:$T$207,0),"")</f>
        <v/>
      </c>
    </row>
    <row r="29">
      <c r="A29" s="32">
        <f>IF($U29="","",22)</f>
        <v/>
      </c>
      <c r="B29" s="10">
        <f>IF($U29="","",IFERROR(INDEX(매입원본!$AZ$8:$AZ$1007,MATCH($U29,매입원본!$BD$8:$BD$1007,0)),""))</f>
        <v/>
      </c>
      <c r="C29" s="10">
        <f>IF($U29="","",IFERROR(INDEX(매입원본!$AY$8:$AY$1007,MATCH($U29,매입원본!$BD$8:$BD$1007,0)),""))</f>
        <v/>
      </c>
      <c r="D29" s="33">
        <f>IF($U29="","",COUNTIFS(매입원본!$AX$8:$AX$1007,INDEX($R$8:$R$207,$U29),매입원본!$BA$8:$BA$1007,"포함"))</f>
        <v/>
      </c>
      <c r="E29" s="33">
        <f>IF($U29="","",SUMIFS(매입원본!$AT$8:$AT$1007,매입원본!$AX$8:$AX$1007,INDEX($R$8:$R$207,$U29),매입원본!$BA$8:$BA$1007,"포함"))</f>
        <v/>
      </c>
      <c r="F29" s="33">
        <f>IF($U29="","",SUMIFS(매입원본!$AU$8:$AU$1007,매입원본!$AX$8:$AX$1007,INDEX($R$8:$R$207,$U29),매입원본!$BA$8:$BA$1007,"포함"))</f>
        <v/>
      </c>
      <c r="G29" s="33">
        <f>IF($U29="","",SUMIFS(매입원본!$AV$8:$AV$1007,매입원본!$AX$8:$AX$1007,INDEX($R$8:$R$207,$U29),매입원본!$BA$8:$BA$1007,"포함"))</f>
        <v/>
      </c>
      <c r="H29" s="34">
        <f>IF(OR($U29="",$E$7=0),"",E29/$E$7)</f>
        <v/>
      </c>
      <c r="I29" s="33">
        <f>IF(OR($U29="",0&gt;=설정!$B$12),"",SUMIFS(매입원본!$AT$8:$AT$1007,매입원본!$AX$8:$AX$1007,INDEX($R$8:$R$207,$U29),매입원본!$BA$8:$BA$1007,"포함",매입원본!$AS$8:$AS$1007,"&gt;="&amp;EDATE(설정!$B$10,0),매입원본!$AS$8:$AS$1007,"&lt;="&amp;EOMONTH(설정!$B$10,0)))</f>
        <v/>
      </c>
      <c r="J29" s="33">
        <f>IF(OR($U29="",1&gt;=설정!$B$12),"",SUMIFS(매입원본!$AT$8:$AT$1007,매입원본!$AX$8:$AX$1007,INDEX($R$8:$R$207,$U29),매입원본!$BA$8:$BA$1007,"포함",매입원본!$AS$8:$AS$1007,"&gt;="&amp;EDATE(설정!$B$10,1),매입원본!$AS$8:$AS$1007,"&lt;="&amp;EOMONTH(설정!$B$10,1)))</f>
        <v/>
      </c>
      <c r="K29" s="33">
        <f>IF(OR($U29="",2&gt;=설정!$B$12),"",SUMIFS(매입원본!$AT$8:$AT$1007,매입원본!$AX$8:$AX$1007,INDEX($R$8:$R$207,$U29),매입원본!$BA$8:$BA$1007,"포함",매입원본!$AS$8:$AS$1007,"&gt;="&amp;EDATE(설정!$B$10,2),매입원본!$AS$8:$AS$1007,"&lt;="&amp;EOMONTH(설정!$B$10,2)))</f>
        <v/>
      </c>
      <c r="L29" s="33">
        <f>IF(OR($U29="",3&gt;=설정!$B$12),"",SUMIFS(매입원본!$AT$8:$AT$1007,매입원본!$AX$8:$AX$1007,INDEX($R$8:$R$207,$U29),매입원본!$BA$8:$BA$1007,"포함",매입원본!$AS$8:$AS$1007,"&gt;="&amp;EDATE(설정!$B$10,3),매입원본!$AS$8:$AS$1007,"&lt;="&amp;EOMONTH(설정!$B$10,3)))</f>
        <v/>
      </c>
      <c r="M29" s="33">
        <f>IF(OR($U29="",4&gt;=설정!$B$12),"",SUMIFS(매입원본!$AT$8:$AT$1007,매입원본!$AX$8:$AX$1007,INDEX($R$8:$R$207,$U29),매입원본!$BA$8:$BA$1007,"포함",매입원본!$AS$8:$AS$1007,"&gt;="&amp;EDATE(설정!$B$10,4),매입원본!$AS$8:$AS$1007,"&lt;="&amp;EOMONTH(설정!$B$10,4)))</f>
        <v/>
      </c>
      <c r="N29" s="33">
        <f>IF(OR($U29="",5&gt;=설정!$B$12),"",SUMIFS(매입원본!$AT$8:$AT$1007,매입원본!$AX$8:$AX$1007,INDEX($R$8:$R$207,$U29),매입원본!$BA$8:$BA$1007,"포함",매입원본!$AS$8:$AS$1007,"&gt;="&amp;EDATE(설정!$B$10,5),매입원본!$AS$8:$AS$1007,"&lt;="&amp;EOMONTH(설정!$B$10,5)))</f>
        <v/>
      </c>
      <c r="Q29" s="35" t="n">
        <v>22</v>
      </c>
      <c r="R29" s="35">
        <f>IFERROR(INDEX(매입원본!$AX$8:$AX$1007,MATCH($Q29,매입원본!$BD$8:$BD$1007,0)),"")</f>
        <v/>
      </c>
      <c r="S29" s="35">
        <f>IF($R29="","",SUMIFS(매입원본!$AT$8:$AT$1007,매입원본!$AX$8:$AX$1007,$R29,매입원본!$BA$8:$BA$1007,"포함"))</f>
        <v/>
      </c>
      <c r="T29" s="35">
        <f>IF($R29="","",$S29-$Q29/100000)</f>
        <v/>
      </c>
      <c r="U29" s="35">
        <f>IFERROR(MATCH(LARGE($T$8:$T$207,22),$T$8:$T$207,0),"")</f>
        <v/>
      </c>
    </row>
    <row r="30">
      <c r="A30" s="32">
        <f>IF($U30="","",23)</f>
        <v/>
      </c>
      <c r="B30" s="10">
        <f>IF($U30="","",IFERROR(INDEX(매입원본!$AZ$8:$AZ$1007,MATCH($U30,매입원본!$BD$8:$BD$1007,0)),""))</f>
        <v/>
      </c>
      <c r="C30" s="10">
        <f>IF($U30="","",IFERROR(INDEX(매입원본!$AY$8:$AY$1007,MATCH($U30,매입원본!$BD$8:$BD$1007,0)),""))</f>
        <v/>
      </c>
      <c r="D30" s="33">
        <f>IF($U30="","",COUNTIFS(매입원본!$AX$8:$AX$1007,INDEX($R$8:$R$207,$U30),매입원본!$BA$8:$BA$1007,"포함"))</f>
        <v/>
      </c>
      <c r="E30" s="33">
        <f>IF($U30="","",SUMIFS(매입원본!$AT$8:$AT$1007,매입원본!$AX$8:$AX$1007,INDEX($R$8:$R$207,$U30),매입원본!$BA$8:$BA$1007,"포함"))</f>
        <v/>
      </c>
      <c r="F30" s="33">
        <f>IF($U30="","",SUMIFS(매입원본!$AU$8:$AU$1007,매입원본!$AX$8:$AX$1007,INDEX($R$8:$R$207,$U30),매입원본!$BA$8:$BA$1007,"포함"))</f>
        <v/>
      </c>
      <c r="G30" s="33">
        <f>IF($U30="","",SUMIFS(매입원본!$AV$8:$AV$1007,매입원본!$AX$8:$AX$1007,INDEX($R$8:$R$207,$U30),매입원본!$BA$8:$BA$1007,"포함"))</f>
        <v/>
      </c>
      <c r="H30" s="34">
        <f>IF(OR($U30="",$E$7=0),"",E30/$E$7)</f>
        <v/>
      </c>
      <c r="I30" s="33">
        <f>IF(OR($U30="",0&gt;=설정!$B$12),"",SUMIFS(매입원본!$AT$8:$AT$1007,매입원본!$AX$8:$AX$1007,INDEX($R$8:$R$207,$U30),매입원본!$BA$8:$BA$1007,"포함",매입원본!$AS$8:$AS$1007,"&gt;="&amp;EDATE(설정!$B$10,0),매입원본!$AS$8:$AS$1007,"&lt;="&amp;EOMONTH(설정!$B$10,0)))</f>
        <v/>
      </c>
      <c r="J30" s="33">
        <f>IF(OR($U30="",1&gt;=설정!$B$12),"",SUMIFS(매입원본!$AT$8:$AT$1007,매입원본!$AX$8:$AX$1007,INDEX($R$8:$R$207,$U30),매입원본!$BA$8:$BA$1007,"포함",매입원본!$AS$8:$AS$1007,"&gt;="&amp;EDATE(설정!$B$10,1),매입원본!$AS$8:$AS$1007,"&lt;="&amp;EOMONTH(설정!$B$10,1)))</f>
        <v/>
      </c>
      <c r="K30" s="33">
        <f>IF(OR($U30="",2&gt;=설정!$B$12),"",SUMIFS(매입원본!$AT$8:$AT$1007,매입원본!$AX$8:$AX$1007,INDEX($R$8:$R$207,$U30),매입원본!$BA$8:$BA$1007,"포함",매입원본!$AS$8:$AS$1007,"&gt;="&amp;EDATE(설정!$B$10,2),매입원본!$AS$8:$AS$1007,"&lt;="&amp;EOMONTH(설정!$B$10,2)))</f>
        <v/>
      </c>
      <c r="L30" s="33">
        <f>IF(OR($U30="",3&gt;=설정!$B$12),"",SUMIFS(매입원본!$AT$8:$AT$1007,매입원본!$AX$8:$AX$1007,INDEX($R$8:$R$207,$U30),매입원본!$BA$8:$BA$1007,"포함",매입원본!$AS$8:$AS$1007,"&gt;="&amp;EDATE(설정!$B$10,3),매입원본!$AS$8:$AS$1007,"&lt;="&amp;EOMONTH(설정!$B$10,3)))</f>
        <v/>
      </c>
      <c r="M30" s="33">
        <f>IF(OR($U30="",4&gt;=설정!$B$12),"",SUMIFS(매입원본!$AT$8:$AT$1007,매입원본!$AX$8:$AX$1007,INDEX($R$8:$R$207,$U30),매입원본!$BA$8:$BA$1007,"포함",매입원본!$AS$8:$AS$1007,"&gt;="&amp;EDATE(설정!$B$10,4),매입원본!$AS$8:$AS$1007,"&lt;="&amp;EOMONTH(설정!$B$10,4)))</f>
        <v/>
      </c>
      <c r="N30" s="33">
        <f>IF(OR($U30="",5&gt;=설정!$B$12),"",SUMIFS(매입원본!$AT$8:$AT$1007,매입원본!$AX$8:$AX$1007,INDEX($R$8:$R$207,$U30),매입원본!$BA$8:$BA$1007,"포함",매입원본!$AS$8:$AS$1007,"&gt;="&amp;EDATE(설정!$B$10,5),매입원본!$AS$8:$AS$1007,"&lt;="&amp;EOMONTH(설정!$B$10,5)))</f>
        <v/>
      </c>
      <c r="Q30" s="35" t="n">
        <v>23</v>
      </c>
      <c r="R30" s="35">
        <f>IFERROR(INDEX(매입원본!$AX$8:$AX$1007,MATCH($Q30,매입원본!$BD$8:$BD$1007,0)),"")</f>
        <v/>
      </c>
      <c r="S30" s="35">
        <f>IF($R30="","",SUMIFS(매입원본!$AT$8:$AT$1007,매입원본!$AX$8:$AX$1007,$R30,매입원본!$BA$8:$BA$1007,"포함"))</f>
        <v/>
      </c>
      <c r="T30" s="35">
        <f>IF($R30="","",$S30-$Q30/100000)</f>
        <v/>
      </c>
      <c r="U30" s="35">
        <f>IFERROR(MATCH(LARGE($T$8:$T$207,23),$T$8:$T$207,0),"")</f>
        <v/>
      </c>
    </row>
    <row r="31">
      <c r="A31" s="32">
        <f>IF($U31="","",24)</f>
        <v/>
      </c>
      <c r="B31" s="10">
        <f>IF($U31="","",IFERROR(INDEX(매입원본!$AZ$8:$AZ$1007,MATCH($U31,매입원본!$BD$8:$BD$1007,0)),""))</f>
        <v/>
      </c>
      <c r="C31" s="10">
        <f>IF($U31="","",IFERROR(INDEX(매입원본!$AY$8:$AY$1007,MATCH($U31,매입원본!$BD$8:$BD$1007,0)),""))</f>
        <v/>
      </c>
      <c r="D31" s="33">
        <f>IF($U31="","",COUNTIFS(매입원본!$AX$8:$AX$1007,INDEX($R$8:$R$207,$U31),매입원본!$BA$8:$BA$1007,"포함"))</f>
        <v/>
      </c>
      <c r="E31" s="33">
        <f>IF($U31="","",SUMIFS(매입원본!$AT$8:$AT$1007,매입원본!$AX$8:$AX$1007,INDEX($R$8:$R$207,$U31),매입원본!$BA$8:$BA$1007,"포함"))</f>
        <v/>
      </c>
      <c r="F31" s="33">
        <f>IF($U31="","",SUMIFS(매입원본!$AU$8:$AU$1007,매입원본!$AX$8:$AX$1007,INDEX($R$8:$R$207,$U31),매입원본!$BA$8:$BA$1007,"포함"))</f>
        <v/>
      </c>
      <c r="G31" s="33">
        <f>IF($U31="","",SUMIFS(매입원본!$AV$8:$AV$1007,매입원본!$AX$8:$AX$1007,INDEX($R$8:$R$207,$U31),매입원본!$BA$8:$BA$1007,"포함"))</f>
        <v/>
      </c>
      <c r="H31" s="34">
        <f>IF(OR($U31="",$E$7=0),"",E31/$E$7)</f>
        <v/>
      </c>
      <c r="I31" s="33">
        <f>IF(OR($U31="",0&gt;=설정!$B$12),"",SUMIFS(매입원본!$AT$8:$AT$1007,매입원본!$AX$8:$AX$1007,INDEX($R$8:$R$207,$U31),매입원본!$BA$8:$BA$1007,"포함",매입원본!$AS$8:$AS$1007,"&gt;="&amp;EDATE(설정!$B$10,0),매입원본!$AS$8:$AS$1007,"&lt;="&amp;EOMONTH(설정!$B$10,0)))</f>
        <v/>
      </c>
      <c r="J31" s="33">
        <f>IF(OR($U31="",1&gt;=설정!$B$12),"",SUMIFS(매입원본!$AT$8:$AT$1007,매입원본!$AX$8:$AX$1007,INDEX($R$8:$R$207,$U31),매입원본!$BA$8:$BA$1007,"포함",매입원본!$AS$8:$AS$1007,"&gt;="&amp;EDATE(설정!$B$10,1),매입원본!$AS$8:$AS$1007,"&lt;="&amp;EOMONTH(설정!$B$10,1)))</f>
        <v/>
      </c>
      <c r="K31" s="33">
        <f>IF(OR($U31="",2&gt;=설정!$B$12),"",SUMIFS(매입원본!$AT$8:$AT$1007,매입원본!$AX$8:$AX$1007,INDEX($R$8:$R$207,$U31),매입원본!$BA$8:$BA$1007,"포함",매입원본!$AS$8:$AS$1007,"&gt;="&amp;EDATE(설정!$B$10,2),매입원본!$AS$8:$AS$1007,"&lt;="&amp;EOMONTH(설정!$B$10,2)))</f>
        <v/>
      </c>
      <c r="L31" s="33">
        <f>IF(OR($U31="",3&gt;=설정!$B$12),"",SUMIFS(매입원본!$AT$8:$AT$1007,매입원본!$AX$8:$AX$1007,INDEX($R$8:$R$207,$U31),매입원본!$BA$8:$BA$1007,"포함",매입원본!$AS$8:$AS$1007,"&gt;="&amp;EDATE(설정!$B$10,3),매입원본!$AS$8:$AS$1007,"&lt;="&amp;EOMONTH(설정!$B$10,3)))</f>
        <v/>
      </c>
      <c r="M31" s="33">
        <f>IF(OR($U31="",4&gt;=설정!$B$12),"",SUMIFS(매입원본!$AT$8:$AT$1007,매입원본!$AX$8:$AX$1007,INDEX($R$8:$R$207,$U31),매입원본!$BA$8:$BA$1007,"포함",매입원본!$AS$8:$AS$1007,"&gt;="&amp;EDATE(설정!$B$10,4),매입원본!$AS$8:$AS$1007,"&lt;="&amp;EOMONTH(설정!$B$10,4)))</f>
        <v/>
      </c>
      <c r="N31" s="33">
        <f>IF(OR($U31="",5&gt;=설정!$B$12),"",SUMIFS(매입원본!$AT$8:$AT$1007,매입원본!$AX$8:$AX$1007,INDEX($R$8:$R$207,$U31),매입원본!$BA$8:$BA$1007,"포함",매입원본!$AS$8:$AS$1007,"&gt;="&amp;EDATE(설정!$B$10,5),매입원본!$AS$8:$AS$1007,"&lt;="&amp;EOMONTH(설정!$B$10,5)))</f>
        <v/>
      </c>
      <c r="Q31" s="35" t="n">
        <v>24</v>
      </c>
      <c r="R31" s="35">
        <f>IFERROR(INDEX(매입원본!$AX$8:$AX$1007,MATCH($Q31,매입원본!$BD$8:$BD$1007,0)),"")</f>
        <v/>
      </c>
      <c r="S31" s="35">
        <f>IF($R31="","",SUMIFS(매입원본!$AT$8:$AT$1007,매입원본!$AX$8:$AX$1007,$R31,매입원본!$BA$8:$BA$1007,"포함"))</f>
        <v/>
      </c>
      <c r="T31" s="35">
        <f>IF($R31="","",$S31-$Q31/100000)</f>
        <v/>
      </c>
      <c r="U31" s="35">
        <f>IFERROR(MATCH(LARGE($T$8:$T$207,24),$T$8:$T$207,0),"")</f>
        <v/>
      </c>
    </row>
    <row r="32">
      <c r="A32" s="32">
        <f>IF($U32="","",25)</f>
        <v/>
      </c>
      <c r="B32" s="10">
        <f>IF($U32="","",IFERROR(INDEX(매입원본!$AZ$8:$AZ$1007,MATCH($U32,매입원본!$BD$8:$BD$1007,0)),""))</f>
        <v/>
      </c>
      <c r="C32" s="10">
        <f>IF($U32="","",IFERROR(INDEX(매입원본!$AY$8:$AY$1007,MATCH($U32,매입원본!$BD$8:$BD$1007,0)),""))</f>
        <v/>
      </c>
      <c r="D32" s="33">
        <f>IF($U32="","",COUNTIFS(매입원본!$AX$8:$AX$1007,INDEX($R$8:$R$207,$U32),매입원본!$BA$8:$BA$1007,"포함"))</f>
        <v/>
      </c>
      <c r="E32" s="33">
        <f>IF($U32="","",SUMIFS(매입원본!$AT$8:$AT$1007,매입원본!$AX$8:$AX$1007,INDEX($R$8:$R$207,$U32),매입원본!$BA$8:$BA$1007,"포함"))</f>
        <v/>
      </c>
      <c r="F32" s="33">
        <f>IF($U32="","",SUMIFS(매입원본!$AU$8:$AU$1007,매입원본!$AX$8:$AX$1007,INDEX($R$8:$R$207,$U32),매입원본!$BA$8:$BA$1007,"포함"))</f>
        <v/>
      </c>
      <c r="G32" s="33">
        <f>IF($U32="","",SUMIFS(매입원본!$AV$8:$AV$1007,매입원본!$AX$8:$AX$1007,INDEX($R$8:$R$207,$U32),매입원본!$BA$8:$BA$1007,"포함"))</f>
        <v/>
      </c>
      <c r="H32" s="34">
        <f>IF(OR($U32="",$E$7=0),"",E32/$E$7)</f>
        <v/>
      </c>
      <c r="I32" s="33">
        <f>IF(OR($U32="",0&gt;=설정!$B$12),"",SUMIFS(매입원본!$AT$8:$AT$1007,매입원본!$AX$8:$AX$1007,INDEX($R$8:$R$207,$U32),매입원본!$BA$8:$BA$1007,"포함",매입원본!$AS$8:$AS$1007,"&gt;="&amp;EDATE(설정!$B$10,0),매입원본!$AS$8:$AS$1007,"&lt;="&amp;EOMONTH(설정!$B$10,0)))</f>
        <v/>
      </c>
      <c r="J32" s="33">
        <f>IF(OR($U32="",1&gt;=설정!$B$12),"",SUMIFS(매입원본!$AT$8:$AT$1007,매입원본!$AX$8:$AX$1007,INDEX($R$8:$R$207,$U32),매입원본!$BA$8:$BA$1007,"포함",매입원본!$AS$8:$AS$1007,"&gt;="&amp;EDATE(설정!$B$10,1),매입원본!$AS$8:$AS$1007,"&lt;="&amp;EOMONTH(설정!$B$10,1)))</f>
        <v/>
      </c>
      <c r="K32" s="33">
        <f>IF(OR($U32="",2&gt;=설정!$B$12),"",SUMIFS(매입원본!$AT$8:$AT$1007,매입원본!$AX$8:$AX$1007,INDEX($R$8:$R$207,$U32),매입원본!$BA$8:$BA$1007,"포함",매입원본!$AS$8:$AS$1007,"&gt;="&amp;EDATE(설정!$B$10,2),매입원본!$AS$8:$AS$1007,"&lt;="&amp;EOMONTH(설정!$B$10,2)))</f>
        <v/>
      </c>
      <c r="L32" s="33">
        <f>IF(OR($U32="",3&gt;=설정!$B$12),"",SUMIFS(매입원본!$AT$8:$AT$1007,매입원본!$AX$8:$AX$1007,INDEX($R$8:$R$207,$U32),매입원본!$BA$8:$BA$1007,"포함",매입원본!$AS$8:$AS$1007,"&gt;="&amp;EDATE(설정!$B$10,3),매입원본!$AS$8:$AS$1007,"&lt;="&amp;EOMONTH(설정!$B$10,3)))</f>
        <v/>
      </c>
      <c r="M32" s="33">
        <f>IF(OR($U32="",4&gt;=설정!$B$12),"",SUMIFS(매입원본!$AT$8:$AT$1007,매입원본!$AX$8:$AX$1007,INDEX($R$8:$R$207,$U32),매입원본!$BA$8:$BA$1007,"포함",매입원본!$AS$8:$AS$1007,"&gt;="&amp;EDATE(설정!$B$10,4),매입원본!$AS$8:$AS$1007,"&lt;="&amp;EOMONTH(설정!$B$10,4)))</f>
        <v/>
      </c>
      <c r="N32" s="33">
        <f>IF(OR($U32="",5&gt;=설정!$B$12),"",SUMIFS(매입원본!$AT$8:$AT$1007,매입원본!$AX$8:$AX$1007,INDEX($R$8:$R$207,$U32),매입원본!$BA$8:$BA$1007,"포함",매입원본!$AS$8:$AS$1007,"&gt;="&amp;EDATE(설정!$B$10,5),매입원본!$AS$8:$AS$1007,"&lt;="&amp;EOMONTH(설정!$B$10,5)))</f>
        <v/>
      </c>
      <c r="Q32" s="35" t="n">
        <v>25</v>
      </c>
      <c r="R32" s="35">
        <f>IFERROR(INDEX(매입원본!$AX$8:$AX$1007,MATCH($Q32,매입원본!$BD$8:$BD$1007,0)),"")</f>
        <v/>
      </c>
      <c r="S32" s="35">
        <f>IF($R32="","",SUMIFS(매입원본!$AT$8:$AT$1007,매입원본!$AX$8:$AX$1007,$R32,매입원본!$BA$8:$BA$1007,"포함"))</f>
        <v/>
      </c>
      <c r="T32" s="35">
        <f>IF($R32="","",$S32-$Q32/100000)</f>
        <v/>
      </c>
      <c r="U32" s="35">
        <f>IFERROR(MATCH(LARGE($T$8:$T$207,25),$T$8:$T$207,0),"")</f>
        <v/>
      </c>
    </row>
    <row r="33">
      <c r="A33" s="32">
        <f>IF($U33="","",26)</f>
        <v/>
      </c>
      <c r="B33" s="10">
        <f>IF($U33="","",IFERROR(INDEX(매입원본!$AZ$8:$AZ$1007,MATCH($U33,매입원본!$BD$8:$BD$1007,0)),""))</f>
        <v/>
      </c>
      <c r="C33" s="10">
        <f>IF($U33="","",IFERROR(INDEX(매입원본!$AY$8:$AY$1007,MATCH($U33,매입원본!$BD$8:$BD$1007,0)),""))</f>
        <v/>
      </c>
      <c r="D33" s="33">
        <f>IF($U33="","",COUNTIFS(매입원본!$AX$8:$AX$1007,INDEX($R$8:$R$207,$U33),매입원본!$BA$8:$BA$1007,"포함"))</f>
        <v/>
      </c>
      <c r="E33" s="33">
        <f>IF($U33="","",SUMIFS(매입원본!$AT$8:$AT$1007,매입원본!$AX$8:$AX$1007,INDEX($R$8:$R$207,$U33),매입원본!$BA$8:$BA$1007,"포함"))</f>
        <v/>
      </c>
      <c r="F33" s="33">
        <f>IF($U33="","",SUMIFS(매입원본!$AU$8:$AU$1007,매입원본!$AX$8:$AX$1007,INDEX($R$8:$R$207,$U33),매입원본!$BA$8:$BA$1007,"포함"))</f>
        <v/>
      </c>
      <c r="G33" s="33">
        <f>IF($U33="","",SUMIFS(매입원본!$AV$8:$AV$1007,매입원본!$AX$8:$AX$1007,INDEX($R$8:$R$207,$U33),매입원본!$BA$8:$BA$1007,"포함"))</f>
        <v/>
      </c>
      <c r="H33" s="34">
        <f>IF(OR($U33="",$E$7=0),"",E33/$E$7)</f>
        <v/>
      </c>
      <c r="I33" s="33">
        <f>IF(OR($U33="",0&gt;=설정!$B$12),"",SUMIFS(매입원본!$AT$8:$AT$1007,매입원본!$AX$8:$AX$1007,INDEX($R$8:$R$207,$U33),매입원본!$BA$8:$BA$1007,"포함",매입원본!$AS$8:$AS$1007,"&gt;="&amp;EDATE(설정!$B$10,0),매입원본!$AS$8:$AS$1007,"&lt;="&amp;EOMONTH(설정!$B$10,0)))</f>
        <v/>
      </c>
      <c r="J33" s="33">
        <f>IF(OR($U33="",1&gt;=설정!$B$12),"",SUMIFS(매입원본!$AT$8:$AT$1007,매입원본!$AX$8:$AX$1007,INDEX($R$8:$R$207,$U33),매입원본!$BA$8:$BA$1007,"포함",매입원본!$AS$8:$AS$1007,"&gt;="&amp;EDATE(설정!$B$10,1),매입원본!$AS$8:$AS$1007,"&lt;="&amp;EOMONTH(설정!$B$10,1)))</f>
        <v/>
      </c>
      <c r="K33" s="33">
        <f>IF(OR($U33="",2&gt;=설정!$B$12),"",SUMIFS(매입원본!$AT$8:$AT$1007,매입원본!$AX$8:$AX$1007,INDEX($R$8:$R$207,$U33),매입원본!$BA$8:$BA$1007,"포함",매입원본!$AS$8:$AS$1007,"&gt;="&amp;EDATE(설정!$B$10,2),매입원본!$AS$8:$AS$1007,"&lt;="&amp;EOMONTH(설정!$B$10,2)))</f>
        <v/>
      </c>
      <c r="L33" s="33">
        <f>IF(OR($U33="",3&gt;=설정!$B$12),"",SUMIFS(매입원본!$AT$8:$AT$1007,매입원본!$AX$8:$AX$1007,INDEX($R$8:$R$207,$U33),매입원본!$BA$8:$BA$1007,"포함",매입원본!$AS$8:$AS$1007,"&gt;="&amp;EDATE(설정!$B$10,3),매입원본!$AS$8:$AS$1007,"&lt;="&amp;EOMONTH(설정!$B$10,3)))</f>
        <v/>
      </c>
      <c r="M33" s="33">
        <f>IF(OR($U33="",4&gt;=설정!$B$12),"",SUMIFS(매입원본!$AT$8:$AT$1007,매입원본!$AX$8:$AX$1007,INDEX($R$8:$R$207,$U33),매입원본!$BA$8:$BA$1007,"포함",매입원본!$AS$8:$AS$1007,"&gt;="&amp;EDATE(설정!$B$10,4),매입원본!$AS$8:$AS$1007,"&lt;="&amp;EOMONTH(설정!$B$10,4)))</f>
        <v/>
      </c>
      <c r="N33" s="33">
        <f>IF(OR($U33="",5&gt;=설정!$B$12),"",SUMIFS(매입원본!$AT$8:$AT$1007,매입원본!$AX$8:$AX$1007,INDEX($R$8:$R$207,$U33),매입원본!$BA$8:$BA$1007,"포함",매입원본!$AS$8:$AS$1007,"&gt;="&amp;EDATE(설정!$B$10,5),매입원본!$AS$8:$AS$1007,"&lt;="&amp;EOMONTH(설정!$B$10,5)))</f>
        <v/>
      </c>
      <c r="Q33" s="35" t="n">
        <v>26</v>
      </c>
      <c r="R33" s="35">
        <f>IFERROR(INDEX(매입원본!$AX$8:$AX$1007,MATCH($Q33,매입원본!$BD$8:$BD$1007,0)),"")</f>
        <v/>
      </c>
      <c r="S33" s="35">
        <f>IF($R33="","",SUMIFS(매입원본!$AT$8:$AT$1007,매입원본!$AX$8:$AX$1007,$R33,매입원본!$BA$8:$BA$1007,"포함"))</f>
        <v/>
      </c>
      <c r="T33" s="35">
        <f>IF($R33="","",$S33-$Q33/100000)</f>
        <v/>
      </c>
      <c r="U33" s="35">
        <f>IFERROR(MATCH(LARGE($T$8:$T$207,26),$T$8:$T$207,0),"")</f>
        <v/>
      </c>
    </row>
    <row r="34">
      <c r="A34" s="32">
        <f>IF($U34="","",27)</f>
        <v/>
      </c>
      <c r="B34" s="10">
        <f>IF($U34="","",IFERROR(INDEX(매입원본!$AZ$8:$AZ$1007,MATCH($U34,매입원본!$BD$8:$BD$1007,0)),""))</f>
        <v/>
      </c>
      <c r="C34" s="10">
        <f>IF($U34="","",IFERROR(INDEX(매입원본!$AY$8:$AY$1007,MATCH($U34,매입원본!$BD$8:$BD$1007,0)),""))</f>
        <v/>
      </c>
      <c r="D34" s="33">
        <f>IF($U34="","",COUNTIFS(매입원본!$AX$8:$AX$1007,INDEX($R$8:$R$207,$U34),매입원본!$BA$8:$BA$1007,"포함"))</f>
        <v/>
      </c>
      <c r="E34" s="33">
        <f>IF($U34="","",SUMIFS(매입원본!$AT$8:$AT$1007,매입원본!$AX$8:$AX$1007,INDEX($R$8:$R$207,$U34),매입원본!$BA$8:$BA$1007,"포함"))</f>
        <v/>
      </c>
      <c r="F34" s="33">
        <f>IF($U34="","",SUMIFS(매입원본!$AU$8:$AU$1007,매입원본!$AX$8:$AX$1007,INDEX($R$8:$R$207,$U34),매입원본!$BA$8:$BA$1007,"포함"))</f>
        <v/>
      </c>
      <c r="G34" s="33">
        <f>IF($U34="","",SUMIFS(매입원본!$AV$8:$AV$1007,매입원본!$AX$8:$AX$1007,INDEX($R$8:$R$207,$U34),매입원본!$BA$8:$BA$1007,"포함"))</f>
        <v/>
      </c>
      <c r="H34" s="34">
        <f>IF(OR($U34="",$E$7=0),"",E34/$E$7)</f>
        <v/>
      </c>
      <c r="I34" s="33">
        <f>IF(OR($U34="",0&gt;=설정!$B$12),"",SUMIFS(매입원본!$AT$8:$AT$1007,매입원본!$AX$8:$AX$1007,INDEX($R$8:$R$207,$U34),매입원본!$BA$8:$BA$1007,"포함",매입원본!$AS$8:$AS$1007,"&gt;="&amp;EDATE(설정!$B$10,0),매입원본!$AS$8:$AS$1007,"&lt;="&amp;EOMONTH(설정!$B$10,0)))</f>
        <v/>
      </c>
      <c r="J34" s="33">
        <f>IF(OR($U34="",1&gt;=설정!$B$12),"",SUMIFS(매입원본!$AT$8:$AT$1007,매입원본!$AX$8:$AX$1007,INDEX($R$8:$R$207,$U34),매입원본!$BA$8:$BA$1007,"포함",매입원본!$AS$8:$AS$1007,"&gt;="&amp;EDATE(설정!$B$10,1),매입원본!$AS$8:$AS$1007,"&lt;="&amp;EOMONTH(설정!$B$10,1)))</f>
        <v/>
      </c>
      <c r="K34" s="33">
        <f>IF(OR($U34="",2&gt;=설정!$B$12),"",SUMIFS(매입원본!$AT$8:$AT$1007,매입원본!$AX$8:$AX$1007,INDEX($R$8:$R$207,$U34),매입원본!$BA$8:$BA$1007,"포함",매입원본!$AS$8:$AS$1007,"&gt;="&amp;EDATE(설정!$B$10,2),매입원본!$AS$8:$AS$1007,"&lt;="&amp;EOMONTH(설정!$B$10,2)))</f>
        <v/>
      </c>
      <c r="L34" s="33">
        <f>IF(OR($U34="",3&gt;=설정!$B$12),"",SUMIFS(매입원본!$AT$8:$AT$1007,매입원본!$AX$8:$AX$1007,INDEX($R$8:$R$207,$U34),매입원본!$BA$8:$BA$1007,"포함",매입원본!$AS$8:$AS$1007,"&gt;="&amp;EDATE(설정!$B$10,3),매입원본!$AS$8:$AS$1007,"&lt;="&amp;EOMONTH(설정!$B$10,3)))</f>
        <v/>
      </c>
      <c r="M34" s="33">
        <f>IF(OR($U34="",4&gt;=설정!$B$12),"",SUMIFS(매입원본!$AT$8:$AT$1007,매입원본!$AX$8:$AX$1007,INDEX($R$8:$R$207,$U34),매입원본!$BA$8:$BA$1007,"포함",매입원본!$AS$8:$AS$1007,"&gt;="&amp;EDATE(설정!$B$10,4),매입원본!$AS$8:$AS$1007,"&lt;="&amp;EOMONTH(설정!$B$10,4)))</f>
        <v/>
      </c>
      <c r="N34" s="33">
        <f>IF(OR($U34="",5&gt;=설정!$B$12),"",SUMIFS(매입원본!$AT$8:$AT$1007,매입원본!$AX$8:$AX$1007,INDEX($R$8:$R$207,$U34),매입원본!$BA$8:$BA$1007,"포함",매입원본!$AS$8:$AS$1007,"&gt;="&amp;EDATE(설정!$B$10,5),매입원본!$AS$8:$AS$1007,"&lt;="&amp;EOMONTH(설정!$B$10,5)))</f>
        <v/>
      </c>
      <c r="Q34" s="35" t="n">
        <v>27</v>
      </c>
      <c r="R34" s="35">
        <f>IFERROR(INDEX(매입원본!$AX$8:$AX$1007,MATCH($Q34,매입원본!$BD$8:$BD$1007,0)),"")</f>
        <v/>
      </c>
      <c r="S34" s="35">
        <f>IF($R34="","",SUMIFS(매입원본!$AT$8:$AT$1007,매입원본!$AX$8:$AX$1007,$R34,매입원본!$BA$8:$BA$1007,"포함"))</f>
        <v/>
      </c>
      <c r="T34" s="35">
        <f>IF($R34="","",$S34-$Q34/100000)</f>
        <v/>
      </c>
      <c r="U34" s="35">
        <f>IFERROR(MATCH(LARGE($T$8:$T$207,27),$T$8:$T$207,0),"")</f>
        <v/>
      </c>
    </row>
    <row r="35">
      <c r="A35" s="32">
        <f>IF($U35="","",28)</f>
        <v/>
      </c>
      <c r="B35" s="10">
        <f>IF($U35="","",IFERROR(INDEX(매입원본!$AZ$8:$AZ$1007,MATCH($U35,매입원본!$BD$8:$BD$1007,0)),""))</f>
        <v/>
      </c>
      <c r="C35" s="10">
        <f>IF($U35="","",IFERROR(INDEX(매입원본!$AY$8:$AY$1007,MATCH($U35,매입원본!$BD$8:$BD$1007,0)),""))</f>
        <v/>
      </c>
      <c r="D35" s="33">
        <f>IF($U35="","",COUNTIFS(매입원본!$AX$8:$AX$1007,INDEX($R$8:$R$207,$U35),매입원본!$BA$8:$BA$1007,"포함"))</f>
        <v/>
      </c>
      <c r="E35" s="33">
        <f>IF($U35="","",SUMIFS(매입원본!$AT$8:$AT$1007,매입원본!$AX$8:$AX$1007,INDEX($R$8:$R$207,$U35),매입원본!$BA$8:$BA$1007,"포함"))</f>
        <v/>
      </c>
      <c r="F35" s="33">
        <f>IF($U35="","",SUMIFS(매입원본!$AU$8:$AU$1007,매입원본!$AX$8:$AX$1007,INDEX($R$8:$R$207,$U35),매입원본!$BA$8:$BA$1007,"포함"))</f>
        <v/>
      </c>
      <c r="G35" s="33">
        <f>IF($U35="","",SUMIFS(매입원본!$AV$8:$AV$1007,매입원본!$AX$8:$AX$1007,INDEX($R$8:$R$207,$U35),매입원본!$BA$8:$BA$1007,"포함"))</f>
        <v/>
      </c>
      <c r="H35" s="34">
        <f>IF(OR($U35="",$E$7=0),"",E35/$E$7)</f>
        <v/>
      </c>
      <c r="I35" s="33">
        <f>IF(OR($U35="",0&gt;=설정!$B$12),"",SUMIFS(매입원본!$AT$8:$AT$1007,매입원본!$AX$8:$AX$1007,INDEX($R$8:$R$207,$U35),매입원본!$BA$8:$BA$1007,"포함",매입원본!$AS$8:$AS$1007,"&gt;="&amp;EDATE(설정!$B$10,0),매입원본!$AS$8:$AS$1007,"&lt;="&amp;EOMONTH(설정!$B$10,0)))</f>
        <v/>
      </c>
      <c r="J35" s="33">
        <f>IF(OR($U35="",1&gt;=설정!$B$12),"",SUMIFS(매입원본!$AT$8:$AT$1007,매입원본!$AX$8:$AX$1007,INDEX($R$8:$R$207,$U35),매입원본!$BA$8:$BA$1007,"포함",매입원본!$AS$8:$AS$1007,"&gt;="&amp;EDATE(설정!$B$10,1),매입원본!$AS$8:$AS$1007,"&lt;="&amp;EOMONTH(설정!$B$10,1)))</f>
        <v/>
      </c>
      <c r="K35" s="33">
        <f>IF(OR($U35="",2&gt;=설정!$B$12),"",SUMIFS(매입원본!$AT$8:$AT$1007,매입원본!$AX$8:$AX$1007,INDEX($R$8:$R$207,$U35),매입원본!$BA$8:$BA$1007,"포함",매입원본!$AS$8:$AS$1007,"&gt;="&amp;EDATE(설정!$B$10,2),매입원본!$AS$8:$AS$1007,"&lt;="&amp;EOMONTH(설정!$B$10,2)))</f>
        <v/>
      </c>
      <c r="L35" s="33">
        <f>IF(OR($U35="",3&gt;=설정!$B$12),"",SUMIFS(매입원본!$AT$8:$AT$1007,매입원본!$AX$8:$AX$1007,INDEX($R$8:$R$207,$U35),매입원본!$BA$8:$BA$1007,"포함",매입원본!$AS$8:$AS$1007,"&gt;="&amp;EDATE(설정!$B$10,3),매입원본!$AS$8:$AS$1007,"&lt;="&amp;EOMONTH(설정!$B$10,3)))</f>
        <v/>
      </c>
      <c r="M35" s="33">
        <f>IF(OR($U35="",4&gt;=설정!$B$12),"",SUMIFS(매입원본!$AT$8:$AT$1007,매입원본!$AX$8:$AX$1007,INDEX($R$8:$R$207,$U35),매입원본!$BA$8:$BA$1007,"포함",매입원본!$AS$8:$AS$1007,"&gt;="&amp;EDATE(설정!$B$10,4),매입원본!$AS$8:$AS$1007,"&lt;="&amp;EOMONTH(설정!$B$10,4)))</f>
        <v/>
      </c>
      <c r="N35" s="33">
        <f>IF(OR($U35="",5&gt;=설정!$B$12),"",SUMIFS(매입원본!$AT$8:$AT$1007,매입원본!$AX$8:$AX$1007,INDEX($R$8:$R$207,$U35),매입원본!$BA$8:$BA$1007,"포함",매입원본!$AS$8:$AS$1007,"&gt;="&amp;EDATE(설정!$B$10,5),매입원본!$AS$8:$AS$1007,"&lt;="&amp;EOMONTH(설정!$B$10,5)))</f>
        <v/>
      </c>
      <c r="Q35" s="35" t="n">
        <v>28</v>
      </c>
      <c r="R35" s="35">
        <f>IFERROR(INDEX(매입원본!$AX$8:$AX$1007,MATCH($Q35,매입원본!$BD$8:$BD$1007,0)),"")</f>
        <v/>
      </c>
      <c r="S35" s="35">
        <f>IF($R35="","",SUMIFS(매입원본!$AT$8:$AT$1007,매입원본!$AX$8:$AX$1007,$R35,매입원본!$BA$8:$BA$1007,"포함"))</f>
        <v/>
      </c>
      <c r="T35" s="35">
        <f>IF($R35="","",$S35-$Q35/100000)</f>
        <v/>
      </c>
      <c r="U35" s="35">
        <f>IFERROR(MATCH(LARGE($T$8:$T$207,28),$T$8:$T$207,0),"")</f>
        <v/>
      </c>
    </row>
    <row r="36">
      <c r="A36" s="32">
        <f>IF($U36="","",29)</f>
        <v/>
      </c>
      <c r="B36" s="10">
        <f>IF($U36="","",IFERROR(INDEX(매입원본!$AZ$8:$AZ$1007,MATCH($U36,매입원본!$BD$8:$BD$1007,0)),""))</f>
        <v/>
      </c>
      <c r="C36" s="10">
        <f>IF($U36="","",IFERROR(INDEX(매입원본!$AY$8:$AY$1007,MATCH($U36,매입원본!$BD$8:$BD$1007,0)),""))</f>
        <v/>
      </c>
      <c r="D36" s="33">
        <f>IF($U36="","",COUNTIFS(매입원본!$AX$8:$AX$1007,INDEX($R$8:$R$207,$U36),매입원본!$BA$8:$BA$1007,"포함"))</f>
        <v/>
      </c>
      <c r="E36" s="33">
        <f>IF($U36="","",SUMIFS(매입원본!$AT$8:$AT$1007,매입원본!$AX$8:$AX$1007,INDEX($R$8:$R$207,$U36),매입원본!$BA$8:$BA$1007,"포함"))</f>
        <v/>
      </c>
      <c r="F36" s="33">
        <f>IF($U36="","",SUMIFS(매입원본!$AU$8:$AU$1007,매입원본!$AX$8:$AX$1007,INDEX($R$8:$R$207,$U36),매입원본!$BA$8:$BA$1007,"포함"))</f>
        <v/>
      </c>
      <c r="G36" s="33">
        <f>IF($U36="","",SUMIFS(매입원본!$AV$8:$AV$1007,매입원본!$AX$8:$AX$1007,INDEX($R$8:$R$207,$U36),매입원본!$BA$8:$BA$1007,"포함"))</f>
        <v/>
      </c>
      <c r="H36" s="34">
        <f>IF(OR($U36="",$E$7=0),"",E36/$E$7)</f>
        <v/>
      </c>
      <c r="I36" s="33">
        <f>IF(OR($U36="",0&gt;=설정!$B$12),"",SUMIFS(매입원본!$AT$8:$AT$1007,매입원본!$AX$8:$AX$1007,INDEX($R$8:$R$207,$U36),매입원본!$BA$8:$BA$1007,"포함",매입원본!$AS$8:$AS$1007,"&gt;="&amp;EDATE(설정!$B$10,0),매입원본!$AS$8:$AS$1007,"&lt;="&amp;EOMONTH(설정!$B$10,0)))</f>
        <v/>
      </c>
      <c r="J36" s="33">
        <f>IF(OR($U36="",1&gt;=설정!$B$12),"",SUMIFS(매입원본!$AT$8:$AT$1007,매입원본!$AX$8:$AX$1007,INDEX($R$8:$R$207,$U36),매입원본!$BA$8:$BA$1007,"포함",매입원본!$AS$8:$AS$1007,"&gt;="&amp;EDATE(설정!$B$10,1),매입원본!$AS$8:$AS$1007,"&lt;="&amp;EOMONTH(설정!$B$10,1)))</f>
        <v/>
      </c>
      <c r="K36" s="33">
        <f>IF(OR($U36="",2&gt;=설정!$B$12),"",SUMIFS(매입원본!$AT$8:$AT$1007,매입원본!$AX$8:$AX$1007,INDEX($R$8:$R$207,$U36),매입원본!$BA$8:$BA$1007,"포함",매입원본!$AS$8:$AS$1007,"&gt;="&amp;EDATE(설정!$B$10,2),매입원본!$AS$8:$AS$1007,"&lt;="&amp;EOMONTH(설정!$B$10,2)))</f>
        <v/>
      </c>
      <c r="L36" s="33">
        <f>IF(OR($U36="",3&gt;=설정!$B$12),"",SUMIFS(매입원본!$AT$8:$AT$1007,매입원본!$AX$8:$AX$1007,INDEX($R$8:$R$207,$U36),매입원본!$BA$8:$BA$1007,"포함",매입원본!$AS$8:$AS$1007,"&gt;="&amp;EDATE(설정!$B$10,3),매입원본!$AS$8:$AS$1007,"&lt;="&amp;EOMONTH(설정!$B$10,3)))</f>
        <v/>
      </c>
      <c r="M36" s="33">
        <f>IF(OR($U36="",4&gt;=설정!$B$12),"",SUMIFS(매입원본!$AT$8:$AT$1007,매입원본!$AX$8:$AX$1007,INDEX($R$8:$R$207,$U36),매입원본!$BA$8:$BA$1007,"포함",매입원본!$AS$8:$AS$1007,"&gt;="&amp;EDATE(설정!$B$10,4),매입원본!$AS$8:$AS$1007,"&lt;="&amp;EOMONTH(설정!$B$10,4)))</f>
        <v/>
      </c>
      <c r="N36" s="33">
        <f>IF(OR($U36="",5&gt;=설정!$B$12),"",SUMIFS(매입원본!$AT$8:$AT$1007,매입원본!$AX$8:$AX$1007,INDEX($R$8:$R$207,$U36),매입원본!$BA$8:$BA$1007,"포함",매입원본!$AS$8:$AS$1007,"&gt;="&amp;EDATE(설정!$B$10,5),매입원본!$AS$8:$AS$1007,"&lt;="&amp;EOMONTH(설정!$B$10,5)))</f>
        <v/>
      </c>
      <c r="Q36" s="35" t="n">
        <v>29</v>
      </c>
      <c r="R36" s="35">
        <f>IFERROR(INDEX(매입원본!$AX$8:$AX$1007,MATCH($Q36,매입원본!$BD$8:$BD$1007,0)),"")</f>
        <v/>
      </c>
      <c r="S36" s="35">
        <f>IF($R36="","",SUMIFS(매입원본!$AT$8:$AT$1007,매입원본!$AX$8:$AX$1007,$R36,매입원본!$BA$8:$BA$1007,"포함"))</f>
        <v/>
      </c>
      <c r="T36" s="35">
        <f>IF($R36="","",$S36-$Q36/100000)</f>
        <v/>
      </c>
      <c r="U36" s="35">
        <f>IFERROR(MATCH(LARGE($T$8:$T$207,29),$T$8:$T$207,0),"")</f>
        <v/>
      </c>
    </row>
    <row r="37">
      <c r="A37" s="32">
        <f>IF($U37="","",30)</f>
        <v/>
      </c>
      <c r="B37" s="10">
        <f>IF($U37="","",IFERROR(INDEX(매입원본!$AZ$8:$AZ$1007,MATCH($U37,매입원본!$BD$8:$BD$1007,0)),""))</f>
        <v/>
      </c>
      <c r="C37" s="10">
        <f>IF($U37="","",IFERROR(INDEX(매입원본!$AY$8:$AY$1007,MATCH($U37,매입원본!$BD$8:$BD$1007,0)),""))</f>
        <v/>
      </c>
      <c r="D37" s="33">
        <f>IF($U37="","",COUNTIFS(매입원본!$AX$8:$AX$1007,INDEX($R$8:$R$207,$U37),매입원본!$BA$8:$BA$1007,"포함"))</f>
        <v/>
      </c>
      <c r="E37" s="33">
        <f>IF($U37="","",SUMIFS(매입원본!$AT$8:$AT$1007,매입원본!$AX$8:$AX$1007,INDEX($R$8:$R$207,$U37),매입원본!$BA$8:$BA$1007,"포함"))</f>
        <v/>
      </c>
      <c r="F37" s="33">
        <f>IF($U37="","",SUMIFS(매입원본!$AU$8:$AU$1007,매입원본!$AX$8:$AX$1007,INDEX($R$8:$R$207,$U37),매입원본!$BA$8:$BA$1007,"포함"))</f>
        <v/>
      </c>
      <c r="G37" s="33">
        <f>IF($U37="","",SUMIFS(매입원본!$AV$8:$AV$1007,매입원본!$AX$8:$AX$1007,INDEX($R$8:$R$207,$U37),매입원본!$BA$8:$BA$1007,"포함"))</f>
        <v/>
      </c>
      <c r="H37" s="34">
        <f>IF(OR($U37="",$E$7=0),"",E37/$E$7)</f>
        <v/>
      </c>
      <c r="I37" s="33">
        <f>IF(OR($U37="",0&gt;=설정!$B$12),"",SUMIFS(매입원본!$AT$8:$AT$1007,매입원본!$AX$8:$AX$1007,INDEX($R$8:$R$207,$U37),매입원본!$BA$8:$BA$1007,"포함",매입원본!$AS$8:$AS$1007,"&gt;="&amp;EDATE(설정!$B$10,0),매입원본!$AS$8:$AS$1007,"&lt;="&amp;EOMONTH(설정!$B$10,0)))</f>
        <v/>
      </c>
      <c r="J37" s="33">
        <f>IF(OR($U37="",1&gt;=설정!$B$12),"",SUMIFS(매입원본!$AT$8:$AT$1007,매입원본!$AX$8:$AX$1007,INDEX($R$8:$R$207,$U37),매입원본!$BA$8:$BA$1007,"포함",매입원본!$AS$8:$AS$1007,"&gt;="&amp;EDATE(설정!$B$10,1),매입원본!$AS$8:$AS$1007,"&lt;="&amp;EOMONTH(설정!$B$10,1)))</f>
        <v/>
      </c>
      <c r="K37" s="33">
        <f>IF(OR($U37="",2&gt;=설정!$B$12),"",SUMIFS(매입원본!$AT$8:$AT$1007,매입원본!$AX$8:$AX$1007,INDEX($R$8:$R$207,$U37),매입원본!$BA$8:$BA$1007,"포함",매입원본!$AS$8:$AS$1007,"&gt;="&amp;EDATE(설정!$B$10,2),매입원본!$AS$8:$AS$1007,"&lt;="&amp;EOMONTH(설정!$B$10,2)))</f>
        <v/>
      </c>
      <c r="L37" s="33">
        <f>IF(OR($U37="",3&gt;=설정!$B$12),"",SUMIFS(매입원본!$AT$8:$AT$1007,매입원본!$AX$8:$AX$1007,INDEX($R$8:$R$207,$U37),매입원본!$BA$8:$BA$1007,"포함",매입원본!$AS$8:$AS$1007,"&gt;="&amp;EDATE(설정!$B$10,3),매입원본!$AS$8:$AS$1007,"&lt;="&amp;EOMONTH(설정!$B$10,3)))</f>
        <v/>
      </c>
      <c r="M37" s="33">
        <f>IF(OR($U37="",4&gt;=설정!$B$12),"",SUMIFS(매입원본!$AT$8:$AT$1007,매입원본!$AX$8:$AX$1007,INDEX($R$8:$R$207,$U37),매입원본!$BA$8:$BA$1007,"포함",매입원본!$AS$8:$AS$1007,"&gt;="&amp;EDATE(설정!$B$10,4),매입원본!$AS$8:$AS$1007,"&lt;="&amp;EOMONTH(설정!$B$10,4)))</f>
        <v/>
      </c>
      <c r="N37" s="33">
        <f>IF(OR($U37="",5&gt;=설정!$B$12),"",SUMIFS(매입원본!$AT$8:$AT$1007,매입원본!$AX$8:$AX$1007,INDEX($R$8:$R$207,$U37),매입원본!$BA$8:$BA$1007,"포함",매입원본!$AS$8:$AS$1007,"&gt;="&amp;EDATE(설정!$B$10,5),매입원본!$AS$8:$AS$1007,"&lt;="&amp;EOMONTH(설정!$B$10,5)))</f>
        <v/>
      </c>
      <c r="Q37" s="35" t="n">
        <v>30</v>
      </c>
      <c r="R37" s="35">
        <f>IFERROR(INDEX(매입원본!$AX$8:$AX$1007,MATCH($Q37,매입원본!$BD$8:$BD$1007,0)),"")</f>
        <v/>
      </c>
      <c r="S37" s="35">
        <f>IF($R37="","",SUMIFS(매입원본!$AT$8:$AT$1007,매입원본!$AX$8:$AX$1007,$R37,매입원본!$BA$8:$BA$1007,"포함"))</f>
        <v/>
      </c>
      <c r="T37" s="35">
        <f>IF($R37="","",$S37-$Q37/100000)</f>
        <v/>
      </c>
      <c r="U37" s="35">
        <f>IFERROR(MATCH(LARGE($T$8:$T$207,30),$T$8:$T$207,0),"")</f>
        <v/>
      </c>
    </row>
    <row r="38">
      <c r="A38" s="32">
        <f>IF($U38="","",31)</f>
        <v/>
      </c>
      <c r="B38" s="10">
        <f>IF($U38="","",IFERROR(INDEX(매입원본!$AZ$8:$AZ$1007,MATCH($U38,매입원본!$BD$8:$BD$1007,0)),""))</f>
        <v/>
      </c>
      <c r="C38" s="10">
        <f>IF($U38="","",IFERROR(INDEX(매입원본!$AY$8:$AY$1007,MATCH($U38,매입원본!$BD$8:$BD$1007,0)),""))</f>
        <v/>
      </c>
      <c r="D38" s="33">
        <f>IF($U38="","",COUNTIFS(매입원본!$AX$8:$AX$1007,INDEX($R$8:$R$207,$U38),매입원본!$BA$8:$BA$1007,"포함"))</f>
        <v/>
      </c>
      <c r="E38" s="33">
        <f>IF($U38="","",SUMIFS(매입원본!$AT$8:$AT$1007,매입원본!$AX$8:$AX$1007,INDEX($R$8:$R$207,$U38),매입원본!$BA$8:$BA$1007,"포함"))</f>
        <v/>
      </c>
      <c r="F38" s="33">
        <f>IF($U38="","",SUMIFS(매입원본!$AU$8:$AU$1007,매입원본!$AX$8:$AX$1007,INDEX($R$8:$R$207,$U38),매입원본!$BA$8:$BA$1007,"포함"))</f>
        <v/>
      </c>
      <c r="G38" s="33">
        <f>IF($U38="","",SUMIFS(매입원본!$AV$8:$AV$1007,매입원본!$AX$8:$AX$1007,INDEX($R$8:$R$207,$U38),매입원본!$BA$8:$BA$1007,"포함"))</f>
        <v/>
      </c>
      <c r="H38" s="34">
        <f>IF(OR($U38="",$E$7=0),"",E38/$E$7)</f>
        <v/>
      </c>
      <c r="I38" s="33">
        <f>IF(OR($U38="",0&gt;=설정!$B$12),"",SUMIFS(매입원본!$AT$8:$AT$1007,매입원본!$AX$8:$AX$1007,INDEX($R$8:$R$207,$U38),매입원본!$BA$8:$BA$1007,"포함",매입원본!$AS$8:$AS$1007,"&gt;="&amp;EDATE(설정!$B$10,0),매입원본!$AS$8:$AS$1007,"&lt;="&amp;EOMONTH(설정!$B$10,0)))</f>
        <v/>
      </c>
      <c r="J38" s="33">
        <f>IF(OR($U38="",1&gt;=설정!$B$12),"",SUMIFS(매입원본!$AT$8:$AT$1007,매입원본!$AX$8:$AX$1007,INDEX($R$8:$R$207,$U38),매입원본!$BA$8:$BA$1007,"포함",매입원본!$AS$8:$AS$1007,"&gt;="&amp;EDATE(설정!$B$10,1),매입원본!$AS$8:$AS$1007,"&lt;="&amp;EOMONTH(설정!$B$10,1)))</f>
        <v/>
      </c>
      <c r="K38" s="33">
        <f>IF(OR($U38="",2&gt;=설정!$B$12),"",SUMIFS(매입원본!$AT$8:$AT$1007,매입원본!$AX$8:$AX$1007,INDEX($R$8:$R$207,$U38),매입원본!$BA$8:$BA$1007,"포함",매입원본!$AS$8:$AS$1007,"&gt;="&amp;EDATE(설정!$B$10,2),매입원본!$AS$8:$AS$1007,"&lt;="&amp;EOMONTH(설정!$B$10,2)))</f>
        <v/>
      </c>
      <c r="L38" s="33">
        <f>IF(OR($U38="",3&gt;=설정!$B$12),"",SUMIFS(매입원본!$AT$8:$AT$1007,매입원본!$AX$8:$AX$1007,INDEX($R$8:$R$207,$U38),매입원본!$BA$8:$BA$1007,"포함",매입원본!$AS$8:$AS$1007,"&gt;="&amp;EDATE(설정!$B$10,3),매입원본!$AS$8:$AS$1007,"&lt;="&amp;EOMONTH(설정!$B$10,3)))</f>
        <v/>
      </c>
      <c r="M38" s="33">
        <f>IF(OR($U38="",4&gt;=설정!$B$12),"",SUMIFS(매입원본!$AT$8:$AT$1007,매입원본!$AX$8:$AX$1007,INDEX($R$8:$R$207,$U38),매입원본!$BA$8:$BA$1007,"포함",매입원본!$AS$8:$AS$1007,"&gt;="&amp;EDATE(설정!$B$10,4),매입원본!$AS$8:$AS$1007,"&lt;="&amp;EOMONTH(설정!$B$10,4)))</f>
        <v/>
      </c>
      <c r="N38" s="33">
        <f>IF(OR($U38="",5&gt;=설정!$B$12),"",SUMIFS(매입원본!$AT$8:$AT$1007,매입원본!$AX$8:$AX$1007,INDEX($R$8:$R$207,$U38),매입원본!$BA$8:$BA$1007,"포함",매입원본!$AS$8:$AS$1007,"&gt;="&amp;EDATE(설정!$B$10,5),매입원본!$AS$8:$AS$1007,"&lt;="&amp;EOMONTH(설정!$B$10,5)))</f>
        <v/>
      </c>
      <c r="Q38" s="35" t="n">
        <v>31</v>
      </c>
      <c r="R38" s="35">
        <f>IFERROR(INDEX(매입원본!$AX$8:$AX$1007,MATCH($Q38,매입원본!$BD$8:$BD$1007,0)),"")</f>
        <v/>
      </c>
      <c r="S38" s="35">
        <f>IF($R38="","",SUMIFS(매입원본!$AT$8:$AT$1007,매입원본!$AX$8:$AX$1007,$R38,매입원본!$BA$8:$BA$1007,"포함"))</f>
        <v/>
      </c>
      <c r="T38" s="35">
        <f>IF($R38="","",$S38-$Q38/100000)</f>
        <v/>
      </c>
      <c r="U38" s="35">
        <f>IFERROR(MATCH(LARGE($T$8:$T$207,31),$T$8:$T$207,0),"")</f>
        <v/>
      </c>
    </row>
    <row r="39">
      <c r="A39" s="32">
        <f>IF($U39="","",32)</f>
        <v/>
      </c>
      <c r="B39" s="10">
        <f>IF($U39="","",IFERROR(INDEX(매입원본!$AZ$8:$AZ$1007,MATCH($U39,매입원본!$BD$8:$BD$1007,0)),""))</f>
        <v/>
      </c>
      <c r="C39" s="10">
        <f>IF($U39="","",IFERROR(INDEX(매입원본!$AY$8:$AY$1007,MATCH($U39,매입원본!$BD$8:$BD$1007,0)),""))</f>
        <v/>
      </c>
      <c r="D39" s="33">
        <f>IF($U39="","",COUNTIFS(매입원본!$AX$8:$AX$1007,INDEX($R$8:$R$207,$U39),매입원본!$BA$8:$BA$1007,"포함"))</f>
        <v/>
      </c>
      <c r="E39" s="33">
        <f>IF($U39="","",SUMIFS(매입원본!$AT$8:$AT$1007,매입원본!$AX$8:$AX$1007,INDEX($R$8:$R$207,$U39),매입원본!$BA$8:$BA$1007,"포함"))</f>
        <v/>
      </c>
      <c r="F39" s="33">
        <f>IF($U39="","",SUMIFS(매입원본!$AU$8:$AU$1007,매입원본!$AX$8:$AX$1007,INDEX($R$8:$R$207,$U39),매입원본!$BA$8:$BA$1007,"포함"))</f>
        <v/>
      </c>
      <c r="G39" s="33">
        <f>IF($U39="","",SUMIFS(매입원본!$AV$8:$AV$1007,매입원본!$AX$8:$AX$1007,INDEX($R$8:$R$207,$U39),매입원본!$BA$8:$BA$1007,"포함"))</f>
        <v/>
      </c>
      <c r="H39" s="34">
        <f>IF(OR($U39="",$E$7=0),"",E39/$E$7)</f>
        <v/>
      </c>
      <c r="I39" s="33">
        <f>IF(OR($U39="",0&gt;=설정!$B$12),"",SUMIFS(매입원본!$AT$8:$AT$1007,매입원본!$AX$8:$AX$1007,INDEX($R$8:$R$207,$U39),매입원본!$BA$8:$BA$1007,"포함",매입원본!$AS$8:$AS$1007,"&gt;="&amp;EDATE(설정!$B$10,0),매입원본!$AS$8:$AS$1007,"&lt;="&amp;EOMONTH(설정!$B$10,0)))</f>
        <v/>
      </c>
      <c r="J39" s="33">
        <f>IF(OR($U39="",1&gt;=설정!$B$12),"",SUMIFS(매입원본!$AT$8:$AT$1007,매입원본!$AX$8:$AX$1007,INDEX($R$8:$R$207,$U39),매입원본!$BA$8:$BA$1007,"포함",매입원본!$AS$8:$AS$1007,"&gt;="&amp;EDATE(설정!$B$10,1),매입원본!$AS$8:$AS$1007,"&lt;="&amp;EOMONTH(설정!$B$10,1)))</f>
        <v/>
      </c>
      <c r="K39" s="33">
        <f>IF(OR($U39="",2&gt;=설정!$B$12),"",SUMIFS(매입원본!$AT$8:$AT$1007,매입원본!$AX$8:$AX$1007,INDEX($R$8:$R$207,$U39),매입원본!$BA$8:$BA$1007,"포함",매입원본!$AS$8:$AS$1007,"&gt;="&amp;EDATE(설정!$B$10,2),매입원본!$AS$8:$AS$1007,"&lt;="&amp;EOMONTH(설정!$B$10,2)))</f>
        <v/>
      </c>
      <c r="L39" s="33">
        <f>IF(OR($U39="",3&gt;=설정!$B$12),"",SUMIFS(매입원본!$AT$8:$AT$1007,매입원본!$AX$8:$AX$1007,INDEX($R$8:$R$207,$U39),매입원본!$BA$8:$BA$1007,"포함",매입원본!$AS$8:$AS$1007,"&gt;="&amp;EDATE(설정!$B$10,3),매입원본!$AS$8:$AS$1007,"&lt;="&amp;EOMONTH(설정!$B$10,3)))</f>
        <v/>
      </c>
      <c r="M39" s="33">
        <f>IF(OR($U39="",4&gt;=설정!$B$12),"",SUMIFS(매입원본!$AT$8:$AT$1007,매입원본!$AX$8:$AX$1007,INDEX($R$8:$R$207,$U39),매입원본!$BA$8:$BA$1007,"포함",매입원본!$AS$8:$AS$1007,"&gt;="&amp;EDATE(설정!$B$10,4),매입원본!$AS$8:$AS$1007,"&lt;="&amp;EOMONTH(설정!$B$10,4)))</f>
        <v/>
      </c>
      <c r="N39" s="33">
        <f>IF(OR($U39="",5&gt;=설정!$B$12),"",SUMIFS(매입원본!$AT$8:$AT$1007,매입원본!$AX$8:$AX$1007,INDEX($R$8:$R$207,$U39),매입원본!$BA$8:$BA$1007,"포함",매입원본!$AS$8:$AS$1007,"&gt;="&amp;EDATE(설정!$B$10,5),매입원본!$AS$8:$AS$1007,"&lt;="&amp;EOMONTH(설정!$B$10,5)))</f>
        <v/>
      </c>
      <c r="Q39" s="35" t="n">
        <v>32</v>
      </c>
      <c r="R39" s="35">
        <f>IFERROR(INDEX(매입원본!$AX$8:$AX$1007,MATCH($Q39,매입원본!$BD$8:$BD$1007,0)),"")</f>
        <v/>
      </c>
      <c r="S39" s="35">
        <f>IF($R39="","",SUMIFS(매입원본!$AT$8:$AT$1007,매입원본!$AX$8:$AX$1007,$R39,매입원본!$BA$8:$BA$1007,"포함"))</f>
        <v/>
      </c>
      <c r="T39" s="35">
        <f>IF($R39="","",$S39-$Q39/100000)</f>
        <v/>
      </c>
      <c r="U39" s="35">
        <f>IFERROR(MATCH(LARGE($T$8:$T$207,32),$T$8:$T$207,0),"")</f>
        <v/>
      </c>
    </row>
    <row r="40">
      <c r="A40" s="32">
        <f>IF($U40="","",33)</f>
        <v/>
      </c>
      <c r="B40" s="10">
        <f>IF($U40="","",IFERROR(INDEX(매입원본!$AZ$8:$AZ$1007,MATCH($U40,매입원본!$BD$8:$BD$1007,0)),""))</f>
        <v/>
      </c>
      <c r="C40" s="10">
        <f>IF($U40="","",IFERROR(INDEX(매입원본!$AY$8:$AY$1007,MATCH($U40,매입원본!$BD$8:$BD$1007,0)),""))</f>
        <v/>
      </c>
      <c r="D40" s="33">
        <f>IF($U40="","",COUNTIFS(매입원본!$AX$8:$AX$1007,INDEX($R$8:$R$207,$U40),매입원본!$BA$8:$BA$1007,"포함"))</f>
        <v/>
      </c>
      <c r="E40" s="33">
        <f>IF($U40="","",SUMIFS(매입원본!$AT$8:$AT$1007,매입원본!$AX$8:$AX$1007,INDEX($R$8:$R$207,$U40),매입원본!$BA$8:$BA$1007,"포함"))</f>
        <v/>
      </c>
      <c r="F40" s="33">
        <f>IF($U40="","",SUMIFS(매입원본!$AU$8:$AU$1007,매입원본!$AX$8:$AX$1007,INDEX($R$8:$R$207,$U40),매입원본!$BA$8:$BA$1007,"포함"))</f>
        <v/>
      </c>
      <c r="G40" s="33">
        <f>IF($U40="","",SUMIFS(매입원본!$AV$8:$AV$1007,매입원본!$AX$8:$AX$1007,INDEX($R$8:$R$207,$U40),매입원본!$BA$8:$BA$1007,"포함"))</f>
        <v/>
      </c>
      <c r="H40" s="34">
        <f>IF(OR($U40="",$E$7=0),"",E40/$E$7)</f>
        <v/>
      </c>
      <c r="I40" s="33">
        <f>IF(OR($U40="",0&gt;=설정!$B$12),"",SUMIFS(매입원본!$AT$8:$AT$1007,매입원본!$AX$8:$AX$1007,INDEX($R$8:$R$207,$U40),매입원본!$BA$8:$BA$1007,"포함",매입원본!$AS$8:$AS$1007,"&gt;="&amp;EDATE(설정!$B$10,0),매입원본!$AS$8:$AS$1007,"&lt;="&amp;EOMONTH(설정!$B$10,0)))</f>
        <v/>
      </c>
      <c r="J40" s="33">
        <f>IF(OR($U40="",1&gt;=설정!$B$12),"",SUMIFS(매입원본!$AT$8:$AT$1007,매입원본!$AX$8:$AX$1007,INDEX($R$8:$R$207,$U40),매입원본!$BA$8:$BA$1007,"포함",매입원본!$AS$8:$AS$1007,"&gt;="&amp;EDATE(설정!$B$10,1),매입원본!$AS$8:$AS$1007,"&lt;="&amp;EOMONTH(설정!$B$10,1)))</f>
        <v/>
      </c>
      <c r="K40" s="33">
        <f>IF(OR($U40="",2&gt;=설정!$B$12),"",SUMIFS(매입원본!$AT$8:$AT$1007,매입원본!$AX$8:$AX$1007,INDEX($R$8:$R$207,$U40),매입원본!$BA$8:$BA$1007,"포함",매입원본!$AS$8:$AS$1007,"&gt;="&amp;EDATE(설정!$B$10,2),매입원본!$AS$8:$AS$1007,"&lt;="&amp;EOMONTH(설정!$B$10,2)))</f>
        <v/>
      </c>
      <c r="L40" s="33">
        <f>IF(OR($U40="",3&gt;=설정!$B$12),"",SUMIFS(매입원본!$AT$8:$AT$1007,매입원본!$AX$8:$AX$1007,INDEX($R$8:$R$207,$U40),매입원본!$BA$8:$BA$1007,"포함",매입원본!$AS$8:$AS$1007,"&gt;="&amp;EDATE(설정!$B$10,3),매입원본!$AS$8:$AS$1007,"&lt;="&amp;EOMONTH(설정!$B$10,3)))</f>
        <v/>
      </c>
      <c r="M40" s="33">
        <f>IF(OR($U40="",4&gt;=설정!$B$12),"",SUMIFS(매입원본!$AT$8:$AT$1007,매입원본!$AX$8:$AX$1007,INDEX($R$8:$R$207,$U40),매입원본!$BA$8:$BA$1007,"포함",매입원본!$AS$8:$AS$1007,"&gt;="&amp;EDATE(설정!$B$10,4),매입원본!$AS$8:$AS$1007,"&lt;="&amp;EOMONTH(설정!$B$10,4)))</f>
        <v/>
      </c>
      <c r="N40" s="33">
        <f>IF(OR($U40="",5&gt;=설정!$B$12),"",SUMIFS(매입원본!$AT$8:$AT$1007,매입원본!$AX$8:$AX$1007,INDEX($R$8:$R$207,$U40),매입원본!$BA$8:$BA$1007,"포함",매입원본!$AS$8:$AS$1007,"&gt;="&amp;EDATE(설정!$B$10,5),매입원본!$AS$8:$AS$1007,"&lt;="&amp;EOMONTH(설정!$B$10,5)))</f>
        <v/>
      </c>
      <c r="Q40" s="35" t="n">
        <v>33</v>
      </c>
      <c r="R40" s="35">
        <f>IFERROR(INDEX(매입원본!$AX$8:$AX$1007,MATCH($Q40,매입원본!$BD$8:$BD$1007,0)),"")</f>
        <v/>
      </c>
      <c r="S40" s="35">
        <f>IF($R40="","",SUMIFS(매입원본!$AT$8:$AT$1007,매입원본!$AX$8:$AX$1007,$R40,매입원본!$BA$8:$BA$1007,"포함"))</f>
        <v/>
      </c>
      <c r="T40" s="35">
        <f>IF($R40="","",$S40-$Q40/100000)</f>
        <v/>
      </c>
      <c r="U40" s="35">
        <f>IFERROR(MATCH(LARGE($T$8:$T$207,33),$T$8:$T$207,0),"")</f>
        <v/>
      </c>
    </row>
    <row r="41">
      <c r="A41" s="32">
        <f>IF($U41="","",34)</f>
        <v/>
      </c>
      <c r="B41" s="10">
        <f>IF($U41="","",IFERROR(INDEX(매입원본!$AZ$8:$AZ$1007,MATCH($U41,매입원본!$BD$8:$BD$1007,0)),""))</f>
        <v/>
      </c>
      <c r="C41" s="10">
        <f>IF($U41="","",IFERROR(INDEX(매입원본!$AY$8:$AY$1007,MATCH($U41,매입원본!$BD$8:$BD$1007,0)),""))</f>
        <v/>
      </c>
      <c r="D41" s="33">
        <f>IF($U41="","",COUNTIFS(매입원본!$AX$8:$AX$1007,INDEX($R$8:$R$207,$U41),매입원본!$BA$8:$BA$1007,"포함"))</f>
        <v/>
      </c>
      <c r="E41" s="33">
        <f>IF($U41="","",SUMIFS(매입원본!$AT$8:$AT$1007,매입원본!$AX$8:$AX$1007,INDEX($R$8:$R$207,$U41),매입원본!$BA$8:$BA$1007,"포함"))</f>
        <v/>
      </c>
      <c r="F41" s="33">
        <f>IF($U41="","",SUMIFS(매입원본!$AU$8:$AU$1007,매입원본!$AX$8:$AX$1007,INDEX($R$8:$R$207,$U41),매입원본!$BA$8:$BA$1007,"포함"))</f>
        <v/>
      </c>
      <c r="G41" s="33">
        <f>IF($U41="","",SUMIFS(매입원본!$AV$8:$AV$1007,매입원본!$AX$8:$AX$1007,INDEX($R$8:$R$207,$U41),매입원본!$BA$8:$BA$1007,"포함"))</f>
        <v/>
      </c>
      <c r="H41" s="34">
        <f>IF(OR($U41="",$E$7=0),"",E41/$E$7)</f>
        <v/>
      </c>
      <c r="I41" s="33">
        <f>IF(OR($U41="",0&gt;=설정!$B$12),"",SUMIFS(매입원본!$AT$8:$AT$1007,매입원본!$AX$8:$AX$1007,INDEX($R$8:$R$207,$U41),매입원본!$BA$8:$BA$1007,"포함",매입원본!$AS$8:$AS$1007,"&gt;="&amp;EDATE(설정!$B$10,0),매입원본!$AS$8:$AS$1007,"&lt;="&amp;EOMONTH(설정!$B$10,0)))</f>
        <v/>
      </c>
      <c r="J41" s="33">
        <f>IF(OR($U41="",1&gt;=설정!$B$12),"",SUMIFS(매입원본!$AT$8:$AT$1007,매입원본!$AX$8:$AX$1007,INDEX($R$8:$R$207,$U41),매입원본!$BA$8:$BA$1007,"포함",매입원본!$AS$8:$AS$1007,"&gt;="&amp;EDATE(설정!$B$10,1),매입원본!$AS$8:$AS$1007,"&lt;="&amp;EOMONTH(설정!$B$10,1)))</f>
        <v/>
      </c>
      <c r="K41" s="33">
        <f>IF(OR($U41="",2&gt;=설정!$B$12),"",SUMIFS(매입원본!$AT$8:$AT$1007,매입원본!$AX$8:$AX$1007,INDEX($R$8:$R$207,$U41),매입원본!$BA$8:$BA$1007,"포함",매입원본!$AS$8:$AS$1007,"&gt;="&amp;EDATE(설정!$B$10,2),매입원본!$AS$8:$AS$1007,"&lt;="&amp;EOMONTH(설정!$B$10,2)))</f>
        <v/>
      </c>
      <c r="L41" s="33">
        <f>IF(OR($U41="",3&gt;=설정!$B$12),"",SUMIFS(매입원본!$AT$8:$AT$1007,매입원본!$AX$8:$AX$1007,INDEX($R$8:$R$207,$U41),매입원본!$BA$8:$BA$1007,"포함",매입원본!$AS$8:$AS$1007,"&gt;="&amp;EDATE(설정!$B$10,3),매입원본!$AS$8:$AS$1007,"&lt;="&amp;EOMONTH(설정!$B$10,3)))</f>
        <v/>
      </c>
      <c r="M41" s="33">
        <f>IF(OR($U41="",4&gt;=설정!$B$12),"",SUMIFS(매입원본!$AT$8:$AT$1007,매입원본!$AX$8:$AX$1007,INDEX($R$8:$R$207,$U41),매입원본!$BA$8:$BA$1007,"포함",매입원본!$AS$8:$AS$1007,"&gt;="&amp;EDATE(설정!$B$10,4),매입원본!$AS$8:$AS$1007,"&lt;="&amp;EOMONTH(설정!$B$10,4)))</f>
        <v/>
      </c>
      <c r="N41" s="33">
        <f>IF(OR($U41="",5&gt;=설정!$B$12),"",SUMIFS(매입원본!$AT$8:$AT$1007,매입원본!$AX$8:$AX$1007,INDEX($R$8:$R$207,$U41),매입원본!$BA$8:$BA$1007,"포함",매입원본!$AS$8:$AS$1007,"&gt;="&amp;EDATE(설정!$B$10,5),매입원본!$AS$8:$AS$1007,"&lt;="&amp;EOMONTH(설정!$B$10,5)))</f>
        <v/>
      </c>
      <c r="Q41" s="35" t="n">
        <v>34</v>
      </c>
      <c r="R41" s="35">
        <f>IFERROR(INDEX(매입원본!$AX$8:$AX$1007,MATCH($Q41,매입원본!$BD$8:$BD$1007,0)),"")</f>
        <v/>
      </c>
      <c r="S41" s="35">
        <f>IF($R41="","",SUMIFS(매입원본!$AT$8:$AT$1007,매입원본!$AX$8:$AX$1007,$R41,매입원본!$BA$8:$BA$1007,"포함"))</f>
        <v/>
      </c>
      <c r="T41" s="35">
        <f>IF($R41="","",$S41-$Q41/100000)</f>
        <v/>
      </c>
      <c r="U41" s="35">
        <f>IFERROR(MATCH(LARGE($T$8:$T$207,34),$T$8:$T$207,0),"")</f>
        <v/>
      </c>
    </row>
    <row r="42">
      <c r="A42" s="32">
        <f>IF($U42="","",35)</f>
        <v/>
      </c>
      <c r="B42" s="10">
        <f>IF($U42="","",IFERROR(INDEX(매입원본!$AZ$8:$AZ$1007,MATCH($U42,매입원본!$BD$8:$BD$1007,0)),""))</f>
        <v/>
      </c>
      <c r="C42" s="10">
        <f>IF($U42="","",IFERROR(INDEX(매입원본!$AY$8:$AY$1007,MATCH($U42,매입원본!$BD$8:$BD$1007,0)),""))</f>
        <v/>
      </c>
      <c r="D42" s="33">
        <f>IF($U42="","",COUNTIFS(매입원본!$AX$8:$AX$1007,INDEX($R$8:$R$207,$U42),매입원본!$BA$8:$BA$1007,"포함"))</f>
        <v/>
      </c>
      <c r="E42" s="33">
        <f>IF($U42="","",SUMIFS(매입원본!$AT$8:$AT$1007,매입원본!$AX$8:$AX$1007,INDEX($R$8:$R$207,$U42),매입원본!$BA$8:$BA$1007,"포함"))</f>
        <v/>
      </c>
      <c r="F42" s="33">
        <f>IF($U42="","",SUMIFS(매입원본!$AU$8:$AU$1007,매입원본!$AX$8:$AX$1007,INDEX($R$8:$R$207,$U42),매입원본!$BA$8:$BA$1007,"포함"))</f>
        <v/>
      </c>
      <c r="G42" s="33">
        <f>IF($U42="","",SUMIFS(매입원본!$AV$8:$AV$1007,매입원본!$AX$8:$AX$1007,INDEX($R$8:$R$207,$U42),매입원본!$BA$8:$BA$1007,"포함"))</f>
        <v/>
      </c>
      <c r="H42" s="34">
        <f>IF(OR($U42="",$E$7=0),"",E42/$E$7)</f>
        <v/>
      </c>
      <c r="I42" s="33">
        <f>IF(OR($U42="",0&gt;=설정!$B$12),"",SUMIFS(매입원본!$AT$8:$AT$1007,매입원본!$AX$8:$AX$1007,INDEX($R$8:$R$207,$U42),매입원본!$BA$8:$BA$1007,"포함",매입원본!$AS$8:$AS$1007,"&gt;="&amp;EDATE(설정!$B$10,0),매입원본!$AS$8:$AS$1007,"&lt;="&amp;EOMONTH(설정!$B$10,0)))</f>
        <v/>
      </c>
      <c r="J42" s="33">
        <f>IF(OR($U42="",1&gt;=설정!$B$12),"",SUMIFS(매입원본!$AT$8:$AT$1007,매입원본!$AX$8:$AX$1007,INDEX($R$8:$R$207,$U42),매입원본!$BA$8:$BA$1007,"포함",매입원본!$AS$8:$AS$1007,"&gt;="&amp;EDATE(설정!$B$10,1),매입원본!$AS$8:$AS$1007,"&lt;="&amp;EOMONTH(설정!$B$10,1)))</f>
        <v/>
      </c>
      <c r="K42" s="33">
        <f>IF(OR($U42="",2&gt;=설정!$B$12),"",SUMIFS(매입원본!$AT$8:$AT$1007,매입원본!$AX$8:$AX$1007,INDEX($R$8:$R$207,$U42),매입원본!$BA$8:$BA$1007,"포함",매입원본!$AS$8:$AS$1007,"&gt;="&amp;EDATE(설정!$B$10,2),매입원본!$AS$8:$AS$1007,"&lt;="&amp;EOMONTH(설정!$B$10,2)))</f>
        <v/>
      </c>
      <c r="L42" s="33">
        <f>IF(OR($U42="",3&gt;=설정!$B$12),"",SUMIFS(매입원본!$AT$8:$AT$1007,매입원본!$AX$8:$AX$1007,INDEX($R$8:$R$207,$U42),매입원본!$BA$8:$BA$1007,"포함",매입원본!$AS$8:$AS$1007,"&gt;="&amp;EDATE(설정!$B$10,3),매입원본!$AS$8:$AS$1007,"&lt;="&amp;EOMONTH(설정!$B$10,3)))</f>
        <v/>
      </c>
      <c r="M42" s="33">
        <f>IF(OR($U42="",4&gt;=설정!$B$12),"",SUMIFS(매입원본!$AT$8:$AT$1007,매입원본!$AX$8:$AX$1007,INDEX($R$8:$R$207,$U42),매입원본!$BA$8:$BA$1007,"포함",매입원본!$AS$8:$AS$1007,"&gt;="&amp;EDATE(설정!$B$10,4),매입원본!$AS$8:$AS$1007,"&lt;="&amp;EOMONTH(설정!$B$10,4)))</f>
        <v/>
      </c>
      <c r="N42" s="33">
        <f>IF(OR($U42="",5&gt;=설정!$B$12),"",SUMIFS(매입원본!$AT$8:$AT$1007,매입원본!$AX$8:$AX$1007,INDEX($R$8:$R$207,$U42),매입원본!$BA$8:$BA$1007,"포함",매입원본!$AS$8:$AS$1007,"&gt;="&amp;EDATE(설정!$B$10,5),매입원본!$AS$8:$AS$1007,"&lt;="&amp;EOMONTH(설정!$B$10,5)))</f>
        <v/>
      </c>
      <c r="Q42" s="35" t="n">
        <v>35</v>
      </c>
      <c r="R42" s="35">
        <f>IFERROR(INDEX(매입원본!$AX$8:$AX$1007,MATCH($Q42,매입원본!$BD$8:$BD$1007,0)),"")</f>
        <v/>
      </c>
      <c r="S42" s="35">
        <f>IF($R42="","",SUMIFS(매입원본!$AT$8:$AT$1007,매입원본!$AX$8:$AX$1007,$R42,매입원본!$BA$8:$BA$1007,"포함"))</f>
        <v/>
      </c>
      <c r="T42" s="35">
        <f>IF($R42="","",$S42-$Q42/100000)</f>
        <v/>
      </c>
      <c r="U42" s="35">
        <f>IFERROR(MATCH(LARGE($T$8:$T$207,35),$T$8:$T$207,0),"")</f>
        <v/>
      </c>
    </row>
    <row r="43">
      <c r="A43" s="32">
        <f>IF($U43="","",36)</f>
        <v/>
      </c>
      <c r="B43" s="10">
        <f>IF($U43="","",IFERROR(INDEX(매입원본!$AZ$8:$AZ$1007,MATCH($U43,매입원본!$BD$8:$BD$1007,0)),""))</f>
        <v/>
      </c>
      <c r="C43" s="10">
        <f>IF($U43="","",IFERROR(INDEX(매입원본!$AY$8:$AY$1007,MATCH($U43,매입원본!$BD$8:$BD$1007,0)),""))</f>
        <v/>
      </c>
      <c r="D43" s="33">
        <f>IF($U43="","",COUNTIFS(매입원본!$AX$8:$AX$1007,INDEX($R$8:$R$207,$U43),매입원본!$BA$8:$BA$1007,"포함"))</f>
        <v/>
      </c>
      <c r="E43" s="33">
        <f>IF($U43="","",SUMIFS(매입원본!$AT$8:$AT$1007,매입원본!$AX$8:$AX$1007,INDEX($R$8:$R$207,$U43),매입원본!$BA$8:$BA$1007,"포함"))</f>
        <v/>
      </c>
      <c r="F43" s="33">
        <f>IF($U43="","",SUMIFS(매입원본!$AU$8:$AU$1007,매입원본!$AX$8:$AX$1007,INDEX($R$8:$R$207,$U43),매입원본!$BA$8:$BA$1007,"포함"))</f>
        <v/>
      </c>
      <c r="G43" s="33">
        <f>IF($U43="","",SUMIFS(매입원본!$AV$8:$AV$1007,매입원본!$AX$8:$AX$1007,INDEX($R$8:$R$207,$U43),매입원본!$BA$8:$BA$1007,"포함"))</f>
        <v/>
      </c>
      <c r="H43" s="34">
        <f>IF(OR($U43="",$E$7=0),"",E43/$E$7)</f>
        <v/>
      </c>
      <c r="I43" s="33">
        <f>IF(OR($U43="",0&gt;=설정!$B$12),"",SUMIFS(매입원본!$AT$8:$AT$1007,매입원본!$AX$8:$AX$1007,INDEX($R$8:$R$207,$U43),매입원본!$BA$8:$BA$1007,"포함",매입원본!$AS$8:$AS$1007,"&gt;="&amp;EDATE(설정!$B$10,0),매입원본!$AS$8:$AS$1007,"&lt;="&amp;EOMONTH(설정!$B$10,0)))</f>
        <v/>
      </c>
      <c r="J43" s="33">
        <f>IF(OR($U43="",1&gt;=설정!$B$12),"",SUMIFS(매입원본!$AT$8:$AT$1007,매입원본!$AX$8:$AX$1007,INDEX($R$8:$R$207,$U43),매입원본!$BA$8:$BA$1007,"포함",매입원본!$AS$8:$AS$1007,"&gt;="&amp;EDATE(설정!$B$10,1),매입원본!$AS$8:$AS$1007,"&lt;="&amp;EOMONTH(설정!$B$10,1)))</f>
        <v/>
      </c>
      <c r="K43" s="33">
        <f>IF(OR($U43="",2&gt;=설정!$B$12),"",SUMIFS(매입원본!$AT$8:$AT$1007,매입원본!$AX$8:$AX$1007,INDEX($R$8:$R$207,$U43),매입원본!$BA$8:$BA$1007,"포함",매입원본!$AS$8:$AS$1007,"&gt;="&amp;EDATE(설정!$B$10,2),매입원본!$AS$8:$AS$1007,"&lt;="&amp;EOMONTH(설정!$B$10,2)))</f>
        <v/>
      </c>
      <c r="L43" s="33">
        <f>IF(OR($U43="",3&gt;=설정!$B$12),"",SUMIFS(매입원본!$AT$8:$AT$1007,매입원본!$AX$8:$AX$1007,INDEX($R$8:$R$207,$U43),매입원본!$BA$8:$BA$1007,"포함",매입원본!$AS$8:$AS$1007,"&gt;="&amp;EDATE(설정!$B$10,3),매입원본!$AS$8:$AS$1007,"&lt;="&amp;EOMONTH(설정!$B$10,3)))</f>
        <v/>
      </c>
      <c r="M43" s="33">
        <f>IF(OR($U43="",4&gt;=설정!$B$12),"",SUMIFS(매입원본!$AT$8:$AT$1007,매입원본!$AX$8:$AX$1007,INDEX($R$8:$R$207,$U43),매입원본!$BA$8:$BA$1007,"포함",매입원본!$AS$8:$AS$1007,"&gt;="&amp;EDATE(설정!$B$10,4),매입원본!$AS$8:$AS$1007,"&lt;="&amp;EOMONTH(설정!$B$10,4)))</f>
        <v/>
      </c>
      <c r="N43" s="33">
        <f>IF(OR($U43="",5&gt;=설정!$B$12),"",SUMIFS(매입원본!$AT$8:$AT$1007,매입원본!$AX$8:$AX$1007,INDEX($R$8:$R$207,$U43),매입원본!$BA$8:$BA$1007,"포함",매입원본!$AS$8:$AS$1007,"&gt;="&amp;EDATE(설정!$B$10,5),매입원본!$AS$8:$AS$1007,"&lt;="&amp;EOMONTH(설정!$B$10,5)))</f>
        <v/>
      </c>
      <c r="Q43" s="35" t="n">
        <v>36</v>
      </c>
      <c r="R43" s="35">
        <f>IFERROR(INDEX(매입원본!$AX$8:$AX$1007,MATCH($Q43,매입원본!$BD$8:$BD$1007,0)),"")</f>
        <v/>
      </c>
      <c r="S43" s="35">
        <f>IF($R43="","",SUMIFS(매입원본!$AT$8:$AT$1007,매입원본!$AX$8:$AX$1007,$R43,매입원본!$BA$8:$BA$1007,"포함"))</f>
        <v/>
      </c>
      <c r="T43" s="35">
        <f>IF($R43="","",$S43-$Q43/100000)</f>
        <v/>
      </c>
      <c r="U43" s="35">
        <f>IFERROR(MATCH(LARGE($T$8:$T$207,36),$T$8:$T$207,0),"")</f>
        <v/>
      </c>
    </row>
    <row r="44">
      <c r="A44" s="32">
        <f>IF($U44="","",37)</f>
        <v/>
      </c>
      <c r="B44" s="10">
        <f>IF($U44="","",IFERROR(INDEX(매입원본!$AZ$8:$AZ$1007,MATCH($U44,매입원본!$BD$8:$BD$1007,0)),""))</f>
        <v/>
      </c>
      <c r="C44" s="10">
        <f>IF($U44="","",IFERROR(INDEX(매입원본!$AY$8:$AY$1007,MATCH($U44,매입원본!$BD$8:$BD$1007,0)),""))</f>
        <v/>
      </c>
      <c r="D44" s="33">
        <f>IF($U44="","",COUNTIFS(매입원본!$AX$8:$AX$1007,INDEX($R$8:$R$207,$U44),매입원본!$BA$8:$BA$1007,"포함"))</f>
        <v/>
      </c>
      <c r="E44" s="33">
        <f>IF($U44="","",SUMIFS(매입원본!$AT$8:$AT$1007,매입원본!$AX$8:$AX$1007,INDEX($R$8:$R$207,$U44),매입원본!$BA$8:$BA$1007,"포함"))</f>
        <v/>
      </c>
      <c r="F44" s="33">
        <f>IF($U44="","",SUMIFS(매입원본!$AU$8:$AU$1007,매입원본!$AX$8:$AX$1007,INDEX($R$8:$R$207,$U44),매입원본!$BA$8:$BA$1007,"포함"))</f>
        <v/>
      </c>
      <c r="G44" s="33">
        <f>IF($U44="","",SUMIFS(매입원본!$AV$8:$AV$1007,매입원본!$AX$8:$AX$1007,INDEX($R$8:$R$207,$U44),매입원본!$BA$8:$BA$1007,"포함"))</f>
        <v/>
      </c>
      <c r="H44" s="34">
        <f>IF(OR($U44="",$E$7=0),"",E44/$E$7)</f>
        <v/>
      </c>
      <c r="I44" s="33">
        <f>IF(OR($U44="",0&gt;=설정!$B$12),"",SUMIFS(매입원본!$AT$8:$AT$1007,매입원본!$AX$8:$AX$1007,INDEX($R$8:$R$207,$U44),매입원본!$BA$8:$BA$1007,"포함",매입원본!$AS$8:$AS$1007,"&gt;="&amp;EDATE(설정!$B$10,0),매입원본!$AS$8:$AS$1007,"&lt;="&amp;EOMONTH(설정!$B$10,0)))</f>
        <v/>
      </c>
      <c r="J44" s="33">
        <f>IF(OR($U44="",1&gt;=설정!$B$12),"",SUMIFS(매입원본!$AT$8:$AT$1007,매입원본!$AX$8:$AX$1007,INDEX($R$8:$R$207,$U44),매입원본!$BA$8:$BA$1007,"포함",매입원본!$AS$8:$AS$1007,"&gt;="&amp;EDATE(설정!$B$10,1),매입원본!$AS$8:$AS$1007,"&lt;="&amp;EOMONTH(설정!$B$10,1)))</f>
        <v/>
      </c>
      <c r="K44" s="33">
        <f>IF(OR($U44="",2&gt;=설정!$B$12),"",SUMIFS(매입원본!$AT$8:$AT$1007,매입원본!$AX$8:$AX$1007,INDEX($R$8:$R$207,$U44),매입원본!$BA$8:$BA$1007,"포함",매입원본!$AS$8:$AS$1007,"&gt;="&amp;EDATE(설정!$B$10,2),매입원본!$AS$8:$AS$1007,"&lt;="&amp;EOMONTH(설정!$B$10,2)))</f>
        <v/>
      </c>
      <c r="L44" s="33">
        <f>IF(OR($U44="",3&gt;=설정!$B$12),"",SUMIFS(매입원본!$AT$8:$AT$1007,매입원본!$AX$8:$AX$1007,INDEX($R$8:$R$207,$U44),매입원본!$BA$8:$BA$1007,"포함",매입원본!$AS$8:$AS$1007,"&gt;="&amp;EDATE(설정!$B$10,3),매입원본!$AS$8:$AS$1007,"&lt;="&amp;EOMONTH(설정!$B$10,3)))</f>
        <v/>
      </c>
      <c r="M44" s="33">
        <f>IF(OR($U44="",4&gt;=설정!$B$12),"",SUMIFS(매입원본!$AT$8:$AT$1007,매입원본!$AX$8:$AX$1007,INDEX($R$8:$R$207,$U44),매입원본!$BA$8:$BA$1007,"포함",매입원본!$AS$8:$AS$1007,"&gt;="&amp;EDATE(설정!$B$10,4),매입원본!$AS$8:$AS$1007,"&lt;="&amp;EOMONTH(설정!$B$10,4)))</f>
        <v/>
      </c>
      <c r="N44" s="33">
        <f>IF(OR($U44="",5&gt;=설정!$B$12),"",SUMIFS(매입원본!$AT$8:$AT$1007,매입원본!$AX$8:$AX$1007,INDEX($R$8:$R$207,$U44),매입원본!$BA$8:$BA$1007,"포함",매입원본!$AS$8:$AS$1007,"&gt;="&amp;EDATE(설정!$B$10,5),매입원본!$AS$8:$AS$1007,"&lt;="&amp;EOMONTH(설정!$B$10,5)))</f>
        <v/>
      </c>
      <c r="Q44" s="35" t="n">
        <v>37</v>
      </c>
      <c r="R44" s="35">
        <f>IFERROR(INDEX(매입원본!$AX$8:$AX$1007,MATCH($Q44,매입원본!$BD$8:$BD$1007,0)),"")</f>
        <v/>
      </c>
      <c r="S44" s="35">
        <f>IF($R44="","",SUMIFS(매입원본!$AT$8:$AT$1007,매입원본!$AX$8:$AX$1007,$R44,매입원본!$BA$8:$BA$1007,"포함"))</f>
        <v/>
      </c>
      <c r="T44" s="35">
        <f>IF($R44="","",$S44-$Q44/100000)</f>
        <v/>
      </c>
      <c r="U44" s="35">
        <f>IFERROR(MATCH(LARGE($T$8:$T$207,37),$T$8:$T$207,0),"")</f>
        <v/>
      </c>
    </row>
    <row r="45">
      <c r="A45" s="32">
        <f>IF($U45="","",38)</f>
        <v/>
      </c>
      <c r="B45" s="10">
        <f>IF($U45="","",IFERROR(INDEX(매입원본!$AZ$8:$AZ$1007,MATCH($U45,매입원본!$BD$8:$BD$1007,0)),""))</f>
        <v/>
      </c>
      <c r="C45" s="10">
        <f>IF($U45="","",IFERROR(INDEX(매입원본!$AY$8:$AY$1007,MATCH($U45,매입원본!$BD$8:$BD$1007,0)),""))</f>
        <v/>
      </c>
      <c r="D45" s="33">
        <f>IF($U45="","",COUNTIFS(매입원본!$AX$8:$AX$1007,INDEX($R$8:$R$207,$U45),매입원본!$BA$8:$BA$1007,"포함"))</f>
        <v/>
      </c>
      <c r="E45" s="33">
        <f>IF($U45="","",SUMIFS(매입원본!$AT$8:$AT$1007,매입원본!$AX$8:$AX$1007,INDEX($R$8:$R$207,$U45),매입원본!$BA$8:$BA$1007,"포함"))</f>
        <v/>
      </c>
      <c r="F45" s="33">
        <f>IF($U45="","",SUMIFS(매입원본!$AU$8:$AU$1007,매입원본!$AX$8:$AX$1007,INDEX($R$8:$R$207,$U45),매입원본!$BA$8:$BA$1007,"포함"))</f>
        <v/>
      </c>
      <c r="G45" s="33">
        <f>IF($U45="","",SUMIFS(매입원본!$AV$8:$AV$1007,매입원본!$AX$8:$AX$1007,INDEX($R$8:$R$207,$U45),매입원본!$BA$8:$BA$1007,"포함"))</f>
        <v/>
      </c>
      <c r="H45" s="34">
        <f>IF(OR($U45="",$E$7=0),"",E45/$E$7)</f>
        <v/>
      </c>
      <c r="I45" s="33">
        <f>IF(OR($U45="",0&gt;=설정!$B$12),"",SUMIFS(매입원본!$AT$8:$AT$1007,매입원본!$AX$8:$AX$1007,INDEX($R$8:$R$207,$U45),매입원본!$BA$8:$BA$1007,"포함",매입원본!$AS$8:$AS$1007,"&gt;="&amp;EDATE(설정!$B$10,0),매입원본!$AS$8:$AS$1007,"&lt;="&amp;EOMONTH(설정!$B$10,0)))</f>
        <v/>
      </c>
      <c r="J45" s="33">
        <f>IF(OR($U45="",1&gt;=설정!$B$12),"",SUMIFS(매입원본!$AT$8:$AT$1007,매입원본!$AX$8:$AX$1007,INDEX($R$8:$R$207,$U45),매입원본!$BA$8:$BA$1007,"포함",매입원본!$AS$8:$AS$1007,"&gt;="&amp;EDATE(설정!$B$10,1),매입원본!$AS$8:$AS$1007,"&lt;="&amp;EOMONTH(설정!$B$10,1)))</f>
        <v/>
      </c>
      <c r="K45" s="33">
        <f>IF(OR($U45="",2&gt;=설정!$B$12),"",SUMIFS(매입원본!$AT$8:$AT$1007,매입원본!$AX$8:$AX$1007,INDEX($R$8:$R$207,$U45),매입원본!$BA$8:$BA$1007,"포함",매입원본!$AS$8:$AS$1007,"&gt;="&amp;EDATE(설정!$B$10,2),매입원본!$AS$8:$AS$1007,"&lt;="&amp;EOMONTH(설정!$B$10,2)))</f>
        <v/>
      </c>
      <c r="L45" s="33">
        <f>IF(OR($U45="",3&gt;=설정!$B$12),"",SUMIFS(매입원본!$AT$8:$AT$1007,매입원본!$AX$8:$AX$1007,INDEX($R$8:$R$207,$U45),매입원본!$BA$8:$BA$1007,"포함",매입원본!$AS$8:$AS$1007,"&gt;="&amp;EDATE(설정!$B$10,3),매입원본!$AS$8:$AS$1007,"&lt;="&amp;EOMONTH(설정!$B$10,3)))</f>
        <v/>
      </c>
      <c r="M45" s="33">
        <f>IF(OR($U45="",4&gt;=설정!$B$12),"",SUMIFS(매입원본!$AT$8:$AT$1007,매입원본!$AX$8:$AX$1007,INDEX($R$8:$R$207,$U45),매입원본!$BA$8:$BA$1007,"포함",매입원본!$AS$8:$AS$1007,"&gt;="&amp;EDATE(설정!$B$10,4),매입원본!$AS$8:$AS$1007,"&lt;="&amp;EOMONTH(설정!$B$10,4)))</f>
        <v/>
      </c>
      <c r="N45" s="33">
        <f>IF(OR($U45="",5&gt;=설정!$B$12),"",SUMIFS(매입원본!$AT$8:$AT$1007,매입원본!$AX$8:$AX$1007,INDEX($R$8:$R$207,$U45),매입원본!$BA$8:$BA$1007,"포함",매입원본!$AS$8:$AS$1007,"&gt;="&amp;EDATE(설정!$B$10,5),매입원본!$AS$8:$AS$1007,"&lt;="&amp;EOMONTH(설정!$B$10,5)))</f>
        <v/>
      </c>
      <c r="Q45" s="35" t="n">
        <v>38</v>
      </c>
      <c r="R45" s="35">
        <f>IFERROR(INDEX(매입원본!$AX$8:$AX$1007,MATCH($Q45,매입원본!$BD$8:$BD$1007,0)),"")</f>
        <v/>
      </c>
      <c r="S45" s="35">
        <f>IF($R45="","",SUMIFS(매입원본!$AT$8:$AT$1007,매입원본!$AX$8:$AX$1007,$R45,매입원본!$BA$8:$BA$1007,"포함"))</f>
        <v/>
      </c>
      <c r="T45" s="35">
        <f>IF($R45="","",$S45-$Q45/100000)</f>
        <v/>
      </c>
      <c r="U45" s="35">
        <f>IFERROR(MATCH(LARGE($T$8:$T$207,38),$T$8:$T$207,0),"")</f>
        <v/>
      </c>
    </row>
    <row r="46">
      <c r="A46" s="32">
        <f>IF($U46="","",39)</f>
        <v/>
      </c>
      <c r="B46" s="10">
        <f>IF($U46="","",IFERROR(INDEX(매입원본!$AZ$8:$AZ$1007,MATCH($U46,매입원본!$BD$8:$BD$1007,0)),""))</f>
        <v/>
      </c>
      <c r="C46" s="10">
        <f>IF($U46="","",IFERROR(INDEX(매입원본!$AY$8:$AY$1007,MATCH($U46,매입원본!$BD$8:$BD$1007,0)),""))</f>
        <v/>
      </c>
      <c r="D46" s="33">
        <f>IF($U46="","",COUNTIFS(매입원본!$AX$8:$AX$1007,INDEX($R$8:$R$207,$U46),매입원본!$BA$8:$BA$1007,"포함"))</f>
        <v/>
      </c>
      <c r="E46" s="33">
        <f>IF($U46="","",SUMIFS(매입원본!$AT$8:$AT$1007,매입원본!$AX$8:$AX$1007,INDEX($R$8:$R$207,$U46),매입원본!$BA$8:$BA$1007,"포함"))</f>
        <v/>
      </c>
      <c r="F46" s="33">
        <f>IF($U46="","",SUMIFS(매입원본!$AU$8:$AU$1007,매입원본!$AX$8:$AX$1007,INDEX($R$8:$R$207,$U46),매입원본!$BA$8:$BA$1007,"포함"))</f>
        <v/>
      </c>
      <c r="G46" s="33">
        <f>IF($U46="","",SUMIFS(매입원본!$AV$8:$AV$1007,매입원본!$AX$8:$AX$1007,INDEX($R$8:$R$207,$U46),매입원본!$BA$8:$BA$1007,"포함"))</f>
        <v/>
      </c>
      <c r="H46" s="34">
        <f>IF(OR($U46="",$E$7=0),"",E46/$E$7)</f>
        <v/>
      </c>
      <c r="I46" s="33">
        <f>IF(OR($U46="",0&gt;=설정!$B$12),"",SUMIFS(매입원본!$AT$8:$AT$1007,매입원본!$AX$8:$AX$1007,INDEX($R$8:$R$207,$U46),매입원본!$BA$8:$BA$1007,"포함",매입원본!$AS$8:$AS$1007,"&gt;="&amp;EDATE(설정!$B$10,0),매입원본!$AS$8:$AS$1007,"&lt;="&amp;EOMONTH(설정!$B$10,0)))</f>
        <v/>
      </c>
      <c r="J46" s="33">
        <f>IF(OR($U46="",1&gt;=설정!$B$12),"",SUMIFS(매입원본!$AT$8:$AT$1007,매입원본!$AX$8:$AX$1007,INDEX($R$8:$R$207,$U46),매입원본!$BA$8:$BA$1007,"포함",매입원본!$AS$8:$AS$1007,"&gt;="&amp;EDATE(설정!$B$10,1),매입원본!$AS$8:$AS$1007,"&lt;="&amp;EOMONTH(설정!$B$10,1)))</f>
        <v/>
      </c>
      <c r="K46" s="33">
        <f>IF(OR($U46="",2&gt;=설정!$B$12),"",SUMIFS(매입원본!$AT$8:$AT$1007,매입원본!$AX$8:$AX$1007,INDEX($R$8:$R$207,$U46),매입원본!$BA$8:$BA$1007,"포함",매입원본!$AS$8:$AS$1007,"&gt;="&amp;EDATE(설정!$B$10,2),매입원본!$AS$8:$AS$1007,"&lt;="&amp;EOMONTH(설정!$B$10,2)))</f>
        <v/>
      </c>
      <c r="L46" s="33">
        <f>IF(OR($U46="",3&gt;=설정!$B$12),"",SUMIFS(매입원본!$AT$8:$AT$1007,매입원본!$AX$8:$AX$1007,INDEX($R$8:$R$207,$U46),매입원본!$BA$8:$BA$1007,"포함",매입원본!$AS$8:$AS$1007,"&gt;="&amp;EDATE(설정!$B$10,3),매입원본!$AS$8:$AS$1007,"&lt;="&amp;EOMONTH(설정!$B$10,3)))</f>
        <v/>
      </c>
      <c r="M46" s="33">
        <f>IF(OR($U46="",4&gt;=설정!$B$12),"",SUMIFS(매입원본!$AT$8:$AT$1007,매입원본!$AX$8:$AX$1007,INDEX($R$8:$R$207,$U46),매입원본!$BA$8:$BA$1007,"포함",매입원본!$AS$8:$AS$1007,"&gt;="&amp;EDATE(설정!$B$10,4),매입원본!$AS$8:$AS$1007,"&lt;="&amp;EOMONTH(설정!$B$10,4)))</f>
        <v/>
      </c>
      <c r="N46" s="33">
        <f>IF(OR($U46="",5&gt;=설정!$B$12),"",SUMIFS(매입원본!$AT$8:$AT$1007,매입원본!$AX$8:$AX$1007,INDEX($R$8:$R$207,$U46),매입원본!$BA$8:$BA$1007,"포함",매입원본!$AS$8:$AS$1007,"&gt;="&amp;EDATE(설정!$B$10,5),매입원본!$AS$8:$AS$1007,"&lt;="&amp;EOMONTH(설정!$B$10,5)))</f>
        <v/>
      </c>
      <c r="Q46" s="35" t="n">
        <v>39</v>
      </c>
      <c r="R46" s="35">
        <f>IFERROR(INDEX(매입원본!$AX$8:$AX$1007,MATCH($Q46,매입원본!$BD$8:$BD$1007,0)),"")</f>
        <v/>
      </c>
      <c r="S46" s="35">
        <f>IF($R46="","",SUMIFS(매입원본!$AT$8:$AT$1007,매입원본!$AX$8:$AX$1007,$R46,매입원본!$BA$8:$BA$1007,"포함"))</f>
        <v/>
      </c>
      <c r="T46" s="35">
        <f>IF($R46="","",$S46-$Q46/100000)</f>
        <v/>
      </c>
      <c r="U46" s="35">
        <f>IFERROR(MATCH(LARGE($T$8:$T$207,39),$T$8:$T$207,0),"")</f>
        <v/>
      </c>
    </row>
    <row r="47">
      <c r="A47" s="32">
        <f>IF($U47="","",40)</f>
        <v/>
      </c>
      <c r="B47" s="10">
        <f>IF($U47="","",IFERROR(INDEX(매입원본!$AZ$8:$AZ$1007,MATCH($U47,매입원본!$BD$8:$BD$1007,0)),""))</f>
        <v/>
      </c>
      <c r="C47" s="10">
        <f>IF($U47="","",IFERROR(INDEX(매입원본!$AY$8:$AY$1007,MATCH($U47,매입원본!$BD$8:$BD$1007,0)),""))</f>
        <v/>
      </c>
      <c r="D47" s="33">
        <f>IF($U47="","",COUNTIFS(매입원본!$AX$8:$AX$1007,INDEX($R$8:$R$207,$U47),매입원본!$BA$8:$BA$1007,"포함"))</f>
        <v/>
      </c>
      <c r="E47" s="33">
        <f>IF($U47="","",SUMIFS(매입원본!$AT$8:$AT$1007,매입원본!$AX$8:$AX$1007,INDEX($R$8:$R$207,$U47),매입원본!$BA$8:$BA$1007,"포함"))</f>
        <v/>
      </c>
      <c r="F47" s="33">
        <f>IF($U47="","",SUMIFS(매입원본!$AU$8:$AU$1007,매입원본!$AX$8:$AX$1007,INDEX($R$8:$R$207,$U47),매입원본!$BA$8:$BA$1007,"포함"))</f>
        <v/>
      </c>
      <c r="G47" s="33">
        <f>IF($U47="","",SUMIFS(매입원본!$AV$8:$AV$1007,매입원본!$AX$8:$AX$1007,INDEX($R$8:$R$207,$U47),매입원본!$BA$8:$BA$1007,"포함"))</f>
        <v/>
      </c>
      <c r="H47" s="34">
        <f>IF(OR($U47="",$E$7=0),"",E47/$E$7)</f>
        <v/>
      </c>
      <c r="I47" s="33">
        <f>IF(OR($U47="",0&gt;=설정!$B$12),"",SUMIFS(매입원본!$AT$8:$AT$1007,매입원본!$AX$8:$AX$1007,INDEX($R$8:$R$207,$U47),매입원본!$BA$8:$BA$1007,"포함",매입원본!$AS$8:$AS$1007,"&gt;="&amp;EDATE(설정!$B$10,0),매입원본!$AS$8:$AS$1007,"&lt;="&amp;EOMONTH(설정!$B$10,0)))</f>
        <v/>
      </c>
      <c r="J47" s="33">
        <f>IF(OR($U47="",1&gt;=설정!$B$12),"",SUMIFS(매입원본!$AT$8:$AT$1007,매입원본!$AX$8:$AX$1007,INDEX($R$8:$R$207,$U47),매입원본!$BA$8:$BA$1007,"포함",매입원본!$AS$8:$AS$1007,"&gt;="&amp;EDATE(설정!$B$10,1),매입원본!$AS$8:$AS$1007,"&lt;="&amp;EOMONTH(설정!$B$10,1)))</f>
        <v/>
      </c>
      <c r="K47" s="33">
        <f>IF(OR($U47="",2&gt;=설정!$B$12),"",SUMIFS(매입원본!$AT$8:$AT$1007,매입원본!$AX$8:$AX$1007,INDEX($R$8:$R$207,$U47),매입원본!$BA$8:$BA$1007,"포함",매입원본!$AS$8:$AS$1007,"&gt;="&amp;EDATE(설정!$B$10,2),매입원본!$AS$8:$AS$1007,"&lt;="&amp;EOMONTH(설정!$B$10,2)))</f>
        <v/>
      </c>
      <c r="L47" s="33">
        <f>IF(OR($U47="",3&gt;=설정!$B$12),"",SUMIFS(매입원본!$AT$8:$AT$1007,매입원본!$AX$8:$AX$1007,INDEX($R$8:$R$207,$U47),매입원본!$BA$8:$BA$1007,"포함",매입원본!$AS$8:$AS$1007,"&gt;="&amp;EDATE(설정!$B$10,3),매입원본!$AS$8:$AS$1007,"&lt;="&amp;EOMONTH(설정!$B$10,3)))</f>
        <v/>
      </c>
      <c r="M47" s="33">
        <f>IF(OR($U47="",4&gt;=설정!$B$12),"",SUMIFS(매입원본!$AT$8:$AT$1007,매입원본!$AX$8:$AX$1007,INDEX($R$8:$R$207,$U47),매입원본!$BA$8:$BA$1007,"포함",매입원본!$AS$8:$AS$1007,"&gt;="&amp;EDATE(설정!$B$10,4),매입원본!$AS$8:$AS$1007,"&lt;="&amp;EOMONTH(설정!$B$10,4)))</f>
        <v/>
      </c>
      <c r="N47" s="33">
        <f>IF(OR($U47="",5&gt;=설정!$B$12),"",SUMIFS(매입원본!$AT$8:$AT$1007,매입원본!$AX$8:$AX$1007,INDEX($R$8:$R$207,$U47),매입원본!$BA$8:$BA$1007,"포함",매입원본!$AS$8:$AS$1007,"&gt;="&amp;EDATE(설정!$B$10,5),매입원본!$AS$8:$AS$1007,"&lt;="&amp;EOMONTH(설정!$B$10,5)))</f>
        <v/>
      </c>
      <c r="Q47" s="35" t="n">
        <v>40</v>
      </c>
      <c r="R47" s="35">
        <f>IFERROR(INDEX(매입원본!$AX$8:$AX$1007,MATCH($Q47,매입원본!$BD$8:$BD$1007,0)),"")</f>
        <v/>
      </c>
      <c r="S47" s="35">
        <f>IF($R47="","",SUMIFS(매입원본!$AT$8:$AT$1007,매입원본!$AX$8:$AX$1007,$R47,매입원본!$BA$8:$BA$1007,"포함"))</f>
        <v/>
      </c>
      <c r="T47" s="35">
        <f>IF($R47="","",$S47-$Q47/100000)</f>
        <v/>
      </c>
      <c r="U47" s="35">
        <f>IFERROR(MATCH(LARGE($T$8:$T$207,40),$T$8:$T$207,0),"")</f>
        <v/>
      </c>
    </row>
    <row r="48">
      <c r="A48" s="32">
        <f>IF($U48="","",41)</f>
        <v/>
      </c>
      <c r="B48" s="10">
        <f>IF($U48="","",IFERROR(INDEX(매입원본!$AZ$8:$AZ$1007,MATCH($U48,매입원본!$BD$8:$BD$1007,0)),""))</f>
        <v/>
      </c>
      <c r="C48" s="10">
        <f>IF($U48="","",IFERROR(INDEX(매입원본!$AY$8:$AY$1007,MATCH($U48,매입원본!$BD$8:$BD$1007,0)),""))</f>
        <v/>
      </c>
      <c r="D48" s="33">
        <f>IF($U48="","",COUNTIFS(매입원본!$AX$8:$AX$1007,INDEX($R$8:$R$207,$U48),매입원본!$BA$8:$BA$1007,"포함"))</f>
        <v/>
      </c>
      <c r="E48" s="33">
        <f>IF($U48="","",SUMIFS(매입원본!$AT$8:$AT$1007,매입원본!$AX$8:$AX$1007,INDEX($R$8:$R$207,$U48),매입원본!$BA$8:$BA$1007,"포함"))</f>
        <v/>
      </c>
      <c r="F48" s="33">
        <f>IF($U48="","",SUMIFS(매입원본!$AU$8:$AU$1007,매입원본!$AX$8:$AX$1007,INDEX($R$8:$R$207,$U48),매입원본!$BA$8:$BA$1007,"포함"))</f>
        <v/>
      </c>
      <c r="G48" s="33">
        <f>IF($U48="","",SUMIFS(매입원본!$AV$8:$AV$1007,매입원본!$AX$8:$AX$1007,INDEX($R$8:$R$207,$U48),매입원본!$BA$8:$BA$1007,"포함"))</f>
        <v/>
      </c>
      <c r="H48" s="34">
        <f>IF(OR($U48="",$E$7=0),"",E48/$E$7)</f>
        <v/>
      </c>
      <c r="I48" s="33">
        <f>IF(OR($U48="",0&gt;=설정!$B$12),"",SUMIFS(매입원본!$AT$8:$AT$1007,매입원본!$AX$8:$AX$1007,INDEX($R$8:$R$207,$U48),매입원본!$BA$8:$BA$1007,"포함",매입원본!$AS$8:$AS$1007,"&gt;="&amp;EDATE(설정!$B$10,0),매입원본!$AS$8:$AS$1007,"&lt;="&amp;EOMONTH(설정!$B$10,0)))</f>
        <v/>
      </c>
      <c r="J48" s="33">
        <f>IF(OR($U48="",1&gt;=설정!$B$12),"",SUMIFS(매입원본!$AT$8:$AT$1007,매입원본!$AX$8:$AX$1007,INDEX($R$8:$R$207,$U48),매입원본!$BA$8:$BA$1007,"포함",매입원본!$AS$8:$AS$1007,"&gt;="&amp;EDATE(설정!$B$10,1),매입원본!$AS$8:$AS$1007,"&lt;="&amp;EOMONTH(설정!$B$10,1)))</f>
        <v/>
      </c>
      <c r="K48" s="33">
        <f>IF(OR($U48="",2&gt;=설정!$B$12),"",SUMIFS(매입원본!$AT$8:$AT$1007,매입원본!$AX$8:$AX$1007,INDEX($R$8:$R$207,$U48),매입원본!$BA$8:$BA$1007,"포함",매입원본!$AS$8:$AS$1007,"&gt;="&amp;EDATE(설정!$B$10,2),매입원본!$AS$8:$AS$1007,"&lt;="&amp;EOMONTH(설정!$B$10,2)))</f>
        <v/>
      </c>
      <c r="L48" s="33">
        <f>IF(OR($U48="",3&gt;=설정!$B$12),"",SUMIFS(매입원본!$AT$8:$AT$1007,매입원본!$AX$8:$AX$1007,INDEX($R$8:$R$207,$U48),매입원본!$BA$8:$BA$1007,"포함",매입원본!$AS$8:$AS$1007,"&gt;="&amp;EDATE(설정!$B$10,3),매입원본!$AS$8:$AS$1007,"&lt;="&amp;EOMONTH(설정!$B$10,3)))</f>
        <v/>
      </c>
      <c r="M48" s="33">
        <f>IF(OR($U48="",4&gt;=설정!$B$12),"",SUMIFS(매입원본!$AT$8:$AT$1007,매입원본!$AX$8:$AX$1007,INDEX($R$8:$R$207,$U48),매입원본!$BA$8:$BA$1007,"포함",매입원본!$AS$8:$AS$1007,"&gt;="&amp;EDATE(설정!$B$10,4),매입원본!$AS$8:$AS$1007,"&lt;="&amp;EOMONTH(설정!$B$10,4)))</f>
        <v/>
      </c>
      <c r="N48" s="33">
        <f>IF(OR($U48="",5&gt;=설정!$B$12),"",SUMIFS(매입원본!$AT$8:$AT$1007,매입원본!$AX$8:$AX$1007,INDEX($R$8:$R$207,$U48),매입원본!$BA$8:$BA$1007,"포함",매입원본!$AS$8:$AS$1007,"&gt;="&amp;EDATE(설정!$B$10,5),매입원본!$AS$8:$AS$1007,"&lt;="&amp;EOMONTH(설정!$B$10,5)))</f>
        <v/>
      </c>
      <c r="Q48" s="35" t="n">
        <v>41</v>
      </c>
      <c r="R48" s="35">
        <f>IFERROR(INDEX(매입원본!$AX$8:$AX$1007,MATCH($Q48,매입원본!$BD$8:$BD$1007,0)),"")</f>
        <v/>
      </c>
      <c r="S48" s="35">
        <f>IF($R48="","",SUMIFS(매입원본!$AT$8:$AT$1007,매입원본!$AX$8:$AX$1007,$R48,매입원본!$BA$8:$BA$1007,"포함"))</f>
        <v/>
      </c>
      <c r="T48" s="35">
        <f>IF($R48="","",$S48-$Q48/100000)</f>
        <v/>
      </c>
      <c r="U48" s="35">
        <f>IFERROR(MATCH(LARGE($T$8:$T$207,41),$T$8:$T$207,0),"")</f>
        <v/>
      </c>
    </row>
    <row r="49">
      <c r="A49" s="32">
        <f>IF($U49="","",42)</f>
        <v/>
      </c>
      <c r="B49" s="10">
        <f>IF($U49="","",IFERROR(INDEX(매입원본!$AZ$8:$AZ$1007,MATCH($U49,매입원본!$BD$8:$BD$1007,0)),""))</f>
        <v/>
      </c>
      <c r="C49" s="10">
        <f>IF($U49="","",IFERROR(INDEX(매입원본!$AY$8:$AY$1007,MATCH($U49,매입원본!$BD$8:$BD$1007,0)),""))</f>
        <v/>
      </c>
      <c r="D49" s="33">
        <f>IF($U49="","",COUNTIFS(매입원본!$AX$8:$AX$1007,INDEX($R$8:$R$207,$U49),매입원본!$BA$8:$BA$1007,"포함"))</f>
        <v/>
      </c>
      <c r="E49" s="33">
        <f>IF($U49="","",SUMIFS(매입원본!$AT$8:$AT$1007,매입원본!$AX$8:$AX$1007,INDEX($R$8:$R$207,$U49),매입원본!$BA$8:$BA$1007,"포함"))</f>
        <v/>
      </c>
      <c r="F49" s="33">
        <f>IF($U49="","",SUMIFS(매입원본!$AU$8:$AU$1007,매입원본!$AX$8:$AX$1007,INDEX($R$8:$R$207,$U49),매입원본!$BA$8:$BA$1007,"포함"))</f>
        <v/>
      </c>
      <c r="G49" s="33">
        <f>IF($U49="","",SUMIFS(매입원본!$AV$8:$AV$1007,매입원본!$AX$8:$AX$1007,INDEX($R$8:$R$207,$U49),매입원본!$BA$8:$BA$1007,"포함"))</f>
        <v/>
      </c>
      <c r="H49" s="34">
        <f>IF(OR($U49="",$E$7=0),"",E49/$E$7)</f>
        <v/>
      </c>
      <c r="I49" s="33">
        <f>IF(OR($U49="",0&gt;=설정!$B$12),"",SUMIFS(매입원본!$AT$8:$AT$1007,매입원본!$AX$8:$AX$1007,INDEX($R$8:$R$207,$U49),매입원본!$BA$8:$BA$1007,"포함",매입원본!$AS$8:$AS$1007,"&gt;="&amp;EDATE(설정!$B$10,0),매입원본!$AS$8:$AS$1007,"&lt;="&amp;EOMONTH(설정!$B$10,0)))</f>
        <v/>
      </c>
      <c r="J49" s="33">
        <f>IF(OR($U49="",1&gt;=설정!$B$12),"",SUMIFS(매입원본!$AT$8:$AT$1007,매입원본!$AX$8:$AX$1007,INDEX($R$8:$R$207,$U49),매입원본!$BA$8:$BA$1007,"포함",매입원본!$AS$8:$AS$1007,"&gt;="&amp;EDATE(설정!$B$10,1),매입원본!$AS$8:$AS$1007,"&lt;="&amp;EOMONTH(설정!$B$10,1)))</f>
        <v/>
      </c>
      <c r="K49" s="33">
        <f>IF(OR($U49="",2&gt;=설정!$B$12),"",SUMIFS(매입원본!$AT$8:$AT$1007,매입원본!$AX$8:$AX$1007,INDEX($R$8:$R$207,$U49),매입원본!$BA$8:$BA$1007,"포함",매입원본!$AS$8:$AS$1007,"&gt;="&amp;EDATE(설정!$B$10,2),매입원본!$AS$8:$AS$1007,"&lt;="&amp;EOMONTH(설정!$B$10,2)))</f>
        <v/>
      </c>
      <c r="L49" s="33">
        <f>IF(OR($U49="",3&gt;=설정!$B$12),"",SUMIFS(매입원본!$AT$8:$AT$1007,매입원본!$AX$8:$AX$1007,INDEX($R$8:$R$207,$U49),매입원본!$BA$8:$BA$1007,"포함",매입원본!$AS$8:$AS$1007,"&gt;="&amp;EDATE(설정!$B$10,3),매입원본!$AS$8:$AS$1007,"&lt;="&amp;EOMONTH(설정!$B$10,3)))</f>
        <v/>
      </c>
      <c r="M49" s="33">
        <f>IF(OR($U49="",4&gt;=설정!$B$12),"",SUMIFS(매입원본!$AT$8:$AT$1007,매입원본!$AX$8:$AX$1007,INDEX($R$8:$R$207,$U49),매입원본!$BA$8:$BA$1007,"포함",매입원본!$AS$8:$AS$1007,"&gt;="&amp;EDATE(설정!$B$10,4),매입원본!$AS$8:$AS$1007,"&lt;="&amp;EOMONTH(설정!$B$10,4)))</f>
        <v/>
      </c>
      <c r="N49" s="33">
        <f>IF(OR($U49="",5&gt;=설정!$B$12),"",SUMIFS(매입원본!$AT$8:$AT$1007,매입원본!$AX$8:$AX$1007,INDEX($R$8:$R$207,$U49),매입원본!$BA$8:$BA$1007,"포함",매입원본!$AS$8:$AS$1007,"&gt;="&amp;EDATE(설정!$B$10,5),매입원본!$AS$8:$AS$1007,"&lt;="&amp;EOMONTH(설정!$B$10,5)))</f>
        <v/>
      </c>
      <c r="Q49" s="35" t="n">
        <v>42</v>
      </c>
      <c r="R49" s="35">
        <f>IFERROR(INDEX(매입원본!$AX$8:$AX$1007,MATCH($Q49,매입원본!$BD$8:$BD$1007,0)),"")</f>
        <v/>
      </c>
      <c r="S49" s="35">
        <f>IF($R49="","",SUMIFS(매입원본!$AT$8:$AT$1007,매입원본!$AX$8:$AX$1007,$R49,매입원본!$BA$8:$BA$1007,"포함"))</f>
        <v/>
      </c>
      <c r="T49" s="35">
        <f>IF($R49="","",$S49-$Q49/100000)</f>
        <v/>
      </c>
      <c r="U49" s="35">
        <f>IFERROR(MATCH(LARGE($T$8:$T$207,42),$T$8:$T$207,0),"")</f>
        <v/>
      </c>
    </row>
    <row r="50">
      <c r="A50" s="32">
        <f>IF($U50="","",43)</f>
        <v/>
      </c>
      <c r="B50" s="10">
        <f>IF($U50="","",IFERROR(INDEX(매입원본!$AZ$8:$AZ$1007,MATCH($U50,매입원본!$BD$8:$BD$1007,0)),""))</f>
        <v/>
      </c>
      <c r="C50" s="10">
        <f>IF($U50="","",IFERROR(INDEX(매입원본!$AY$8:$AY$1007,MATCH($U50,매입원본!$BD$8:$BD$1007,0)),""))</f>
        <v/>
      </c>
      <c r="D50" s="33">
        <f>IF($U50="","",COUNTIFS(매입원본!$AX$8:$AX$1007,INDEX($R$8:$R$207,$U50),매입원본!$BA$8:$BA$1007,"포함"))</f>
        <v/>
      </c>
      <c r="E50" s="33">
        <f>IF($U50="","",SUMIFS(매입원본!$AT$8:$AT$1007,매입원본!$AX$8:$AX$1007,INDEX($R$8:$R$207,$U50),매입원본!$BA$8:$BA$1007,"포함"))</f>
        <v/>
      </c>
      <c r="F50" s="33">
        <f>IF($U50="","",SUMIFS(매입원본!$AU$8:$AU$1007,매입원본!$AX$8:$AX$1007,INDEX($R$8:$R$207,$U50),매입원본!$BA$8:$BA$1007,"포함"))</f>
        <v/>
      </c>
      <c r="G50" s="33">
        <f>IF($U50="","",SUMIFS(매입원본!$AV$8:$AV$1007,매입원본!$AX$8:$AX$1007,INDEX($R$8:$R$207,$U50),매입원본!$BA$8:$BA$1007,"포함"))</f>
        <v/>
      </c>
      <c r="H50" s="34">
        <f>IF(OR($U50="",$E$7=0),"",E50/$E$7)</f>
        <v/>
      </c>
      <c r="I50" s="33">
        <f>IF(OR($U50="",0&gt;=설정!$B$12),"",SUMIFS(매입원본!$AT$8:$AT$1007,매입원본!$AX$8:$AX$1007,INDEX($R$8:$R$207,$U50),매입원본!$BA$8:$BA$1007,"포함",매입원본!$AS$8:$AS$1007,"&gt;="&amp;EDATE(설정!$B$10,0),매입원본!$AS$8:$AS$1007,"&lt;="&amp;EOMONTH(설정!$B$10,0)))</f>
        <v/>
      </c>
      <c r="J50" s="33">
        <f>IF(OR($U50="",1&gt;=설정!$B$12),"",SUMIFS(매입원본!$AT$8:$AT$1007,매입원본!$AX$8:$AX$1007,INDEX($R$8:$R$207,$U50),매입원본!$BA$8:$BA$1007,"포함",매입원본!$AS$8:$AS$1007,"&gt;="&amp;EDATE(설정!$B$10,1),매입원본!$AS$8:$AS$1007,"&lt;="&amp;EOMONTH(설정!$B$10,1)))</f>
        <v/>
      </c>
      <c r="K50" s="33">
        <f>IF(OR($U50="",2&gt;=설정!$B$12),"",SUMIFS(매입원본!$AT$8:$AT$1007,매입원본!$AX$8:$AX$1007,INDEX($R$8:$R$207,$U50),매입원본!$BA$8:$BA$1007,"포함",매입원본!$AS$8:$AS$1007,"&gt;="&amp;EDATE(설정!$B$10,2),매입원본!$AS$8:$AS$1007,"&lt;="&amp;EOMONTH(설정!$B$10,2)))</f>
        <v/>
      </c>
      <c r="L50" s="33">
        <f>IF(OR($U50="",3&gt;=설정!$B$12),"",SUMIFS(매입원본!$AT$8:$AT$1007,매입원본!$AX$8:$AX$1007,INDEX($R$8:$R$207,$U50),매입원본!$BA$8:$BA$1007,"포함",매입원본!$AS$8:$AS$1007,"&gt;="&amp;EDATE(설정!$B$10,3),매입원본!$AS$8:$AS$1007,"&lt;="&amp;EOMONTH(설정!$B$10,3)))</f>
        <v/>
      </c>
      <c r="M50" s="33">
        <f>IF(OR($U50="",4&gt;=설정!$B$12),"",SUMIFS(매입원본!$AT$8:$AT$1007,매입원본!$AX$8:$AX$1007,INDEX($R$8:$R$207,$U50),매입원본!$BA$8:$BA$1007,"포함",매입원본!$AS$8:$AS$1007,"&gt;="&amp;EDATE(설정!$B$10,4),매입원본!$AS$8:$AS$1007,"&lt;="&amp;EOMONTH(설정!$B$10,4)))</f>
        <v/>
      </c>
      <c r="N50" s="33">
        <f>IF(OR($U50="",5&gt;=설정!$B$12),"",SUMIFS(매입원본!$AT$8:$AT$1007,매입원본!$AX$8:$AX$1007,INDEX($R$8:$R$207,$U50),매입원본!$BA$8:$BA$1007,"포함",매입원본!$AS$8:$AS$1007,"&gt;="&amp;EDATE(설정!$B$10,5),매입원본!$AS$8:$AS$1007,"&lt;="&amp;EOMONTH(설정!$B$10,5)))</f>
        <v/>
      </c>
      <c r="Q50" s="35" t="n">
        <v>43</v>
      </c>
      <c r="R50" s="35">
        <f>IFERROR(INDEX(매입원본!$AX$8:$AX$1007,MATCH($Q50,매입원본!$BD$8:$BD$1007,0)),"")</f>
        <v/>
      </c>
      <c r="S50" s="35">
        <f>IF($R50="","",SUMIFS(매입원본!$AT$8:$AT$1007,매입원본!$AX$8:$AX$1007,$R50,매입원본!$BA$8:$BA$1007,"포함"))</f>
        <v/>
      </c>
      <c r="T50" s="35">
        <f>IF($R50="","",$S50-$Q50/100000)</f>
        <v/>
      </c>
      <c r="U50" s="35">
        <f>IFERROR(MATCH(LARGE($T$8:$T$207,43),$T$8:$T$207,0),"")</f>
        <v/>
      </c>
    </row>
    <row r="51">
      <c r="A51" s="32">
        <f>IF($U51="","",44)</f>
        <v/>
      </c>
      <c r="B51" s="10">
        <f>IF($U51="","",IFERROR(INDEX(매입원본!$AZ$8:$AZ$1007,MATCH($U51,매입원본!$BD$8:$BD$1007,0)),""))</f>
        <v/>
      </c>
      <c r="C51" s="10">
        <f>IF($U51="","",IFERROR(INDEX(매입원본!$AY$8:$AY$1007,MATCH($U51,매입원본!$BD$8:$BD$1007,0)),""))</f>
        <v/>
      </c>
      <c r="D51" s="33">
        <f>IF($U51="","",COUNTIFS(매입원본!$AX$8:$AX$1007,INDEX($R$8:$R$207,$U51),매입원본!$BA$8:$BA$1007,"포함"))</f>
        <v/>
      </c>
      <c r="E51" s="33">
        <f>IF($U51="","",SUMIFS(매입원본!$AT$8:$AT$1007,매입원본!$AX$8:$AX$1007,INDEX($R$8:$R$207,$U51),매입원본!$BA$8:$BA$1007,"포함"))</f>
        <v/>
      </c>
      <c r="F51" s="33">
        <f>IF($U51="","",SUMIFS(매입원본!$AU$8:$AU$1007,매입원본!$AX$8:$AX$1007,INDEX($R$8:$R$207,$U51),매입원본!$BA$8:$BA$1007,"포함"))</f>
        <v/>
      </c>
      <c r="G51" s="33">
        <f>IF($U51="","",SUMIFS(매입원본!$AV$8:$AV$1007,매입원본!$AX$8:$AX$1007,INDEX($R$8:$R$207,$U51),매입원본!$BA$8:$BA$1007,"포함"))</f>
        <v/>
      </c>
      <c r="H51" s="34">
        <f>IF(OR($U51="",$E$7=0),"",E51/$E$7)</f>
        <v/>
      </c>
      <c r="I51" s="33">
        <f>IF(OR($U51="",0&gt;=설정!$B$12),"",SUMIFS(매입원본!$AT$8:$AT$1007,매입원본!$AX$8:$AX$1007,INDEX($R$8:$R$207,$U51),매입원본!$BA$8:$BA$1007,"포함",매입원본!$AS$8:$AS$1007,"&gt;="&amp;EDATE(설정!$B$10,0),매입원본!$AS$8:$AS$1007,"&lt;="&amp;EOMONTH(설정!$B$10,0)))</f>
        <v/>
      </c>
      <c r="J51" s="33">
        <f>IF(OR($U51="",1&gt;=설정!$B$12),"",SUMIFS(매입원본!$AT$8:$AT$1007,매입원본!$AX$8:$AX$1007,INDEX($R$8:$R$207,$U51),매입원본!$BA$8:$BA$1007,"포함",매입원본!$AS$8:$AS$1007,"&gt;="&amp;EDATE(설정!$B$10,1),매입원본!$AS$8:$AS$1007,"&lt;="&amp;EOMONTH(설정!$B$10,1)))</f>
        <v/>
      </c>
      <c r="K51" s="33">
        <f>IF(OR($U51="",2&gt;=설정!$B$12),"",SUMIFS(매입원본!$AT$8:$AT$1007,매입원본!$AX$8:$AX$1007,INDEX($R$8:$R$207,$U51),매입원본!$BA$8:$BA$1007,"포함",매입원본!$AS$8:$AS$1007,"&gt;="&amp;EDATE(설정!$B$10,2),매입원본!$AS$8:$AS$1007,"&lt;="&amp;EOMONTH(설정!$B$10,2)))</f>
        <v/>
      </c>
      <c r="L51" s="33">
        <f>IF(OR($U51="",3&gt;=설정!$B$12),"",SUMIFS(매입원본!$AT$8:$AT$1007,매입원본!$AX$8:$AX$1007,INDEX($R$8:$R$207,$U51),매입원본!$BA$8:$BA$1007,"포함",매입원본!$AS$8:$AS$1007,"&gt;="&amp;EDATE(설정!$B$10,3),매입원본!$AS$8:$AS$1007,"&lt;="&amp;EOMONTH(설정!$B$10,3)))</f>
        <v/>
      </c>
      <c r="M51" s="33">
        <f>IF(OR($U51="",4&gt;=설정!$B$12),"",SUMIFS(매입원본!$AT$8:$AT$1007,매입원본!$AX$8:$AX$1007,INDEX($R$8:$R$207,$U51),매입원본!$BA$8:$BA$1007,"포함",매입원본!$AS$8:$AS$1007,"&gt;="&amp;EDATE(설정!$B$10,4),매입원본!$AS$8:$AS$1007,"&lt;="&amp;EOMONTH(설정!$B$10,4)))</f>
        <v/>
      </c>
      <c r="N51" s="33">
        <f>IF(OR($U51="",5&gt;=설정!$B$12),"",SUMIFS(매입원본!$AT$8:$AT$1007,매입원본!$AX$8:$AX$1007,INDEX($R$8:$R$207,$U51),매입원본!$BA$8:$BA$1007,"포함",매입원본!$AS$8:$AS$1007,"&gt;="&amp;EDATE(설정!$B$10,5),매입원본!$AS$8:$AS$1007,"&lt;="&amp;EOMONTH(설정!$B$10,5)))</f>
        <v/>
      </c>
      <c r="Q51" s="35" t="n">
        <v>44</v>
      </c>
      <c r="R51" s="35">
        <f>IFERROR(INDEX(매입원본!$AX$8:$AX$1007,MATCH($Q51,매입원본!$BD$8:$BD$1007,0)),"")</f>
        <v/>
      </c>
      <c r="S51" s="35">
        <f>IF($R51="","",SUMIFS(매입원본!$AT$8:$AT$1007,매입원본!$AX$8:$AX$1007,$R51,매입원본!$BA$8:$BA$1007,"포함"))</f>
        <v/>
      </c>
      <c r="T51" s="35">
        <f>IF($R51="","",$S51-$Q51/100000)</f>
        <v/>
      </c>
      <c r="U51" s="35">
        <f>IFERROR(MATCH(LARGE($T$8:$T$207,44),$T$8:$T$207,0),"")</f>
        <v/>
      </c>
    </row>
    <row r="52">
      <c r="A52" s="32">
        <f>IF($U52="","",45)</f>
        <v/>
      </c>
      <c r="B52" s="10">
        <f>IF($U52="","",IFERROR(INDEX(매입원본!$AZ$8:$AZ$1007,MATCH($U52,매입원본!$BD$8:$BD$1007,0)),""))</f>
        <v/>
      </c>
      <c r="C52" s="10">
        <f>IF($U52="","",IFERROR(INDEX(매입원본!$AY$8:$AY$1007,MATCH($U52,매입원본!$BD$8:$BD$1007,0)),""))</f>
        <v/>
      </c>
      <c r="D52" s="33">
        <f>IF($U52="","",COUNTIFS(매입원본!$AX$8:$AX$1007,INDEX($R$8:$R$207,$U52),매입원본!$BA$8:$BA$1007,"포함"))</f>
        <v/>
      </c>
      <c r="E52" s="33">
        <f>IF($U52="","",SUMIFS(매입원본!$AT$8:$AT$1007,매입원본!$AX$8:$AX$1007,INDEX($R$8:$R$207,$U52),매입원본!$BA$8:$BA$1007,"포함"))</f>
        <v/>
      </c>
      <c r="F52" s="33">
        <f>IF($U52="","",SUMIFS(매입원본!$AU$8:$AU$1007,매입원본!$AX$8:$AX$1007,INDEX($R$8:$R$207,$U52),매입원본!$BA$8:$BA$1007,"포함"))</f>
        <v/>
      </c>
      <c r="G52" s="33">
        <f>IF($U52="","",SUMIFS(매입원본!$AV$8:$AV$1007,매입원본!$AX$8:$AX$1007,INDEX($R$8:$R$207,$U52),매입원본!$BA$8:$BA$1007,"포함"))</f>
        <v/>
      </c>
      <c r="H52" s="34">
        <f>IF(OR($U52="",$E$7=0),"",E52/$E$7)</f>
        <v/>
      </c>
      <c r="I52" s="33">
        <f>IF(OR($U52="",0&gt;=설정!$B$12),"",SUMIFS(매입원본!$AT$8:$AT$1007,매입원본!$AX$8:$AX$1007,INDEX($R$8:$R$207,$U52),매입원본!$BA$8:$BA$1007,"포함",매입원본!$AS$8:$AS$1007,"&gt;="&amp;EDATE(설정!$B$10,0),매입원본!$AS$8:$AS$1007,"&lt;="&amp;EOMONTH(설정!$B$10,0)))</f>
        <v/>
      </c>
      <c r="J52" s="33">
        <f>IF(OR($U52="",1&gt;=설정!$B$12),"",SUMIFS(매입원본!$AT$8:$AT$1007,매입원본!$AX$8:$AX$1007,INDEX($R$8:$R$207,$U52),매입원본!$BA$8:$BA$1007,"포함",매입원본!$AS$8:$AS$1007,"&gt;="&amp;EDATE(설정!$B$10,1),매입원본!$AS$8:$AS$1007,"&lt;="&amp;EOMONTH(설정!$B$10,1)))</f>
        <v/>
      </c>
      <c r="K52" s="33">
        <f>IF(OR($U52="",2&gt;=설정!$B$12),"",SUMIFS(매입원본!$AT$8:$AT$1007,매입원본!$AX$8:$AX$1007,INDEX($R$8:$R$207,$U52),매입원본!$BA$8:$BA$1007,"포함",매입원본!$AS$8:$AS$1007,"&gt;="&amp;EDATE(설정!$B$10,2),매입원본!$AS$8:$AS$1007,"&lt;="&amp;EOMONTH(설정!$B$10,2)))</f>
        <v/>
      </c>
      <c r="L52" s="33">
        <f>IF(OR($U52="",3&gt;=설정!$B$12),"",SUMIFS(매입원본!$AT$8:$AT$1007,매입원본!$AX$8:$AX$1007,INDEX($R$8:$R$207,$U52),매입원본!$BA$8:$BA$1007,"포함",매입원본!$AS$8:$AS$1007,"&gt;="&amp;EDATE(설정!$B$10,3),매입원본!$AS$8:$AS$1007,"&lt;="&amp;EOMONTH(설정!$B$10,3)))</f>
        <v/>
      </c>
      <c r="M52" s="33">
        <f>IF(OR($U52="",4&gt;=설정!$B$12),"",SUMIFS(매입원본!$AT$8:$AT$1007,매입원본!$AX$8:$AX$1007,INDEX($R$8:$R$207,$U52),매입원본!$BA$8:$BA$1007,"포함",매입원본!$AS$8:$AS$1007,"&gt;="&amp;EDATE(설정!$B$10,4),매입원본!$AS$8:$AS$1007,"&lt;="&amp;EOMONTH(설정!$B$10,4)))</f>
        <v/>
      </c>
      <c r="N52" s="33">
        <f>IF(OR($U52="",5&gt;=설정!$B$12),"",SUMIFS(매입원본!$AT$8:$AT$1007,매입원본!$AX$8:$AX$1007,INDEX($R$8:$R$207,$U52),매입원본!$BA$8:$BA$1007,"포함",매입원본!$AS$8:$AS$1007,"&gt;="&amp;EDATE(설정!$B$10,5),매입원본!$AS$8:$AS$1007,"&lt;="&amp;EOMONTH(설정!$B$10,5)))</f>
        <v/>
      </c>
      <c r="Q52" s="35" t="n">
        <v>45</v>
      </c>
      <c r="R52" s="35">
        <f>IFERROR(INDEX(매입원본!$AX$8:$AX$1007,MATCH($Q52,매입원본!$BD$8:$BD$1007,0)),"")</f>
        <v/>
      </c>
      <c r="S52" s="35">
        <f>IF($R52="","",SUMIFS(매입원본!$AT$8:$AT$1007,매입원본!$AX$8:$AX$1007,$R52,매입원본!$BA$8:$BA$1007,"포함"))</f>
        <v/>
      </c>
      <c r="T52" s="35">
        <f>IF($R52="","",$S52-$Q52/100000)</f>
        <v/>
      </c>
      <c r="U52" s="35">
        <f>IFERROR(MATCH(LARGE($T$8:$T$207,45),$T$8:$T$207,0),"")</f>
        <v/>
      </c>
    </row>
    <row r="53">
      <c r="A53" s="32">
        <f>IF($U53="","",46)</f>
        <v/>
      </c>
      <c r="B53" s="10">
        <f>IF($U53="","",IFERROR(INDEX(매입원본!$AZ$8:$AZ$1007,MATCH($U53,매입원본!$BD$8:$BD$1007,0)),""))</f>
        <v/>
      </c>
      <c r="C53" s="10">
        <f>IF($U53="","",IFERROR(INDEX(매입원본!$AY$8:$AY$1007,MATCH($U53,매입원본!$BD$8:$BD$1007,0)),""))</f>
        <v/>
      </c>
      <c r="D53" s="33">
        <f>IF($U53="","",COUNTIFS(매입원본!$AX$8:$AX$1007,INDEX($R$8:$R$207,$U53),매입원본!$BA$8:$BA$1007,"포함"))</f>
        <v/>
      </c>
      <c r="E53" s="33">
        <f>IF($U53="","",SUMIFS(매입원본!$AT$8:$AT$1007,매입원본!$AX$8:$AX$1007,INDEX($R$8:$R$207,$U53),매입원본!$BA$8:$BA$1007,"포함"))</f>
        <v/>
      </c>
      <c r="F53" s="33">
        <f>IF($U53="","",SUMIFS(매입원본!$AU$8:$AU$1007,매입원본!$AX$8:$AX$1007,INDEX($R$8:$R$207,$U53),매입원본!$BA$8:$BA$1007,"포함"))</f>
        <v/>
      </c>
      <c r="G53" s="33">
        <f>IF($U53="","",SUMIFS(매입원본!$AV$8:$AV$1007,매입원본!$AX$8:$AX$1007,INDEX($R$8:$R$207,$U53),매입원본!$BA$8:$BA$1007,"포함"))</f>
        <v/>
      </c>
      <c r="H53" s="34">
        <f>IF(OR($U53="",$E$7=0),"",E53/$E$7)</f>
        <v/>
      </c>
      <c r="I53" s="33">
        <f>IF(OR($U53="",0&gt;=설정!$B$12),"",SUMIFS(매입원본!$AT$8:$AT$1007,매입원본!$AX$8:$AX$1007,INDEX($R$8:$R$207,$U53),매입원본!$BA$8:$BA$1007,"포함",매입원본!$AS$8:$AS$1007,"&gt;="&amp;EDATE(설정!$B$10,0),매입원본!$AS$8:$AS$1007,"&lt;="&amp;EOMONTH(설정!$B$10,0)))</f>
        <v/>
      </c>
      <c r="J53" s="33">
        <f>IF(OR($U53="",1&gt;=설정!$B$12),"",SUMIFS(매입원본!$AT$8:$AT$1007,매입원본!$AX$8:$AX$1007,INDEX($R$8:$R$207,$U53),매입원본!$BA$8:$BA$1007,"포함",매입원본!$AS$8:$AS$1007,"&gt;="&amp;EDATE(설정!$B$10,1),매입원본!$AS$8:$AS$1007,"&lt;="&amp;EOMONTH(설정!$B$10,1)))</f>
        <v/>
      </c>
      <c r="K53" s="33">
        <f>IF(OR($U53="",2&gt;=설정!$B$12),"",SUMIFS(매입원본!$AT$8:$AT$1007,매입원본!$AX$8:$AX$1007,INDEX($R$8:$R$207,$U53),매입원본!$BA$8:$BA$1007,"포함",매입원본!$AS$8:$AS$1007,"&gt;="&amp;EDATE(설정!$B$10,2),매입원본!$AS$8:$AS$1007,"&lt;="&amp;EOMONTH(설정!$B$10,2)))</f>
        <v/>
      </c>
      <c r="L53" s="33">
        <f>IF(OR($U53="",3&gt;=설정!$B$12),"",SUMIFS(매입원본!$AT$8:$AT$1007,매입원본!$AX$8:$AX$1007,INDEX($R$8:$R$207,$U53),매입원본!$BA$8:$BA$1007,"포함",매입원본!$AS$8:$AS$1007,"&gt;="&amp;EDATE(설정!$B$10,3),매입원본!$AS$8:$AS$1007,"&lt;="&amp;EOMONTH(설정!$B$10,3)))</f>
        <v/>
      </c>
      <c r="M53" s="33">
        <f>IF(OR($U53="",4&gt;=설정!$B$12),"",SUMIFS(매입원본!$AT$8:$AT$1007,매입원본!$AX$8:$AX$1007,INDEX($R$8:$R$207,$U53),매입원본!$BA$8:$BA$1007,"포함",매입원본!$AS$8:$AS$1007,"&gt;="&amp;EDATE(설정!$B$10,4),매입원본!$AS$8:$AS$1007,"&lt;="&amp;EOMONTH(설정!$B$10,4)))</f>
        <v/>
      </c>
      <c r="N53" s="33">
        <f>IF(OR($U53="",5&gt;=설정!$B$12),"",SUMIFS(매입원본!$AT$8:$AT$1007,매입원본!$AX$8:$AX$1007,INDEX($R$8:$R$207,$U53),매입원본!$BA$8:$BA$1007,"포함",매입원본!$AS$8:$AS$1007,"&gt;="&amp;EDATE(설정!$B$10,5),매입원본!$AS$8:$AS$1007,"&lt;="&amp;EOMONTH(설정!$B$10,5)))</f>
        <v/>
      </c>
      <c r="Q53" s="35" t="n">
        <v>46</v>
      </c>
      <c r="R53" s="35">
        <f>IFERROR(INDEX(매입원본!$AX$8:$AX$1007,MATCH($Q53,매입원본!$BD$8:$BD$1007,0)),"")</f>
        <v/>
      </c>
      <c r="S53" s="35">
        <f>IF($R53="","",SUMIFS(매입원본!$AT$8:$AT$1007,매입원본!$AX$8:$AX$1007,$R53,매입원본!$BA$8:$BA$1007,"포함"))</f>
        <v/>
      </c>
      <c r="T53" s="35">
        <f>IF($R53="","",$S53-$Q53/100000)</f>
        <v/>
      </c>
      <c r="U53" s="35">
        <f>IFERROR(MATCH(LARGE($T$8:$T$207,46),$T$8:$T$207,0),"")</f>
        <v/>
      </c>
    </row>
    <row r="54">
      <c r="A54" s="32">
        <f>IF($U54="","",47)</f>
        <v/>
      </c>
      <c r="B54" s="10">
        <f>IF($U54="","",IFERROR(INDEX(매입원본!$AZ$8:$AZ$1007,MATCH($U54,매입원본!$BD$8:$BD$1007,0)),""))</f>
        <v/>
      </c>
      <c r="C54" s="10">
        <f>IF($U54="","",IFERROR(INDEX(매입원본!$AY$8:$AY$1007,MATCH($U54,매입원본!$BD$8:$BD$1007,0)),""))</f>
        <v/>
      </c>
      <c r="D54" s="33">
        <f>IF($U54="","",COUNTIFS(매입원본!$AX$8:$AX$1007,INDEX($R$8:$R$207,$U54),매입원본!$BA$8:$BA$1007,"포함"))</f>
        <v/>
      </c>
      <c r="E54" s="33">
        <f>IF($U54="","",SUMIFS(매입원본!$AT$8:$AT$1007,매입원본!$AX$8:$AX$1007,INDEX($R$8:$R$207,$U54),매입원본!$BA$8:$BA$1007,"포함"))</f>
        <v/>
      </c>
      <c r="F54" s="33">
        <f>IF($U54="","",SUMIFS(매입원본!$AU$8:$AU$1007,매입원본!$AX$8:$AX$1007,INDEX($R$8:$R$207,$U54),매입원본!$BA$8:$BA$1007,"포함"))</f>
        <v/>
      </c>
      <c r="G54" s="33">
        <f>IF($U54="","",SUMIFS(매입원본!$AV$8:$AV$1007,매입원본!$AX$8:$AX$1007,INDEX($R$8:$R$207,$U54),매입원본!$BA$8:$BA$1007,"포함"))</f>
        <v/>
      </c>
      <c r="H54" s="34">
        <f>IF(OR($U54="",$E$7=0),"",E54/$E$7)</f>
        <v/>
      </c>
      <c r="I54" s="33">
        <f>IF(OR($U54="",0&gt;=설정!$B$12),"",SUMIFS(매입원본!$AT$8:$AT$1007,매입원본!$AX$8:$AX$1007,INDEX($R$8:$R$207,$U54),매입원본!$BA$8:$BA$1007,"포함",매입원본!$AS$8:$AS$1007,"&gt;="&amp;EDATE(설정!$B$10,0),매입원본!$AS$8:$AS$1007,"&lt;="&amp;EOMONTH(설정!$B$10,0)))</f>
        <v/>
      </c>
      <c r="J54" s="33">
        <f>IF(OR($U54="",1&gt;=설정!$B$12),"",SUMIFS(매입원본!$AT$8:$AT$1007,매입원본!$AX$8:$AX$1007,INDEX($R$8:$R$207,$U54),매입원본!$BA$8:$BA$1007,"포함",매입원본!$AS$8:$AS$1007,"&gt;="&amp;EDATE(설정!$B$10,1),매입원본!$AS$8:$AS$1007,"&lt;="&amp;EOMONTH(설정!$B$10,1)))</f>
        <v/>
      </c>
      <c r="K54" s="33">
        <f>IF(OR($U54="",2&gt;=설정!$B$12),"",SUMIFS(매입원본!$AT$8:$AT$1007,매입원본!$AX$8:$AX$1007,INDEX($R$8:$R$207,$U54),매입원본!$BA$8:$BA$1007,"포함",매입원본!$AS$8:$AS$1007,"&gt;="&amp;EDATE(설정!$B$10,2),매입원본!$AS$8:$AS$1007,"&lt;="&amp;EOMONTH(설정!$B$10,2)))</f>
        <v/>
      </c>
      <c r="L54" s="33">
        <f>IF(OR($U54="",3&gt;=설정!$B$12),"",SUMIFS(매입원본!$AT$8:$AT$1007,매입원본!$AX$8:$AX$1007,INDEX($R$8:$R$207,$U54),매입원본!$BA$8:$BA$1007,"포함",매입원본!$AS$8:$AS$1007,"&gt;="&amp;EDATE(설정!$B$10,3),매입원본!$AS$8:$AS$1007,"&lt;="&amp;EOMONTH(설정!$B$10,3)))</f>
        <v/>
      </c>
      <c r="M54" s="33">
        <f>IF(OR($U54="",4&gt;=설정!$B$12),"",SUMIFS(매입원본!$AT$8:$AT$1007,매입원본!$AX$8:$AX$1007,INDEX($R$8:$R$207,$U54),매입원본!$BA$8:$BA$1007,"포함",매입원본!$AS$8:$AS$1007,"&gt;="&amp;EDATE(설정!$B$10,4),매입원본!$AS$8:$AS$1007,"&lt;="&amp;EOMONTH(설정!$B$10,4)))</f>
        <v/>
      </c>
      <c r="N54" s="33">
        <f>IF(OR($U54="",5&gt;=설정!$B$12),"",SUMIFS(매입원본!$AT$8:$AT$1007,매입원본!$AX$8:$AX$1007,INDEX($R$8:$R$207,$U54),매입원본!$BA$8:$BA$1007,"포함",매입원본!$AS$8:$AS$1007,"&gt;="&amp;EDATE(설정!$B$10,5),매입원본!$AS$8:$AS$1007,"&lt;="&amp;EOMONTH(설정!$B$10,5)))</f>
        <v/>
      </c>
      <c r="Q54" s="35" t="n">
        <v>47</v>
      </c>
      <c r="R54" s="35">
        <f>IFERROR(INDEX(매입원본!$AX$8:$AX$1007,MATCH($Q54,매입원본!$BD$8:$BD$1007,0)),"")</f>
        <v/>
      </c>
      <c r="S54" s="35">
        <f>IF($R54="","",SUMIFS(매입원본!$AT$8:$AT$1007,매입원본!$AX$8:$AX$1007,$R54,매입원본!$BA$8:$BA$1007,"포함"))</f>
        <v/>
      </c>
      <c r="T54" s="35">
        <f>IF($R54="","",$S54-$Q54/100000)</f>
        <v/>
      </c>
      <c r="U54" s="35">
        <f>IFERROR(MATCH(LARGE($T$8:$T$207,47),$T$8:$T$207,0),"")</f>
        <v/>
      </c>
    </row>
    <row r="55">
      <c r="A55" s="32">
        <f>IF($U55="","",48)</f>
        <v/>
      </c>
      <c r="B55" s="10">
        <f>IF($U55="","",IFERROR(INDEX(매입원본!$AZ$8:$AZ$1007,MATCH($U55,매입원본!$BD$8:$BD$1007,0)),""))</f>
        <v/>
      </c>
      <c r="C55" s="10">
        <f>IF($U55="","",IFERROR(INDEX(매입원본!$AY$8:$AY$1007,MATCH($U55,매입원본!$BD$8:$BD$1007,0)),""))</f>
        <v/>
      </c>
      <c r="D55" s="33">
        <f>IF($U55="","",COUNTIFS(매입원본!$AX$8:$AX$1007,INDEX($R$8:$R$207,$U55),매입원본!$BA$8:$BA$1007,"포함"))</f>
        <v/>
      </c>
      <c r="E55" s="33">
        <f>IF($U55="","",SUMIFS(매입원본!$AT$8:$AT$1007,매입원본!$AX$8:$AX$1007,INDEX($R$8:$R$207,$U55),매입원본!$BA$8:$BA$1007,"포함"))</f>
        <v/>
      </c>
      <c r="F55" s="33">
        <f>IF($U55="","",SUMIFS(매입원본!$AU$8:$AU$1007,매입원본!$AX$8:$AX$1007,INDEX($R$8:$R$207,$U55),매입원본!$BA$8:$BA$1007,"포함"))</f>
        <v/>
      </c>
      <c r="G55" s="33">
        <f>IF($U55="","",SUMIFS(매입원본!$AV$8:$AV$1007,매입원본!$AX$8:$AX$1007,INDEX($R$8:$R$207,$U55),매입원본!$BA$8:$BA$1007,"포함"))</f>
        <v/>
      </c>
      <c r="H55" s="34">
        <f>IF(OR($U55="",$E$7=0),"",E55/$E$7)</f>
        <v/>
      </c>
      <c r="I55" s="33">
        <f>IF(OR($U55="",0&gt;=설정!$B$12),"",SUMIFS(매입원본!$AT$8:$AT$1007,매입원본!$AX$8:$AX$1007,INDEX($R$8:$R$207,$U55),매입원본!$BA$8:$BA$1007,"포함",매입원본!$AS$8:$AS$1007,"&gt;="&amp;EDATE(설정!$B$10,0),매입원본!$AS$8:$AS$1007,"&lt;="&amp;EOMONTH(설정!$B$10,0)))</f>
        <v/>
      </c>
      <c r="J55" s="33">
        <f>IF(OR($U55="",1&gt;=설정!$B$12),"",SUMIFS(매입원본!$AT$8:$AT$1007,매입원본!$AX$8:$AX$1007,INDEX($R$8:$R$207,$U55),매입원본!$BA$8:$BA$1007,"포함",매입원본!$AS$8:$AS$1007,"&gt;="&amp;EDATE(설정!$B$10,1),매입원본!$AS$8:$AS$1007,"&lt;="&amp;EOMONTH(설정!$B$10,1)))</f>
        <v/>
      </c>
      <c r="K55" s="33">
        <f>IF(OR($U55="",2&gt;=설정!$B$12),"",SUMIFS(매입원본!$AT$8:$AT$1007,매입원본!$AX$8:$AX$1007,INDEX($R$8:$R$207,$U55),매입원본!$BA$8:$BA$1007,"포함",매입원본!$AS$8:$AS$1007,"&gt;="&amp;EDATE(설정!$B$10,2),매입원본!$AS$8:$AS$1007,"&lt;="&amp;EOMONTH(설정!$B$10,2)))</f>
        <v/>
      </c>
      <c r="L55" s="33">
        <f>IF(OR($U55="",3&gt;=설정!$B$12),"",SUMIFS(매입원본!$AT$8:$AT$1007,매입원본!$AX$8:$AX$1007,INDEX($R$8:$R$207,$U55),매입원본!$BA$8:$BA$1007,"포함",매입원본!$AS$8:$AS$1007,"&gt;="&amp;EDATE(설정!$B$10,3),매입원본!$AS$8:$AS$1007,"&lt;="&amp;EOMONTH(설정!$B$10,3)))</f>
        <v/>
      </c>
      <c r="M55" s="33">
        <f>IF(OR($U55="",4&gt;=설정!$B$12),"",SUMIFS(매입원본!$AT$8:$AT$1007,매입원본!$AX$8:$AX$1007,INDEX($R$8:$R$207,$U55),매입원본!$BA$8:$BA$1007,"포함",매입원본!$AS$8:$AS$1007,"&gt;="&amp;EDATE(설정!$B$10,4),매입원본!$AS$8:$AS$1007,"&lt;="&amp;EOMONTH(설정!$B$10,4)))</f>
        <v/>
      </c>
      <c r="N55" s="33">
        <f>IF(OR($U55="",5&gt;=설정!$B$12),"",SUMIFS(매입원본!$AT$8:$AT$1007,매입원본!$AX$8:$AX$1007,INDEX($R$8:$R$207,$U55),매입원본!$BA$8:$BA$1007,"포함",매입원본!$AS$8:$AS$1007,"&gt;="&amp;EDATE(설정!$B$10,5),매입원본!$AS$8:$AS$1007,"&lt;="&amp;EOMONTH(설정!$B$10,5)))</f>
        <v/>
      </c>
      <c r="Q55" s="35" t="n">
        <v>48</v>
      </c>
      <c r="R55" s="35">
        <f>IFERROR(INDEX(매입원본!$AX$8:$AX$1007,MATCH($Q55,매입원본!$BD$8:$BD$1007,0)),"")</f>
        <v/>
      </c>
      <c r="S55" s="35">
        <f>IF($R55="","",SUMIFS(매입원본!$AT$8:$AT$1007,매입원본!$AX$8:$AX$1007,$R55,매입원본!$BA$8:$BA$1007,"포함"))</f>
        <v/>
      </c>
      <c r="T55" s="35">
        <f>IF($R55="","",$S55-$Q55/100000)</f>
        <v/>
      </c>
      <c r="U55" s="35">
        <f>IFERROR(MATCH(LARGE($T$8:$T$207,48),$T$8:$T$207,0),"")</f>
        <v/>
      </c>
    </row>
    <row r="56">
      <c r="A56" s="32">
        <f>IF($U56="","",49)</f>
        <v/>
      </c>
      <c r="B56" s="10">
        <f>IF($U56="","",IFERROR(INDEX(매입원본!$AZ$8:$AZ$1007,MATCH($U56,매입원본!$BD$8:$BD$1007,0)),""))</f>
        <v/>
      </c>
      <c r="C56" s="10">
        <f>IF($U56="","",IFERROR(INDEX(매입원본!$AY$8:$AY$1007,MATCH($U56,매입원본!$BD$8:$BD$1007,0)),""))</f>
        <v/>
      </c>
      <c r="D56" s="33">
        <f>IF($U56="","",COUNTIFS(매입원본!$AX$8:$AX$1007,INDEX($R$8:$R$207,$U56),매입원본!$BA$8:$BA$1007,"포함"))</f>
        <v/>
      </c>
      <c r="E56" s="33">
        <f>IF($U56="","",SUMIFS(매입원본!$AT$8:$AT$1007,매입원본!$AX$8:$AX$1007,INDEX($R$8:$R$207,$U56),매입원본!$BA$8:$BA$1007,"포함"))</f>
        <v/>
      </c>
      <c r="F56" s="33">
        <f>IF($U56="","",SUMIFS(매입원본!$AU$8:$AU$1007,매입원본!$AX$8:$AX$1007,INDEX($R$8:$R$207,$U56),매입원본!$BA$8:$BA$1007,"포함"))</f>
        <v/>
      </c>
      <c r="G56" s="33">
        <f>IF($U56="","",SUMIFS(매입원본!$AV$8:$AV$1007,매입원본!$AX$8:$AX$1007,INDEX($R$8:$R$207,$U56),매입원본!$BA$8:$BA$1007,"포함"))</f>
        <v/>
      </c>
      <c r="H56" s="34">
        <f>IF(OR($U56="",$E$7=0),"",E56/$E$7)</f>
        <v/>
      </c>
      <c r="I56" s="33">
        <f>IF(OR($U56="",0&gt;=설정!$B$12),"",SUMIFS(매입원본!$AT$8:$AT$1007,매입원본!$AX$8:$AX$1007,INDEX($R$8:$R$207,$U56),매입원본!$BA$8:$BA$1007,"포함",매입원본!$AS$8:$AS$1007,"&gt;="&amp;EDATE(설정!$B$10,0),매입원본!$AS$8:$AS$1007,"&lt;="&amp;EOMONTH(설정!$B$10,0)))</f>
        <v/>
      </c>
      <c r="J56" s="33">
        <f>IF(OR($U56="",1&gt;=설정!$B$12),"",SUMIFS(매입원본!$AT$8:$AT$1007,매입원본!$AX$8:$AX$1007,INDEX($R$8:$R$207,$U56),매입원본!$BA$8:$BA$1007,"포함",매입원본!$AS$8:$AS$1007,"&gt;="&amp;EDATE(설정!$B$10,1),매입원본!$AS$8:$AS$1007,"&lt;="&amp;EOMONTH(설정!$B$10,1)))</f>
        <v/>
      </c>
      <c r="K56" s="33">
        <f>IF(OR($U56="",2&gt;=설정!$B$12),"",SUMIFS(매입원본!$AT$8:$AT$1007,매입원본!$AX$8:$AX$1007,INDEX($R$8:$R$207,$U56),매입원본!$BA$8:$BA$1007,"포함",매입원본!$AS$8:$AS$1007,"&gt;="&amp;EDATE(설정!$B$10,2),매입원본!$AS$8:$AS$1007,"&lt;="&amp;EOMONTH(설정!$B$10,2)))</f>
        <v/>
      </c>
      <c r="L56" s="33">
        <f>IF(OR($U56="",3&gt;=설정!$B$12),"",SUMIFS(매입원본!$AT$8:$AT$1007,매입원본!$AX$8:$AX$1007,INDEX($R$8:$R$207,$U56),매입원본!$BA$8:$BA$1007,"포함",매입원본!$AS$8:$AS$1007,"&gt;="&amp;EDATE(설정!$B$10,3),매입원본!$AS$8:$AS$1007,"&lt;="&amp;EOMONTH(설정!$B$10,3)))</f>
        <v/>
      </c>
      <c r="M56" s="33">
        <f>IF(OR($U56="",4&gt;=설정!$B$12),"",SUMIFS(매입원본!$AT$8:$AT$1007,매입원본!$AX$8:$AX$1007,INDEX($R$8:$R$207,$U56),매입원본!$BA$8:$BA$1007,"포함",매입원본!$AS$8:$AS$1007,"&gt;="&amp;EDATE(설정!$B$10,4),매입원본!$AS$8:$AS$1007,"&lt;="&amp;EOMONTH(설정!$B$10,4)))</f>
        <v/>
      </c>
      <c r="N56" s="33">
        <f>IF(OR($U56="",5&gt;=설정!$B$12),"",SUMIFS(매입원본!$AT$8:$AT$1007,매입원본!$AX$8:$AX$1007,INDEX($R$8:$R$207,$U56),매입원본!$BA$8:$BA$1007,"포함",매입원본!$AS$8:$AS$1007,"&gt;="&amp;EDATE(설정!$B$10,5),매입원본!$AS$8:$AS$1007,"&lt;="&amp;EOMONTH(설정!$B$10,5)))</f>
        <v/>
      </c>
      <c r="Q56" s="35" t="n">
        <v>49</v>
      </c>
      <c r="R56" s="35">
        <f>IFERROR(INDEX(매입원본!$AX$8:$AX$1007,MATCH($Q56,매입원본!$BD$8:$BD$1007,0)),"")</f>
        <v/>
      </c>
      <c r="S56" s="35">
        <f>IF($R56="","",SUMIFS(매입원본!$AT$8:$AT$1007,매입원본!$AX$8:$AX$1007,$R56,매입원본!$BA$8:$BA$1007,"포함"))</f>
        <v/>
      </c>
      <c r="T56" s="35">
        <f>IF($R56="","",$S56-$Q56/100000)</f>
        <v/>
      </c>
      <c r="U56" s="35">
        <f>IFERROR(MATCH(LARGE($T$8:$T$207,49),$T$8:$T$207,0),"")</f>
        <v/>
      </c>
    </row>
    <row r="57">
      <c r="A57" s="32">
        <f>IF($U57="","",50)</f>
        <v/>
      </c>
      <c r="B57" s="10">
        <f>IF($U57="","",IFERROR(INDEX(매입원본!$AZ$8:$AZ$1007,MATCH($U57,매입원본!$BD$8:$BD$1007,0)),""))</f>
        <v/>
      </c>
      <c r="C57" s="10">
        <f>IF($U57="","",IFERROR(INDEX(매입원본!$AY$8:$AY$1007,MATCH($U57,매입원본!$BD$8:$BD$1007,0)),""))</f>
        <v/>
      </c>
      <c r="D57" s="33">
        <f>IF($U57="","",COUNTIFS(매입원본!$AX$8:$AX$1007,INDEX($R$8:$R$207,$U57),매입원본!$BA$8:$BA$1007,"포함"))</f>
        <v/>
      </c>
      <c r="E57" s="33">
        <f>IF($U57="","",SUMIFS(매입원본!$AT$8:$AT$1007,매입원본!$AX$8:$AX$1007,INDEX($R$8:$R$207,$U57),매입원본!$BA$8:$BA$1007,"포함"))</f>
        <v/>
      </c>
      <c r="F57" s="33">
        <f>IF($U57="","",SUMIFS(매입원본!$AU$8:$AU$1007,매입원본!$AX$8:$AX$1007,INDEX($R$8:$R$207,$U57),매입원본!$BA$8:$BA$1007,"포함"))</f>
        <v/>
      </c>
      <c r="G57" s="33">
        <f>IF($U57="","",SUMIFS(매입원본!$AV$8:$AV$1007,매입원본!$AX$8:$AX$1007,INDEX($R$8:$R$207,$U57),매입원본!$BA$8:$BA$1007,"포함"))</f>
        <v/>
      </c>
      <c r="H57" s="34">
        <f>IF(OR($U57="",$E$7=0),"",E57/$E$7)</f>
        <v/>
      </c>
      <c r="I57" s="33">
        <f>IF(OR($U57="",0&gt;=설정!$B$12),"",SUMIFS(매입원본!$AT$8:$AT$1007,매입원본!$AX$8:$AX$1007,INDEX($R$8:$R$207,$U57),매입원본!$BA$8:$BA$1007,"포함",매입원본!$AS$8:$AS$1007,"&gt;="&amp;EDATE(설정!$B$10,0),매입원본!$AS$8:$AS$1007,"&lt;="&amp;EOMONTH(설정!$B$10,0)))</f>
        <v/>
      </c>
      <c r="J57" s="33">
        <f>IF(OR($U57="",1&gt;=설정!$B$12),"",SUMIFS(매입원본!$AT$8:$AT$1007,매입원본!$AX$8:$AX$1007,INDEX($R$8:$R$207,$U57),매입원본!$BA$8:$BA$1007,"포함",매입원본!$AS$8:$AS$1007,"&gt;="&amp;EDATE(설정!$B$10,1),매입원본!$AS$8:$AS$1007,"&lt;="&amp;EOMONTH(설정!$B$10,1)))</f>
        <v/>
      </c>
      <c r="K57" s="33">
        <f>IF(OR($U57="",2&gt;=설정!$B$12),"",SUMIFS(매입원본!$AT$8:$AT$1007,매입원본!$AX$8:$AX$1007,INDEX($R$8:$R$207,$U57),매입원본!$BA$8:$BA$1007,"포함",매입원본!$AS$8:$AS$1007,"&gt;="&amp;EDATE(설정!$B$10,2),매입원본!$AS$8:$AS$1007,"&lt;="&amp;EOMONTH(설정!$B$10,2)))</f>
        <v/>
      </c>
      <c r="L57" s="33">
        <f>IF(OR($U57="",3&gt;=설정!$B$12),"",SUMIFS(매입원본!$AT$8:$AT$1007,매입원본!$AX$8:$AX$1007,INDEX($R$8:$R$207,$U57),매입원본!$BA$8:$BA$1007,"포함",매입원본!$AS$8:$AS$1007,"&gt;="&amp;EDATE(설정!$B$10,3),매입원본!$AS$8:$AS$1007,"&lt;="&amp;EOMONTH(설정!$B$10,3)))</f>
        <v/>
      </c>
      <c r="M57" s="33">
        <f>IF(OR($U57="",4&gt;=설정!$B$12),"",SUMIFS(매입원본!$AT$8:$AT$1007,매입원본!$AX$8:$AX$1007,INDEX($R$8:$R$207,$U57),매입원본!$BA$8:$BA$1007,"포함",매입원본!$AS$8:$AS$1007,"&gt;="&amp;EDATE(설정!$B$10,4),매입원본!$AS$8:$AS$1007,"&lt;="&amp;EOMONTH(설정!$B$10,4)))</f>
        <v/>
      </c>
      <c r="N57" s="33">
        <f>IF(OR($U57="",5&gt;=설정!$B$12),"",SUMIFS(매입원본!$AT$8:$AT$1007,매입원본!$AX$8:$AX$1007,INDEX($R$8:$R$207,$U57),매입원본!$BA$8:$BA$1007,"포함",매입원본!$AS$8:$AS$1007,"&gt;="&amp;EDATE(설정!$B$10,5),매입원본!$AS$8:$AS$1007,"&lt;="&amp;EOMONTH(설정!$B$10,5)))</f>
        <v/>
      </c>
      <c r="Q57" s="35" t="n">
        <v>50</v>
      </c>
      <c r="R57" s="35">
        <f>IFERROR(INDEX(매입원본!$AX$8:$AX$1007,MATCH($Q57,매입원본!$BD$8:$BD$1007,0)),"")</f>
        <v/>
      </c>
      <c r="S57" s="35">
        <f>IF($R57="","",SUMIFS(매입원본!$AT$8:$AT$1007,매입원본!$AX$8:$AX$1007,$R57,매입원본!$BA$8:$BA$1007,"포함"))</f>
        <v/>
      </c>
      <c r="T57" s="35">
        <f>IF($R57="","",$S57-$Q57/100000)</f>
        <v/>
      </c>
      <c r="U57" s="35">
        <f>IFERROR(MATCH(LARGE($T$8:$T$207,50),$T$8:$T$207,0),"")</f>
        <v/>
      </c>
    </row>
    <row r="58">
      <c r="A58" s="32">
        <f>IF($U58="","",51)</f>
        <v/>
      </c>
      <c r="B58" s="10">
        <f>IF($U58="","",IFERROR(INDEX(매입원본!$AZ$8:$AZ$1007,MATCH($U58,매입원본!$BD$8:$BD$1007,0)),""))</f>
        <v/>
      </c>
      <c r="C58" s="10">
        <f>IF($U58="","",IFERROR(INDEX(매입원본!$AY$8:$AY$1007,MATCH($U58,매입원본!$BD$8:$BD$1007,0)),""))</f>
        <v/>
      </c>
      <c r="D58" s="33">
        <f>IF($U58="","",COUNTIFS(매입원본!$AX$8:$AX$1007,INDEX($R$8:$R$207,$U58),매입원본!$BA$8:$BA$1007,"포함"))</f>
        <v/>
      </c>
      <c r="E58" s="33">
        <f>IF($U58="","",SUMIFS(매입원본!$AT$8:$AT$1007,매입원본!$AX$8:$AX$1007,INDEX($R$8:$R$207,$U58),매입원본!$BA$8:$BA$1007,"포함"))</f>
        <v/>
      </c>
      <c r="F58" s="33">
        <f>IF($U58="","",SUMIFS(매입원본!$AU$8:$AU$1007,매입원본!$AX$8:$AX$1007,INDEX($R$8:$R$207,$U58),매입원본!$BA$8:$BA$1007,"포함"))</f>
        <v/>
      </c>
      <c r="G58" s="33">
        <f>IF($U58="","",SUMIFS(매입원본!$AV$8:$AV$1007,매입원본!$AX$8:$AX$1007,INDEX($R$8:$R$207,$U58),매입원본!$BA$8:$BA$1007,"포함"))</f>
        <v/>
      </c>
      <c r="H58" s="34">
        <f>IF(OR($U58="",$E$7=0),"",E58/$E$7)</f>
        <v/>
      </c>
      <c r="I58" s="33">
        <f>IF(OR($U58="",0&gt;=설정!$B$12),"",SUMIFS(매입원본!$AT$8:$AT$1007,매입원본!$AX$8:$AX$1007,INDEX($R$8:$R$207,$U58),매입원본!$BA$8:$BA$1007,"포함",매입원본!$AS$8:$AS$1007,"&gt;="&amp;EDATE(설정!$B$10,0),매입원본!$AS$8:$AS$1007,"&lt;="&amp;EOMONTH(설정!$B$10,0)))</f>
        <v/>
      </c>
      <c r="J58" s="33">
        <f>IF(OR($U58="",1&gt;=설정!$B$12),"",SUMIFS(매입원본!$AT$8:$AT$1007,매입원본!$AX$8:$AX$1007,INDEX($R$8:$R$207,$U58),매입원본!$BA$8:$BA$1007,"포함",매입원본!$AS$8:$AS$1007,"&gt;="&amp;EDATE(설정!$B$10,1),매입원본!$AS$8:$AS$1007,"&lt;="&amp;EOMONTH(설정!$B$10,1)))</f>
        <v/>
      </c>
      <c r="K58" s="33">
        <f>IF(OR($U58="",2&gt;=설정!$B$12),"",SUMIFS(매입원본!$AT$8:$AT$1007,매입원본!$AX$8:$AX$1007,INDEX($R$8:$R$207,$U58),매입원본!$BA$8:$BA$1007,"포함",매입원본!$AS$8:$AS$1007,"&gt;="&amp;EDATE(설정!$B$10,2),매입원본!$AS$8:$AS$1007,"&lt;="&amp;EOMONTH(설정!$B$10,2)))</f>
        <v/>
      </c>
      <c r="L58" s="33">
        <f>IF(OR($U58="",3&gt;=설정!$B$12),"",SUMIFS(매입원본!$AT$8:$AT$1007,매입원본!$AX$8:$AX$1007,INDEX($R$8:$R$207,$U58),매입원본!$BA$8:$BA$1007,"포함",매입원본!$AS$8:$AS$1007,"&gt;="&amp;EDATE(설정!$B$10,3),매입원본!$AS$8:$AS$1007,"&lt;="&amp;EOMONTH(설정!$B$10,3)))</f>
        <v/>
      </c>
      <c r="M58" s="33">
        <f>IF(OR($U58="",4&gt;=설정!$B$12),"",SUMIFS(매입원본!$AT$8:$AT$1007,매입원본!$AX$8:$AX$1007,INDEX($R$8:$R$207,$U58),매입원본!$BA$8:$BA$1007,"포함",매입원본!$AS$8:$AS$1007,"&gt;="&amp;EDATE(설정!$B$10,4),매입원본!$AS$8:$AS$1007,"&lt;="&amp;EOMONTH(설정!$B$10,4)))</f>
        <v/>
      </c>
      <c r="N58" s="33">
        <f>IF(OR($U58="",5&gt;=설정!$B$12),"",SUMIFS(매입원본!$AT$8:$AT$1007,매입원본!$AX$8:$AX$1007,INDEX($R$8:$R$207,$U58),매입원본!$BA$8:$BA$1007,"포함",매입원본!$AS$8:$AS$1007,"&gt;="&amp;EDATE(설정!$B$10,5),매입원본!$AS$8:$AS$1007,"&lt;="&amp;EOMONTH(설정!$B$10,5)))</f>
        <v/>
      </c>
      <c r="Q58" s="35" t="n">
        <v>51</v>
      </c>
      <c r="R58" s="35">
        <f>IFERROR(INDEX(매입원본!$AX$8:$AX$1007,MATCH($Q58,매입원본!$BD$8:$BD$1007,0)),"")</f>
        <v/>
      </c>
      <c r="S58" s="35">
        <f>IF($R58="","",SUMIFS(매입원본!$AT$8:$AT$1007,매입원본!$AX$8:$AX$1007,$R58,매입원본!$BA$8:$BA$1007,"포함"))</f>
        <v/>
      </c>
      <c r="T58" s="35">
        <f>IF($R58="","",$S58-$Q58/100000)</f>
        <v/>
      </c>
      <c r="U58" s="35">
        <f>IFERROR(MATCH(LARGE($T$8:$T$207,51),$T$8:$T$207,0),"")</f>
        <v/>
      </c>
    </row>
    <row r="59">
      <c r="A59" s="32">
        <f>IF($U59="","",52)</f>
        <v/>
      </c>
      <c r="B59" s="10">
        <f>IF($U59="","",IFERROR(INDEX(매입원본!$AZ$8:$AZ$1007,MATCH($U59,매입원본!$BD$8:$BD$1007,0)),""))</f>
        <v/>
      </c>
      <c r="C59" s="10">
        <f>IF($U59="","",IFERROR(INDEX(매입원본!$AY$8:$AY$1007,MATCH($U59,매입원본!$BD$8:$BD$1007,0)),""))</f>
        <v/>
      </c>
      <c r="D59" s="33">
        <f>IF($U59="","",COUNTIFS(매입원본!$AX$8:$AX$1007,INDEX($R$8:$R$207,$U59),매입원본!$BA$8:$BA$1007,"포함"))</f>
        <v/>
      </c>
      <c r="E59" s="33">
        <f>IF($U59="","",SUMIFS(매입원본!$AT$8:$AT$1007,매입원본!$AX$8:$AX$1007,INDEX($R$8:$R$207,$U59),매입원본!$BA$8:$BA$1007,"포함"))</f>
        <v/>
      </c>
      <c r="F59" s="33">
        <f>IF($U59="","",SUMIFS(매입원본!$AU$8:$AU$1007,매입원본!$AX$8:$AX$1007,INDEX($R$8:$R$207,$U59),매입원본!$BA$8:$BA$1007,"포함"))</f>
        <v/>
      </c>
      <c r="G59" s="33">
        <f>IF($U59="","",SUMIFS(매입원본!$AV$8:$AV$1007,매입원본!$AX$8:$AX$1007,INDEX($R$8:$R$207,$U59),매입원본!$BA$8:$BA$1007,"포함"))</f>
        <v/>
      </c>
      <c r="H59" s="34">
        <f>IF(OR($U59="",$E$7=0),"",E59/$E$7)</f>
        <v/>
      </c>
      <c r="I59" s="33">
        <f>IF(OR($U59="",0&gt;=설정!$B$12),"",SUMIFS(매입원본!$AT$8:$AT$1007,매입원본!$AX$8:$AX$1007,INDEX($R$8:$R$207,$U59),매입원본!$BA$8:$BA$1007,"포함",매입원본!$AS$8:$AS$1007,"&gt;="&amp;EDATE(설정!$B$10,0),매입원본!$AS$8:$AS$1007,"&lt;="&amp;EOMONTH(설정!$B$10,0)))</f>
        <v/>
      </c>
      <c r="J59" s="33">
        <f>IF(OR($U59="",1&gt;=설정!$B$12),"",SUMIFS(매입원본!$AT$8:$AT$1007,매입원본!$AX$8:$AX$1007,INDEX($R$8:$R$207,$U59),매입원본!$BA$8:$BA$1007,"포함",매입원본!$AS$8:$AS$1007,"&gt;="&amp;EDATE(설정!$B$10,1),매입원본!$AS$8:$AS$1007,"&lt;="&amp;EOMONTH(설정!$B$10,1)))</f>
        <v/>
      </c>
      <c r="K59" s="33">
        <f>IF(OR($U59="",2&gt;=설정!$B$12),"",SUMIFS(매입원본!$AT$8:$AT$1007,매입원본!$AX$8:$AX$1007,INDEX($R$8:$R$207,$U59),매입원본!$BA$8:$BA$1007,"포함",매입원본!$AS$8:$AS$1007,"&gt;="&amp;EDATE(설정!$B$10,2),매입원본!$AS$8:$AS$1007,"&lt;="&amp;EOMONTH(설정!$B$10,2)))</f>
        <v/>
      </c>
      <c r="L59" s="33">
        <f>IF(OR($U59="",3&gt;=설정!$B$12),"",SUMIFS(매입원본!$AT$8:$AT$1007,매입원본!$AX$8:$AX$1007,INDEX($R$8:$R$207,$U59),매입원본!$BA$8:$BA$1007,"포함",매입원본!$AS$8:$AS$1007,"&gt;="&amp;EDATE(설정!$B$10,3),매입원본!$AS$8:$AS$1007,"&lt;="&amp;EOMONTH(설정!$B$10,3)))</f>
        <v/>
      </c>
      <c r="M59" s="33">
        <f>IF(OR($U59="",4&gt;=설정!$B$12),"",SUMIFS(매입원본!$AT$8:$AT$1007,매입원본!$AX$8:$AX$1007,INDEX($R$8:$R$207,$U59),매입원본!$BA$8:$BA$1007,"포함",매입원본!$AS$8:$AS$1007,"&gt;="&amp;EDATE(설정!$B$10,4),매입원본!$AS$8:$AS$1007,"&lt;="&amp;EOMONTH(설정!$B$10,4)))</f>
        <v/>
      </c>
      <c r="N59" s="33">
        <f>IF(OR($U59="",5&gt;=설정!$B$12),"",SUMIFS(매입원본!$AT$8:$AT$1007,매입원본!$AX$8:$AX$1007,INDEX($R$8:$R$207,$U59),매입원본!$BA$8:$BA$1007,"포함",매입원본!$AS$8:$AS$1007,"&gt;="&amp;EDATE(설정!$B$10,5),매입원본!$AS$8:$AS$1007,"&lt;="&amp;EOMONTH(설정!$B$10,5)))</f>
        <v/>
      </c>
      <c r="Q59" s="35" t="n">
        <v>52</v>
      </c>
      <c r="R59" s="35">
        <f>IFERROR(INDEX(매입원본!$AX$8:$AX$1007,MATCH($Q59,매입원본!$BD$8:$BD$1007,0)),"")</f>
        <v/>
      </c>
      <c r="S59" s="35">
        <f>IF($R59="","",SUMIFS(매입원본!$AT$8:$AT$1007,매입원본!$AX$8:$AX$1007,$R59,매입원본!$BA$8:$BA$1007,"포함"))</f>
        <v/>
      </c>
      <c r="T59" s="35">
        <f>IF($R59="","",$S59-$Q59/100000)</f>
        <v/>
      </c>
      <c r="U59" s="35">
        <f>IFERROR(MATCH(LARGE($T$8:$T$207,52),$T$8:$T$207,0),"")</f>
        <v/>
      </c>
    </row>
    <row r="60">
      <c r="A60" s="32">
        <f>IF($U60="","",53)</f>
        <v/>
      </c>
      <c r="B60" s="10">
        <f>IF($U60="","",IFERROR(INDEX(매입원본!$AZ$8:$AZ$1007,MATCH($U60,매입원본!$BD$8:$BD$1007,0)),""))</f>
        <v/>
      </c>
      <c r="C60" s="10">
        <f>IF($U60="","",IFERROR(INDEX(매입원본!$AY$8:$AY$1007,MATCH($U60,매입원본!$BD$8:$BD$1007,0)),""))</f>
        <v/>
      </c>
      <c r="D60" s="33">
        <f>IF($U60="","",COUNTIFS(매입원본!$AX$8:$AX$1007,INDEX($R$8:$R$207,$U60),매입원본!$BA$8:$BA$1007,"포함"))</f>
        <v/>
      </c>
      <c r="E60" s="33">
        <f>IF($U60="","",SUMIFS(매입원본!$AT$8:$AT$1007,매입원본!$AX$8:$AX$1007,INDEX($R$8:$R$207,$U60),매입원본!$BA$8:$BA$1007,"포함"))</f>
        <v/>
      </c>
      <c r="F60" s="33">
        <f>IF($U60="","",SUMIFS(매입원본!$AU$8:$AU$1007,매입원본!$AX$8:$AX$1007,INDEX($R$8:$R$207,$U60),매입원본!$BA$8:$BA$1007,"포함"))</f>
        <v/>
      </c>
      <c r="G60" s="33">
        <f>IF($U60="","",SUMIFS(매입원본!$AV$8:$AV$1007,매입원본!$AX$8:$AX$1007,INDEX($R$8:$R$207,$U60),매입원본!$BA$8:$BA$1007,"포함"))</f>
        <v/>
      </c>
      <c r="H60" s="34">
        <f>IF(OR($U60="",$E$7=0),"",E60/$E$7)</f>
        <v/>
      </c>
      <c r="I60" s="33">
        <f>IF(OR($U60="",0&gt;=설정!$B$12),"",SUMIFS(매입원본!$AT$8:$AT$1007,매입원본!$AX$8:$AX$1007,INDEX($R$8:$R$207,$U60),매입원본!$BA$8:$BA$1007,"포함",매입원본!$AS$8:$AS$1007,"&gt;="&amp;EDATE(설정!$B$10,0),매입원본!$AS$8:$AS$1007,"&lt;="&amp;EOMONTH(설정!$B$10,0)))</f>
        <v/>
      </c>
      <c r="J60" s="33">
        <f>IF(OR($U60="",1&gt;=설정!$B$12),"",SUMIFS(매입원본!$AT$8:$AT$1007,매입원본!$AX$8:$AX$1007,INDEX($R$8:$R$207,$U60),매입원본!$BA$8:$BA$1007,"포함",매입원본!$AS$8:$AS$1007,"&gt;="&amp;EDATE(설정!$B$10,1),매입원본!$AS$8:$AS$1007,"&lt;="&amp;EOMONTH(설정!$B$10,1)))</f>
        <v/>
      </c>
      <c r="K60" s="33">
        <f>IF(OR($U60="",2&gt;=설정!$B$12),"",SUMIFS(매입원본!$AT$8:$AT$1007,매입원본!$AX$8:$AX$1007,INDEX($R$8:$R$207,$U60),매입원본!$BA$8:$BA$1007,"포함",매입원본!$AS$8:$AS$1007,"&gt;="&amp;EDATE(설정!$B$10,2),매입원본!$AS$8:$AS$1007,"&lt;="&amp;EOMONTH(설정!$B$10,2)))</f>
        <v/>
      </c>
      <c r="L60" s="33">
        <f>IF(OR($U60="",3&gt;=설정!$B$12),"",SUMIFS(매입원본!$AT$8:$AT$1007,매입원본!$AX$8:$AX$1007,INDEX($R$8:$R$207,$U60),매입원본!$BA$8:$BA$1007,"포함",매입원본!$AS$8:$AS$1007,"&gt;="&amp;EDATE(설정!$B$10,3),매입원본!$AS$8:$AS$1007,"&lt;="&amp;EOMONTH(설정!$B$10,3)))</f>
        <v/>
      </c>
      <c r="M60" s="33">
        <f>IF(OR($U60="",4&gt;=설정!$B$12),"",SUMIFS(매입원본!$AT$8:$AT$1007,매입원본!$AX$8:$AX$1007,INDEX($R$8:$R$207,$U60),매입원본!$BA$8:$BA$1007,"포함",매입원본!$AS$8:$AS$1007,"&gt;="&amp;EDATE(설정!$B$10,4),매입원본!$AS$8:$AS$1007,"&lt;="&amp;EOMONTH(설정!$B$10,4)))</f>
        <v/>
      </c>
      <c r="N60" s="33">
        <f>IF(OR($U60="",5&gt;=설정!$B$12),"",SUMIFS(매입원본!$AT$8:$AT$1007,매입원본!$AX$8:$AX$1007,INDEX($R$8:$R$207,$U60),매입원본!$BA$8:$BA$1007,"포함",매입원본!$AS$8:$AS$1007,"&gt;="&amp;EDATE(설정!$B$10,5),매입원본!$AS$8:$AS$1007,"&lt;="&amp;EOMONTH(설정!$B$10,5)))</f>
        <v/>
      </c>
      <c r="Q60" s="35" t="n">
        <v>53</v>
      </c>
      <c r="R60" s="35">
        <f>IFERROR(INDEX(매입원본!$AX$8:$AX$1007,MATCH($Q60,매입원본!$BD$8:$BD$1007,0)),"")</f>
        <v/>
      </c>
      <c r="S60" s="35">
        <f>IF($R60="","",SUMIFS(매입원본!$AT$8:$AT$1007,매입원본!$AX$8:$AX$1007,$R60,매입원본!$BA$8:$BA$1007,"포함"))</f>
        <v/>
      </c>
      <c r="T60" s="35">
        <f>IF($R60="","",$S60-$Q60/100000)</f>
        <v/>
      </c>
      <c r="U60" s="35">
        <f>IFERROR(MATCH(LARGE($T$8:$T$207,53),$T$8:$T$207,0),"")</f>
        <v/>
      </c>
    </row>
    <row r="61">
      <c r="A61" s="32">
        <f>IF($U61="","",54)</f>
        <v/>
      </c>
      <c r="B61" s="10">
        <f>IF($U61="","",IFERROR(INDEX(매입원본!$AZ$8:$AZ$1007,MATCH($U61,매입원본!$BD$8:$BD$1007,0)),""))</f>
        <v/>
      </c>
      <c r="C61" s="10">
        <f>IF($U61="","",IFERROR(INDEX(매입원본!$AY$8:$AY$1007,MATCH($U61,매입원본!$BD$8:$BD$1007,0)),""))</f>
        <v/>
      </c>
      <c r="D61" s="33">
        <f>IF($U61="","",COUNTIFS(매입원본!$AX$8:$AX$1007,INDEX($R$8:$R$207,$U61),매입원본!$BA$8:$BA$1007,"포함"))</f>
        <v/>
      </c>
      <c r="E61" s="33">
        <f>IF($U61="","",SUMIFS(매입원본!$AT$8:$AT$1007,매입원본!$AX$8:$AX$1007,INDEX($R$8:$R$207,$U61),매입원본!$BA$8:$BA$1007,"포함"))</f>
        <v/>
      </c>
      <c r="F61" s="33">
        <f>IF($U61="","",SUMIFS(매입원본!$AU$8:$AU$1007,매입원본!$AX$8:$AX$1007,INDEX($R$8:$R$207,$U61),매입원본!$BA$8:$BA$1007,"포함"))</f>
        <v/>
      </c>
      <c r="G61" s="33">
        <f>IF($U61="","",SUMIFS(매입원본!$AV$8:$AV$1007,매입원본!$AX$8:$AX$1007,INDEX($R$8:$R$207,$U61),매입원본!$BA$8:$BA$1007,"포함"))</f>
        <v/>
      </c>
      <c r="H61" s="34">
        <f>IF(OR($U61="",$E$7=0),"",E61/$E$7)</f>
        <v/>
      </c>
      <c r="I61" s="33">
        <f>IF(OR($U61="",0&gt;=설정!$B$12),"",SUMIFS(매입원본!$AT$8:$AT$1007,매입원본!$AX$8:$AX$1007,INDEX($R$8:$R$207,$U61),매입원본!$BA$8:$BA$1007,"포함",매입원본!$AS$8:$AS$1007,"&gt;="&amp;EDATE(설정!$B$10,0),매입원본!$AS$8:$AS$1007,"&lt;="&amp;EOMONTH(설정!$B$10,0)))</f>
        <v/>
      </c>
      <c r="J61" s="33">
        <f>IF(OR($U61="",1&gt;=설정!$B$12),"",SUMIFS(매입원본!$AT$8:$AT$1007,매입원본!$AX$8:$AX$1007,INDEX($R$8:$R$207,$U61),매입원본!$BA$8:$BA$1007,"포함",매입원본!$AS$8:$AS$1007,"&gt;="&amp;EDATE(설정!$B$10,1),매입원본!$AS$8:$AS$1007,"&lt;="&amp;EOMONTH(설정!$B$10,1)))</f>
        <v/>
      </c>
      <c r="K61" s="33">
        <f>IF(OR($U61="",2&gt;=설정!$B$12),"",SUMIFS(매입원본!$AT$8:$AT$1007,매입원본!$AX$8:$AX$1007,INDEX($R$8:$R$207,$U61),매입원본!$BA$8:$BA$1007,"포함",매입원본!$AS$8:$AS$1007,"&gt;="&amp;EDATE(설정!$B$10,2),매입원본!$AS$8:$AS$1007,"&lt;="&amp;EOMONTH(설정!$B$10,2)))</f>
        <v/>
      </c>
      <c r="L61" s="33">
        <f>IF(OR($U61="",3&gt;=설정!$B$12),"",SUMIFS(매입원본!$AT$8:$AT$1007,매입원본!$AX$8:$AX$1007,INDEX($R$8:$R$207,$U61),매입원본!$BA$8:$BA$1007,"포함",매입원본!$AS$8:$AS$1007,"&gt;="&amp;EDATE(설정!$B$10,3),매입원본!$AS$8:$AS$1007,"&lt;="&amp;EOMONTH(설정!$B$10,3)))</f>
        <v/>
      </c>
      <c r="M61" s="33">
        <f>IF(OR($U61="",4&gt;=설정!$B$12),"",SUMIFS(매입원본!$AT$8:$AT$1007,매입원본!$AX$8:$AX$1007,INDEX($R$8:$R$207,$U61),매입원본!$BA$8:$BA$1007,"포함",매입원본!$AS$8:$AS$1007,"&gt;="&amp;EDATE(설정!$B$10,4),매입원본!$AS$8:$AS$1007,"&lt;="&amp;EOMONTH(설정!$B$10,4)))</f>
        <v/>
      </c>
      <c r="N61" s="33">
        <f>IF(OR($U61="",5&gt;=설정!$B$12),"",SUMIFS(매입원본!$AT$8:$AT$1007,매입원본!$AX$8:$AX$1007,INDEX($R$8:$R$207,$U61),매입원본!$BA$8:$BA$1007,"포함",매입원본!$AS$8:$AS$1007,"&gt;="&amp;EDATE(설정!$B$10,5),매입원본!$AS$8:$AS$1007,"&lt;="&amp;EOMONTH(설정!$B$10,5)))</f>
        <v/>
      </c>
      <c r="Q61" s="35" t="n">
        <v>54</v>
      </c>
      <c r="R61" s="35">
        <f>IFERROR(INDEX(매입원본!$AX$8:$AX$1007,MATCH($Q61,매입원본!$BD$8:$BD$1007,0)),"")</f>
        <v/>
      </c>
      <c r="S61" s="35">
        <f>IF($R61="","",SUMIFS(매입원본!$AT$8:$AT$1007,매입원본!$AX$8:$AX$1007,$R61,매입원본!$BA$8:$BA$1007,"포함"))</f>
        <v/>
      </c>
      <c r="T61" s="35">
        <f>IF($R61="","",$S61-$Q61/100000)</f>
        <v/>
      </c>
      <c r="U61" s="35">
        <f>IFERROR(MATCH(LARGE($T$8:$T$207,54),$T$8:$T$207,0),"")</f>
        <v/>
      </c>
    </row>
    <row r="62">
      <c r="A62" s="32">
        <f>IF($U62="","",55)</f>
        <v/>
      </c>
      <c r="B62" s="10">
        <f>IF($U62="","",IFERROR(INDEX(매입원본!$AZ$8:$AZ$1007,MATCH($U62,매입원본!$BD$8:$BD$1007,0)),""))</f>
        <v/>
      </c>
      <c r="C62" s="10">
        <f>IF($U62="","",IFERROR(INDEX(매입원본!$AY$8:$AY$1007,MATCH($U62,매입원본!$BD$8:$BD$1007,0)),""))</f>
        <v/>
      </c>
      <c r="D62" s="33">
        <f>IF($U62="","",COUNTIFS(매입원본!$AX$8:$AX$1007,INDEX($R$8:$R$207,$U62),매입원본!$BA$8:$BA$1007,"포함"))</f>
        <v/>
      </c>
      <c r="E62" s="33">
        <f>IF($U62="","",SUMIFS(매입원본!$AT$8:$AT$1007,매입원본!$AX$8:$AX$1007,INDEX($R$8:$R$207,$U62),매입원본!$BA$8:$BA$1007,"포함"))</f>
        <v/>
      </c>
      <c r="F62" s="33">
        <f>IF($U62="","",SUMIFS(매입원본!$AU$8:$AU$1007,매입원본!$AX$8:$AX$1007,INDEX($R$8:$R$207,$U62),매입원본!$BA$8:$BA$1007,"포함"))</f>
        <v/>
      </c>
      <c r="G62" s="33">
        <f>IF($U62="","",SUMIFS(매입원본!$AV$8:$AV$1007,매입원본!$AX$8:$AX$1007,INDEX($R$8:$R$207,$U62),매입원본!$BA$8:$BA$1007,"포함"))</f>
        <v/>
      </c>
      <c r="H62" s="34">
        <f>IF(OR($U62="",$E$7=0),"",E62/$E$7)</f>
        <v/>
      </c>
      <c r="I62" s="33">
        <f>IF(OR($U62="",0&gt;=설정!$B$12),"",SUMIFS(매입원본!$AT$8:$AT$1007,매입원본!$AX$8:$AX$1007,INDEX($R$8:$R$207,$U62),매입원본!$BA$8:$BA$1007,"포함",매입원본!$AS$8:$AS$1007,"&gt;="&amp;EDATE(설정!$B$10,0),매입원본!$AS$8:$AS$1007,"&lt;="&amp;EOMONTH(설정!$B$10,0)))</f>
        <v/>
      </c>
      <c r="J62" s="33">
        <f>IF(OR($U62="",1&gt;=설정!$B$12),"",SUMIFS(매입원본!$AT$8:$AT$1007,매입원본!$AX$8:$AX$1007,INDEX($R$8:$R$207,$U62),매입원본!$BA$8:$BA$1007,"포함",매입원본!$AS$8:$AS$1007,"&gt;="&amp;EDATE(설정!$B$10,1),매입원본!$AS$8:$AS$1007,"&lt;="&amp;EOMONTH(설정!$B$10,1)))</f>
        <v/>
      </c>
      <c r="K62" s="33">
        <f>IF(OR($U62="",2&gt;=설정!$B$12),"",SUMIFS(매입원본!$AT$8:$AT$1007,매입원본!$AX$8:$AX$1007,INDEX($R$8:$R$207,$U62),매입원본!$BA$8:$BA$1007,"포함",매입원본!$AS$8:$AS$1007,"&gt;="&amp;EDATE(설정!$B$10,2),매입원본!$AS$8:$AS$1007,"&lt;="&amp;EOMONTH(설정!$B$10,2)))</f>
        <v/>
      </c>
      <c r="L62" s="33">
        <f>IF(OR($U62="",3&gt;=설정!$B$12),"",SUMIFS(매입원본!$AT$8:$AT$1007,매입원본!$AX$8:$AX$1007,INDEX($R$8:$R$207,$U62),매입원본!$BA$8:$BA$1007,"포함",매입원본!$AS$8:$AS$1007,"&gt;="&amp;EDATE(설정!$B$10,3),매입원본!$AS$8:$AS$1007,"&lt;="&amp;EOMONTH(설정!$B$10,3)))</f>
        <v/>
      </c>
      <c r="M62" s="33">
        <f>IF(OR($U62="",4&gt;=설정!$B$12),"",SUMIFS(매입원본!$AT$8:$AT$1007,매입원본!$AX$8:$AX$1007,INDEX($R$8:$R$207,$U62),매입원본!$BA$8:$BA$1007,"포함",매입원본!$AS$8:$AS$1007,"&gt;="&amp;EDATE(설정!$B$10,4),매입원본!$AS$8:$AS$1007,"&lt;="&amp;EOMONTH(설정!$B$10,4)))</f>
        <v/>
      </c>
      <c r="N62" s="33">
        <f>IF(OR($U62="",5&gt;=설정!$B$12),"",SUMIFS(매입원본!$AT$8:$AT$1007,매입원본!$AX$8:$AX$1007,INDEX($R$8:$R$207,$U62),매입원본!$BA$8:$BA$1007,"포함",매입원본!$AS$8:$AS$1007,"&gt;="&amp;EDATE(설정!$B$10,5),매입원본!$AS$8:$AS$1007,"&lt;="&amp;EOMONTH(설정!$B$10,5)))</f>
        <v/>
      </c>
      <c r="Q62" s="35" t="n">
        <v>55</v>
      </c>
      <c r="R62" s="35">
        <f>IFERROR(INDEX(매입원본!$AX$8:$AX$1007,MATCH($Q62,매입원본!$BD$8:$BD$1007,0)),"")</f>
        <v/>
      </c>
      <c r="S62" s="35">
        <f>IF($R62="","",SUMIFS(매입원본!$AT$8:$AT$1007,매입원본!$AX$8:$AX$1007,$R62,매입원본!$BA$8:$BA$1007,"포함"))</f>
        <v/>
      </c>
      <c r="T62" s="35">
        <f>IF($R62="","",$S62-$Q62/100000)</f>
        <v/>
      </c>
      <c r="U62" s="35">
        <f>IFERROR(MATCH(LARGE($T$8:$T$207,55),$T$8:$T$207,0),"")</f>
        <v/>
      </c>
    </row>
    <row r="63">
      <c r="A63" s="32">
        <f>IF($U63="","",56)</f>
        <v/>
      </c>
      <c r="B63" s="10">
        <f>IF($U63="","",IFERROR(INDEX(매입원본!$AZ$8:$AZ$1007,MATCH($U63,매입원본!$BD$8:$BD$1007,0)),""))</f>
        <v/>
      </c>
      <c r="C63" s="10">
        <f>IF($U63="","",IFERROR(INDEX(매입원본!$AY$8:$AY$1007,MATCH($U63,매입원본!$BD$8:$BD$1007,0)),""))</f>
        <v/>
      </c>
      <c r="D63" s="33">
        <f>IF($U63="","",COUNTIFS(매입원본!$AX$8:$AX$1007,INDEX($R$8:$R$207,$U63),매입원본!$BA$8:$BA$1007,"포함"))</f>
        <v/>
      </c>
      <c r="E63" s="33">
        <f>IF($U63="","",SUMIFS(매입원본!$AT$8:$AT$1007,매입원본!$AX$8:$AX$1007,INDEX($R$8:$R$207,$U63),매입원본!$BA$8:$BA$1007,"포함"))</f>
        <v/>
      </c>
      <c r="F63" s="33">
        <f>IF($U63="","",SUMIFS(매입원본!$AU$8:$AU$1007,매입원본!$AX$8:$AX$1007,INDEX($R$8:$R$207,$U63),매입원본!$BA$8:$BA$1007,"포함"))</f>
        <v/>
      </c>
      <c r="G63" s="33">
        <f>IF($U63="","",SUMIFS(매입원본!$AV$8:$AV$1007,매입원본!$AX$8:$AX$1007,INDEX($R$8:$R$207,$U63),매입원본!$BA$8:$BA$1007,"포함"))</f>
        <v/>
      </c>
      <c r="H63" s="34">
        <f>IF(OR($U63="",$E$7=0),"",E63/$E$7)</f>
        <v/>
      </c>
      <c r="I63" s="33">
        <f>IF(OR($U63="",0&gt;=설정!$B$12),"",SUMIFS(매입원본!$AT$8:$AT$1007,매입원본!$AX$8:$AX$1007,INDEX($R$8:$R$207,$U63),매입원본!$BA$8:$BA$1007,"포함",매입원본!$AS$8:$AS$1007,"&gt;="&amp;EDATE(설정!$B$10,0),매입원본!$AS$8:$AS$1007,"&lt;="&amp;EOMONTH(설정!$B$10,0)))</f>
        <v/>
      </c>
      <c r="J63" s="33">
        <f>IF(OR($U63="",1&gt;=설정!$B$12),"",SUMIFS(매입원본!$AT$8:$AT$1007,매입원본!$AX$8:$AX$1007,INDEX($R$8:$R$207,$U63),매입원본!$BA$8:$BA$1007,"포함",매입원본!$AS$8:$AS$1007,"&gt;="&amp;EDATE(설정!$B$10,1),매입원본!$AS$8:$AS$1007,"&lt;="&amp;EOMONTH(설정!$B$10,1)))</f>
        <v/>
      </c>
      <c r="K63" s="33">
        <f>IF(OR($U63="",2&gt;=설정!$B$12),"",SUMIFS(매입원본!$AT$8:$AT$1007,매입원본!$AX$8:$AX$1007,INDEX($R$8:$R$207,$U63),매입원본!$BA$8:$BA$1007,"포함",매입원본!$AS$8:$AS$1007,"&gt;="&amp;EDATE(설정!$B$10,2),매입원본!$AS$8:$AS$1007,"&lt;="&amp;EOMONTH(설정!$B$10,2)))</f>
        <v/>
      </c>
      <c r="L63" s="33">
        <f>IF(OR($U63="",3&gt;=설정!$B$12),"",SUMIFS(매입원본!$AT$8:$AT$1007,매입원본!$AX$8:$AX$1007,INDEX($R$8:$R$207,$U63),매입원본!$BA$8:$BA$1007,"포함",매입원본!$AS$8:$AS$1007,"&gt;="&amp;EDATE(설정!$B$10,3),매입원본!$AS$8:$AS$1007,"&lt;="&amp;EOMONTH(설정!$B$10,3)))</f>
        <v/>
      </c>
      <c r="M63" s="33">
        <f>IF(OR($U63="",4&gt;=설정!$B$12),"",SUMIFS(매입원본!$AT$8:$AT$1007,매입원본!$AX$8:$AX$1007,INDEX($R$8:$R$207,$U63),매입원본!$BA$8:$BA$1007,"포함",매입원본!$AS$8:$AS$1007,"&gt;="&amp;EDATE(설정!$B$10,4),매입원본!$AS$8:$AS$1007,"&lt;="&amp;EOMONTH(설정!$B$10,4)))</f>
        <v/>
      </c>
      <c r="N63" s="33">
        <f>IF(OR($U63="",5&gt;=설정!$B$12),"",SUMIFS(매입원본!$AT$8:$AT$1007,매입원본!$AX$8:$AX$1007,INDEX($R$8:$R$207,$U63),매입원본!$BA$8:$BA$1007,"포함",매입원본!$AS$8:$AS$1007,"&gt;="&amp;EDATE(설정!$B$10,5),매입원본!$AS$8:$AS$1007,"&lt;="&amp;EOMONTH(설정!$B$10,5)))</f>
        <v/>
      </c>
      <c r="Q63" s="35" t="n">
        <v>56</v>
      </c>
      <c r="R63" s="35">
        <f>IFERROR(INDEX(매입원본!$AX$8:$AX$1007,MATCH($Q63,매입원본!$BD$8:$BD$1007,0)),"")</f>
        <v/>
      </c>
      <c r="S63" s="35">
        <f>IF($R63="","",SUMIFS(매입원본!$AT$8:$AT$1007,매입원본!$AX$8:$AX$1007,$R63,매입원본!$BA$8:$BA$1007,"포함"))</f>
        <v/>
      </c>
      <c r="T63" s="35">
        <f>IF($R63="","",$S63-$Q63/100000)</f>
        <v/>
      </c>
      <c r="U63" s="35">
        <f>IFERROR(MATCH(LARGE($T$8:$T$207,56),$T$8:$T$207,0),"")</f>
        <v/>
      </c>
    </row>
    <row r="64">
      <c r="A64" s="32">
        <f>IF($U64="","",57)</f>
        <v/>
      </c>
      <c r="B64" s="10">
        <f>IF($U64="","",IFERROR(INDEX(매입원본!$AZ$8:$AZ$1007,MATCH($U64,매입원본!$BD$8:$BD$1007,0)),""))</f>
        <v/>
      </c>
      <c r="C64" s="10">
        <f>IF($U64="","",IFERROR(INDEX(매입원본!$AY$8:$AY$1007,MATCH($U64,매입원본!$BD$8:$BD$1007,0)),""))</f>
        <v/>
      </c>
      <c r="D64" s="33">
        <f>IF($U64="","",COUNTIFS(매입원본!$AX$8:$AX$1007,INDEX($R$8:$R$207,$U64),매입원본!$BA$8:$BA$1007,"포함"))</f>
        <v/>
      </c>
      <c r="E64" s="33">
        <f>IF($U64="","",SUMIFS(매입원본!$AT$8:$AT$1007,매입원본!$AX$8:$AX$1007,INDEX($R$8:$R$207,$U64),매입원본!$BA$8:$BA$1007,"포함"))</f>
        <v/>
      </c>
      <c r="F64" s="33">
        <f>IF($U64="","",SUMIFS(매입원본!$AU$8:$AU$1007,매입원본!$AX$8:$AX$1007,INDEX($R$8:$R$207,$U64),매입원본!$BA$8:$BA$1007,"포함"))</f>
        <v/>
      </c>
      <c r="G64" s="33">
        <f>IF($U64="","",SUMIFS(매입원본!$AV$8:$AV$1007,매입원본!$AX$8:$AX$1007,INDEX($R$8:$R$207,$U64),매입원본!$BA$8:$BA$1007,"포함"))</f>
        <v/>
      </c>
      <c r="H64" s="34">
        <f>IF(OR($U64="",$E$7=0),"",E64/$E$7)</f>
        <v/>
      </c>
      <c r="I64" s="33">
        <f>IF(OR($U64="",0&gt;=설정!$B$12),"",SUMIFS(매입원본!$AT$8:$AT$1007,매입원본!$AX$8:$AX$1007,INDEX($R$8:$R$207,$U64),매입원본!$BA$8:$BA$1007,"포함",매입원본!$AS$8:$AS$1007,"&gt;="&amp;EDATE(설정!$B$10,0),매입원본!$AS$8:$AS$1007,"&lt;="&amp;EOMONTH(설정!$B$10,0)))</f>
        <v/>
      </c>
      <c r="J64" s="33">
        <f>IF(OR($U64="",1&gt;=설정!$B$12),"",SUMIFS(매입원본!$AT$8:$AT$1007,매입원본!$AX$8:$AX$1007,INDEX($R$8:$R$207,$U64),매입원본!$BA$8:$BA$1007,"포함",매입원본!$AS$8:$AS$1007,"&gt;="&amp;EDATE(설정!$B$10,1),매입원본!$AS$8:$AS$1007,"&lt;="&amp;EOMONTH(설정!$B$10,1)))</f>
        <v/>
      </c>
      <c r="K64" s="33">
        <f>IF(OR($U64="",2&gt;=설정!$B$12),"",SUMIFS(매입원본!$AT$8:$AT$1007,매입원본!$AX$8:$AX$1007,INDEX($R$8:$R$207,$U64),매입원본!$BA$8:$BA$1007,"포함",매입원본!$AS$8:$AS$1007,"&gt;="&amp;EDATE(설정!$B$10,2),매입원본!$AS$8:$AS$1007,"&lt;="&amp;EOMONTH(설정!$B$10,2)))</f>
        <v/>
      </c>
      <c r="L64" s="33">
        <f>IF(OR($U64="",3&gt;=설정!$B$12),"",SUMIFS(매입원본!$AT$8:$AT$1007,매입원본!$AX$8:$AX$1007,INDEX($R$8:$R$207,$U64),매입원본!$BA$8:$BA$1007,"포함",매입원본!$AS$8:$AS$1007,"&gt;="&amp;EDATE(설정!$B$10,3),매입원본!$AS$8:$AS$1007,"&lt;="&amp;EOMONTH(설정!$B$10,3)))</f>
        <v/>
      </c>
      <c r="M64" s="33">
        <f>IF(OR($U64="",4&gt;=설정!$B$12),"",SUMIFS(매입원본!$AT$8:$AT$1007,매입원본!$AX$8:$AX$1007,INDEX($R$8:$R$207,$U64),매입원본!$BA$8:$BA$1007,"포함",매입원본!$AS$8:$AS$1007,"&gt;="&amp;EDATE(설정!$B$10,4),매입원본!$AS$8:$AS$1007,"&lt;="&amp;EOMONTH(설정!$B$10,4)))</f>
        <v/>
      </c>
      <c r="N64" s="33">
        <f>IF(OR($U64="",5&gt;=설정!$B$12),"",SUMIFS(매입원본!$AT$8:$AT$1007,매입원본!$AX$8:$AX$1007,INDEX($R$8:$R$207,$U64),매입원본!$BA$8:$BA$1007,"포함",매입원본!$AS$8:$AS$1007,"&gt;="&amp;EDATE(설정!$B$10,5),매입원본!$AS$8:$AS$1007,"&lt;="&amp;EOMONTH(설정!$B$10,5)))</f>
        <v/>
      </c>
      <c r="Q64" s="35" t="n">
        <v>57</v>
      </c>
      <c r="R64" s="35">
        <f>IFERROR(INDEX(매입원본!$AX$8:$AX$1007,MATCH($Q64,매입원본!$BD$8:$BD$1007,0)),"")</f>
        <v/>
      </c>
      <c r="S64" s="35">
        <f>IF($R64="","",SUMIFS(매입원본!$AT$8:$AT$1007,매입원본!$AX$8:$AX$1007,$R64,매입원본!$BA$8:$BA$1007,"포함"))</f>
        <v/>
      </c>
      <c r="T64" s="35">
        <f>IF($R64="","",$S64-$Q64/100000)</f>
        <v/>
      </c>
      <c r="U64" s="35">
        <f>IFERROR(MATCH(LARGE($T$8:$T$207,57),$T$8:$T$207,0),"")</f>
        <v/>
      </c>
    </row>
    <row r="65">
      <c r="A65" s="32">
        <f>IF($U65="","",58)</f>
        <v/>
      </c>
      <c r="B65" s="10">
        <f>IF($U65="","",IFERROR(INDEX(매입원본!$AZ$8:$AZ$1007,MATCH($U65,매입원본!$BD$8:$BD$1007,0)),""))</f>
        <v/>
      </c>
      <c r="C65" s="10">
        <f>IF($U65="","",IFERROR(INDEX(매입원본!$AY$8:$AY$1007,MATCH($U65,매입원본!$BD$8:$BD$1007,0)),""))</f>
        <v/>
      </c>
      <c r="D65" s="33">
        <f>IF($U65="","",COUNTIFS(매입원본!$AX$8:$AX$1007,INDEX($R$8:$R$207,$U65),매입원본!$BA$8:$BA$1007,"포함"))</f>
        <v/>
      </c>
      <c r="E65" s="33">
        <f>IF($U65="","",SUMIFS(매입원본!$AT$8:$AT$1007,매입원본!$AX$8:$AX$1007,INDEX($R$8:$R$207,$U65),매입원본!$BA$8:$BA$1007,"포함"))</f>
        <v/>
      </c>
      <c r="F65" s="33">
        <f>IF($U65="","",SUMIFS(매입원본!$AU$8:$AU$1007,매입원본!$AX$8:$AX$1007,INDEX($R$8:$R$207,$U65),매입원본!$BA$8:$BA$1007,"포함"))</f>
        <v/>
      </c>
      <c r="G65" s="33">
        <f>IF($U65="","",SUMIFS(매입원본!$AV$8:$AV$1007,매입원본!$AX$8:$AX$1007,INDEX($R$8:$R$207,$U65),매입원본!$BA$8:$BA$1007,"포함"))</f>
        <v/>
      </c>
      <c r="H65" s="34">
        <f>IF(OR($U65="",$E$7=0),"",E65/$E$7)</f>
        <v/>
      </c>
      <c r="I65" s="33">
        <f>IF(OR($U65="",0&gt;=설정!$B$12),"",SUMIFS(매입원본!$AT$8:$AT$1007,매입원본!$AX$8:$AX$1007,INDEX($R$8:$R$207,$U65),매입원본!$BA$8:$BA$1007,"포함",매입원본!$AS$8:$AS$1007,"&gt;="&amp;EDATE(설정!$B$10,0),매입원본!$AS$8:$AS$1007,"&lt;="&amp;EOMONTH(설정!$B$10,0)))</f>
        <v/>
      </c>
      <c r="J65" s="33">
        <f>IF(OR($U65="",1&gt;=설정!$B$12),"",SUMIFS(매입원본!$AT$8:$AT$1007,매입원본!$AX$8:$AX$1007,INDEX($R$8:$R$207,$U65),매입원본!$BA$8:$BA$1007,"포함",매입원본!$AS$8:$AS$1007,"&gt;="&amp;EDATE(설정!$B$10,1),매입원본!$AS$8:$AS$1007,"&lt;="&amp;EOMONTH(설정!$B$10,1)))</f>
        <v/>
      </c>
      <c r="K65" s="33">
        <f>IF(OR($U65="",2&gt;=설정!$B$12),"",SUMIFS(매입원본!$AT$8:$AT$1007,매입원본!$AX$8:$AX$1007,INDEX($R$8:$R$207,$U65),매입원본!$BA$8:$BA$1007,"포함",매입원본!$AS$8:$AS$1007,"&gt;="&amp;EDATE(설정!$B$10,2),매입원본!$AS$8:$AS$1007,"&lt;="&amp;EOMONTH(설정!$B$10,2)))</f>
        <v/>
      </c>
      <c r="L65" s="33">
        <f>IF(OR($U65="",3&gt;=설정!$B$12),"",SUMIFS(매입원본!$AT$8:$AT$1007,매입원본!$AX$8:$AX$1007,INDEX($R$8:$R$207,$U65),매입원본!$BA$8:$BA$1007,"포함",매입원본!$AS$8:$AS$1007,"&gt;="&amp;EDATE(설정!$B$10,3),매입원본!$AS$8:$AS$1007,"&lt;="&amp;EOMONTH(설정!$B$10,3)))</f>
        <v/>
      </c>
      <c r="M65" s="33">
        <f>IF(OR($U65="",4&gt;=설정!$B$12),"",SUMIFS(매입원본!$AT$8:$AT$1007,매입원본!$AX$8:$AX$1007,INDEX($R$8:$R$207,$U65),매입원본!$BA$8:$BA$1007,"포함",매입원본!$AS$8:$AS$1007,"&gt;="&amp;EDATE(설정!$B$10,4),매입원본!$AS$8:$AS$1007,"&lt;="&amp;EOMONTH(설정!$B$10,4)))</f>
        <v/>
      </c>
      <c r="N65" s="33">
        <f>IF(OR($U65="",5&gt;=설정!$B$12),"",SUMIFS(매입원본!$AT$8:$AT$1007,매입원본!$AX$8:$AX$1007,INDEX($R$8:$R$207,$U65),매입원본!$BA$8:$BA$1007,"포함",매입원본!$AS$8:$AS$1007,"&gt;="&amp;EDATE(설정!$B$10,5),매입원본!$AS$8:$AS$1007,"&lt;="&amp;EOMONTH(설정!$B$10,5)))</f>
        <v/>
      </c>
      <c r="Q65" s="35" t="n">
        <v>58</v>
      </c>
      <c r="R65" s="35">
        <f>IFERROR(INDEX(매입원본!$AX$8:$AX$1007,MATCH($Q65,매입원본!$BD$8:$BD$1007,0)),"")</f>
        <v/>
      </c>
      <c r="S65" s="35">
        <f>IF($R65="","",SUMIFS(매입원본!$AT$8:$AT$1007,매입원본!$AX$8:$AX$1007,$R65,매입원본!$BA$8:$BA$1007,"포함"))</f>
        <v/>
      </c>
      <c r="T65" s="35">
        <f>IF($R65="","",$S65-$Q65/100000)</f>
        <v/>
      </c>
      <c r="U65" s="35">
        <f>IFERROR(MATCH(LARGE($T$8:$T$207,58),$T$8:$T$207,0),"")</f>
        <v/>
      </c>
    </row>
    <row r="66">
      <c r="A66" s="32">
        <f>IF($U66="","",59)</f>
        <v/>
      </c>
      <c r="B66" s="10">
        <f>IF($U66="","",IFERROR(INDEX(매입원본!$AZ$8:$AZ$1007,MATCH($U66,매입원본!$BD$8:$BD$1007,0)),""))</f>
        <v/>
      </c>
      <c r="C66" s="10">
        <f>IF($U66="","",IFERROR(INDEX(매입원본!$AY$8:$AY$1007,MATCH($U66,매입원본!$BD$8:$BD$1007,0)),""))</f>
        <v/>
      </c>
      <c r="D66" s="33">
        <f>IF($U66="","",COUNTIFS(매입원본!$AX$8:$AX$1007,INDEX($R$8:$R$207,$U66),매입원본!$BA$8:$BA$1007,"포함"))</f>
        <v/>
      </c>
      <c r="E66" s="33">
        <f>IF($U66="","",SUMIFS(매입원본!$AT$8:$AT$1007,매입원본!$AX$8:$AX$1007,INDEX($R$8:$R$207,$U66),매입원본!$BA$8:$BA$1007,"포함"))</f>
        <v/>
      </c>
      <c r="F66" s="33">
        <f>IF($U66="","",SUMIFS(매입원본!$AU$8:$AU$1007,매입원본!$AX$8:$AX$1007,INDEX($R$8:$R$207,$U66),매입원본!$BA$8:$BA$1007,"포함"))</f>
        <v/>
      </c>
      <c r="G66" s="33">
        <f>IF($U66="","",SUMIFS(매입원본!$AV$8:$AV$1007,매입원본!$AX$8:$AX$1007,INDEX($R$8:$R$207,$U66),매입원본!$BA$8:$BA$1007,"포함"))</f>
        <v/>
      </c>
      <c r="H66" s="34">
        <f>IF(OR($U66="",$E$7=0),"",E66/$E$7)</f>
        <v/>
      </c>
      <c r="I66" s="33">
        <f>IF(OR($U66="",0&gt;=설정!$B$12),"",SUMIFS(매입원본!$AT$8:$AT$1007,매입원본!$AX$8:$AX$1007,INDEX($R$8:$R$207,$U66),매입원본!$BA$8:$BA$1007,"포함",매입원본!$AS$8:$AS$1007,"&gt;="&amp;EDATE(설정!$B$10,0),매입원본!$AS$8:$AS$1007,"&lt;="&amp;EOMONTH(설정!$B$10,0)))</f>
        <v/>
      </c>
      <c r="J66" s="33">
        <f>IF(OR($U66="",1&gt;=설정!$B$12),"",SUMIFS(매입원본!$AT$8:$AT$1007,매입원본!$AX$8:$AX$1007,INDEX($R$8:$R$207,$U66),매입원본!$BA$8:$BA$1007,"포함",매입원본!$AS$8:$AS$1007,"&gt;="&amp;EDATE(설정!$B$10,1),매입원본!$AS$8:$AS$1007,"&lt;="&amp;EOMONTH(설정!$B$10,1)))</f>
        <v/>
      </c>
      <c r="K66" s="33">
        <f>IF(OR($U66="",2&gt;=설정!$B$12),"",SUMIFS(매입원본!$AT$8:$AT$1007,매입원본!$AX$8:$AX$1007,INDEX($R$8:$R$207,$U66),매입원본!$BA$8:$BA$1007,"포함",매입원본!$AS$8:$AS$1007,"&gt;="&amp;EDATE(설정!$B$10,2),매입원본!$AS$8:$AS$1007,"&lt;="&amp;EOMONTH(설정!$B$10,2)))</f>
        <v/>
      </c>
      <c r="L66" s="33">
        <f>IF(OR($U66="",3&gt;=설정!$B$12),"",SUMIFS(매입원본!$AT$8:$AT$1007,매입원본!$AX$8:$AX$1007,INDEX($R$8:$R$207,$U66),매입원본!$BA$8:$BA$1007,"포함",매입원본!$AS$8:$AS$1007,"&gt;="&amp;EDATE(설정!$B$10,3),매입원본!$AS$8:$AS$1007,"&lt;="&amp;EOMONTH(설정!$B$10,3)))</f>
        <v/>
      </c>
      <c r="M66" s="33">
        <f>IF(OR($U66="",4&gt;=설정!$B$12),"",SUMIFS(매입원본!$AT$8:$AT$1007,매입원본!$AX$8:$AX$1007,INDEX($R$8:$R$207,$U66),매입원본!$BA$8:$BA$1007,"포함",매입원본!$AS$8:$AS$1007,"&gt;="&amp;EDATE(설정!$B$10,4),매입원본!$AS$8:$AS$1007,"&lt;="&amp;EOMONTH(설정!$B$10,4)))</f>
        <v/>
      </c>
      <c r="N66" s="33">
        <f>IF(OR($U66="",5&gt;=설정!$B$12),"",SUMIFS(매입원본!$AT$8:$AT$1007,매입원본!$AX$8:$AX$1007,INDEX($R$8:$R$207,$U66),매입원본!$BA$8:$BA$1007,"포함",매입원본!$AS$8:$AS$1007,"&gt;="&amp;EDATE(설정!$B$10,5),매입원본!$AS$8:$AS$1007,"&lt;="&amp;EOMONTH(설정!$B$10,5)))</f>
        <v/>
      </c>
      <c r="Q66" s="35" t="n">
        <v>59</v>
      </c>
      <c r="R66" s="35">
        <f>IFERROR(INDEX(매입원본!$AX$8:$AX$1007,MATCH($Q66,매입원본!$BD$8:$BD$1007,0)),"")</f>
        <v/>
      </c>
      <c r="S66" s="35">
        <f>IF($R66="","",SUMIFS(매입원본!$AT$8:$AT$1007,매입원본!$AX$8:$AX$1007,$R66,매입원본!$BA$8:$BA$1007,"포함"))</f>
        <v/>
      </c>
      <c r="T66" s="35">
        <f>IF($R66="","",$S66-$Q66/100000)</f>
        <v/>
      </c>
      <c r="U66" s="35">
        <f>IFERROR(MATCH(LARGE($T$8:$T$207,59),$T$8:$T$207,0),"")</f>
        <v/>
      </c>
    </row>
    <row r="67">
      <c r="A67" s="32">
        <f>IF($U67="","",60)</f>
        <v/>
      </c>
      <c r="B67" s="10">
        <f>IF($U67="","",IFERROR(INDEX(매입원본!$AZ$8:$AZ$1007,MATCH($U67,매입원본!$BD$8:$BD$1007,0)),""))</f>
        <v/>
      </c>
      <c r="C67" s="10">
        <f>IF($U67="","",IFERROR(INDEX(매입원본!$AY$8:$AY$1007,MATCH($U67,매입원본!$BD$8:$BD$1007,0)),""))</f>
        <v/>
      </c>
      <c r="D67" s="33">
        <f>IF($U67="","",COUNTIFS(매입원본!$AX$8:$AX$1007,INDEX($R$8:$R$207,$U67),매입원본!$BA$8:$BA$1007,"포함"))</f>
        <v/>
      </c>
      <c r="E67" s="33">
        <f>IF($U67="","",SUMIFS(매입원본!$AT$8:$AT$1007,매입원본!$AX$8:$AX$1007,INDEX($R$8:$R$207,$U67),매입원본!$BA$8:$BA$1007,"포함"))</f>
        <v/>
      </c>
      <c r="F67" s="33">
        <f>IF($U67="","",SUMIFS(매입원본!$AU$8:$AU$1007,매입원본!$AX$8:$AX$1007,INDEX($R$8:$R$207,$U67),매입원본!$BA$8:$BA$1007,"포함"))</f>
        <v/>
      </c>
      <c r="G67" s="33">
        <f>IF($U67="","",SUMIFS(매입원본!$AV$8:$AV$1007,매입원본!$AX$8:$AX$1007,INDEX($R$8:$R$207,$U67),매입원본!$BA$8:$BA$1007,"포함"))</f>
        <v/>
      </c>
      <c r="H67" s="34">
        <f>IF(OR($U67="",$E$7=0),"",E67/$E$7)</f>
        <v/>
      </c>
      <c r="I67" s="33">
        <f>IF(OR($U67="",0&gt;=설정!$B$12),"",SUMIFS(매입원본!$AT$8:$AT$1007,매입원본!$AX$8:$AX$1007,INDEX($R$8:$R$207,$U67),매입원본!$BA$8:$BA$1007,"포함",매입원본!$AS$8:$AS$1007,"&gt;="&amp;EDATE(설정!$B$10,0),매입원본!$AS$8:$AS$1007,"&lt;="&amp;EOMONTH(설정!$B$10,0)))</f>
        <v/>
      </c>
      <c r="J67" s="33">
        <f>IF(OR($U67="",1&gt;=설정!$B$12),"",SUMIFS(매입원본!$AT$8:$AT$1007,매입원본!$AX$8:$AX$1007,INDEX($R$8:$R$207,$U67),매입원본!$BA$8:$BA$1007,"포함",매입원본!$AS$8:$AS$1007,"&gt;="&amp;EDATE(설정!$B$10,1),매입원본!$AS$8:$AS$1007,"&lt;="&amp;EOMONTH(설정!$B$10,1)))</f>
        <v/>
      </c>
      <c r="K67" s="33">
        <f>IF(OR($U67="",2&gt;=설정!$B$12),"",SUMIFS(매입원본!$AT$8:$AT$1007,매입원본!$AX$8:$AX$1007,INDEX($R$8:$R$207,$U67),매입원본!$BA$8:$BA$1007,"포함",매입원본!$AS$8:$AS$1007,"&gt;="&amp;EDATE(설정!$B$10,2),매입원본!$AS$8:$AS$1007,"&lt;="&amp;EOMONTH(설정!$B$10,2)))</f>
        <v/>
      </c>
      <c r="L67" s="33">
        <f>IF(OR($U67="",3&gt;=설정!$B$12),"",SUMIFS(매입원본!$AT$8:$AT$1007,매입원본!$AX$8:$AX$1007,INDEX($R$8:$R$207,$U67),매입원본!$BA$8:$BA$1007,"포함",매입원본!$AS$8:$AS$1007,"&gt;="&amp;EDATE(설정!$B$10,3),매입원본!$AS$8:$AS$1007,"&lt;="&amp;EOMONTH(설정!$B$10,3)))</f>
        <v/>
      </c>
      <c r="M67" s="33">
        <f>IF(OR($U67="",4&gt;=설정!$B$12),"",SUMIFS(매입원본!$AT$8:$AT$1007,매입원본!$AX$8:$AX$1007,INDEX($R$8:$R$207,$U67),매입원본!$BA$8:$BA$1007,"포함",매입원본!$AS$8:$AS$1007,"&gt;="&amp;EDATE(설정!$B$10,4),매입원본!$AS$8:$AS$1007,"&lt;="&amp;EOMONTH(설정!$B$10,4)))</f>
        <v/>
      </c>
      <c r="N67" s="33">
        <f>IF(OR($U67="",5&gt;=설정!$B$12),"",SUMIFS(매입원본!$AT$8:$AT$1007,매입원본!$AX$8:$AX$1007,INDEX($R$8:$R$207,$U67),매입원본!$BA$8:$BA$1007,"포함",매입원본!$AS$8:$AS$1007,"&gt;="&amp;EDATE(설정!$B$10,5),매입원본!$AS$8:$AS$1007,"&lt;="&amp;EOMONTH(설정!$B$10,5)))</f>
        <v/>
      </c>
      <c r="Q67" s="35" t="n">
        <v>60</v>
      </c>
      <c r="R67" s="35">
        <f>IFERROR(INDEX(매입원본!$AX$8:$AX$1007,MATCH($Q67,매입원본!$BD$8:$BD$1007,0)),"")</f>
        <v/>
      </c>
      <c r="S67" s="35">
        <f>IF($R67="","",SUMIFS(매입원본!$AT$8:$AT$1007,매입원본!$AX$8:$AX$1007,$R67,매입원본!$BA$8:$BA$1007,"포함"))</f>
        <v/>
      </c>
      <c r="T67" s="35">
        <f>IF($R67="","",$S67-$Q67/100000)</f>
        <v/>
      </c>
      <c r="U67" s="35">
        <f>IFERROR(MATCH(LARGE($T$8:$T$207,60),$T$8:$T$207,0),"")</f>
        <v/>
      </c>
    </row>
    <row r="68">
      <c r="A68" s="32">
        <f>IF($U68="","",61)</f>
        <v/>
      </c>
      <c r="B68" s="10">
        <f>IF($U68="","",IFERROR(INDEX(매입원본!$AZ$8:$AZ$1007,MATCH($U68,매입원본!$BD$8:$BD$1007,0)),""))</f>
        <v/>
      </c>
      <c r="C68" s="10">
        <f>IF($U68="","",IFERROR(INDEX(매입원본!$AY$8:$AY$1007,MATCH($U68,매입원본!$BD$8:$BD$1007,0)),""))</f>
        <v/>
      </c>
      <c r="D68" s="33">
        <f>IF($U68="","",COUNTIFS(매입원본!$AX$8:$AX$1007,INDEX($R$8:$R$207,$U68),매입원본!$BA$8:$BA$1007,"포함"))</f>
        <v/>
      </c>
      <c r="E68" s="33">
        <f>IF($U68="","",SUMIFS(매입원본!$AT$8:$AT$1007,매입원본!$AX$8:$AX$1007,INDEX($R$8:$R$207,$U68),매입원본!$BA$8:$BA$1007,"포함"))</f>
        <v/>
      </c>
      <c r="F68" s="33">
        <f>IF($U68="","",SUMIFS(매입원본!$AU$8:$AU$1007,매입원본!$AX$8:$AX$1007,INDEX($R$8:$R$207,$U68),매입원본!$BA$8:$BA$1007,"포함"))</f>
        <v/>
      </c>
      <c r="G68" s="33">
        <f>IF($U68="","",SUMIFS(매입원본!$AV$8:$AV$1007,매입원본!$AX$8:$AX$1007,INDEX($R$8:$R$207,$U68),매입원본!$BA$8:$BA$1007,"포함"))</f>
        <v/>
      </c>
      <c r="H68" s="34">
        <f>IF(OR($U68="",$E$7=0),"",E68/$E$7)</f>
        <v/>
      </c>
      <c r="I68" s="33">
        <f>IF(OR($U68="",0&gt;=설정!$B$12),"",SUMIFS(매입원본!$AT$8:$AT$1007,매입원본!$AX$8:$AX$1007,INDEX($R$8:$R$207,$U68),매입원본!$BA$8:$BA$1007,"포함",매입원본!$AS$8:$AS$1007,"&gt;="&amp;EDATE(설정!$B$10,0),매입원본!$AS$8:$AS$1007,"&lt;="&amp;EOMONTH(설정!$B$10,0)))</f>
        <v/>
      </c>
      <c r="J68" s="33">
        <f>IF(OR($U68="",1&gt;=설정!$B$12),"",SUMIFS(매입원본!$AT$8:$AT$1007,매입원본!$AX$8:$AX$1007,INDEX($R$8:$R$207,$U68),매입원본!$BA$8:$BA$1007,"포함",매입원본!$AS$8:$AS$1007,"&gt;="&amp;EDATE(설정!$B$10,1),매입원본!$AS$8:$AS$1007,"&lt;="&amp;EOMONTH(설정!$B$10,1)))</f>
        <v/>
      </c>
      <c r="K68" s="33">
        <f>IF(OR($U68="",2&gt;=설정!$B$12),"",SUMIFS(매입원본!$AT$8:$AT$1007,매입원본!$AX$8:$AX$1007,INDEX($R$8:$R$207,$U68),매입원본!$BA$8:$BA$1007,"포함",매입원본!$AS$8:$AS$1007,"&gt;="&amp;EDATE(설정!$B$10,2),매입원본!$AS$8:$AS$1007,"&lt;="&amp;EOMONTH(설정!$B$10,2)))</f>
        <v/>
      </c>
      <c r="L68" s="33">
        <f>IF(OR($U68="",3&gt;=설정!$B$12),"",SUMIFS(매입원본!$AT$8:$AT$1007,매입원본!$AX$8:$AX$1007,INDEX($R$8:$R$207,$U68),매입원본!$BA$8:$BA$1007,"포함",매입원본!$AS$8:$AS$1007,"&gt;="&amp;EDATE(설정!$B$10,3),매입원본!$AS$8:$AS$1007,"&lt;="&amp;EOMONTH(설정!$B$10,3)))</f>
        <v/>
      </c>
      <c r="M68" s="33">
        <f>IF(OR($U68="",4&gt;=설정!$B$12),"",SUMIFS(매입원본!$AT$8:$AT$1007,매입원본!$AX$8:$AX$1007,INDEX($R$8:$R$207,$U68),매입원본!$BA$8:$BA$1007,"포함",매입원본!$AS$8:$AS$1007,"&gt;="&amp;EDATE(설정!$B$10,4),매입원본!$AS$8:$AS$1007,"&lt;="&amp;EOMONTH(설정!$B$10,4)))</f>
        <v/>
      </c>
      <c r="N68" s="33">
        <f>IF(OR($U68="",5&gt;=설정!$B$12),"",SUMIFS(매입원본!$AT$8:$AT$1007,매입원본!$AX$8:$AX$1007,INDEX($R$8:$R$207,$U68),매입원본!$BA$8:$BA$1007,"포함",매입원본!$AS$8:$AS$1007,"&gt;="&amp;EDATE(설정!$B$10,5),매입원본!$AS$8:$AS$1007,"&lt;="&amp;EOMONTH(설정!$B$10,5)))</f>
        <v/>
      </c>
      <c r="Q68" s="35" t="n">
        <v>61</v>
      </c>
      <c r="R68" s="35">
        <f>IFERROR(INDEX(매입원본!$AX$8:$AX$1007,MATCH($Q68,매입원본!$BD$8:$BD$1007,0)),"")</f>
        <v/>
      </c>
      <c r="S68" s="35">
        <f>IF($R68="","",SUMIFS(매입원본!$AT$8:$AT$1007,매입원본!$AX$8:$AX$1007,$R68,매입원본!$BA$8:$BA$1007,"포함"))</f>
        <v/>
      </c>
      <c r="T68" s="35">
        <f>IF($R68="","",$S68-$Q68/100000)</f>
        <v/>
      </c>
      <c r="U68" s="35">
        <f>IFERROR(MATCH(LARGE($T$8:$T$207,61),$T$8:$T$207,0),"")</f>
        <v/>
      </c>
    </row>
    <row r="69">
      <c r="A69" s="32">
        <f>IF($U69="","",62)</f>
        <v/>
      </c>
      <c r="B69" s="10">
        <f>IF($U69="","",IFERROR(INDEX(매입원본!$AZ$8:$AZ$1007,MATCH($U69,매입원본!$BD$8:$BD$1007,0)),""))</f>
        <v/>
      </c>
      <c r="C69" s="10">
        <f>IF($U69="","",IFERROR(INDEX(매입원본!$AY$8:$AY$1007,MATCH($U69,매입원본!$BD$8:$BD$1007,0)),""))</f>
        <v/>
      </c>
      <c r="D69" s="33">
        <f>IF($U69="","",COUNTIFS(매입원본!$AX$8:$AX$1007,INDEX($R$8:$R$207,$U69),매입원본!$BA$8:$BA$1007,"포함"))</f>
        <v/>
      </c>
      <c r="E69" s="33">
        <f>IF($U69="","",SUMIFS(매입원본!$AT$8:$AT$1007,매입원본!$AX$8:$AX$1007,INDEX($R$8:$R$207,$U69),매입원본!$BA$8:$BA$1007,"포함"))</f>
        <v/>
      </c>
      <c r="F69" s="33">
        <f>IF($U69="","",SUMIFS(매입원본!$AU$8:$AU$1007,매입원본!$AX$8:$AX$1007,INDEX($R$8:$R$207,$U69),매입원본!$BA$8:$BA$1007,"포함"))</f>
        <v/>
      </c>
      <c r="G69" s="33">
        <f>IF($U69="","",SUMIFS(매입원본!$AV$8:$AV$1007,매입원본!$AX$8:$AX$1007,INDEX($R$8:$R$207,$U69),매입원본!$BA$8:$BA$1007,"포함"))</f>
        <v/>
      </c>
      <c r="H69" s="34">
        <f>IF(OR($U69="",$E$7=0),"",E69/$E$7)</f>
        <v/>
      </c>
      <c r="I69" s="33">
        <f>IF(OR($U69="",0&gt;=설정!$B$12),"",SUMIFS(매입원본!$AT$8:$AT$1007,매입원본!$AX$8:$AX$1007,INDEX($R$8:$R$207,$U69),매입원본!$BA$8:$BA$1007,"포함",매입원본!$AS$8:$AS$1007,"&gt;="&amp;EDATE(설정!$B$10,0),매입원본!$AS$8:$AS$1007,"&lt;="&amp;EOMONTH(설정!$B$10,0)))</f>
        <v/>
      </c>
      <c r="J69" s="33">
        <f>IF(OR($U69="",1&gt;=설정!$B$12),"",SUMIFS(매입원본!$AT$8:$AT$1007,매입원본!$AX$8:$AX$1007,INDEX($R$8:$R$207,$U69),매입원본!$BA$8:$BA$1007,"포함",매입원본!$AS$8:$AS$1007,"&gt;="&amp;EDATE(설정!$B$10,1),매입원본!$AS$8:$AS$1007,"&lt;="&amp;EOMONTH(설정!$B$10,1)))</f>
        <v/>
      </c>
      <c r="K69" s="33">
        <f>IF(OR($U69="",2&gt;=설정!$B$12),"",SUMIFS(매입원본!$AT$8:$AT$1007,매입원본!$AX$8:$AX$1007,INDEX($R$8:$R$207,$U69),매입원본!$BA$8:$BA$1007,"포함",매입원본!$AS$8:$AS$1007,"&gt;="&amp;EDATE(설정!$B$10,2),매입원본!$AS$8:$AS$1007,"&lt;="&amp;EOMONTH(설정!$B$10,2)))</f>
        <v/>
      </c>
      <c r="L69" s="33">
        <f>IF(OR($U69="",3&gt;=설정!$B$12),"",SUMIFS(매입원본!$AT$8:$AT$1007,매입원본!$AX$8:$AX$1007,INDEX($R$8:$R$207,$U69),매입원본!$BA$8:$BA$1007,"포함",매입원본!$AS$8:$AS$1007,"&gt;="&amp;EDATE(설정!$B$10,3),매입원본!$AS$8:$AS$1007,"&lt;="&amp;EOMONTH(설정!$B$10,3)))</f>
        <v/>
      </c>
      <c r="M69" s="33">
        <f>IF(OR($U69="",4&gt;=설정!$B$12),"",SUMIFS(매입원본!$AT$8:$AT$1007,매입원본!$AX$8:$AX$1007,INDEX($R$8:$R$207,$U69),매입원본!$BA$8:$BA$1007,"포함",매입원본!$AS$8:$AS$1007,"&gt;="&amp;EDATE(설정!$B$10,4),매입원본!$AS$8:$AS$1007,"&lt;="&amp;EOMONTH(설정!$B$10,4)))</f>
        <v/>
      </c>
      <c r="N69" s="33">
        <f>IF(OR($U69="",5&gt;=설정!$B$12),"",SUMIFS(매입원본!$AT$8:$AT$1007,매입원본!$AX$8:$AX$1007,INDEX($R$8:$R$207,$U69),매입원본!$BA$8:$BA$1007,"포함",매입원본!$AS$8:$AS$1007,"&gt;="&amp;EDATE(설정!$B$10,5),매입원본!$AS$8:$AS$1007,"&lt;="&amp;EOMONTH(설정!$B$10,5)))</f>
        <v/>
      </c>
      <c r="Q69" s="35" t="n">
        <v>62</v>
      </c>
      <c r="R69" s="35">
        <f>IFERROR(INDEX(매입원본!$AX$8:$AX$1007,MATCH($Q69,매입원본!$BD$8:$BD$1007,0)),"")</f>
        <v/>
      </c>
      <c r="S69" s="35">
        <f>IF($R69="","",SUMIFS(매입원본!$AT$8:$AT$1007,매입원본!$AX$8:$AX$1007,$R69,매입원본!$BA$8:$BA$1007,"포함"))</f>
        <v/>
      </c>
      <c r="T69" s="35">
        <f>IF($R69="","",$S69-$Q69/100000)</f>
        <v/>
      </c>
      <c r="U69" s="35">
        <f>IFERROR(MATCH(LARGE($T$8:$T$207,62),$T$8:$T$207,0),"")</f>
        <v/>
      </c>
    </row>
    <row r="70">
      <c r="A70" s="32">
        <f>IF($U70="","",63)</f>
        <v/>
      </c>
      <c r="B70" s="10">
        <f>IF($U70="","",IFERROR(INDEX(매입원본!$AZ$8:$AZ$1007,MATCH($U70,매입원본!$BD$8:$BD$1007,0)),""))</f>
        <v/>
      </c>
      <c r="C70" s="10">
        <f>IF($U70="","",IFERROR(INDEX(매입원본!$AY$8:$AY$1007,MATCH($U70,매입원본!$BD$8:$BD$1007,0)),""))</f>
        <v/>
      </c>
      <c r="D70" s="33">
        <f>IF($U70="","",COUNTIFS(매입원본!$AX$8:$AX$1007,INDEX($R$8:$R$207,$U70),매입원본!$BA$8:$BA$1007,"포함"))</f>
        <v/>
      </c>
      <c r="E70" s="33">
        <f>IF($U70="","",SUMIFS(매입원본!$AT$8:$AT$1007,매입원본!$AX$8:$AX$1007,INDEX($R$8:$R$207,$U70),매입원본!$BA$8:$BA$1007,"포함"))</f>
        <v/>
      </c>
      <c r="F70" s="33">
        <f>IF($U70="","",SUMIFS(매입원본!$AU$8:$AU$1007,매입원본!$AX$8:$AX$1007,INDEX($R$8:$R$207,$U70),매입원본!$BA$8:$BA$1007,"포함"))</f>
        <v/>
      </c>
      <c r="G70" s="33">
        <f>IF($U70="","",SUMIFS(매입원본!$AV$8:$AV$1007,매입원본!$AX$8:$AX$1007,INDEX($R$8:$R$207,$U70),매입원본!$BA$8:$BA$1007,"포함"))</f>
        <v/>
      </c>
      <c r="H70" s="34">
        <f>IF(OR($U70="",$E$7=0),"",E70/$E$7)</f>
        <v/>
      </c>
      <c r="I70" s="33">
        <f>IF(OR($U70="",0&gt;=설정!$B$12),"",SUMIFS(매입원본!$AT$8:$AT$1007,매입원본!$AX$8:$AX$1007,INDEX($R$8:$R$207,$U70),매입원본!$BA$8:$BA$1007,"포함",매입원본!$AS$8:$AS$1007,"&gt;="&amp;EDATE(설정!$B$10,0),매입원본!$AS$8:$AS$1007,"&lt;="&amp;EOMONTH(설정!$B$10,0)))</f>
        <v/>
      </c>
      <c r="J70" s="33">
        <f>IF(OR($U70="",1&gt;=설정!$B$12),"",SUMIFS(매입원본!$AT$8:$AT$1007,매입원본!$AX$8:$AX$1007,INDEX($R$8:$R$207,$U70),매입원본!$BA$8:$BA$1007,"포함",매입원본!$AS$8:$AS$1007,"&gt;="&amp;EDATE(설정!$B$10,1),매입원본!$AS$8:$AS$1007,"&lt;="&amp;EOMONTH(설정!$B$10,1)))</f>
        <v/>
      </c>
      <c r="K70" s="33">
        <f>IF(OR($U70="",2&gt;=설정!$B$12),"",SUMIFS(매입원본!$AT$8:$AT$1007,매입원본!$AX$8:$AX$1007,INDEX($R$8:$R$207,$U70),매입원본!$BA$8:$BA$1007,"포함",매입원본!$AS$8:$AS$1007,"&gt;="&amp;EDATE(설정!$B$10,2),매입원본!$AS$8:$AS$1007,"&lt;="&amp;EOMONTH(설정!$B$10,2)))</f>
        <v/>
      </c>
      <c r="L70" s="33">
        <f>IF(OR($U70="",3&gt;=설정!$B$12),"",SUMIFS(매입원본!$AT$8:$AT$1007,매입원본!$AX$8:$AX$1007,INDEX($R$8:$R$207,$U70),매입원본!$BA$8:$BA$1007,"포함",매입원본!$AS$8:$AS$1007,"&gt;="&amp;EDATE(설정!$B$10,3),매입원본!$AS$8:$AS$1007,"&lt;="&amp;EOMONTH(설정!$B$10,3)))</f>
        <v/>
      </c>
      <c r="M70" s="33">
        <f>IF(OR($U70="",4&gt;=설정!$B$12),"",SUMIFS(매입원본!$AT$8:$AT$1007,매입원본!$AX$8:$AX$1007,INDEX($R$8:$R$207,$U70),매입원본!$BA$8:$BA$1007,"포함",매입원본!$AS$8:$AS$1007,"&gt;="&amp;EDATE(설정!$B$10,4),매입원본!$AS$8:$AS$1007,"&lt;="&amp;EOMONTH(설정!$B$10,4)))</f>
        <v/>
      </c>
      <c r="N70" s="33">
        <f>IF(OR($U70="",5&gt;=설정!$B$12),"",SUMIFS(매입원본!$AT$8:$AT$1007,매입원본!$AX$8:$AX$1007,INDEX($R$8:$R$207,$U70),매입원본!$BA$8:$BA$1007,"포함",매입원본!$AS$8:$AS$1007,"&gt;="&amp;EDATE(설정!$B$10,5),매입원본!$AS$8:$AS$1007,"&lt;="&amp;EOMONTH(설정!$B$10,5)))</f>
        <v/>
      </c>
      <c r="Q70" s="35" t="n">
        <v>63</v>
      </c>
      <c r="R70" s="35">
        <f>IFERROR(INDEX(매입원본!$AX$8:$AX$1007,MATCH($Q70,매입원본!$BD$8:$BD$1007,0)),"")</f>
        <v/>
      </c>
      <c r="S70" s="35">
        <f>IF($R70="","",SUMIFS(매입원본!$AT$8:$AT$1007,매입원본!$AX$8:$AX$1007,$R70,매입원본!$BA$8:$BA$1007,"포함"))</f>
        <v/>
      </c>
      <c r="T70" s="35">
        <f>IF($R70="","",$S70-$Q70/100000)</f>
        <v/>
      </c>
      <c r="U70" s="35">
        <f>IFERROR(MATCH(LARGE($T$8:$T$207,63),$T$8:$T$207,0),"")</f>
        <v/>
      </c>
    </row>
    <row r="71">
      <c r="A71" s="32">
        <f>IF($U71="","",64)</f>
        <v/>
      </c>
      <c r="B71" s="10">
        <f>IF($U71="","",IFERROR(INDEX(매입원본!$AZ$8:$AZ$1007,MATCH($U71,매입원본!$BD$8:$BD$1007,0)),""))</f>
        <v/>
      </c>
      <c r="C71" s="10">
        <f>IF($U71="","",IFERROR(INDEX(매입원본!$AY$8:$AY$1007,MATCH($U71,매입원본!$BD$8:$BD$1007,0)),""))</f>
        <v/>
      </c>
      <c r="D71" s="33">
        <f>IF($U71="","",COUNTIFS(매입원본!$AX$8:$AX$1007,INDEX($R$8:$R$207,$U71),매입원본!$BA$8:$BA$1007,"포함"))</f>
        <v/>
      </c>
      <c r="E71" s="33">
        <f>IF($U71="","",SUMIFS(매입원본!$AT$8:$AT$1007,매입원본!$AX$8:$AX$1007,INDEX($R$8:$R$207,$U71),매입원본!$BA$8:$BA$1007,"포함"))</f>
        <v/>
      </c>
      <c r="F71" s="33">
        <f>IF($U71="","",SUMIFS(매입원본!$AU$8:$AU$1007,매입원본!$AX$8:$AX$1007,INDEX($R$8:$R$207,$U71),매입원본!$BA$8:$BA$1007,"포함"))</f>
        <v/>
      </c>
      <c r="G71" s="33">
        <f>IF($U71="","",SUMIFS(매입원본!$AV$8:$AV$1007,매입원본!$AX$8:$AX$1007,INDEX($R$8:$R$207,$U71),매입원본!$BA$8:$BA$1007,"포함"))</f>
        <v/>
      </c>
      <c r="H71" s="34">
        <f>IF(OR($U71="",$E$7=0),"",E71/$E$7)</f>
        <v/>
      </c>
      <c r="I71" s="33">
        <f>IF(OR($U71="",0&gt;=설정!$B$12),"",SUMIFS(매입원본!$AT$8:$AT$1007,매입원본!$AX$8:$AX$1007,INDEX($R$8:$R$207,$U71),매입원본!$BA$8:$BA$1007,"포함",매입원본!$AS$8:$AS$1007,"&gt;="&amp;EDATE(설정!$B$10,0),매입원본!$AS$8:$AS$1007,"&lt;="&amp;EOMONTH(설정!$B$10,0)))</f>
        <v/>
      </c>
      <c r="J71" s="33">
        <f>IF(OR($U71="",1&gt;=설정!$B$12),"",SUMIFS(매입원본!$AT$8:$AT$1007,매입원본!$AX$8:$AX$1007,INDEX($R$8:$R$207,$U71),매입원본!$BA$8:$BA$1007,"포함",매입원본!$AS$8:$AS$1007,"&gt;="&amp;EDATE(설정!$B$10,1),매입원본!$AS$8:$AS$1007,"&lt;="&amp;EOMONTH(설정!$B$10,1)))</f>
        <v/>
      </c>
      <c r="K71" s="33">
        <f>IF(OR($U71="",2&gt;=설정!$B$12),"",SUMIFS(매입원본!$AT$8:$AT$1007,매입원본!$AX$8:$AX$1007,INDEX($R$8:$R$207,$U71),매입원본!$BA$8:$BA$1007,"포함",매입원본!$AS$8:$AS$1007,"&gt;="&amp;EDATE(설정!$B$10,2),매입원본!$AS$8:$AS$1007,"&lt;="&amp;EOMONTH(설정!$B$10,2)))</f>
        <v/>
      </c>
      <c r="L71" s="33">
        <f>IF(OR($U71="",3&gt;=설정!$B$12),"",SUMIFS(매입원본!$AT$8:$AT$1007,매입원본!$AX$8:$AX$1007,INDEX($R$8:$R$207,$U71),매입원본!$BA$8:$BA$1007,"포함",매입원본!$AS$8:$AS$1007,"&gt;="&amp;EDATE(설정!$B$10,3),매입원본!$AS$8:$AS$1007,"&lt;="&amp;EOMONTH(설정!$B$10,3)))</f>
        <v/>
      </c>
      <c r="M71" s="33">
        <f>IF(OR($U71="",4&gt;=설정!$B$12),"",SUMIFS(매입원본!$AT$8:$AT$1007,매입원본!$AX$8:$AX$1007,INDEX($R$8:$R$207,$U71),매입원본!$BA$8:$BA$1007,"포함",매입원본!$AS$8:$AS$1007,"&gt;="&amp;EDATE(설정!$B$10,4),매입원본!$AS$8:$AS$1007,"&lt;="&amp;EOMONTH(설정!$B$10,4)))</f>
        <v/>
      </c>
      <c r="N71" s="33">
        <f>IF(OR($U71="",5&gt;=설정!$B$12),"",SUMIFS(매입원본!$AT$8:$AT$1007,매입원본!$AX$8:$AX$1007,INDEX($R$8:$R$207,$U71),매입원본!$BA$8:$BA$1007,"포함",매입원본!$AS$8:$AS$1007,"&gt;="&amp;EDATE(설정!$B$10,5),매입원본!$AS$8:$AS$1007,"&lt;="&amp;EOMONTH(설정!$B$10,5)))</f>
        <v/>
      </c>
      <c r="Q71" s="35" t="n">
        <v>64</v>
      </c>
      <c r="R71" s="35">
        <f>IFERROR(INDEX(매입원본!$AX$8:$AX$1007,MATCH($Q71,매입원본!$BD$8:$BD$1007,0)),"")</f>
        <v/>
      </c>
      <c r="S71" s="35">
        <f>IF($R71="","",SUMIFS(매입원본!$AT$8:$AT$1007,매입원본!$AX$8:$AX$1007,$R71,매입원본!$BA$8:$BA$1007,"포함"))</f>
        <v/>
      </c>
      <c r="T71" s="35">
        <f>IF($R71="","",$S71-$Q71/100000)</f>
        <v/>
      </c>
      <c r="U71" s="35">
        <f>IFERROR(MATCH(LARGE($T$8:$T$207,64),$T$8:$T$207,0),"")</f>
        <v/>
      </c>
    </row>
    <row r="72">
      <c r="A72" s="32">
        <f>IF($U72="","",65)</f>
        <v/>
      </c>
      <c r="B72" s="10">
        <f>IF($U72="","",IFERROR(INDEX(매입원본!$AZ$8:$AZ$1007,MATCH($U72,매입원본!$BD$8:$BD$1007,0)),""))</f>
        <v/>
      </c>
      <c r="C72" s="10">
        <f>IF($U72="","",IFERROR(INDEX(매입원본!$AY$8:$AY$1007,MATCH($U72,매입원본!$BD$8:$BD$1007,0)),""))</f>
        <v/>
      </c>
      <c r="D72" s="33">
        <f>IF($U72="","",COUNTIFS(매입원본!$AX$8:$AX$1007,INDEX($R$8:$R$207,$U72),매입원본!$BA$8:$BA$1007,"포함"))</f>
        <v/>
      </c>
      <c r="E72" s="33">
        <f>IF($U72="","",SUMIFS(매입원본!$AT$8:$AT$1007,매입원본!$AX$8:$AX$1007,INDEX($R$8:$R$207,$U72),매입원본!$BA$8:$BA$1007,"포함"))</f>
        <v/>
      </c>
      <c r="F72" s="33">
        <f>IF($U72="","",SUMIFS(매입원본!$AU$8:$AU$1007,매입원본!$AX$8:$AX$1007,INDEX($R$8:$R$207,$U72),매입원본!$BA$8:$BA$1007,"포함"))</f>
        <v/>
      </c>
      <c r="G72" s="33">
        <f>IF($U72="","",SUMIFS(매입원본!$AV$8:$AV$1007,매입원본!$AX$8:$AX$1007,INDEX($R$8:$R$207,$U72),매입원본!$BA$8:$BA$1007,"포함"))</f>
        <v/>
      </c>
      <c r="H72" s="34">
        <f>IF(OR($U72="",$E$7=0),"",E72/$E$7)</f>
        <v/>
      </c>
      <c r="I72" s="33">
        <f>IF(OR($U72="",0&gt;=설정!$B$12),"",SUMIFS(매입원본!$AT$8:$AT$1007,매입원본!$AX$8:$AX$1007,INDEX($R$8:$R$207,$U72),매입원본!$BA$8:$BA$1007,"포함",매입원본!$AS$8:$AS$1007,"&gt;="&amp;EDATE(설정!$B$10,0),매입원본!$AS$8:$AS$1007,"&lt;="&amp;EOMONTH(설정!$B$10,0)))</f>
        <v/>
      </c>
      <c r="J72" s="33">
        <f>IF(OR($U72="",1&gt;=설정!$B$12),"",SUMIFS(매입원본!$AT$8:$AT$1007,매입원본!$AX$8:$AX$1007,INDEX($R$8:$R$207,$U72),매입원본!$BA$8:$BA$1007,"포함",매입원본!$AS$8:$AS$1007,"&gt;="&amp;EDATE(설정!$B$10,1),매입원본!$AS$8:$AS$1007,"&lt;="&amp;EOMONTH(설정!$B$10,1)))</f>
        <v/>
      </c>
      <c r="K72" s="33">
        <f>IF(OR($U72="",2&gt;=설정!$B$12),"",SUMIFS(매입원본!$AT$8:$AT$1007,매입원본!$AX$8:$AX$1007,INDEX($R$8:$R$207,$U72),매입원본!$BA$8:$BA$1007,"포함",매입원본!$AS$8:$AS$1007,"&gt;="&amp;EDATE(설정!$B$10,2),매입원본!$AS$8:$AS$1007,"&lt;="&amp;EOMONTH(설정!$B$10,2)))</f>
        <v/>
      </c>
      <c r="L72" s="33">
        <f>IF(OR($U72="",3&gt;=설정!$B$12),"",SUMIFS(매입원본!$AT$8:$AT$1007,매입원본!$AX$8:$AX$1007,INDEX($R$8:$R$207,$U72),매입원본!$BA$8:$BA$1007,"포함",매입원본!$AS$8:$AS$1007,"&gt;="&amp;EDATE(설정!$B$10,3),매입원본!$AS$8:$AS$1007,"&lt;="&amp;EOMONTH(설정!$B$10,3)))</f>
        <v/>
      </c>
      <c r="M72" s="33">
        <f>IF(OR($U72="",4&gt;=설정!$B$12),"",SUMIFS(매입원본!$AT$8:$AT$1007,매입원본!$AX$8:$AX$1007,INDEX($R$8:$R$207,$U72),매입원본!$BA$8:$BA$1007,"포함",매입원본!$AS$8:$AS$1007,"&gt;="&amp;EDATE(설정!$B$10,4),매입원본!$AS$8:$AS$1007,"&lt;="&amp;EOMONTH(설정!$B$10,4)))</f>
        <v/>
      </c>
      <c r="N72" s="33">
        <f>IF(OR($U72="",5&gt;=설정!$B$12),"",SUMIFS(매입원본!$AT$8:$AT$1007,매입원본!$AX$8:$AX$1007,INDEX($R$8:$R$207,$U72),매입원본!$BA$8:$BA$1007,"포함",매입원본!$AS$8:$AS$1007,"&gt;="&amp;EDATE(설정!$B$10,5),매입원본!$AS$8:$AS$1007,"&lt;="&amp;EOMONTH(설정!$B$10,5)))</f>
        <v/>
      </c>
      <c r="Q72" s="35" t="n">
        <v>65</v>
      </c>
      <c r="R72" s="35">
        <f>IFERROR(INDEX(매입원본!$AX$8:$AX$1007,MATCH($Q72,매입원본!$BD$8:$BD$1007,0)),"")</f>
        <v/>
      </c>
      <c r="S72" s="35">
        <f>IF($R72="","",SUMIFS(매입원본!$AT$8:$AT$1007,매입원본!$AX$8:$AX$1007,$R72,매입원본!$BA$8:$BA$1007,"포함"))</f>
        <v/>
      </c>
      <c r="T72" s="35">
        <f>IF($R72="","",$S72-$Q72/100000)</f>
        <v/>
      </c>
      <c r="U72" s="35">
        <f>IFERROR(MATCH(LARGE($T$8:$T$207,65),$T$8:$T$207,0),"")</f>
        <v/>
      </c>
    </row>
    <row r="73">
      <c r="A73" s="32">
        <f>IF($U73="","",66)</f>
        <v/>
      </c>
      <c r="B73" s="10">
        <f>IF($U73="","",IFERROR(INDEX(매입원본!$AZ$8:$AZ$1007,MATCH($U73,매입원본!$BD$8:$BD$1007,0)),""))</f>
        <v/>
      </c>
      <c r="C73" s="10">
        <f>IF($U73="","",IFERROR(INDEX(매입원본!$AY$8:$AY$1007,MATCH($U73,매입원본!$BD$8:$BD$1007,0)),""))</f>
        <v/>
      </c>
      <c r="D73" s="33">
        <f>IF($U73="","",COUNTIFS(매입원본!$AX$8:$AX$1007,INDEX($R$8:$R$207,$U73),매입원본!$BA$8:$BA$1007,"포함"))</f>
        <v/>
      </c>
      <c r="E73" s="33">
        <f>IF($U73="","",SUMIFS(매입원본!$AT$8:$AT$1007,매입원본!$AX$8:$AX$1007,INDEX($R$8:$R$207,$U73),매입원본!$BA$8:$BA$1007,"포함"))</f>
        <v/>
      </c>
      <c r="F73" s="33">
        <f>IF($U73="","",SUMIFS(매입원본!$AU$8:$AU$1007,매입원본!$AX$8:$AX$1007,INDEX($R$8:$R$207,$U73),매입원본!$BA$8:$BA$1007,"포함"))</f>
        <v/>
      </c>
      <c r="G73" s="33">
        <f>IF($U73="","",SUMIFS(매입원본!$AV$8:$AV$1007,매입원본!$AX$8:$AX$1007,INDEX($R$8:$R$207,$U73),매입원본!$BA$8:$BA$1007,"포함"))</f>
        <v/>
      </c>
      <c r="H73" s="34">
        <f>IF(OR($U73="",$E$7=0),"",E73/$E$7)</f>
        <v/>
      </c>
      <c r="I73" s="33">
        <f>IF(OR($U73="",0&gt;=설정!$B$12),"",SUMIFS(매입원본!$AT$8:$AT$1007,매입원본!$AX$8:$AX$1007,INDEX($R$8:$R$207,$U73),매입원본!$BA$8:$BA$1007,"포함",매입원본!$AS$8:$AS$1007,"&gt;="&amp;EDATE(설정!$B$10,0),매입원본!$AS$8:$AS$1007,"&lt;="&amp;EOMONTH(설정!$B$10,0)))</f>
        <v/>
      </c>
      <c r="J73" s="33">
        <f>IF(OR($U73="",1&gt;=설정!$B$12),"",SUMIFS(매입원본!$AT$8:$AT$1007,매입원본!$AX$8:$AX$1007,INDEX($R$8:$R$207,$U73),매입원본!$BA$8:$BA$1007,"포함",매입원본!$AS$8:$AS$1007,"&gt;="&amp;EDATE(설정!$B$10,1),매입원본!$AS$8:$AS$1007,"&lt;="&amp;EOMONTH(설정!$B$10,1)))</f>
        <v/>
      </c>
      <c r="K73" s="33">
        <f>IF(OR($U73="",2&gt;=설정!$B$12),"",SUMIFS(매입원본!$AT$8:$AT$1007,매입원본!$AX$8:$AX$1007,INDEX($R$8:$R$207,$U73),매입원본!$BA$8:$BA$1007,"포함",매입원본!$AS$8:$AS$1007,"&gt;="&amp;EDATE(설정!$B$10,2),매입원본!$AS$8:$AS$1007,"&lt;="&amp;EOMONTH(설정!$B$10,2)))</f>
        <v/>
      </c>
      <c r="L73" s="33">
        <f>IF(OR($U73="",3&gt;=설정!$B$12),"",SUMIFS(매입원본!$AT$8:$AT$1007,매입원본!$AX$8:$AX$1007,INDEX($R$8:$R$207,$U73),매입원본!$BA$8:$BA$1007,"포함",매입원본!$AS$8:$AS$1007,"&gt;="&amp;EDATE(설정!$B$10,3),매입원본!$AS$8:$AS$1007,"&lt;="&amp;EOMONTH(설정!$B$10,3)))</f>
        <v/>
      </c>
      <c r="M73" s="33">
        <f>IF(OR($U73="",4&gt;=설정!$B$12),"",SUMIFS(매입원본!$AT$8:$AT$1007,매입원본!$AX$8:$AX$1007,INDEX($R$8:$R$207,$U73),매입원본!$BA$8:$BA$1007,"포함",매입원본!$AS$8:$AS$1007,"&gt;="&amp;EDATE(설정!$B$10,4),매입원본!$AS$8:$AS$1007,"&lt;="&amp;EOMONTH(설정!$B$10,4)))</f>
        <v/>
      </c>
      <c r="N73" s="33">
        <f>IF(OR($U73="",5&gt;=설정!$B$12),"",SUMIFS(매입원본!$AT$8:$AT$1007,매입원본!$AX$8:$AX$1007,INDEX($R$8:$R$207,$U73),매입원본!$BA$8:$BA$1007,"포함",매입원본!$AS$8:$AS$1007,"&gt;="&amp;EDATE(설정!$B$10,5),매입원본!$AS$8:$AS$1007,"&lt;="&amp;EOMONTH(설정!$B$10,5)))</f>
        <v/>
      </c>
      <c r="Q73" s="35" t="n">
        <v>66</v>
      </c>
      <c r="R73" s="35">
        <f>IFERROR(INDEX(매입원본!$AX$8:$AX$1007,MATCH($Q73,매입원본!$BD$8:$BD$1007,0)),"")</f>
        <v/>
      </c>
      <c r="S73" s="35">
        <f>IF($R73="","",SUMIFS(매입원본!$AT$8:$AT$1007,매입원본!$AX$8:$AX$1007,$R73,매입원본!$BA$8:$BA$1007,"포함"))</f>
        <v/>
      </c>
      <c r="T73" s="35">
        <f>IF($R73="","",$S73-$Q73/100000)</f>
        <v/>
      </c>
      <c r="U73" s="35">
        <f>IFERROR(MATCH(LARGE($T$8:$T$207,66),$T$8:$T$207,0),"")</f>
        <v/>
      </c>
    </row>
    <row r="74">
      <c r="A74" s="32">
        <f>IF($U74="","",67)</f>
        <v/>
      </c>
      <c r="B74" s="10">
        <f>IF($U74="","",IFERROR(INDEX(매입원본!$AZ$8:$AZ$1007,MATCH($U74,매입원본!$BD$8:$BD$1007,0)),""))</f>
        <v/>
      </c>
      <c r="C74" s="10">
        <f>IF($U74="","",IFERROR(INDEX(매입원본!$AY$8:$AY$1007,MATCH($U74,매입원본!$BD$8:$BD$1007,0)),""))</f>
        <v/>
      </c>
      <c r="D74" s="33">
        <f>IF($U74="","",COUNTIFS(매입원본!$AX$8:$AX$1007,INDEX($R$8:$R$207,$U74),매입원본!$BA$8:$BA$1007,"포함"))</f>
        <v/>
      </c>
      <c r="E74" s="33">
        <f>IF($U74="","",SUMIFS(매입원본!$AT$8:$AT$1007,매입원본!$AX$8:$AX$1007,INDEX($R$8:$R$207,$U74),매입원본!$BA$8:$BA$1007,"포함"))</f>
        <v/>
      </c>
      <c r="F74" s="33">
        <f>IF($U74="","",SUMIFS(매입원본!$AU$8:$AU$1007,매입원본!$AX$8:$AX$1007,INDEX($R$8:$R$207,$U74),매입원본!$BA$8:$BA$1007,"포함"))</f>
        <v/>
      </c>
      <c r="G74" s="33">
        <f>IF($U74="","",SUMIFS(매입원본!$AV$8:$AV$1007,매입원본!$AX$8:$AX$1007,INDEX($R$8:$R$207,$U74),매입원본!$BA$8:$BA$1007,"포함"))</f>
        <v/>
      </c>
      <c r="H74" s="34">
        <f>IF(OR($U74="",$E$7=0),"",E74/$E$7)</f>
        <v/>
      </c>
      <c r="I74" s="33">
        <f>IF(OR($U74="",0&gt;=설정!$B$12),"",SUMIFS(매입원본!$AT$8:$AT$1007,매입원본!$AX$8:$AX$1007,INDEX($R$8:$R$207,$U74),매입원본!$BA$8:$BA$1007,"포함",매입원본!$AS$8:$AS$1007,"&gt;="&amp;EDATE(설정!$B$10,0),매입원본!$AS$8:$AS$1007,"&lt;="&amp;EOMONTH(설정!$B$10,0)))</f>
        <v/>
      </c>
      <c r="J74" s="33">
        <f>IF(OR($U74="",1&gt;=설정!$B$12),"",SUMIFS(매입원본!$AT$8:$AT$1007,매입원본!$AX$8:$AX$1007,INDEX($R$8:$R$207,$U74),매입원본!$BA$8:$BA$1007,"포함",매입원본!$AS$8:$AS$1007,"&gt;="&amp;EDATE(설정!$B$10,1),매입원본!$AS$8:$AS$1007,"&lt;="&amp;EOMONTH(설정!$B$10,1)))</f>
        <v/>
      </c>
      <c r="K74" s="33">
        <f>IF(OR($U74="",2&gt;=설정!$B$12),"",SUMIFS(매입원본!$AT$8:$AT$1007,매입원본!$AX$8:$AX$1007,INDEX($R$8:$R$207,$U74),매입원본!$BA$8:$BA$1007,"포함",매입원본!$AS$8:$AS$1007,"&gt;="&amp;EDATE(설정!$B$10,2),매입원본!$AS$8:$AS$1007,"&lt;="&amp;EOMONTH(설정!$B$10,2)))</f>
        <v/>
      </c>
      <c r="L74" s="33">
        <f>IF(OR($U74="",3&gt;=설정!$B$12),"",SUMIFS(매입원본!$AT$8:$AT$1007,매입원본!$AX$8:$AX$1007,INDEX($R$8:$R$207,$U74),매입원본!$BA$8:$BA$1007,"포함",매입원본!$AS$8:$AS$1007,"&gt;="&amp;EDATE(설정!$B$10,3),매입원본!$AS$8:$AS$1007,"&lt;="&amp;EOMONTH(설정!$B$10,3)))</f>
        <v/>
      </c>
      <c r="M74" s="33">
        <f>IF(OR($U74="",4&gt;=설정!$B$12),"",SUMIFS(매입원본!$AT$8:$AT$1007,매입원본!$AX$8:$AX$1007,INDEX($R$8:$R$207,$U74),매입원본!$BA$8:$BA$1007,"포함",매입원본!$AS$8:$AS$1007,"&gt;="&amp;EDATE(설정!$B$10,4),매입원본!$AS$8:$AS$1007,"&lt;="&amp;EOMONTH(설정!$B$10,4)))</f>
        <v/>
      </c>
      <c r="N74" s="33">
        <f>IF(OR($U74="",5&gt;=설정!$B$12),"",SUMIFS(매입원본!$AT$8:$AT$1007,매입원본!$AX$8:$AX$1007,INDEX($R$8:$R$207,$U74),매입원본!$BA$8:$BA$1007,"포함",매입원본!$AS$8:$AS$1007,"&gt;="&amp;EDATE(설정!$B$10,5),매입원본!$AS$8:$AS$1007,"&lt;="&amp;EOMONTH(설정!$B$10,5)))</f>
        <v/>
      </c>
      <c r="Q74" s="35" t="n">
        <v>67</v>
      </c>
      <c r="R74" s="35">
        <f>IFERROR(INDEX(매입원본!$AX$8:$AX$1007,MATCH($Q74,매입원본!$BD$8:$BD$1007,0)),"")</f>
        <v/>
      </c>
      <c r="S74" s="35">
        <f>IF($R74="","",SUMIFS(매입원본!$AT$8:$AT$1007,매입원본!$AX$8:$AX$1007,$R74,매입원본!$BA$8:$BA$1007,"포함"))</f>
        <v/>
      </c>
      <c r="T74" s="35">
        <f>IF($R74="","",$S74-$Q74/100000)</f>
        <v/>
      </c>
      <c r="U74" s="35">
        <f>IFERROR(MATCH(LARGE($T$8:$T$207,67),$T$8:$T$207,0),"")</f>
        <v/>
      </c>
    </row>
    <row r="75">
      <c r="A75" s="32">
        <f>IF($U75="","",68)</f>
        <v/>
      </c>
      <c r="B75" s="10">
        <f>IF($U75="","",IFERROR(INDEX(매입원본!$AZ$8:$AZ$1007,MATCH($U75,매입원본!$BD$8:$BD$1007,0)),""))</f>
        <v/>
      </c>
      <c r="C75" s="10">
        <f>IF($U75="","",IFERROR(INDEX(매입원본!$AY$8:$AY$1007,MATCH($U75,매입원본!$BD$8:$BD$1007,0)),""))</f>
        <v/>
      </c>
      <c r="D75" s="33">
        <f>IF($U75="","",COUNTIFS(매입원본!$AX$8:$AX$1007,INDEX($R$8:$R$207,$U75),매입원본!$BA$8:$BA$1007,"포함"))</f>
        <v/>
      </c>
      <c r="E75" s="33">
        <f>IF($U75="","",SUMIFS(매입원본!$AT$8:$AT$1007,매입원본!$AX$8:$AX$1007,INDEX($R$8:$R$207,$U75),매입원본!$BA$8:$BA$1007,"포함"))</f>
        <v/>
      </c>
      <c r="F75" s="33">
        <f>IF($U75="","",SUMIFS(매입원본!$AU$8:$AU$1007,매입원본!$AX$8:$AX$1007,INDEX($R$8:$R$207,$U75),매입원본!$BA$8:$BA$1007,"포함"))</f>
        <v/>
      </c>
      <c r="G75" s="33">
        <f>IF($U75="","",SUMIFS(매입원본!$AV$8:$AV$1007,매입원본!$AX$8:$AX$1007,INDEX($R$8:$R$207,$U75),매입원본!$BA$8:$BA$1007,"포함"))</f>
        <v/>
      </c>
      <c r="H75" s="34">
        <f>IF(OR($U75="",$E$7=0),"",E75/$E$7)</f>
        <v/>
      </c>
      <c r="I75" s="33">
        <f>IF(OR($U75="",0&gt;=설정!$B$12),"",SUMIFS(매입원본!$AT$8:$AT$1007,매입원본!$AX$8:$AX$1007,INDEX($R$8:$R$207,$U75),매입원본!$BA$8:$BA$1007,"포함",매입원본!$AS$8:$AS$1007,"&gt;="&amp;EDATE(설정!$B$10,0),매입원본!$AS$8:$AS$1007,"&lt;="&amp;EOMONTH(설정!$B$10,0)))</f>
        <v/>
      </c>
      <c r="J75" s="33">
        <f>IF(OR($U75="",1&gt;=설정!$B$12),"",SUMIFS(매입원본!$AT$8:$AT$1007,매입원본!$AX$8:$AX$1007,INDEX($R$8:$R$207,$U75),매입원본!$BA$8:$BA$1007,"포함",매입원본!$AS$8:$AS$1007,"&gt;="&amp;EDATE(설정!$B$10,1),매입원본!$AS$8:$AS$1007,"&lt;="&amp;EOMONTH(설정!$B$10,1)))</f>
        <v/>
      </c>
      <c r="K75" s="33">
        <f>IF(OR($U75="",2&gt;=설정!$B$12),"",SUMIFS(매입원본!$AT$8:$AT$1007,매입원본!$AX$8:$AX$1007,INDEX($R$8:$R$207,$U75),매입원본!$BA$8:$BA$1007,"포함",매입원본!$AS$8:$AS$1007,"&gt;="&amp;EDATE(설정!$B$10,2),매입원본!$AS$8:$AS$1007,"&lt;="&amp;EOMONTH(설정!$B$10,2)))</f>
        <v/>
      </c>
      <c r="L75" s="33">
        <f>IF(OR($U75="",3&gt;=설정!$B$12),"",SUMIFS(매입원본!$AT$8:$AT$1007,매입원본!$AX$8:$AX$1007,INDEX($R$8:$R$207,$U75),매입원본!$BA$8:$BA$1007,"포함",매입원본!$AS$8:$AS$1007,"&gt;="&amp;EDATE(설정!$B$10,3),매입원본!$AS$8:$AS$1007,"&lt;="&amp;EOMONTH(설정!$B$10,3)))</f>
        <v/>
      </c>
      <c r="M75" s="33">
        <f>IF(OR($U75="",4&gt;=설정!$B$12),"",SUMIFS(매입원본!$AT$8:$AT$1007,매입원본!$AX$8:$AX$1007,INDEX($R$8:$R$207,$U75),매입원본!$BA$8:$BA$1007,"포함",매입원본!$AS$8:$AS$1007,"&gt;="&amp;EDATE(설정!$B$10,4),매입원본!$AS$8:$AS$1007,"&lt;="&amp;EOMONTH(설정!$B$10,4)))</f>
        <v/>
      </c>
      <c r="N75" s="33">
        <f>IF(OR($U75="",5&gt;=설정!$B$12),"",SUMIFS(매입원본!$AT$8:$AT$1007,매입원본!$AX$8:$AX$1007,INDEX($R$8:$R$207,$U75),매입원본!$BA$8:$BA$1007,"포함",매입원본!$AS$8:$AS$1007,"&gt;="&amp;EDATE(설정!$B$10,5),매입원본!$AS$8:$AS$1007,"&lt;="&amp;EOMONTH(설정!$B$10,5)))</f>
        <v/>
      </c>
      <c r="Q75" s="35" t="n">
        <v>68</v>
      </c>
      <c r="R75" s="35">
        <f>IFERROR(INDEX(매입원본!$AX$8:$AX$1007,MATCH($Q75,매입원본!$BD$8:$BD$1007,0)),"")</f>
        <v/>
      </c>
      <c r="S75" s="35">
        <f>IF($R75="","",SUMIFS(매입원본!$AT$8:$AT$1007,매입원본!$AX$8:$AX$1007,$R75,매입원본!$BA$8:$BA$1007,"포함"))</f>
        <v/>
      </c>
      <c r="T75" s="35">
        <f>IF($R75="","",$S75-$Q75/100000)</f>
        <v/>
      </c>
      <c r="U75" s="35">
        <f>IFERROR(MATCH(LARGE($T$8:$T$207,68),$T$8:$T$207,0),"")</f>
        <v/>
      </c>
    </row>
    <row r="76">
      <c r="A76" s="32">
        <f>IF($U76="","",69)</f>
        <v/>
      </c>
      <c r="B76" s="10">
        <f>IF($U76="","",IFERROR(INDEX(매입원본!$AZ$8:$AZ$1007,MATCH($U76,매입원본!$BD$8:$BD$1007,0)),""))</f>
        <v/>
      </c>
      <c r="C76" s="10">
        <f>IF($U76="","",IFERROR(INDEX(매입원본!$AY$8:$AY$1007,MATCH($U76,매입원본!$BD$8:$BD$1007,0)),""))</f>
        <v/>
      </c>
      <c r="D76" s="33">
        <f>IF($U76="","",COUNTIFS(매입원본!$AX$8:$AX$1007,INDEX($R$8:$R$207,$U76),매입원본!$BA$8:$BA$1007,"포함"))</f>
        <v/>
      </c>
      <c r="E76" s="33">
        <f>IF($U76="","",SUMIFS(매입원본!$AT$8:$AT$1007,매입원본!$AX$8:$AX$1007,INDEX($R$8:$R$207,$U76),매입원본!$BA$8:$BA$1007,"포함"))</f>
        <v/>
      </c>
      <c r="F76" s="33">
        <f>IF($U76="","",SUMIFS(매입원본!$AU$8:$AU$1007,매입원본!$AX$8:$AX$1007,INDEX($R$8:$R$207,$U76),매입원본!$BA$8:$BA$1007,"포함"))</f>
        <v/>
      </c>
      <c r="G76" s="33">
        <f>IF($U76="","",SUMIFS(매입원본!$AV$8:$AV$1007,매입원본!$AX$8:$AX$1007,INDEX($R$8:$R$207,$U76),매입원본!$BA$8:$BA$1007,"포함"))</f>
        <v/>
      </c>
      <c r="H76" s="34">
        <f>IF(OR($U76="",$E$7=0),"",E76/$E$7)</f>
        <v/>
      </c>
      <c r="I76" s="33">
        <f>IF(OR($U76="",0&gt;=설정!$B$12),"",SUMIFS(매입원본!$AT$8:$AT$1007,매입원본!$AX$8:$AX$1007,INDEX($R$8:$R$207,$U76),매입원본!$BA$8:$BA$1007,"포함",매입원본!$AS$8:$AS$1007,"&gt;="&amp;EDATE(설정!$B$10,0),매입원본!$AS$8:$AS$1007,"&lt;="&amp;EOMONTH(설정!$B$10,0)))</f>
        <v/>
      </c>
      <c r="J76" s="33">
        <f>IF(OR($U76="",1&gt;=설정!$B$12),"",SUMIFS(매입원본!$AT$8:$AT$1007,매입원본!$AX$8:$AX$1007,INDEX($R$8:$R$207,$U76),매입원본!$BA$8:$BA$1007,"포함",매입원본!$AS$8:$AS$1007,"&gt;="&amp;EDATE(설정!$B$10,1),매입원본!$AS$8:$AS$1007,"&lt;="&amp;EOMONTH(설정!$B$10,1)))</f>
        <v/>
      </c>
      <c r="K76" s="33">
        <f>IF(OR($U76="",2&gt;=설정!$B$12),"",SUMIFS(매입원본!$AT$8:$AT$1007,매입원본!$AX$8:$AX$1007,INDEX($R$8:$R$207,$U76),매입원본!$BA$8:$BA$1007,"포함",매입원본!$AS$8:$AS$1007,"&gt;="&amp;EDATE(설정!$B$10,2),매입원본!$AS$8:$AS$1007,"&lt;="&amp;EOMONTH(설정!$B$10,2)))</f>
        <v/>
      </c>
      <c r="L76" s="33">
        <f>IF(OR($U76="",3&gt;=설정!$B$12),"",SUMIFS(매입원본!$AT$8:$AT$1007,매입원본!$AX$8:$AX$1007,INDEX($R$8:$R$207,$U76),매입원본!$BA$8:$BA$1007,"포함",매입원본!$AS$8:$AS$1007,"&gt;="&amp;EDATE(설정!$B$10,3),매입원본!$AS$8:$AS$1007,"&lt;="&amp;EOMONTH(설정!$B$10,3)))</f>
        <v/>
      </c>
      <c r="M76" s="33">
        <f>IF(OR($U76="",4&gt;=설정!$B$12),"",SUMIFS(매입원본!$AT$8:$AT$1007,매입원본!$AX$8:$AX$1007,INDEX($R$8:$R$207,$U76),매입원본!$BA$8:$BA$1007,"포함",매입원본!$AS$8:$AS$1007,"&gt;="&amp;EDATE(설정!$B$10,4),매입원본!$AS$8:$AS$1007,"&lt;="&amp;EOMONTH(설정!$B$10,4)))</f>
        <v/>
      </c>
      <c r="N76" s="33">
        <f>IF(OR($U76="",5&gt;=설정!$B$12),"",SUMIFS(매입원본!$AT$8:$AT$1007,매입원본!$AX$8:$AX$1007,INDEX($R$8:$R$207,$U76),매입원본!$BA$8:$BA$1007,"포함",매입원본!$AS$8:$AS$1007,"&gt;="&amp;EDATE(설정!$B$10,5),매입원본!$AS$8:$AS$1007,"&lt;="&amp;EOMONTH(설정!$B$10,5)))</f>
        <v/>
      </c>
      <c r="Q76" s="35" t="n">
        <v>69</v>
      </c>
      <c r="R76" s="35">
        <f>IFERROR(INDEX(매입원본!$AX$8:$AX$1007,MATCH($Q76,매입원본!$BD$8:$BD$1007,0)),"")</f>
        <v/>
      </c>
      <c r="S76" s="35">
        <f>IF($R76="","",SUMIFS(매입원본!$AT$8:$AT$1007,매입원본!$AX$8:$AX$1007,$R76,매입원본!$BA$8:$BA$1007,"포함"))</f>
        <v/>
      </c>
      <c r="T76" s="35">
        <f>IF($R76="","",$S76-$Q76/100000)</f>
        <v/>
      </c>
      <c r="U76" s="35">
        <f>IFERROR(MATCH(LARGE($T$8:$T$207,69),$T$8:$T$207,0),"")</f>
        <v/>
      </c>
    </row>
    <row r="77">
      <c r="A77" s="32">
        <f>IF($U77="","",70)</f>
        <v/>
      </c>
      <c r="B77" s="10">
        <f>IF($U77="","",IFERROR(INDEX(매입원본!$AZ$8:$AZ$1007,MATCH($U77,매입원본!$BD$8:$BD$1007,0)),""))</f>
        <v/>
      </c>
      <c r="C77" s="10">
        <f>IF($U77="","",IFERROR(INDEX(매입원본!$AY$8:$AY$1007,MATCH($U77,매입원본!$BD$8:$BD$1007,0)),""))</f>
        <v/>
      </c>
      <c r="D77" s="33">
        <f>IF($U77="","",COUNTIFS(매입원본!$AX$8:$AX$1007,INDEX($R$8:$R$207,$U77),매입원본!$BA$8:$BA$1007,"포함"))</f>
        <v/>
      </c>
      <c r="E77" s="33">
        <f>IF($U77="","",SUMIFS(매입원본!$AT$8:$AT$1007,매입원본!$AX$8:$AX$1007,INDEX($R$8:$R$207,$U77),매입원본!$BA$8:$BA$1007,"포함"))</f>
        <v/>
      </c>
      <c r="F77" s="33">
        <f>IF($U77="","",SUMIFS(매입원본!$AU$8:$AU$1007,매입원본!$AX$8:$AX$1007,INDEX($R$8:$R$207,$U77),매입원본!$BA$8:$BA$1007,"포함"))</f>
        <v/>
      </c>
      <c r="G77" s="33">
        <f>IF($U77="","",SUMIFS(매입원본!$AV$8:$AV$1007,매입원본!$AX$8:$AX$1007,INDEX($R$8:$R$207,$U77),매입원본!$BA$8:$BA$1007,"포함"))</f>
        <v/>
      </c>
      <c r="H77" s="34">
        <f>IF(OR($U77="",$E$7=0),"",E77/$E$7)</f>
        <v/>
      </c>
      <c r="I77" s="33">
        <f>IF(OR($U77="",0&gt;=설정!$B$12),"",SUMIFS(매입원본!$AT$8:$AT$1007,매입원본!$AX$8:$AX$1007,INDEX($R$8:$R$207,$U77),매입원본!$BA$8:$BA$1007,"포함",매입원본!$AS$8:$AS$1007,"&gt;="&amp;EDATE(설정!$B$10,0),매입원본!$AS$8:$AS$1007,"&lt;="&amp;EOMONTH(설정!$B$10,0)))</f>
        <v/>
      </c>
      <c r="J77" s="33">
        <f>IF(OR($U77="",1&gt;=설정!$B$12),"",SUMIFS(매입원본!$AT$8:$AT$1007,매입원본!$AX$8:$AX$1007,INDEX($R$8:$R$207,$U77),매입원본!$BA$8:$BA$1007,"포함",매입원본!$AS$8:$AS$1007,"&gt;="&amp;EDATE(설정!$B$10,1),매입원본!$AS$8:$AS$1007,"&lt;="&amp;EOMONTH(설정!$B$10,1)))</f>
        <v/>
      </c>
      <c r="K77" s="33">
        <f>IF(OR($U77="",2&gt;=설정!$B$12),"",SUMIFS(매입원본!$AT$8:$AT$1007,매입원본!$AX$8:$AX$1007,INDEX($R$8:$R$207,$U77),매입원본!$BA$8:$BA$1007,"포함",매입원본!$AS$8:$AS$1007,"&gt;="&amp;EDATE(설정!$B$10,2),매입원본!$AS$8:$AS$1007,"&lt;="&amp;EOMONTH(설정!$B$10,2)))</f>
        <v/>
      </c>
      <c r="L77" s="33">
        <f>IF(OR($U77="",3&gt;=설정!$B$12),"",SUMIFS(매입원본!$AT$8:$AT$1007,매입원본!$AX$8:$AX$1007,INDEX($R$8:$R$207,$U77),매입원본!$BA$8:$BA$1007,"포함",매입원본!$AS$8:$AS$1007,"&gt;="&amp;EDATE(설정!$B$10,3),매입원본!$AS$8:$AS$1007,"&lt;="&amp;EOMONTH(설정!$B$10,3)))</f>
        <v/>
      </c>
      <c r="M77" s="33">
        <f>IF(OR($U77="",4&gt;=설정!$B$12),"",SUMIFS(매입원본!$AT$8:$AT$1007,매입원본!$AX$8:$AX$1007,INDEX($R$8:$R$207,$U77),매입원본!$BA$8:$BA$1007,"포함",매입원본!$AS$8:$AS$1007,"&gt;="&amp;EDATE(설정!$B$10,4),매입원본!$AS$8:$AS$1007,"&lt;="&amp;EOMONTH(설정!$B$10,4)))</f>
        <v/>
      </c>
      <c r="N77" s="33">
        <f>IF(OR($U77="",5&gt;=설정!$B$12),"",SUMIFS(매입원본!$AT$8:$AT$1007,매입원본!$AX$8:$AX$1007,INDEX($R$8:$R$207,$U77),매입원본!$BA$8:$BA$1007,"포함",매입원본!$AS$8:$AS$1007,"&gt;="&amp;EDATE(설정!$B$10,5),매입원본!$AS$8:$AS$1007,"&lt;="&amp;EOMONTH(설정!$B$10,5)))</f>
        <v/>
      </c>
      <c r="Q77" s="35" t="n">
        <v>70</v>
      </c>
      <c r="R77" s="35">
        <f>IFERROR(INDEX(매입원본!$AX$8:$AX$1007,MATCH($Q77,매입원본!$BD$8:$BD$1007,0)),"")</f>
        <v/>
      </c>
      <c r="S77" s="35">
        <f>IF($R77="","",SUMIFS(매입원본!$AT$8:$AT$1007,매입원본!$AX$8:$AX$1007,$R77,매입원본!$BA$8:$BA$1007,"포함"))</f>
        <v/>
      </c>
      <c r="T77" s="35">
        <f>IF($R77="","",$S77-$Q77/100000)</f>
        <v/>
      </c>
      <c r="U77" s="35">
        <f>IFERROR(MATCH(LARGE($T$8:$T$207,70),$T$8:$T$207,0),"")</f>
        <v/>
      </c>
    </row>
    <row r="78">
      <c r="A78" s="32">
        <f>IF($U78="","",71)</f>
        <v/>
      </c>
      <c r="B78" s="10">
        <f>IF($U78="","",IFERROR(INDEX(매입원본!$AZ$8:$AZ$1007,MATCH($U78,매입원본!$BD$8:$BD$1007,0)),""))</f>
        <v/>
      </c>
      <c r="C78" s="10">
        <f>IF($U78="","",IFERROR(INDEX(매입원본!$AY$8:$AY$1007,MATCH($U78,매입원본!$BD$8:$BD$1007,0)),""))</f>
        <v/>
      </c>
      <c r="D78" s="33">
        <f>IF($U78="","",COUNTIFS(매입원본!$AX$8:$AX$1007,INDEX($R$8:$R$207,$U78),매입원본!$BA$8:$BA$1007,"포함"))</f>
        <v/>
      </c>
      <c r="E78" s="33">
        <f>IF($U78="","",SUMIFS(매입원본!$AT$8:$AT$1007,매입원본!$AX$8:$AX$1007,INDEX($R$8:$R$207,$U78),매입원본!$BA$8:$BA$1007,"포함"))</f>
        <v/>
      </c>
      <c r="F78" s="33">
        <f>IF($U78="","",SUMIFS(매입원본!$AU$8:$AU$1007,매입원본!$AX$8:$AX$1007,INDEX($R$8:$R$207,$U78),매입원본!$BA$8:$BA$1007,"포함"))</f>
        <v/>
      </c>
      <c r="G78" s="33">
        <f>IF($U78="","",SUMIFS(매입원본!$AV$8:$AV$1007,매입원본!$AX$8:$AX$1007,INDEX($R$8:$R$207,$U78),매입원본!$BA$8:$BA$1007,"포함"))</f>
        <v/>
      </c>
      <c r="H78" s="34">
        <f>IF(OR($U78="",$E$7=0),"",E78/$E$7)</f>
        <v/>
      </c>
      <c r="I78" s="33">
        <f>IF(OR($U78="",0&gt;=설정!$B$12),"",SUMIFS(매입원본!$AT$8:$AT$1007,매입원본!$AX$8:$AX$1007,INDEX($R$8:$R$207,$U78),매입원본!$BA$8:$BA$1007,"포함",매입원본!$AS$8:$AS$1007,"&gt;="&amp;EDATE(설정!$B$10,0),매입원본!$AS$8:$AS$1007,"&lt;="&amp;EOMONTH(설정!$B$10,0)))</f>
        <v/>
      </c>
      <c r="J78" s="33">
        <f>IF(OR($U78="",1&gt;=설정!$B$12),"",SUMIFS(매입원본!$AT$8:$AT$1007,매입원본!$AX$8:$AX$1007,INDEX($R$8:$R$207,$U78),매입원본!$BA$8:$BA$1007,"포함",매입원본!$AS$8:$AS$1007,"&gt;="&amp;EDATE(설정!$B$10,1),매입원본!$AS$8:$AS$1007,"&lt;="&amp;EOMONTH(설정!$B$10,1)))</f>
        <v/>
      </c>
      <c r="K78" s="33">
        <f>IF(OR($U78="",2&gt;=설정!$B$12),"",SUMIFS(매입원본!$AT$8:$AT$1007,매입원본!$AX$8:$AX$1007,INDEX($R$8:$R$207,$U78),매입원본!$BA$8:$BA$1007,"포함",매입원본!$AS$8:$AS$1007,"&gt;="&amp;EDATE(설정!$B$10,2),매입원본!$AS$8:$AS$1007,"&lt;="&amp;EOMONTH(설정!$B$10,2)))</f>
        <v/>
      </c>
      <c r="L78" s="33">
        <f>IF(OR($U78="",3&gt;=설정!$B$12),"",SUMIFS(매입원본!$AT$8:$AT$1007,매입원본!$AX$8:$AX$1007,INDEX($R$8:$R$207,$U78),매입원본!$BA$8:$BA$1007,"포함",매입원본!$AS$8:$AS$1007,"&gt;="&amp;EDATE(설정!$B$10,3),매입원본!$AS$8:$AS$1007,"&lt;="&amp;EOMONTH(설정!$B$10,3)))</f>
        <v/>
      </c>
      <c r="M78" s="33">
        <f>IF(OR($U78="",4&gt;=설정!$B$12),"",SUMIFS(매입원본!$AT$8:$AT$1007,매입원본!$AX$8:$AX$1007,INDEX($R$8:$R$207,$U78),매입원본!$BA$8:$BA$1007,"포함",매입원본!$AS$8:$AS$1007,"&gt;="&amp;EDATE(설정!$B$10,4),매입원본!$AS$8:$AS$1007,"&lt;="&amp;EOMONTH(설정!$B$10,4)))</f>
        <v/>
      </c>
      <c r="N78" s="33">
        <f>IF(OR($U78="",5&gt;=설정!$B$12),"",SUMIFS(매입원본!$AT$8:$AT$1007,매입원본!$AX$8:$AX$1007,INDEX($R$8:$R$207,$U78),매입원본!$BA$8:$BA$1007,"포함",매입원본!$AS$8:$AS$1007,"&gt;="&amp;EDATE(설정!$B$10,5),매입원본!$AS$8:$AS$1007,"&lt;="&amp;EOMONTH(설정!$B$10,5)))</f>
        <v/>
      </c>
      <c r="Q78" s="35" t="n">
        <v>71</v>
      </c>
      <c r="R78" s="35">
        <f>IFERROR(INDEX(매입원본!$AX$8:$AX$1007,MATCH($Q78,매입원본!$BD$8:$BD$1007,0)),"")</f>
        <v/>
      </c>
      <c r="S78" s="35">
        <f>IF($R78="","",SUMIFS(매입원본!$AT$8:$AT$1007,매입원본!$AX$8:$AX$1007,$R78,매입원본!$BA$8:$BA$1007,"포함"))</f>
        <v/>
      </c>
      <c r="T78" s="35">
        <f>IF($R78="","",$S78-$Q78/100000)</f>
        <v/>
      </c>
      <c r="U78" s="35">
        <f>IFERROR(MATCH(LARGE($T$8:$T$207,71),$T$8:$T$207,0),"")</f>
        <v/>
      </c>
    </row>
    <row r="79">
      <c r="A79" s="32">
        <f>IF($U79="","",72)</f>
        <v/>
      </c>
      <c r="B79" s="10">
        <f>IF($U79="","",IFERROR(INDEX(매입원본!$AZ$8:$AZ$1007,MATCH($U79,매입원본!$BD$8:$BD$1007,0)),""))</f>
        <v/>
      </c>
      <c r="C79" s="10">
        <f>IF($U79="","",IFERROR(INDEX(매입원본!$AY$8:$AY$1007,MATCH($U79,매입원본!$BD$8:$BD$1007,0)),""))</f>
        <v/>
      </c>
      <c r="D79" s="33">
        <f>IF($U79="","",COUNTIFS(매입원본!$AX$8:$AX$1007,INDEX($R$8:$R$207,$U79),매입원본!$BA$8:$BA$1007,"포함"))</f>
        <v/>
      </c>
      <c r="E79" s="33">
        <f>IF($U79="","",SUMIFS(매입원본!$AT$8:$AT$1007,매입원본!$AX$8:$AX$1007,INDEX($R$8:$R$207,$U79),매입원본!$BA$8:$BA$1007,"포함"))</f>
        <v/>
      </c>
      <c r="F79" s="33">
        <f>IF($U79="","",SUMIFS(매입원본!$AU$8:$AU$1007,매입원본!$AX$8:$AX$1007,INDEX($R$8:$R$207,$U79),매입원본!$BA$8:$BA$1007,"포함"))</f>
        <v/>
      </c>
      <c r="G79" s="33">
        <f>IF($U79="","",SUMIFS(매입원본!$AV$8:$AV$1007,매입원본!$AX$8:$AX$1007,INDEX($R$8:$R$207,$U79),매입원본!$BA$8:$BA$1007,"포함"))</f>
        <v/>
      </c>
      <c r="H79" s="34">
        <f>IF(OR($U79="",$E$7=0),"",E79/$E$7)</f>
        <v/>
      </c>
      <c r="I79" s="33">
        <f>IF(OR($U79="",0&gt;=설정!$B$12),"",SUMIFS(매입원본!$AT$8:$AT$1007,매입원본!$AX$8:$AX$1007,INDEX($R$8:$R$207,$U79),매입원본!$BA$8:$BA$1007,"포함",매입원본!$AS$8:$AS$1007,"&gt;="&amp;EDATE(설정!$B$10,0),매입원본!$AS$8:$AS$1007,"&lt;="&amp;EOMONTH(설정!$B$10,0)))</f>
        <v/>
      </c>
      <c r="J79" s="33">
        <f>IF(OR($U79="",1&gt;=설정!$B$12),"",SUMIFS(매입원본!$AT$8:$AT$1007,매입원본!$AX$8:$AX$1007,INDEX($R$8:$R$207,$U79),매입원본!$BA$8:$BA$1007,"포함",매입원본!$AS$8:$AS$1007,"&gt;="&amp;EDATE(설정!$B$10,1),매입원본!$AS$8:$AS$1007,"&lt;="&amp;EOMONTH(설정!$B$10,1)))</f>
        <v/>
      </c>
      <c r="K79" s="33">
        <f>IF(OR($U79="",2&gt;=설정!$B$12),"",SUMIFS(매입원본!$AT$8:$AT$1007,매입원본!$AX$8:$AX$1007,INDEX($R$8:$R$207,$U79),매입원본!$BA$8:$BA$1007,"포함",매입원본!$AS$8:$AS$1007,"&gt;="&amp;EDATE(설정!$B$10,2),매입원본!$AS$8:$AS$1007,"&lt;="&amp;EOMONTH(설정!$B$10,2)))</f>
        <v/>
      </c>
      <c r="L79" s="33">
        <f>IF(OR($U79="",3&gt;=설정!$B$12),"",SUMIFS(매입원본!$AT$8:$AT$1007,매입원본!$AX$8:$AX$1007,INDEX($R$8:$R$207,$U79),매입원본!$BA$8:$BA$1007,"포함",매입원본!$AS$8:$AS$1007,"&gt;="&amp;EDATE(설정!$B$10,3),매입원본!$AS$8:$AS$1007,"&lt;="&amp;EOMONTH(설정!$B$10,3)))</f>
        <v/>
      </c>
      <c r="M79" s="33">
        <f>IF(OR($U79="",4&gt;=설정!$B$12),"",SUMIFS(매입원본!$AT$8:$AT$1007,매입원본!$AX$8:$AX$1007,INDEX($R$8:$R$207,$U79),매입원본!$BA$8:$BA$1007,"포함",매입원본!$AS$8:$AS$1007,"&gt;="&amp;EDATE(설정!$B$10,4),매입원본!$AS$8:$AS$1007,"&lt;="&amp;EOMONTH(설정!$B$10,4)))</f>
        <v/>
      </c>
      <c r="N79" s="33">
        <f>IF(OR($U79="",5&gt;=설정!$B$12),"",SUMIFS(매입원본!$AT$8:$AT$1007,매입원본!$AX$8:$AX$1007,INDEX($R$8:$R$207,$U79),매입원본!$BA$8:$BA$1007,"포함",매입원본!$AS$8:$AS$1007,"&gt;="&amp;EDATE(설정!$B$10,5),매입원본!$AS$8:$AS$1007,"&lt;="&amp;EOMONTH(설정!$B$10,5)))</f>
        <v/>
      </c>
      <c r="Q79" s="35" t="n">
        <v>72</v>
      </c>
      <c r="R79" s="35">
        <f>IFERROR(INDEX(매입원본!$AX$8:$AX$1007,MATCH($Q79,매입원본!$BD$8:$BD$1007,0)),"")</f>
        <v/>
      </c>
      <c r="S79" s="35">
        <f>IF($R79="","",SUMIFS(매입원본!$AT$8:$AT$1007,매입원본!$AX$8:$AX$1007,$R79,매입원본!$BA$8:$BA$1007,"포함"))</f>
        <v/>
      </c>
      <c r="T79" s="35">
        <f>IF($R79="","",$S79-$Q79/100000)</f>
        <v/>
      </c>
      <c r="U79" s="35">
        <f>IFERROR(MATCH(LARGE($T$8:$T$207,72),$T$8:$T$207,0),"")</f>
        <v/>
      </c>
    </row>
    <row r="80">
      <c r="A80" s="32">
        <f>IF($U80="","",73)</f>
        <v/>
      </c>
      <c r="B80" s="10">
        <f>IF($U80="","",IFERROR(INDEX(매입원본!$AZ$8:$AZ$1007,MATCH($U80,매입원본!$BD$8:$BD$1007,0)),""))</f>
        <v/>
      </c>
      <c r="C80" s="10">
        <f>IF($U80="","",IFERROR(INDEX(매입원본!$AY$8:$AY$1007,MATCH($U80,매입원본!$BD$8:$BD$1007,0)),""))</f>
        <v/>
      </c>
      <c r="D80" s="33">
        <f>IF($U80="","",COUNTIFS(매입원본!$AX$8:$AX$1007,INDEX($R$8:$R$207,$U80),매입원본!$BA$8:$BA$1007,"포함"))</f>
        <v/>
      </c>
      <c r="E80" s="33">
        <f>IF($U80="","",SUMIFS(매입원본!$AT$8:$AT$1007,매입원본!$AX$8:$AX$1007,INDEX($R$8:$R$207,$U80),매입원본!$BA$8:$BA$1007,"포함"))</f>
        <v/>
      </c>
      <c r="F80" s="33">
        <f>IF($U80="","",SUMIFS(매입원본!$AU$8:$AU$1007,매입원본!$AX$8:$AX$1007,INDEX($R$8:$R$207,$U80),매입원본!$BA$8:$BA$1007,"포함"))</f>
        <v/>
      </c>
      <c r="G80" s="33">
        <f>IF($U80="","",SUMIFS(매입원본!$AV$8:$AV$1007,매입원본!$AX$8:$AX$1007,INDEX($R$8:$R$207,$U80),매입원본!$BA$8:$BA$1007,"포함"))</f>
        <v/>
      </c>
      <c r="H80" s="34">
        <f>IF(OR($U80="",$E$7=0),"",E80/$E$7)</f>
        <v/>
      </c>
      <c r="I80" s="33">
        <f>IF(OR($U80="",0&gt;=설정!$B$12),"",SUMIFS(매입원본!$AT$8:$AT$1007,매입원본!$AX$8:$AX$1007,INDEX($R$8:$R$207,$U80),매입원본!$BA$8:$BA$1007,"포함",매입원본!$AS$8:$AS$1007,"&gt;="&amp;EDATE(설정!$B$10,0),매입원본!$AS$8:$AS$1007,"&lt;="&amp;EOMONTH(설정!$B$10,0)))</f>
        <v/>
      </c>
      <c r="J80" s="33">
        <f>IF(OR($U80="",1&gt;=설정!$B$12),"",SUMIFS(매입원본!$AT$8:$AT$1007,매입원본!$AX$8:$AX$1007,INDEX($R$8:$R$207,$U80),매입원본!$BA$8:$BA$1007,"포함",매입원본!$AS$8:$AS$1007,"&gt;="&amp;EDATE(설정!$B$10,1),매입원본!$AS$8:$AS$1007,"&lt;="&amp;EOMONTH(설정!$B$10,1)))</f>
        <v/>
      </c>
      <c r="K80" s="33">
        <f>IF(OR($U80="",2&gt;=설정!$B$12),"",SUMIFS(매입원본!$AT$8:$AT$1007,매입원본!$AX$8:$AX$1007,INDEX($R$8:$R$207,$U80),매입원본!$BA$8:$BA$1007,"포함",매입원본!$AS$8:$AS$1007,"&gt;="&amp;EDATE(설정!$B$10,2),매입원본!$AS$8:$AS$1007,"&lt;="&amp;EOMONTH(설정!$B$10,2)))</f>
        <v/>
      </c>
      <c r="L80" s="33">
        <f>IF(OR($U80="",3&gt;=설정!$B$12),"",SUMIFS(매입원본!$AT$8:$AT$1007,매입원본!$AX$8:$AX$1007,INDEX($R$8:$R$207,$U80),매입원본!$BA$8:$BA$1007,"포함",매입원본!$AS$8:$AS$1007,"&gt;="&amp;EDATE(설정!$B$10,3),매입원본!$AS$8:$AS$1007,"&lt;="&amp;EOMONTH(설정!$B$10,3)))</f>
        <v/>
      </c>
      <c r="M80" s="33">
        <f>IF(OR($U80="",4&gt;=설정!$B$12),"",SUMIFS(매입원본!$AT$8:$AT$1007,매입원본!$AX$8:$AX$1007,INDEX($R$8:$R$207,$U80),매입원본!$BA$8:$BA$1007,"포함",매입원본!$AS$8:$AS$1007,"&gt;="&amp;EDATE(설정!$B$10,4),매입원본!$AS$8:$AS$1007,"&lt;="&amp;EOMONTH(설정!$B$10,4)))</f>
        <v/>
      </c>
      <c r="N80" s="33">
        <f>IF(OR($U80="",5&gt;=설정!$B$12),"",SUMIFS(매입원본!$AT$8:$AT$1007,매입원본!$AX$8:$AX$1007,INDEX($R$8:$R$207,$U80),매입원본!$BA$8:$BA$1007,"포함",매입원본!$AS$8:$AS$1007,"&gt;="&amp;EDATE(설정!$B$10,5),매입원본!$AS$8:$AS$1007,"&lt;="&amp;EOMONTH(설정!$B$10,5)))</f>
        <v/>
      </c>
      <c r="Q80" s="35" t="n">
        <v>73</v>
      </c>
      <c r="R80" s="35">
        <f>IFERROR(INDEX(매입원본!$AX$8:$AX$1007,MATCH($Q80,매입원본!$BD$8:$BD$1007,0)),"")</f>
        <v/>
      </c>
      <c r="S80" s="35">
        <f>IF($R80="","",SUMIFS(매입원본!$AT$8:$AT$1007,매입원본!$AX$8:$AX$1007,$R80,매입원본!$BA$8:$BA$1007,"포함"))</f>
        <v/>
      </c>
      <c r="T80" s="35">
        <f>IF($R80="","",$S80-$Q80/100000)</f>
        <v/>
      </c>
      <c r="U80" s="35">
        <f>IFERROR(MATCH(LARGE($T$8:$T$207,73),$T$8:$T$207,0),"")</f>
        <v/>
      </c>
    </row>
    <row r="81">
      <c r="A81" s="32">
        <f>IF($U81="","",74)</f>
        <v/>
      </c>
      <c r="B81" s="10">
        <f>IF($U81="","",IFERROR(INDEX(매입원본!$AZ$8:$AZ$1007,MATCH($U81,매입원본!$BD$8:$BD$1007,0)),""))</f>
        <v/>
      </c>
      <c r="C81" s="10">
        <f>IF($U81="","",IFERROR(INDEX(매입원본!$AY$8:$AY$1007,MATCH($U81,매입원본!$BD$8:$BD$1007,0)),""))</f>
        <v/>
      </c>
      <c r="D81" s="33">
        <f>IF($U81="","",COUNTIFS(매입원본!$AX$8:$AX$1007,INDEX($R$8:$R$207,$U81),매입원본!$BA$8:$BA$1007,"포함"))</f>
        <v/>
      </c>
      <c r="E81" s="33">
        <f>IF($U81="","",SUMIFS(매입원본!$AT$8:$AT$1007,매입원본!$AX$8:$AX$1007,INDEX($R$8:$R$207,$U81),매입원본!$BA$8:$BA$1007,"포함"))</f>
        <v/>
      </c>
      <c r="F81" s="33">
        <f>IF($U81="","",SUMIFS(매입원본!$AU$8:$AU$1007,매입원본!$AX$8:$AX$1007,INDEX($R$8:$R$207,$U81),매입원본!$BA$8:$BA$1007,"포함"))</f>
        <v/>
      </c>
      <c r="G81" s="33">
        <f>IF($U81="","",SUMIFS(매입원본!$AV$8:$AV$1007,매입원본!$AX$8:$AX$1007,INDEX($R$8:$R$207,$U81),매입원본!$BA$8:$BA$1007,"포함"))</f>
        <v/>
      </c>
      <c r="H81" s="34">
        <f>IF(OR($U81="",$E$7=0),"",E81/$E$7)</f>
        <v/>
      </c>
      <c r="I81" s="33">
        <f>IF(OR($U81="",0&gt;=설정!$B$12),"",SUMIFS(매입원본!$AT$8:$AT$1007,매입원본!$AX$8:$AX$1007,INDEX($R$8:$R$207,$U81),매입원본!$BA$8:$BA$1007,"포함",매입원본!$AS$8:$AS$1007,"&gt;="&amp;EDATE(설정!$B$10,0),매입원본!$AS$8:$AS$1007,"&lt;="&amp;EOMONTH(설정!$B$10,0)))</f>
        <v/>
      </c>
      <c r="J81" s="33">
        <f>IF(OR($U81="",1&gt;=설정!$B$12),"",SUMIFS(매입원본!$AT$8:$AT$1007,매입원본!$AX$8:$AX$1007,INDEX($R$8:$R$207,$U81),매입원본!$BA$8:$BA$1007,"포함",매입원본!$AS$8:$AS$1007,"&gt;="&amp;EDATE(설정!$B$10,1),매입원본!$AS$8:$AS$1007,"&lt;="&amp;EOMONTH(설정!$B$10,1)))</f>
        <v/>
      </c>
      <c r="K81" s="33">
        <f>IF(OR($U81="",2&gt;=설정!$B$12),"",SUMIFS(매입원본!$AT$8:$AT$1007,매입원본!$AX$8:$AX$1007,INDEX($R$8:$R$207,$U81),매입원본!$BA$8:$BA$1007,"포함",매입원본!$AS$8:$AS$1007,"&gt;="&amp;EDATE(설정!$B$10,2),매입원본!$AS$8:$AS$1007,"&lt;="&amp;EOMONTH(설정!$B$10,2)))</f>
        <v/>
      </c>
      <c r="L81" s="33">
        <f>IF(OR($U81="",3&gt;=설정!$B$12),"",SUMIFS(매입원본!$AT$8:$AT$1007,매입원본!$AX$8:$AX$1007,INDEX($R$8:$R$207,$U81),매입원본!$BA$8:$BA$1007,"포함",매입원본!$AS$8:$AS$1007,"&gt;="&amp;EDATE(설정!$B$10,3),매입원본!$AS$8:$AS$1007,"&lt;="&amp;EOMONTH(설정!$B$10,3)))</f>
        <v/>
      </c>
      <c r="M81" s="33">
        <f>IF(OR($U81="",4&gt;=설정!$B$12),"",SUMIFS(매입원본!$AT$8:$AT$1007,매입원본!$AX$8:$AX$1007,INDEX($R$8:$R$207,$U81),매입원본!$BA$8:$BA$1007,"포함",매입원본!$AS$8:$AS$1007,"&gt;="&amp;EDATE(설정!$B$10,4),매입원본!$AS$8:$AS$1007,"&lt;="&amp;EOMONTH(설정!$B$10,4)))</f>
        <v/>
      </c>
      <c r="N81" s="33">
        <f>IF(OR($U81="",5&gt;=설정!$B$12),"",SUMIFS(매입원본!$AT$8:$AT$1007,매입원본!$AX$8:$AX$1007,INDEX($R$8:$R$207,$U81),매입원본!$BA$8:$BA$1007,"포함",매입원본!$AS$8:$AS$1007,"&gt;="&amp;EDATE(설정!$B$10,5),매입원본!$AS$8:$AS$1007,"&lt;="&amp;EOMONTH(설정!$B$10,5)))</f>
        <v/>
      </c>
      <c r="Q81" s="35" t="n">
        <v>74</v>
      </c>
      <c r="R81" s="35">
        <f>IFERROR(INDEX(매입원본!$AX$8:$AX$1007,MATCH($Q81,매입원본!$BD$8:$BD$1007,0)),"")</f>
        <v/>
      </c>
      <c r="S81" s="35">
        <f>IF($R81="","",SUMIFS(매입원본!$AT$8:$AT$1007,매입원본!$AX$8:$AX$1007,$R81,매입원본!$BA$8:$BA$1007,"포함"))</f>
        <v/>
      </c>
      <c r="T81" s="35">
        <f>IF($R81="","",$S81-$Q81/100000)</f>
        <v/>
      </c>
      <c r="U81" s="35">
        <f>IFERROR(MATCH(LARGE($T$8:$T$207,74),$T$8:$T$207,0),"")</f>
        <v/>
      </c>
    </row>
    <row r="82">
      <c r="A82" s="32">
        <f>IF($U82="","",75)</f>
        <v/>
      </c>
      <c r="B82" s="10">
        <f>IF($U82="","",IFERROR(INDEX(매입원본!$AZ$8:$AZ$1007,MATCH($U82,매입원본!$BD$8:$BD$1007,0)),""))</f>
        <v/>
      </c>
      <c r="C82" s="10">
        <f>IF($U82="","",IFERROR(INDEX(매입원본!$AY$8:$AY$1007,MATCH($U82,매입원본!$BD$8:$BD$1007,0)),""))</f>
        <v/>
      </c>
      <c r="D82" s="33">
        <f>IF($U82="","",COUNTIFS(매입원본!$AX$8:$AX$1007,INDEX($R$8:$R$207,$U82),매입원본!$BA$8:$BA$1007,"포함"))</f>
        <v/>
      </c>
      <c r="E82" s="33">
        <f>IF($U82="","",SUMIFS(매입원본!$AT$8:$AT$1007,매입원본!$AX$8:$AX$1007,INDEX($R$8:$R$207,$U82),매입원본!$BA$8:$BA$1007,"포함"))</f>
        <v/>
      </c>
      <c r="F82" s="33">
        <f>IF($U82="","",SUMIFS(매입원본!$AU$8:$AU$1007,매입원본!$AX$8:$AX$1007,INDEX($R$8:$R$207,$U82),매입원본!$BA$8:$BA$1007,"포함"))</f>
        <v/>
      </c>
      <c r="G82" s="33">
        <f>IF($U82="","",SUMIFS(매입원본!$AV$8:$AV$1007,매입원본!$AX$8:$AX$1007,INDEX($R$8:$R$207,$U82),매입원본!$BA$8:$BA$1007,"포함"))</f>
        <v/>
      </c>
      <c r="H82" s="34">
        <f>IF(OR($U82="",$E$7=0),"",E82/$E$7)</f>
        <v/>
      </c>
      <c r="I82" s="33">
        <f>IF(OR($U82="",0&gt;=설정!$B$12),"",SUMIFS(매입원본!$AT$8:$AT$1007,매입원본!$AX$8:$AX$1007,INDEX($R$8:$R$207,$U82),매입원본!$BA$8:$BA$1007,"포함",매입원본!$AS$8:$AS$1007,"&gt;="&amp;EDATE(설정!$B$10,0),매입원본!$AS$8:$AS$1007,"&lt;="&amp;EOMONTH(설정!$B$10,0)))</f>
        <v/>
      </c>
      <c r="J82" s="33">
        <f>IF(OR($U82="",1&gt;=설정!$B$12),"",SUMIFS(매입원본!$AT$8:$AT$1007,매입원본!$AX$8:$AX$1007,INDEX($R$8:$R$207,$U82),매입원본!$BA$8:$BA$1007,"포함",매입원본!$AS$8:$AS$1007,"&gt;="&amp;EDATE(설정!$B$10,1),매입원본!$AS$8:$AS$1007,"&lt;="&amp;EOMONTH(설정!$B$10,1)))</f>
        <v/>
      </c>
      <c r="K82" s="33">
        <f>IF(OR($U82="",2&gt;=설정!$B$12),"",SUMIFS(매입원본!$AT$8:$AT$1007,매입원본!$AX$8:$AX$1007,INDEX($R$8:$R$207,$U82),매입원본!$BA$8:$BA$1007,"포함",매입원본!$AS$8:$AS$1007,"&gt;="&amp;EDATE(설정!$B$10,2),매입원본!$AS$8:$AS$1007,"&lt;="&amp;EOMONTH(설정!$B$10,2)))</f>
        <v/>
      </c>
      <c r="L82" s="33">
        <f>IF(OR($U82="",3&gt;=설정!$B$12),"",SUMIFS(매입원본!$AT$8:$AT$1007,매입원본!$AX$8:$AX$1007,INDEX($R$8:$R$207,$U82),매입원본!$BA$8:$BA$1007,"포함",매입원본!$AS$8:$AS$1007,"&gt;="&amp;EDATE(설정!$B$10,3),매입원본!$AS$8:$AS$1007,"&lt;="&amp;EOMONTH(설정!$B$10,3)))</f>
        <v/>
      </c>
      <c r="M82" s="33">
        <f>IF(OR($U82="",4&gt;=설정!$B$12),"",SUMIFS(매입원본!$AT$8:$AT$1007,매입원본!$AX$8:$AX$1007,INDEX($R$8:$R$207,$U82),매입원본!$BA$8:$BA$1007,"포함",매입원본!$AS$8:$AS$1007,"&gt;="&amp;EDATE(설정!$B$10,4),매입원본!$AS$8:$AS$1007,"&lt;="&amp;EOMONTH(설정!$B$10,4)))</f>
        <v/>
      </c>
      <c r="N82" s="33">
        <f>IF(OR($U82="",5&gt;=설정!$B$12),"",SUMIFS(매입원본!$AT$8:$AT$1007,매입원본!$AX$8:$AX$1007,INDEX($R$8:$R$207,$U82),매입원본!$BA$8:$BA$1007,"포함",매입원본!$AS$8:$AS$1007,"&gt;="&amp;EDATE(설정!$B$10,5),매입원본!$AS$8:$AS$1007,"&lt;="&amp;EOMONTH(설정!$B$10,5)))</f>
        <v/>
      </c>
      <c r="Q82" s="35" t="n">
        <v>75</v>
      </c>
      <c r="R82" s="35">
        <f>IFERROR(INDEX(매입원본!$AX$8:$AX$1007,MATCH($Q82,매입원본!$BD$8:$BD$1007,0)),"")</f>
        <v/>
      </c>
      <c r="S82" s="35">
        <f>IF($R82="","",SUMIFS(매입원본!$AT$8:$AT$1007,매입원본!$AX$8:$AX$1007,$R82,매입원본!$BA$8:$BA$1007,"포함"))</f>
        <v/>
      </c>
      <c r="T82" s="35">
        <f>IF($R82="","",$S82-$Q82/100000)</f>
        <v/>
      </c>
      <c r="U82" s="35">
        <f>IFERROR(MATCH(LARGE($T$8:$T$207,75),$T$8:$T$207,0),"")</f>
        <v/>
      </c>
    </row>
    <row r="83">
      <c r="A83" s="32">
        <f>IF($U83="","",76)</f>
        <v/>
      </c>
      <c r="B83" s="10">
        <f>IF($U83="","",IFERROR(INDEX(매입원본!$AZ$8:$AZ$1007,MATCH($U83,매입원본!$BD$8:$BD$1007,0)),""))</f>
        <v/>
      </c>
      <c r="C83" s="10">
        <f>IF($U83="","",IFERROR(INDEX(매입원본!$AY$8:$AY$1007,MATCH($U83,매입원본!$BD$8:$BD$1007,0)),""))</f>
        <v/>
      </c>
      <c r="D83" s="33">
        <f>IF($U83="","",COUNTIFS(매입원본!$AX$8:$AX$1007,INDEX($R$8:$R$207,$U83),매입원본!$BA$8:$BA$1007,"포함"))</f>
        <v/>
      </c>
      <c r="E83" s="33">
        <f>IF($U83="","",SUMIFS(매입원본!$AT$8:$AT$1007,매입원본!$AX$8:$AX$1007,INDEX($R$8:$R$207,$U83),매입원본!$BA$8:$BA$1007,"포함"))</f>
        <v/>
      </c>
      <c r="F83" s="33">
        <f>IF($U83="","",SUMIFS(매입원본!$AU$8:$AU$1007,매입원본!$AX$8:$AX$1007,INDEX($R$8:$R$207,$U83),매입원본!$BA$8:$BA$1007,"포함"))</f>
        <v/>
      </c>
      <c r="G83" s="33">
        <f>IF($U83="","",SUMIFS(매입원본!$AV$8:$AV$1007,매입원본!$AX$8:$AX$1007,INDEX($R$8:$R$207,$U83),매입원본!$BA$8:$BA$1007,"포함"))</f>
        <v/>
      </c>
      <c r="H83" s="34">
        <f>IF(OR($U83="",$E$7=0),"",E83/$E$7)</f>
        <v/>
      </c>
      <c r="I83" s="33">
        <f>IF(OR($U83="",0&gt;=설정!$B$12),"",SUMIFS(매입원본!$AT$8:$AT$1007,매입원본!$AX$8:$AX$1007,INDEX($R$8:$R$207,$U83),매입원본!$BA$8:$BA$1007,"포함",매입원본!$AS$8:$AS$1007,"&gt;="&amp;EDATE(설정!$B$10,0),매입원본!$AS$8:$AS$1007,"&lt;="&amp;EOMONTH(설정!$B$10,0)))</f>
        <v/>
      </c>
      <c r="J83" s="33">
        <f>IF(OR($U83="",1&gt;=설정!$B$12),"",SUMIFS(매입원본!$AT$8:$AT$1007,매입원본!$AX$8:$AX$1007,INDEX($R$8:$R$207,$U83),매입원본!$BA$8:$BA$1007,"포함",매입원본!$AS$8:$AS$1007,"&gt;="&amp;EDATE(설정!$B$10,1),매입원본!$AS$8:$AS$1007,"&lt;="&amp;EOMONTH(설정!$B$10,1)))</f>
        <v/>
      </c>
      <c r="K83" s="33">
        <f>IF(OR($U83="",2&gt;=설정!$B$12),"",SUMIFS(매입원본!$AT$8:$AT$1007,매입원본!$AX$8:$AX$1007,INDEX($R$8:$R$207,$U83),매입원본!$BA$8:$BA$1007,"포함",매입원본!$AS$8:$AS$1007,"&gt;="&amp;EDATE(설정!$B$10,2),매입원본!$AS$8:$AS$1007,"&lt;="&amp;EOMONTH(설정!$B$10,2)))</f>
        <v/>
      </c>
      <c r="L83" s="33">
        <f>IF(OR($U83="",3&gt;=설정!$B$12),"",SUMIFS(매입원본!$AT$8:$AT$1007,매입원본!$AX$8:$AX$1007,INDEX($R$8:$R$207,$U83),매입원본!$BA$8:$BA$1007,"포함",매입원본!$AS$8:$AS$1007,"&gt;="&amp;EDATE(설정!$B$10,3),매입원본!$AS$8:$AS$1007,"&lt;="&amp;EOMONTH(설정!$B$10,3)))</f>
        <v/>
      </c>
      <c r="M83" s="33">
        <f>IF(OR($U83="",4&gt;=설정!$B$12),"",SUMIFS(매입원본!$AT$8:$AT$1007,매입원본!$AX$8:$AX$1007,INDEX($R$8:$R$207,$U83),매입원본!$BA$8:$BA$1007,"포함",매입원본!$AS$8:$AS$1007,"&gt;="&amp;EDATE(설정!$B$10,4),매입원본!$AS$8:$AS$1007,"&lt;="&amp;EOMONTH(설정!$B$10,4)))</f>
        <v/>
      </c>
      <c r="N83" s="33">
        <f>IF(OR($U83="",5&gt;=설정!$B$12),"",SUMIFS(매입원본!$AT$8:$AT$1007,매입원본!$AX$8:$AX$1007,INDEX($R$8:$R$207,$U83),매입원본!$BA$8:$BA$1007,"포함",매입원본!$AS$8:$AS$1007,"&gt;="&amp;EDATE(설정!$B$10,5),매입원본!$AS$8:$AS$1007,"&lt;="&amp;EOMONTH(설정!$B$10,5)))</f>
        <v/>
      </c>
      <c r="Q83" s="35" t="n">
        <v>76</v>
      </c>
      <c r="R83" s="35">
        <f>IFERROR(INDEX(매입원본!$AX$8:$AX$1007,MATCH($Q83,매입원본!$BD$8:$BD$1007,0)),"")</f>
        <v/>
      </c>
      <c r="S83" s="35">
        <f>IF($R83="","",SUMIFS(매입원본!$AT$8:$AT$1007,매입원본!$AX$8:$AX$1007,$R83,매입원본!$BA$8:$BA$1007,"포함"))</f>
        <v/>
      </c>
      <c r="T83" s="35">
        <f>IF($R83="","",$S83-$Q83/100000)</f>
        <v/>
      </c>
      <c r="U83" s="35">
        <f>IFERROR(MATCH(LARGE($T$8:$T$207,76),$T$8:$T$207,0),"")</f>
        <v/>
      </c>
    </row>
    <row r="84">
      <c r="A84" s="32">
        <f>IF($U84="","",77)</f>
        <v/>
      </c>
      <c r="B84" s="10">
        <f>IF($U84="","",IFERROR(INDEX(매입원본!$AZ$8:$AZ$1007,MATCH($U84,매입원본!$BD$8:$BD$1007,0)),""))</f>
        <v/>
      </c>
      <c r="C84" s="10">
        <f>IF($U84="","",IFERROR(INDEX(매입원본!$AY$8:$AY$1007,MATCH($U84,매입원본!$BD$8:$BD$1007,0)),""))</f>
        <v/>
      </c>
      <c r="D84" s="33">
        <f>IF($U84="","",COUNTIFS(매입원본!$AX$8:$AX$1007,INDEX($R$8:$R$207,$U84),매입원본!$BA$8:$BA$1007,"포함"))</f>
        <v/>
      </c>
      <c r="E84" s="33">
        <f>IF($U84="","",SUMIFS(매입원본!$AT$8:$AT$1007,매입원본!$AX$8:$AX$1007,INDEX($R$8:$R$207,$U84),매입원본!$BA$8:$BA$1007,"포함"))</f>
        <v/>
      </c>
      <c r="F84" s="33">
        <f>IF($U84="","",SUMIFS(매입원본!$AU$8:$AU$1007,매입원본!$AX$8:$AX$1007,INDEX($R$8:$R$207,$U84),매입원본!$BA$8:$BA$1007,"포함"))</f>
        <v/>
      </c>
      <c r="G84" s="33">
        <f>IF($U84="","",SUMIFS(매입원본!$AV$8:$AV$1007,매입원본!$AX$8:$AX$1007,INDEX($R$8:$R$207,$U84),매입원본!$BA$8:$BA$1007,"포함"))</f>
        <v/>
      </c>
      <c r="H84" s="34">
        <f>IF(OR($U84="",$E$7=0),"",E84/$E$7)</f>
        <v/>
      </c>
      <c r="I84" s="33">
        <f>IF(OR($U84="",0&gt;=설정!$B$12),"",SUMIFS(매입원본!$AT$8:$AT$1007,매입원본!$AX$8:$AX$1007,INDEX($R$8:$R$207,$U84),매입원본!$BA$8:$BA$1007,"포함",매입원본!$AS$8:$AS$1007,"&gt;="&amp;EDATE(설정!$B$10,0),매입원본!$AS$8:$AS$1007,"&lt;="&amp;EOMONTH(설정!$B$10,0)))</f>
        <v/>
      </c>
      <c r="J84" s="33">
        <f>IF(OR($U84="",1&gt;=설정!$B$12),"",SUMIFS(매입원본!$AT$8:$AT$1007,매입원본!$AX$8:$AX$1007,INDEX($R$8:$R$207,$U84),매입원본!$BA$8:$BA$1007,"포함",매입원본!$AS$8:$AS$1007,"&gt;="&amp;EDATE(설정!$B$10,1),매입원본!$AS$8:$AS$1007,"&lt;="&amp;EOMONTH(설정!$B$10,1)))</f>
        <v/>
      </c>
      <c r="K84" s="33">
        <f>IF(OR($U84="",2&gt;=설정!$B$12),"",SUMIFS(매입원본!$AT$8:$AT$1007,매입원본!$AX$8:$AX$1007,INDEX($R$8:$R$207,$U84),매입원본!$BA$8:$BA$1007,"포함",매입원본!$AS$8:$AS$1007,"&gt;="&amp;EDATE(설정!$B$10,2),매입원본!$AS$8:$AS$1007,"&lt;="&amp;EOMONTH(설정!$B$10,2)))</f>
        <v/>
      </c>
      <c r="L84" s="33">
        <f>IF(OR($U84="",3&gt;=설정!$B$12),"",SUMIFS(매입원본!$AT$8:$AT$1007,매입원본!$AX$8:$AX$1007,INDEX($R$8:$R$207,$U84),매입원본!$BA$8:$BA$1007,"포함",매입원본!$AS$8:$AS$1007,"&gt;="&amp;EDATE(설정!$B$10,3),매입원본!$AS$8:$AS$1007,"&lt;="&amp;EOMONTH(설정!$B$10,3)))</f>
        <v/>
      </c>
      <c r="M84" s="33">
        <f>IF(OR($U84="",4&gt;=설정!$B$12),"",SUMIFS(매입원본!$AT$8:$AT$1007,매입원본!$AX$8:$AX$1007,INDEX($R$8:$R$207,$U84),매입원본!$BA$8:$BA$1007,"포함",매입원본!$AS$8:$AS$1007,"&gt;="&amp;EDATE(설정!$B$10,4),매입원본!$AS$8:$AS$1007,"&lt;="&amp;EOMONTH(설정!$B$10,4)))</f>
        <v/>
      </c>
      <c r="N84" s="33">
        <f>IF(OR($U84="",5&gt;=설정!$B$12),"",SUMIFS(매입원본!$AT$8:$AT$1007,매입원본!$AX$8:$AX$1007,INDEX($R$8:$R$207,$U84),매입원본!$BA$8:$BA$1007,"포함",매입원본!$AS$8:$AS$1007,"&gt;="&amp;EDATE(설정!$B$10,5),매입원본!$AS$8:$AS$1007,"&lt;="&amp;EOMONTH(설정!$B$10,5)))</f>
        <v/>
      </c>
      <c r="Q84" s="35" t="n">
        <v>77</v>
      </c>
      <c r="R84" s="35">
        <f>IFERROR(INDEX(매입원본!$AX$8:$AX$1007,MATCH($Q84,매입원본!$BD$8:$BD$1007,0)),"")</f>
        <v/>
      </c>
      <c r="S84" s="35">
        <f>IF($R84="","",SUMIFS(매입원본!$AT$8:$AT$1007,매입원본!$AX$8:$AX$1007,$R84,매입원본!$BA$8:$BA$1007,"포함"))</f>
        <v/>
      </c>
      <c r="T84" s="35">
        <f>IF($R84="","",$S84-$Q84/100000)</f>
        <v/>
      </c>
      <c r="U84" s="35">
        <f>IFERROR(MATCH(LARGE($T$8:$T$207,77),$T$8:$T$207,0),"")</f>
        <v/>
      </c>
    </row>
    <row r="85">
      <c r="A85" s="32">
        <f>IF($U85="","",78)</f>
        <v/>
      </c>
      <c r="B85" s="10">
        <f>IF($U85="","",IFERROR(INDEX(매입원본!$AZ$8:$AZ$1007,MATCH($U85,매입원본!$BD$8:$BD$1007,0)),""))</f>
        <v/>
      </c>
      <c r="C85" s="10">
        <f>IF($U85="","",IFERROR(INDEX(매입원본!$AY$8:$AY$1007,MATCH($U85,매입원본!$BD$8:$BD$1007,0)),""))</f>
        <v/>
      </c>
      <c r="D85" s="33">
        <f>IF($U85="","",COUNTIFS(매입원본!$AX$8:$AX$1007,INDEX($R$8:$R$207,$U85),매입원본!$BA$8:$BA$1007,"포함"))</f>
        <v/>
      </c>
      <c r="E85" s="33">
        <f>IF($U85="","",SUMIFS(매입원본!$AT$8:$AT$1007,매입원본!$AX$8:$AX$1007,INDEX($R$8:$R$207,$U85),매입원본!$BA$8:$BA$1007,"포함"))</f>
        <v/>
      </c>
      <c r="F85" s="33">
        <f>IF($U85="","",SUMIFS(매입원본!$AU$8:$AU$1007,매입원본!$AX$8:$AX$1007,INDEX($R$8:$R$207,$U85),매입원본!$BA$8:$BA$1007,"포함"))</f>
        <v/>
      </c>
      <c r="G85" s="33">
        <f>IF($U85="","",SUMIFS(매입원본!$AV$8:$AV$1007,매입원본!$AX$8:$AX$1007,INDEX($R$8:$R$207,$U85),매입원본!$BA$8:$BA$1007,"포함"))</f>
        <v/>
      </c>
      <c r="H85" s="34">
        <f>IF(OR($U85="",$E$7=0),"",E85/$E$7)</f>
        <v/>
      </c>
      <c r="I85" s="33">
        <f>IF(OR($U85="",0&gt;=설정!$B$12),"",SUMIFS(매입원본!$AT$8:$AT$1007,매입원본!$AX$8:$AX$1007,INDEX($R$8:$R$207,$U85),매입원본!$BA$8:$BA$1007,"포함",매입원본!$AS$8:$AS$1007,"&gt;="&amp;EDATE(설정!$B$10,0),매입원본!$AS$8:$AS$1007,"&lt;="&amp;EOMONTH(설정!$B$10,0)))</f>
        <v/>
      </c>
      <c r="J85" s="33">
        <f>IF(OR($U85="",1&gt;=설정!$B$12),"",SUMIFS(매입원본!$AT$8:$AT$1007,매입원본!$AX$8:$AX$1007,INDEX($R$8:$R$207,$U85),매입원본!$BA$8:$BA$1007,"포함",매입원본!$AS$8:$AS$1007,"&gt;="&amp;EDATE(설정!$B$10,1),매입원본!$AS$8:$AS$1007,"&lt;="&amp;EOMONTH(설정!$B$10,1)))</f>
        <v/>
      </c>
      <c r="K85" s="33">
        <f>IF(OR($U85="",2&gt;=설정!$B$12),"",SUMIFS(매입원본!$AT$8:$AT$1007,매입원본!$AX$8:$AX$1007,INDEX($R$8:$R$207,$U85),매입원본!$BA$8:$BA$1007,"포함",매입원본!$AS$8:$AS$1007,"&gt;="&amp;EDATE(설정!$B$10,2),매입원본!$AS$8:$AS$1007,"&lt;="&amp;EOMONTH(설정!$B$10,2)))</f>
        <v/>
      </c>
      <c r="L85" s="33">
        <f>IF(OR($U85="",3&gt;=설정!$B$12),"",SUMIFS(매입원본!$AT$8:$AT$1007,매입원본!$AX$8:$AX$1007,INDEX($R$8:$R$207,$U85),매입원본!$BA$8:$BA$1007,"포함",매입원본!$AS$8:$AS$1007,"&gt;="&amp;EDATE(설정!$B$10,3),매입원본!$AS$8:$AS$1007,"&lt;="&amp;EOMONTH(설정!$B$10,3)))</f>
        <v/>
      </c>
      <c r="M85" s="33">
        <f>IF(OR($U85="",4&gt;=설정!$B$12),"",SUMIFS(매입원본!$AT$8:$AT$1007,매입원본!$AX$8:$AX$1007,INDEX($R$8:$R$207,$U85),매입원본!$BA$8:$BA$1007,"포함",매입원본!$AS$8:$AS$1007,"&gt;="&amp;EDATE(설정!$B$10,4),매입원본!$AS$8:$AS$1007,"&lt;="&amp;EOMONTH(설정!$B$10,4)))</f>
        <v/>
      </c>
      <c r="N85" s="33">
        <f>IF(OR($U85="",5&gt;=설정!$B$12),"",SUMIFS(매입원본!$AT$8:$AT$1007,매입원본!$AX$8:$AX$1007,INDEX($R$8:$R$207,$U85),매입원본!$BA$8:$BA$1007,"포함",매입원본!$AS$8:$AS$1007,"&gt;="&amp;EDATE(설정!$B$10,5),매입원본!$AS$8:$AS$1007,"&lt;="&amp;EOMONTH(설정!$B$10,5)))</f>
        <v/>
      </c>
      <c r="Q85" s="35" t="n">
        <v>78</v>
      </c>
      <c r="R85" s="35">
        <f>IFERROR(INDEX(매입원본!$AX$8:$AX$1007,MATCH($Q85,매입원본!$BD$8:$BD$1007,0)),"")</f>
        <v/>
      </c>
      <c r="S85" s="35">
        <f>IF($R85="","",SUMIFS(매입원본!$AT$8:$AT$1007,매입원본!$AX$8:$AX$1007,$R85,매입원본!$BA$8:$BA$1007,"포함"))</f>
        <v/>
      </c>
      <c r="T85" s="35">
        <f>IF($R85="","",$S85-$Q85/100000)</f>
        <v/>
      </c>
      <c r="U85" s="35">
        <f>IFERROR(MATCH(LARGE($T$8:$T$207,78),$T$8:$T$207,0),"")</f>
        <v/>
      </c>
    </row>
    <row r="86">
      <c r="A86" s="32">
        <f>IF($U86="","",79)</f>
        <v/>
      </c>
      <c r="B86" s="10">
        <f>IF($U86="","",IFERROR(INDEX(매입원본!$AZ$8:$AZ$1007,MATCH($U86,매입원본!$BD$8:$BD$1007,0)),""))</f>
        <v/>
      </c>
      <c r="C86" s="10">
        <f>IF($U86="","",IFERROR(INDEX(매입원본!$AY$8:$AY$1007,MATCH($U86,매입원본!$BD$8:$BD$1007,0)),""))</f>
        <v/>
      </c>
      <c r="D86" s="33">
        <f>IF($U86="","",COUNTIFS(매입원본!$AX$8:$AX$1007,INDEX($R$8:$R$207,$U86),매입원본!$BA$8:$BA$1007,"포함"))</f>
        <v/>
      </c>
      <c r="E86" s="33">
        <f>IF($U86="","",SUMIFS(매입원본!$AT$8:$AT$1007,매입원본!$AX$8:$AX$1007,INDEX($R$8:$R$207,$U86),매입원본!$BA$8:$BA$1007,"포함"))</f>
        <v/>
      </c>
      <c r="F86" s="33">
        <f>IF($U86="","",SUMIFS(매입원본!$AU$8:$AU$1007,매입원본!$AX$8:$AX$1007,INDEX($R$8:$R$207,$U86),매입원본!$BA$8:$BA$1007,"포함"))</f>
        <v/>
      </c>
      <c r="G86" s="33">
        <f>IF($U86="","",SUMIFS(매입원본!$AV$8:$AV$1007,매입원본!$AX$8:$AX$1007,INDEX($R$8:$R$207,$U86),매입원본!$BA$8:$BA$1007,"포함"))</f>
        <v/>
      </c>
      <c r="H86" s="34">
        <f>IF(OR($U86="",$E$7=0),"",E86/$E$7)</f>
        <v/>
      </c>
      <c r="I86" s="33">
        <f>IF(OR($U86="",0&gt;=설정!$B$12),"",SUMIFS(매입원본!$AT$8:$AT$1007,매입원본!$AX$8:$AX$1007,INDEX($R$8:$R$207,$U86),매입원본!$BA$8:$BA$1007,"포함",매입원본!$AS$8:$AS$1007,"&gt;="&amp;EDATE(설정!$B$10,0),매입원본!$AS$8:$AS$1007,"&lt;="&amp;EOMONTH(설정!$B$10,0)))</f>
        <v/>
      </c>
      <c r="J86" s="33">
        <f>IF(OR($U86="",1&gt;=설정!$B$12),"",SUMIFS(매입원본!$AT$8:$AT$1007,매입원본!$AX$8:$AX$1007,INDEX($R$8:$R$207,$U86),매입원본!$BA$8:$BA$1007,"포함",매입원본!$AS$8:$AS$1007,"&gt;="&amp;EDATE(설정!$B$10,1),매입원본!$AS$8:$AS$1007,"&lt;="&amp;EOMONTH(설정!$B$10,1)))</f>
        <v/>
      </c>
      <c r="K86" s="33">
        <f>IF(OR($U86="",2&gt;=설정!$B$12),"",SUMIFS(매입원본!$AT$8:$AT$1007,매입원본!$AX$8:$AX$1007,INDEX($R$8:$R$207,$U86),매입원본!$BA$8:$BA$1007,"포함",매입원본!$AS$8:$AS$1007,"&gt;="&amp;EDATE(설정!$B$10,2),매입원본!$AS$8:$AS$1007,"&lt;="&amp;EOMONTH(설정!$B$10,2)))</f>
        <v/>
      </c>
      <c r="L86" s="33">
        <f>IF(OR($U86="",3&gt;=설정!$B$12),"",SUMIFS(매입원본!$AT$8:$AT$1007,매입원본!$AX$8:$AX$1007,INDEX($R$8:$R$207,$U86),매입원본!$BA$8:$BA$1007,"포함",매입원본!$AS$8:$AS$1007,"&gt;="&amp;EDATE(설정!$B$10,3),매입원본!$AS$8:$AS$1007,"&lt;="&amp;EOMONTH(설정!$B$10,3)))</f>
        <v/>
      </c>
      <c r="M86" s="33">
        <f>IF(OR($U86="",4&gt;=설정!$B$12),"",SUMIFS(매입원본!$AT$8:$AT$1007,매입원본!$AX$8:$AX$1007,INDEX($R$8:$R$207,$U86),매입원본!$BA$8:$BA$1007,"포함",매입원본!$AS$8:$AS$1007,"&gt;="&amp;EDATE(설정!$B$10,4),매입원본!$AS$8:$AS$1007,"&lt;="&amp;EOMONTH(설정!$B$10,4)))</f>
        <v/>
      </c>
      <c r="N86" s="33">
        <f>IF(OR($U86="",5&gt;=설정!$B$12),"",SUMIFS(매입원본!$AT$8:$AT$1007,매입원본!$AX$8:$AX$1007,INDEX($R$8:$R$207,$U86),매입원본!$BA$8:$BA$1007,"포함",매입원본!$AS$8:$AS$1007,"&gt;="&amp;EDATE(설정!$B$10,5),매입원본!$AS$8:$AS$1007,"&lt;="&amp;EOMONTH(설정!$B$10,5)))</f>
        <v/>
      </c>
      <c r="Q86" s="35" t="n">
        <v>79</v>
      </c>
      <c r="R86" s="35">
        <f>IFERROR(INDEX(매입원본!$AX$8:$AX$1007,MATCH($Q86,매입원본!$BD$8:$BD$1007,0)),"")</f>
        <v/>
      </c>
      <c r="S86" s="35">
        <f>IF($R86="","",SUMIFS(매입원본!$AT$8:$AT$1007,매입원본!$AX$8:$AX$1007,$R86,매입원본!$BA$8:$BA$1007,"포함"))</f>
        <v/>
      </c>
      <c r="T86" s="35">
        <f>IF($R86="","",$S86-$Q86/100000)</f>
        <v/>
      </c>
      <c r="U86" s="35">
        <f>IFERROR(MATCH(LARGE($T$8:$T$207,79),$T$8:$T$207,0),"")</f>
        <v/>
      </c>
    </row>
    <row r="87">
      <c r="A87" s="32">
        <f>IF($U87="","",80)</f>
        <v/>
      </c>
      <c r="B87" s="10">
        <f>IF($U87="","",IFERROR(INDEX(매입원본!$AZ$8:$AZ$1007,MATCH($U87,매입원본!$BD$8:$BD$1007,0)),""))</f>
        <v/>
      </c>
      <c r="C87" s="10">
        <f>IF($U87="","",IFERROR(INDEX(매입원본!$AY$8:$AY$1007,MATCH($U87,매입원본!$BD$8:$BD$1007,0)),""))</f>
        <v/>
      </c>
      <c r="D87" s="33">
        <f>IF($U87="","",COUNTIFS(매입원본!$AX$8:$AX$1007,INDEX($R$8:$R$207,$U87),매입원본!$BA$8:$BA$1007,"포함"))</f>
        <v/>
      </c>
      <c r="E87" s="33">
        <f>IF($U87="","",SUMIFS(매입원본!$AT$8:$AT$1007,매입원본!$AX$8:$AX$1007,INDEX($R$8:$R$207,$U87),매입원본!$BA$8:$BA$1007,"포함"))</f>
        <v/>
      </c>
      <c r="F87" s="33">
        <f>IF($U87="","",SUMIFS(매입원본!$AU$8:$AU$1007,매입원본!$AX$8:$AX$1007,INDEX($R$8:$R$207,$U87),매입원본!$BA$8:$BA$1007,"포함"))</f>
        <v/>
      </c>
      <c r="G87" s="33">
        <f>IF($U87="","",SUMIFS(매입원본!$AV$8:$AV$1007,매입원본!$AX$8:$AX$1007,INDEX($R$8:$R$207,$U87),매입원본!$BA$8:$BA$1007,"포함"))</f>
        <v/>
      </c>
      <c r="H87" s="34">
        <f>IF(OR($U87="",$E$7=0),"",E87/$E$7)</f>
        <v/>
      </c>
      <c r="I87" s="33">
        <f>IF(OR($U87="",0&gt;=설정!$B$12),"",SUMIFS(매입원본!$AT$8:$AT$1007,매입원본!$AX$8:$AX$1007,INDEX($R$8:$R$207,$U87),매입원본!$BA$8:$BA$1007,"포함",매입원본!$AS$8:$AS$1007,"&gt;="&amp;EDATE(설정!$B$10,0),매입원본!$AS$8:$AS$1007,"&lt;="&amp;EOMONTH(설정!$B$10,0)))</f>
        <v/>
      </c>
      <c r="J87" s="33">
        <f>IF(OR($U87="",1&gt;=설정!$B$12),"",SUMIFS(매입원본!$AT$8:$AT$1007,매입원본!$AX$8:$AX$1007,INDEX($R$8:$R$207,$U87),매입원본!$BA$8:$BA$1007,"포함",매입원본!$AS$8:$AS$1007,"&gt;="&amp;EDATE(설정!$B$10,1),매입원본!$AS$8:$AS$1007,"&lt;="&amp;EOMONTH(설정!$B$10,1)))</f>
        <v/>
      </c>
      <c r="K87" s="33">
        <f>IF(OR($U87="",2&gt;=설정!$B$12),"",SUMIFS(매입원본!$AT$8:$AT$1007,매입원본!$AX$8:$AX$1007,INDEX($R$8:$R$207,$U87),매입원본!$BA$8:$BA$1007,"포함",매입원본!$AS$8:$AS$1007,"&gt;="&amp;EDATE(설정!$B$10,2),매입원본!$AS$8:$AS$1007,"&lt;="&amp;EOMONTH(설정!$B$10,2)))</f>
        <v/>
      </c>
      <c r="L87" s="33">
        <f>IF(OR($U87="",3&gt;=설정!$B$12),"",SUMIFS(매입원본!$AT$8:$AT$1007,매입원본!$AX$8:$AX$1007,INDEX($R$8:$R$207,$U87),매입원본!$BA$8:$BA$1007,"포함",매입원본!$AS$8:$AS$1007,"&gt;="&amp;EDATE(설정!$B$10,3),매입원본!$AS$8:$AS$1007,"&lt;="&amp;EOMONTH(설정!$B$10,3)))</f>
        <v/>
      </c>
      <c r="M87" s="33">
        <f>IF(OR($U87="",4&gt;=설정!$B$12),"",SUMIFS(매입원본!$AT$8:$AT$1007,매입원본!$AX$8:$AX$1007,INDEX($R$8:$R$207,$U87),매입원본!$BA$8:$BA$1007,"포함",매입원본!$AS$8:$AS$1007,"&gt;="&amp;EDATE(설정!$B$10,4),매입원본!$AS$8:$AS$1007,"&lt;="&amp;EOMONTH(설정!$B$10,4)))</f>
        <v/>
      </c>
      <c r="N87" s="33">
        <f>IF(OR($U87="",5&gt;=설정!$B$12),"",SUMIFS(매입원본!$AT$8:$AT$1007,매입원본!$AX$8:$AX$1007,INDEX($R$8:$R$207,$U87),매입원본!$BA$8:$BA$1007,"포함",매입원본!$AS$8:$AS$1007,"&gt;="&amp;EDATE(설정!$B$10,5),매입원본!$AS$8:$AS$1007,"&lt;="&amp;EOMONTH(설정!$B$10,5)))</f>
        <v/>
      </c>
      <c r="Q87" s="35" t="n">
        <v>80</v>
      </c>
      <c r="R87" s="35">
        <f>IFERROR(INDEX(매입원본!$AX$8:$AX$1007,MATCH($Q87,매입원본!$BD$8:$BD$1007,0)),"")</f>
        <v/>
      </c>
      <c r="S87" s="35">
        <f>IF($R87="","",SUMIFS(매입원본!$AT$8:$AT$1007,매입원본!$AX$8:$AX$1007,$R87,매입원본!$BA$8:$BA$1007,"포함"))</f>
        <v/>
      </c>
      <c r="T87" s="35">
        <f>IF($R87="","",$S87-$Q87/100000)</f>
        <v/>
      </c>
      <c r="U87" s="35">
        <f>IFERROR(MATCH(LARGE($T$8:$T$207,80),$T$8:$T$207,0),"")</f>
        <v/>
      </c>
    </row>
    <row r="88">
      <c r="A88" s="32">
        <f>IF($U88="","",81)</f>
        <v/>
      </c>
      <c r="B88" s="10">
        <f>IF($U88="","",IFERROR(INDEX(매입원본!$AZ$8:$AZ$1007,MATCH($U88,매입원본!$BD$8:$BD$1007,0)),""))</f>
        <v/>
      </c>
      <c r="C88" s="10">
        <f>IF($U88="","",IFERROR(INDEX(매입원본!$AY$8:$AY$1007,MATCH($U88,매입원본!$BD$8:$BD$1007,0)),""))</f>
        <v/>
      </c>
      <c r="D88" s="33">
        <f>IF($U88="","",COUNTIFS(매입원본!$AX$8:$AX$1007,INDEX($R$8:$R$207,$U88),매입원본!$BA$8:$BA$1007,"포함"))</f>
        <v/>
      </c>
      <c r="E88" s="33">
        <f>IF($U88="","",SUMIFS(매입원본!$AT$8:$AT$1007,매입원본!$AX$8:$AX$1007,INDEX($R$8:$R$207,$U88),매입원본!$BA$8:$BA$1007,"포함"))</f>
        <v/>
      </c>
      <c r="F88" s="33">
        <f>IF($U88="","",SUMIFS(매입원본!$AU$8:$AU$1007,매입원본!$AX$8:$AX$1007,INDEX($R$8:$R$207,$U88),매입원본!$BA$8:$BA$1007,"포함"))</f>
        <v/>
      </c>
      <c r="G88" s="33">
        <f>IF($U88="","",SUMIFS(매입원본!$AV$8:$AV$1007,매입원본!$AX$8:$AX$1007,INDEX($R$8:$R$207,$U88),매입원본!$BA$8:$BA$1007,"포함"))</f>
        <v/>
      </c>
      <c r="H88" s="34">
        <f>IF(OR($U88="",$E$7=0),"",E88/$E$7)</f>
        <v/>
      </c>
      <c r="I88" s="33">
        <f>IF(OR($U88="",0&gt;=설정!$B$12),"",SUMIFS(매입원본!$AT$8:$AT$1007,매입원본!$AX$8:$AX$1007,INDEX($R$8:$R$207,$U88),매입원본!$BA$8:$BA$1007,"포함",매입원본!$AS$8:$AS$1007,"&gt;="&amp;EDATE(설정!$B$10,0),매입원본!$AS$8:$AS$1007,"&lt;="&amp;EOMONTH(설정!$B$10,0)))</f>
        <v/>
      </c>
      <c r="J88" s="33">
        <f>IF(OR($U88="",1&gt;=설정!$B$12),"",SUMIFS(매입원본!$AT$8:$AT$1007,매입원본!$AX$8:$AX$1007,INDEX($R$8:$R$207,$U88),매입원본!$BA$8:$BA$1007,"포함",매입원본!$AS$8:$AS$1007,"&gt;="&amp;EDATE(설정!$B$10,1),매입원본!$AS$8:$AS$1007,"&lt;="&amp;EOMONTH(설정!$B$10,1)))</f>
        <v/>
      </c>
      <c r="K88" s="33">
        <f>IF(OR($U88="",2&gt;=설정!$B$12),"",SUMIFS(매입원본!$AT$8:$AT$1007,매입원본!$AX$8:$AX$1007,INDEX($R$8:$R$207,$U88),매입원본!$BA$8:$BA$1007,"포함",매입원본!$AS$8:$AS$1007,"&gt;="&amp;EDATE(설정!$B$10,2),매입원본!$AS$8:$AS$1007,"&lt;="&amp;EOMONTH(설정!$B$10,2)))</f>
        <v/>
      </c>
      <c r="L88" s="33">
        <f>IF(OR($U88="",3&gt;=설정!$B$12),"",SUMIFS(매입원본!$AT$8:$AT$1007,매입원본!$AX$8:$AX$1007,INDEX($R$8:$R$207,$U88),매입원본!$BA$8:$BA$1007,"포함",매입원본!$AS$8:$AS$1007,"&gt;="&amp;EDATE(설정!$B$10,3),매입원본!$AS$8:$AS$1007,"&lt;="&amp;EOMONTH(설정!$B$10,3)))</f>
        <v/>
      </c>
      <c r="M88" s="33">
        <f>IF(OR($U88="",4&gt;=설정!$B$12),"",SUMIFS(매입원본!$AT$8:$AT$1007,매입원본!$AX$8:$AX$1007,INDEX($R$8:$R$207,$U88),매입원본!$BA$8:$BA$1007,"포함",매입원본!$AS$8:$AS$1007,"&gt;="&amp;EDATE(설정!$B$10,4),매입원본!$AS$8:$AS$1007,"&lt;="&amp;EOMONTH(설정!$B$10,4)))</f>
        <v/>
      </c>
      <c r="N88" s="33">
        <f>IF(OR($U88="",5&gt;=설정!$B$12),"",SUMIFS(매입원본!$AT$8:$AT$1007,매입원본!$AX$8:$AX$1007,INDEX($R$8:$R$207,$U88),매입원본!$BA$8:$BA$1007,"포함",매입원본!$AS$8:$AS$1007,"&gt;="&amp;EDATE(설정!$B$10,5),매입원본!$AS$8:$AS$1007,"&lt;="&amp;EOMONTH(설정!$B$10,5)))</f>
        <v/>
      </c>
      <c r="Q88" s="35" t="n">
        <v>81</v>
      </c>
      <c r="R88" s="35">
        <f>IFERROR(INDEX(매입원본!$AX$8:$AX$1007,MATCH($Q88,매입원본!$BD$8:$BD$1007,0)),"")</f>
        <v/>
      </c>
      <c r="S88" s="35">
        <f>IF($R88="","",SUMIFS(매입원본!$AT$8:$AT$1007,매입원본!$AX$8:$AX$1007,$R88,매입원본!$BA$8:$BA$1007,"포함"))</f>
        <v/>
      </c>
      <c r="T88" s="35">
        <f>IF($R88="","",$S88-$Q88/100000)</f>
        <v/>
      </c>
      <c r="U88" s="35">
        <f>IFERROR(MATCH(LARGE($T$8:$T$207,81),$T$8:$T$207,0),"")</f>
        <v/>
      </c>
    </row>
    <row r="89">
      <c r="A89" s="32">
        <f>IF($U89="","",82)</f>
        <v/>
      </c>
      <c r="B89" s="10">
        <f>IF($U89="","",IFERROR(INDEX(매입원본!$AZ$8:$AZ$1007,MATCH($U89,매입원본!$BD$8:$BD$1007,0)),""))</f>
        <v/>
      </c>
      <c r="C89" s="10">
        <f>IF($U89="","",IFERROR(INDEX(매입원본!$AY$8:$AY$1007,MATCH($U89,매입원본!$BD$8:$BD$1007,0)),""))</f>
        <v/>
      </c>
      <c r="D89" s="33">
        <f>IF($U89="","",COUNTIFS(매입원본!$AX$8:$AX$1007,INDEX($R$8:$R$207,$U89),매입원본!$BA$8:$BA$1007,"포함"))</f>
        <v/>
      </c>
      <c r="E89" s="33">
        <f>IF($U89="","",SUMIFS(매입원본!$AT$8:$AT$1007,매입원본!$AX$8:$AX$1007,INDEX($R$8:$R$207,$U89),매입원본!$BA$8:$BA$1007,"포함"))</f>
        <v/>
      </c>
      <c r="F89" s="33">
        <f>IF($U89="","",SUMIFS(매입원본!$AU$8:$AU$1007,매입원본!$AX$8:$AX$1007,INDEX($R$8:$R$207,$U89),매입원본!$BA$8:$BA$1007,"포함"))</f>
        <v/>
      </c>
      <c r="G89" s="33">
        <f>IF($U89="","",SUMIFS(매입원본!$AV$8:$AV$1007,매입원본!$AX$8:$AX$1007,INDEX($R$8:$R$207,$U89),매입원본!$BA$8:$BA$1007,"포함"))</f>
        <v/>
      </c>
      <c r="H89" s="34">
        <f>IF(OR($U89="",$E$7=0),"",E89/$E$7)</f>
        <v/>
      </c>
      <c r="I89" s="33">
        <f>IF(OR($U89="",0&gt;=설정!$B$12),"",SUMIFS(매입원본!$AT$8:$AT$1007,매입원본!$AX$8:$AX$1007,INDEX($R$8:$R$207,$U89),매입원본!$BA$8:$BA$1007,"포함",매입원본!$AS$8:$AS$1007,"&gt;="&amp;EDATE(설정!$B$10,0),매입원본!$AS$8:$AS$1007,"&lt;="&amp;EOMONTH(설정!$B$10,0)))</f>
        <v/>
      </c>
      <c r="J89" s="33">
        <f>IF(OR($U89="",1&gt;=설정!$B$12),"",SUMIFS(매입원본!$AT$8:$AT$1007,매입원본!$AX$8:$AX$1007,INDEX($R$8:$R$207,$U89),매입원본!$BA$8:$BA$1007,"포함",매입원본!$AS$8:$AS$1007,"&gt;="&amp;EDATE(설정!$B$10,1),매입원본!$AS$8:$AS$1007,"&lt;="&amp;EOMONTH(설정!$B$10,1)))</f>
        <v/>
      </c>
      <c r="K89" s="33">
        <f>IF(OR($U89="",2&gt;=설정!$B$12),"",SUMIFS(매입원본!$AT$8:$AT$1007,매입원본!$AX$8:$AX$1007,INDEX($R$8:$R$207,$U89),매입원본!$BA$8:$BA$1007,"포함",매입원본!$AS$8:$AS$1007,"&gt;="&amp;EDATE(설정!$B$10,2),매입원본!$AS$8:$AS$1007,"&lt;="&amp;EOMONTH(설정!$B$10,2)))</f>
        <v/>
      </c>
      <c r="L89" s="33">
        <f>IF(OR($U89="",3&gt;=설정!$B$12),"",SUMIFS(매입원본!$AT$8:$AT$1007,매입원본!$AX$8:$AX$1007,INDEX($R$8:$R$207,$U89),매입원본!$BA$8:$BA$1007,"포함",매입원본!$AS$8:$AS$1007,"&gt;="&amp;EDATE(설정!$B$10,3),매입원본!$AS$8:$AS$1007,"&lt;="&amp;EOMONTH(설정!$B$10,3)))</f>
        <v/>
      </c>
      <c r="M89" s="33">
        <f>IF(OR($U89="",4&gt;=설정!$B$12),"",SUMIFS(매입원본!$AT$8:$AT$1007,매입원본!$AX$8:$AX$1007,INDEX($R$8:$R$207,$U89),매입원본!$BA$8:$BA$1007,"포함",매입원본!$AS$8:$AS$1007,"&gt;="&amp;EDATE(설정!$B$10,4),매입원본!$AS$8:$AS$1007,"&lt;="&amp;EOMONTH(설정!$B$10,4)))</f>
        <v/>
      </c>
      <c r="N89" s="33">
        <f>IF(OR($U89="",5&gt;=설정!$B$12),"",SUMIFS(매입원본!$AT$8:$AT$1007,매입원본!$AX$8:$AX$1007,INDEX($R$8:$R$207,$U89),매입원본!$BA$8:$BA$1007,"포함",매입원본!$AS$8:$AS$1007,"&gt;="&amp;EDATE(설정!$B$10,5),매입원본!$AS$8:$AS$1007,"&lt;="&amp;EOMONTH(설정!$B$10,5)))</f>
        <v/>
      </c>
      <c r="Q89" s="35" t="n">
        <v>82</v>
      </c>
      <c r="R89" s="35">
        <f>IFERROR(INDEX(매입원본!$AX$8:$AX$1007,MATCH($Q89,매입원본!$BD$8:$BD$1007,0)),"")</f>
        <v/>
      </c>
      <c r="S89" s="35">
        <f>IF($R89="","",SUMIFS(매입원본!$AT$8:$AT$1007,매입원본!$AX$8:$AX$1007,$R89,매입원본!$BA$8:$BA$1007,"포함"))</f>
        <v/>
      </c>
      <c r="T89" s="35">
        <f>IF($R89="","",$S89-$Q89/100000)</f>
        <v/>
      </c>
      <c r="U89" s="35">
        <f>IFERROR(MATCH(LARGE($T$8:$T$207,82),$T$8:$T$207,0),"")</f>
        <v/>
      </c>
    </row>
    <row r="90">
      <c r="A90" s="32">
        <f>IF($U90="","",83)</f>
        <v/>
      </c>
      <c r="B90" s="10">
        <f>IF($U90="","",IFERROR(INDEX(매입원본!$AZ$8:$AZ$1007,MATCH($U90,매입원본!$BD$8:$BD$1007,0)),""))</f>
        <v/>
      </c>
      <c r="C90" s="10">
        <f>IF($U90="","",IFERROR(INDEX(매입원본!$AY$8:$AY$1007,MATCH($U90,매입원본!$BD$8:$BD$1007,0)),""))</f>
        <v/>
      </c>
      <c r="D90" s="33">
        <f>IF($U90="","",COUNTIFS(매입원본!$AX$8:$AX$1007,INDEX($R$8:$R$207,$U90),매입원본!$BA$8:$BA$1007,"포함"))</f>
        <v/>
      </c>
      <c r="E90" s="33">
        <f>IF($U90="","",SUMIFS(매입원본!$AT$8:$AT$1007,매입원본!$AX$8:$AX$1007,INDEX($R$8:$R$207,$U90),매입원본!$BA$8:$BA$1007,"포함"))</f>
        <v/>
      </c>
      <c r="F90" s="33">
        <f>IF($U90="","",SUMIFS(매입원본!$AU$8:$AU$1007,매입원본!$AX$8:$AX$1007,INDEX($R$8:$R$207,$U90),매입원본!$BA$8:$BA$1007,"포함"))</f>
        <v/>
      </c>
      <c r="G90" s="33">
        <f>IF($U90="","",SUMIFS(매입원본!$AV$8:$AV$1007,매입원본!$AX$8:$AX$1007,INDEX($R$8:$R$207,$U90),매입원본!$BA$8:$BA$1007,"포함"))</f>
        <v/>
      </c>
      <c r="H90" s="34">
        <f>IF(OR($U90="",$E$7=0),"",E90/$E$7)</f>
        <v/>
      </c>
      <c r="I90" s="33">
        <f>IF(OR($U90="",0&gt;=설정!$B$12),"",SUMIFS(매입원본!$AT$8:$AT$1007,매입원본!$AX$8:$AX$1007,INDEX($R$8:$R$207,$U90),매입원본!$BA$8:$BA$1007,"포함",매입원본!$AS$8:$AS$1007,"&gt;="&amp;EDATE(설정!$B$10,0),매입원본!$AS$8:$AS$1007,"&lt;="&amp;EOMONTH(설정!$B$10,0)))</f>
        <v/>
      </c>
      <c r="J90" s="33">
        <f>IF(OR($U90="",1&gt;=설정!$B$12),"",SUMIFS(매입원본!$AT$8:$AT$1007,매입원본!$AX$8:$AX$1007,INDEX($R$8:$R$207,$U90),매입원본!$BA$8:$BA$1007,"포함",매입원본!$AS$8:$AS$1007,"&gt;="&amp;EDATE(설정!$B$10,1),매입원본!$AS$8:$AS$1007,"&lt;="&amp;EOMONTH(설정!$B$10,1)))</f>
        <v/>
      </c>
      <c r="K90" s="33">
        <f>IF(OR($U90="",2&gt;=설정!$B$12),"",SUMIFS(매입원본!$AT$8:$AT$1007,매입원본!$AX$8:$AX$1007,INDEX($R$8:$R$207,$U90),매입원본!$BA$8:$BA$1007,"포함",매입원본!$AS$8:$AS$1007,"&gt;="&amp;EDATE(설정!$B$10,2),매입원본!$AS$8:$AS$1007,"&lt;="&amp;EOMONTH(설정!$B$10,2)))</f>
        <v/>
      </c>
      <c r="L90" s="33">
        <f>IF(OR($U90="",3&gt;=설정!$B$12),"",SUMIFS(매입원본!$AT$8:$AT$1007,매입원본!$AX$8:$AX$1007,INDEX($R$8:$R$207,$U90),매입원본!$BA$8:$BA$1007,"포함",매입원본!$AS$8:$AS$1007,"&gt;="&amp;EDATE(설정!$B$10,3),매입원본!$AS$8:$AS$1007,"&lt;="&amp;EOMONTH(설정!$B$10,3)))</f>
        <v/>
      </c>
      <c r="M90" s="33">
        <f>IF(OR($U90="",4&gt;=설정!$B$12),"",SUMIFS(매입원본!$AT$8:$AT$1007,매입원본!$AX$8:$AX$1007,INDEX($R$8:$R$207,$U90),매입원본!$BA$8:$BA$1007,"포함",매입원본!$AS$8:$AS$1007,"&gt;="&amp;EDATE(설정!$B$10,4),매입원본!$AS$8:$AS$1007,"&lt;="&amp;EOMONTH(설정!$B$10,4)))</f>
        <v/>
      </c>
      <c r="N90" s="33">
        <f>IF(OR($U90="",5&gt;=설정!$B$12),"",SUMIFS(매입원본!$AT$8:$AT$1007,매입원본!$AX$8:$AX$1007,INDEX($R$8:$R$207,$U90),매입원본!$BA$8:$BA$1007,"포함",매입원본!$AS$8:$AS$1007,"&gt;="&amp;EDATE(설정!$B$10,5),매입원본!$AS$8:$AS$1007,"&lt;="&amp;EOMONTH(설정!$B$10,5)))</f>
        <v/>
      </c>
      <c r="Q90" s="35" t="n">
        <v>83</v>
      </c>
      <c r="R90" s="35">
        <f>IFERROR(INDEX(매입원본!$AX$8:$AX$1007,MATCH($Q90,매입원본!$BD$8:$BD$1007,0)),"")</f>
        <v/>
      </c>
      <c r="S90" s="35">
        <f>IF($R90="","",SUMIFS(매입원본!$AT$8:$AT$1007,매입원본!$AX$8:$AX$1007,$R90,매입원본!$BA$8:$BA$1007,"포함"))</f>
        <v/>
      </c>
      <c r="T90" s="35">
        <f>IF($R90="","",$S90-$Q90/100000)</f>
        <v/>
      </c>
      <c r="U90" s="35">
        <f>IFERROR(MATCH(LARGE($T$8:$T$207,83),$T$8:$T$207,0),"")</f>
        <v/>
      </c>
    </row>
    <row r="91">
      <c r="A91" s="32">
        <f>IF($U91="","",84)</f>
        <v/>
      </c>
      <c r="B91" s="10">
        <f>IF($U91="","",IFERROR(INDEX(매입원본!$AZ$8:$AZ$1007,MATCH($U91,매입원본!$BD$8:$BD$1007,0)),""))</f>
        <v/>
      </c>
      <c r="C91" s="10">
        <f>IF($U91="","",IFERROR(INDEX(매입원본!$AY$8:$AY$1007,MATCH($U91,매입원본!$BD$8:$BD$1007,0)),""))</f>
        <v/>
      </c>
      <c r="D91" s="33">
        <f>IF($U91="","",COUNTIFS(매입원본!$AX$8:$AX$1007,INDEX($R$8:$R$207,$U91),매입원본!$BA$8:$BA$1007,"포함"))</f>
        <v/>
      </c>
      <c r="E91" s="33">
        <f>IF($U91="","",SUMIFS(매입원본!$AT$8:$AT$1007,매입원본!$AX$8:$AX$1007,INDEX($R$8:$R$207,$U91),매입원본!$BA$8:$BA$1007,"포함"))</f>
        <v/>
      </c>
      <c r="F91" s="33">
        <f>IF($U91="","",SUMIFS(매입원본!$AU$8:$AU$1007,매입원본!$AX$8:$AX$1007,INDEX($R$8:$R$207,$U91),매입원본!$BA$8:$BA$1007,"포함"))</f>
        <v/>
      </c>
      <c r="G91" s="33">
        <f>IF($U91="","",SUMIFS(매입원본!$AV$8:$AV$1007,매입원본!$AX$8:$AX$1007,INDEX($R$8:$R$207,$U91),매입원본!$BA$8:$BA$1007,"포함"))</f>
        <v/>
      </c>
      <c r="H91" s="34">
        <f>IF(OR($U91="",$E$7=0),"",E91/$E$7)</f>
        <v/>
      </c>
      <c r="I91" s="33">
        <f>IF(OR($U91="",0&gt;=설정!$B$12),"",SUMIFS(매입원본!$AT$8:$AT$1007,매입원본!$AX$8:$AX$1007,INDEX($R$8:$R$207,$U91),매입원본!$BA$8:$BA$1007,"포함",매입원본!$AS$8:$AS$1007,"&gt;="&amp;EDATE(설정!$B$10,0),매입원본!$AS$8:$AS$1007,"&lt;="&amp;EOMONTH(설정!$B$10,0)))</f>
        <v/>
      </c>
      <c r="J91" s="33">
        <f>IF(OR($U91="",1&gt;=설정!$B$12),"",SUMIFS(매입원본!$AT$8:$AT$1007,매입원본!$AX$8:$AX$1007,INDEX($R$8:$R$207,$U91),매입원본!$BA$8:$BA$1007,"포함",매입원본!$AS$8:$AS$1007,"&gt;="&amp;EDATE(설정!$B$10,1),매입원본!$AS$8:$AS$1007,"&lt;="&amp;EOMONTH(설정!$B$10,1)))</f>
        <v/>
      </c>
      <c r="K91" s="33">
        <f>IF(OR($U91="",2&gt;=설정!$B$12),"",SUMIFS(매입원본!$AT$8:$AT$1007,매입원본!$AX$8:$AX$1007,INDEX($R$8:$R$207,$U91),매입원본!$BA$8:$BA$1007,"포함",매입원본!$AS$8:$AS$1007,"&gt;="&amp;EDATE(설정!$B$10,2),매입원본!$AS$8:$AS$1007,"&lt;="&amp;EOMONTH(설정!$B$10,2)))</f>
        <v/>
      </c>
      <c r="L91" s="33">
        <f>IF(OR($U91="",3&gt;=설정!$B$12),"",SUMIFS(매입원본!$AT$8:$AT$1007,매입원본!$AX$8:$AX$1007,INDEX($R$8:$R$207,$U91),매입원본!$BA$8:$BA$1007,"포함",매입원본!$AS$8:$AS$1007,"&gt;="&amp;EDATE(설정!$B$10,3),매입원본!$AS$8:$AS$1007,"&lt;="&amp;EOMONTH(설정!$B$10,3)))</f>
        <v/>
      </c>
      <c r="M91" s="33">
        <f>IF(OR($U91="",4&gt;=설정!$B$12),"",SUMIFS(매입원본!$AT$8:$AT$1007,매입원본!$AX$8:$AX$1007,INDEX($R$8:$R$207,$U91),매입원본!$BA$8:$BA$1007,"포함",매입원본!$AS$8:$AS$1007,"&gt;="&amp;EDATE(설정!$B$10,4),매입원본!$AS$8:$AS$1007,"&lt;="&amp;EOMONTH(설정!$B$10,4)))</f>
        <v/>
      </c>
      <c r="N91" s="33">
        <f>IF(OR($U91="",5&gt;=설정!$B$12),"",SUMIFS(매입원본!$AT$8:$AT$1007,매입원본!$AX$8:$AX$1007,INDEX($R$8:$R$207,$U91),매입원본!$BA$8:$BA$1007,"포함",매입원본!$AS$8:$AS$1007,"&gt;="&amp;EDATE(설정!$B$10,5),매입원본!$AS$8:$AS$1007,"&lt;="&amp;EOMONTH(설정!$B$10,5)))</f>
        <v/>
      </c>
      <c r="Q91" s="35" t="n">
        <v>84</v>
      </c>
      <c r="R91" s="35">
        <f>IFERROR(INDEX(매입원본!$AX$8:$AX$1007,MATCH($Q91,매입원본!$BD$8:$BD$1007,0)),"")</f>
        <v/>
      </c>
      <c r="S91" s="35">
        <f>IF($R91="","",SUMIFS(매입원본!$AT$8:$AT$1007,매입원본!$AX$8:$AX$1007,$R91,매입원본!$BA$8:$BA$1007,"포함"))</f>
        <v/>
      </c>
      <c r="T91" s="35">
        <f>IF($R91="","",$S91-$Q91/100000)</f>
        <v/>
      </c>
      <c r="U91" s="35">
        <f>IFERROR(MATCH(LARGE($T$8:$T$207,84),$T$8:$T$207,0),"")</f>
        <v/>
      </c>
    </row>
    <row r="92">
      <c r="A92" s="32">
        <f>IF($U92="","",85)</f>
        <v/>
      </c>
      <c r="B92" s="10">
        <f>IF($U92="","",IFERROR(INDEX(매입원본!$AZ$8:$AZ$1007,MATCH($U92,매입원본!$BD$8:$BD$1007,0)),""))</f>
        <v/>
      </c>
      <c r="C92" s="10">
        <f>IF($U92="","",IFERROR(INDEX(매입원본!$AY$8:$AY$1007,MATCH($U92,매입원본!$BD$8:$BD$1007,0)),""))</f>
        <v/>
      </c>
      <c r="D92" s="33">
        <f>IF($U92="","",COUNTIFS(매입원본!$AX$8:$AX$1007,INDEX($R$8:$R$207,$U92),매입원본!$BA$8:$BA$1007,"포함"))</f>
        <v/>
      </c>
      <c r="E92" s="33">
        <f>IF($U92="","",SUMIFS(매입원본!$AT$8:$AT$1007,매입원본!$AX$8:$AX$1007,INDEX($R$8:$R$207,$U92),매입원본!$BA$8:$BA$1007,"포함"))</f>
        <v/>
      </c>
      <c r="F92" s="33">
        <f>IF($U92="","",SUMIFS(매입원본!$AU$8:$AU$1007,매입원본!$AX$8:$AX$1007,INDEX($R$8:$R$207,$U92),매입원본!$BA$8:$BA$1007,"포함"))</f>
        <v/>
      </c>
      <c r="G92" s="33">
        <f>IF($U92="","",SUMIFS(매입원본!$AV$8:$AV$1007,매입원본!$AX$8:$AX$1007,INDEX($R$8:$R$207,$U92),매입원본!$BA$8:$BA$1007,"포함"))</f>
        <v/>
      </c>
      <c r="H92" s="34">
        <f>IF(OR($U92="",$E$7=0),"",E92/$E$7)</f>
        <v/>
      </c>
      <c r="I92" s="33">
        <f>IF(OR($U92="",0&gt;=설정!$B$12),"",SUMIFS(매입원본!$AT$8:$AT$1007,매입원본!$AX$8:$AX$1007,INDEX($R$8:$R$207,$U92),매입원본!$BA$8:$BA$1007,"포함",매입원본!$AS$8:$AS$1007,"&gt;="&amp;EDATE(설정!$B$10,0),매입원본!$AS$8:$AS$1007,"&lt;="&amp;EOMONTH(설정!$B$10,0)))</f>
        <v/>
      </c>
      <c r="J92" s="33">
        <f>IF(OR($U92="",1&gt;=설정!$B$12),"",SUMIFS(매입원본!$AT$8:$AT$1007,매입원본!$AX$8:$AX$1007,INDEX($R$8:$R$207,$U92),매입원본!$BA$8:$BA$1007,"포함",매입원본!$AS$8:$AS$1007,"&gt;="&amp;EDATE(설정!$B$10,1),매입원본!$AS$8:$AS$1007,"&lt;="&amp;EOMONTH(설정!$B$10,1)))</f>
        <v/>
      </c>
      <c r="K92" s="33">
        <f>IF(OR($U92="",2&gt;=설정!$B$12),"",SUMIFS(매입원본!$AT$8:$AT$1007,매입원본!$AX$8:$AX$1007,INDEX($R$8:$R$207,$U92),매입원본!$BA$8:$BA$1007,"포함",매입원본!$AS$8:$AS$1007,"&gt;="&amp;EDATE(설정!$B$10,2),매입원본!$AS$8:$AS$1007,"&lt;="&amp;EOMONTH(설정!$B$10,2)))</f>
        <v/>
      </c>
      <c r="L92" s="33">
        <f>IF(OR($U92="",3&gt;=설정!$B$12),"",SUMIFS(매입원본!$AT$8:$AT$1007,매입원본!$AX$8:$AX$1007,INDEX($R$8:$R$207,$U92),매입원본!$BA$8:$BA$1007,"포함",매입원본!$AS$8:$AS$1007,"&gt;="&amp;EDATE(설정!$B$10,3),매입원본!$AS$8:$AS$1007,"&lt;="&amp;EOMONTH(설정!$B$10,3)))</f>
        <v/>
      </c>
      <c r="M92" s="33">
        <f>IF(OR($U92="",4&gt;=설정!$B$12),"",SUMIFS(매입원본!$AT$8:$AT$1007,매입원본!$AX$8:$AX$1007,INDEX($R$8:$R$207,$U92),매입원본!$BA$8:$BA$1007,"포함",매입원본!$AS$8:$AS$1007,"&gt;="&amp;EDATE(설정!$B$10,4),매입원본!$AS$8:$AS$1007,"&lt;="&amp;EOMONTH(설정!$B$10,4)))</f>
        <v/>
      </c>
      <c r="N92" s="33">
        <f>IF(OR($U92="",5&gt;=설정!$B$12),"",SUMIFS(매입원본!$AT$8:$AT$1007,매입원본!$AX$8:$AX$1007,INDEX($R$8:$R$207,$U92),매입원본!$BA$8:$BA$1007,"포함",매입원본!$AS$8:$AS$1007,"&gt;="&amp;EDATE(설정!$B$10,5),매입원본!$AS$8:$AS$1007,"&lt;="&amp;EOMONTH(설정!$B$10,5)))</f>
        <v/>
      </c>
      <c r="Q92" s="35" t="n">
        <v>85</v>
      </c>
      <c r="R92" s="35">
        <f>IFERROR(INDEX(매입원본!$AX$8:$AX$1007,MATCH($Q92,매입원본!$BD$8:$BD$1007,0)),"")</f>
        <v/>
      </c>
      <c r="S92" s="35">
        <f>IF($R92="","",SUMIFS(매입원본!$AT$8:$AT$1007,매입원본!$AX$8:$AX$1007,$R92,매입원본!$BA$8:$BA$1007,"포함"))</f>
        <v/>
      </c>
      <c r="T92" s="35">
        <f>IF($R92="","",$S92-$Q92/100000)</f>
        <v/>
      </c>
      <c r="U92" s="35">
        <f>IFERROR(MATCH(LARGE($T$8:$T$207,85),$T$8:$T$207,0),"")</f>
        <v/>
      </c>
    </row>
    <row r="93">
      <c r="A93" s="32">
        <f>IF($U93="","",86)</f>
        <v/>
      </c>
      <c r="B93" s="10">
        <f>IF($U93="","",IFERROR(INDEX(매입원본!$AZ$8:$AZ$1007,MATCH($U93,매입원본!$BD$8:$BD$1007,0)),""))</f>
        <v/>
      </c>
      <c r="C93" s="10">
        <f>IF($U93="","",IFERROR(INDEX(매입원본!$AY$8:$AY$1007,MATCH($U93,매입원본!$BD$8:$BD$1007,0)),""))</f>
        <v/>
      </c>
      <c r="D93" s="33">
        <f>IF($U93="","",COUNTIFS(매입원본!$AX$8:$AX$1007,INDEX($R$8:$R$207,$U93),매입원본!$BA$8:$BA$1007,"포함"))</f>
        <v/>
      </c>
      <c r="E93" s="33">
        <f>IF($U93="","",SUMIFS(매입원본!$AT$8:$AT$1007,매입원본!$AX$8:$AX$1007,INDEX($R$8:$R$207,$U93),매입원본!$BA$8:$BA$1007,"포함"))</f>
        <v/>
      </c>
      <c r="F93" s="33">
        <f>IF($U93="","",SUMIFS(매입원본!$AU$8:$AU$1007,매입원본!$AX$8:$AX$1007,INDEX($R$8:$R$207,$U93),매입원본!$BA$8:$BA$1007,"포함"))</f>
        <v/>
      </c>
      <c r="G93" s="33">
        <f>IF($U93="","",SUMIFS(매입원본!$AV$8:$AV$1007,매입원본!$AX$8:$AX$1007,INDEX($R$8:$R$207,$U93),매입원본!$BA$8:$BA$1007,"포함"))</f>
        <v/>
      </c>
      <c r="H93" s="34">
        <f>IF(OR($U93="",$E$7=0),"",E93/$E$7)</f>
        <v/>
      </c>
      <c r="I93" s="33">
        <f>IF(OR($U93="",0&gt;=설정!$B$12),"",SUMIFS(매입원본!$AT$8:$AT$1007,매입원본!$AX$8:$AX$1007,INDEX($R$8:$R$207,$U93),매입원본!$BA$8:$BA$1007,"포함",매입원본!$AS$8:$AS$1007,"&gt;="&amp;EDATE(설정!$B$10,0),매입원본!$AS$8:$AS$1007,"&lt;="&amp;EOMONTH(설정!$B$10,0)))</f>
        <v/>
      </c>
      <c r="J93" s="33">
        <f>IF(OR($U93="",1&gt;=설정!$B$12),"",SUMIFS(매입원본!$AT$8:$AT$1007,매입원본!$AX$8:$AX$1007,INDEX($R$8:$R$207,$U93),매입원본!$BA$8:$BA$1007,"포함",매입원본!$AS$8:$AS$1007,"&gt;="&amp;EDATE(설정!$B$10,1),매입원본!$AS$8:$AS$1007,"&lt;="&amp;EOMONTH(설정!$B$10,1)))</f>
        <v/>
      </c>
      <c r="K93" s="33">
        <f>IF(OR($U93="",2&gt;=설정!$B$12),"",SUMIFS(매입원본!$AT$8:$AT$1007,매입원본!$AX$8:$AX$1007,INDEX($R$8:$R$207,$U93),매입원본!$BA$8:$BA$1007,"포함",매입원본!$AS$8:$AS$1007,"&gt;="&amp;EDATE(설정!$B$10,2),매입원본!$AS$8:$AS$1007,"&lt;="&amp;EOMONTH(설정!$B$10,2)))</f>
        <v/>
      </c>
      <c r="L93" s="33">
        <f>IF(OR($U93="",3&gt;=설정!$B$12),"",SUMIFS(매입원본!$AT$8:$AT$1007,매입원본!$AX$8:$AX$1007,INDEX($R$8:$R$207,$U93),매입원본!$BA$8:$BA$1007,"포함",매입원본!$AS$8:$AS$1007,"&gt;="&amp;EDATE(설정!$B$10,3),매입원본!$AS$8:$AS$1007,"&lt;="&amp;EOMONTH(설정!$B$10,3)))</f>
        <v/>
      </c>
      <c r="M93" s="33">
        <f>IF(OR($U93="",4&gt;=설정!$B$12),"",SUMIFS(매입원본!$AT$8:$AT$1007,매입원본!$AX$8:$AX$1007,INDEX($R$8:$R$207,$U93),매입원본!$BA$8:$BA$1007,"포함",매입원본!$AS$8:$AS$1007,"&gt;="&amp;EDATE(설정!$B$10,4),매입원본!$AS$8:$AS$1007,"&lt;="&amp;EOMONTH(설정!$B$10,4)))</f>
        <v/>
      </c>
      <c r="N93" s="33">
        <f>IF(OR($U93="",5&gt;=설정!$B$12),"",SUMIFS(매입원본!$AT$8:$AT$1007,매입원본!$AX$8:$AX$1007,INDEX($R$8:$R$207,$U93),매입원본!$BA$8:$BA$1007,"포함",매입원본!$AS$8:$AS$1007,"&gt;="&amp;EDATE(설정!$B$10,5),매입원본!$AS$8:$AS$1007,"&lt;="&amp;EOMONTH(설정!$B$10,5)))</f>
        <v/>
      </c>
      <c r="Q93" s="35" t="n">
        <v>86</v>
      </c>
      <c r="R93" s="35">
        <f>IFERROR(INDEX(매입원본!$AX$8:$AX$1007,MATCH($Q93,매입원본!$BD$8:$BD$1007,0)),"")</f>
        <v/>
      </c>
      <c r="S93" s="35">
        <f>IF($R93="","",SUMIFS(매입원본!$AT$8:$AT$1007,매입원본!$AX$8:$AX$1007,$R93,매입원본!$BA$8:$BA$1007,"포함"))</f>
        <v/>
      </c>
      <c r="T93" s="35">
        <f>IF($R93="","",$S93-$Q93/100000)</f>
        <v/>
      </c>
      <c r="U93" s="35">
        <f>IFERROR(MATCH(LARGE($T$8:$T$207,86),$T$8:$T$207,0),"")</f>
        <v/>
      </c>
    </row>
    <row r="94">
      <c r="A94" s="32">
        <f>IF($U94="","",87)</f>
        <v/>
      </c>
      <c r="B94" s="10">
        <f>IF($U94="","",IFERROR(INDEX(매입원본!$AZ$8:$AZ$1007,MATCH($U94,매입원본!$BD$8:$BD$1007,0)),""))</f>
        <v/>
      </c>
      <c r="C94" s="10">
        <f>IF($U94="","",IFERROR(INDEX(매입원본!$AY$8:$AY$1007,MATCH($U94,매입원본!$BD$8:$BD$1007,0)),""))</f>
        <v/>
      </c>
      <c r="D94" s="33">
        <f>IF($U94="","",COUNTIFS(매입원본!$AX$8:$AX$1007,INDEX($R$8:$R$207,$U94),매입원본!$BA$8:$BA$1007,"포함"))</f>
        <v/>
      </c>
      <c r="E94" s="33">
        <f>IF($U94="","",SUMIFS(매입원본!$AT$8:$AT$1007,매입원본!$AX$8:$AX$1007,INDEX($R$8:$R$207,$U94),매입원본!$BA$8:$BA$1007,"포함"))</f>
        <v/>
      </c>
      <c r="F94" s="33">
        <f>IF($U94="","",SUMIFS(매입원본!$AU$8:$AU$1007,매입원본!$AX$8:$AX$1007,INDEX($R$8:$R$207,$U94),매입원본!$BA$8:$BA$1007,"포함"))</f>
        <v/>
      </c>
      <c r="G94" s="33">
        <f>IF($U94="","",SUMIFS(매입원본!$AV$8:$AV$1007,매입원본!$AX$8:$AX$1007,INDEX($R$8:$R$207,$U94),매입원본!$BA$8:$BA$1007,"포함"))</f>
        <v/>
      </c>
      <c r="H94" s="34">
        <f>IF(OR($U94="",$E$7=0),"",E94/$E$7)</f>
        <v/>
      </c>
      <c r="I94" s="33">
        <f>IF(OR($U94="",0&gt;=설정!$B$12),"",SUMIFS(매입원본!$AT$8:$AT$1007,매입원본!$AX$8:$AX$1007,INDEX($R$8:$R$207,$U94),매입원본!$BA$8:$BA$1007,"포함",매입원본!$AS$8:$AS$1007,"&gt;="&amp;EDATE(설정!$B$10,0),매입원본!$AS$8:$AS$1007,"&lt;="&amp;EOMONTH(설정!$B$10,0)))</f>
        <v/>
      </c>
      <c r="J94" s="33">
        <f>IF(OR($U94="",1&gt;=설정!$B$12),"",SUMIFS(매입원본!$AT$8:$AT$1007,매입원본!$AX$8:$AX$1007,INDEX($R$8:$R$207,$U94),매입원본!$BA$8:$BA$1007,"포함",매입원본!$AS$8:$AS$1007,"&gt;="&amp;EDATE(설정!$B$10,1),매입원본!$AS$8:$AS$1007,"&lt;="&amp;EOMONTH(설정!$B$10,1)))</f>
        <v/>
      </c>
      <c r="K94" s="33">
        <f>IF(OR($U94="",2&gt;=설정!$B$12),"",SUMIFS(매입원본!$AT$8:$AT$1007,매입원본!$AX$8:$AX$1007,INDEX($R$8:$R$207,$U94),매입원본!$BA$8:$BA$1007,"포함",매입원본!$AS$8:$AS$1007,"&gt;="&amp;EDATE(설정!$B$10,2),매입원본!$AS$8:$AS$1007,"&lt;="&amp;EOMONTH(설정!$B$10,2)))</f>
        <v/>
      </c>
      <c r="L94" s="33">
        <f>IF(OR($U94="",3&gt;=설정!$B$12),"",SUMIFS(매입원본!$AT$8:$AT$1007,매입원본!$AX$8:$AX$1007,INDEX($R$8:$R$207,$U94),매입원본!$BA$8:$BA$1007,"포함",매입원본!$AS$8:$AS$1007,"&gt;="&amp;EDATE(설정!$B$10,3),매입원본!$AS$8:$AS$1007,"&lt;="&amp;EOMONTH(설정!$B$10,3)))</f>
        <v/>
      </c>
      <c r="M94" s="33">
        <f>IF(OR($U94="",4&gt;=설정!$B$12),"",SUMIFS(매입원본!$AT$8:$AT$1007,매입원본!$AX$8:$AX$1007,INDEX($R$8:$R$207,$U94),매입원본!$BA$8:$BA$1007,"포함",매입원본!$AS$8:$AS$1007,"&gt;="&amp;EDATE(설정!$B$10,4),매입원본!$AS$8:$AS$1007,"&lt;="&amp;EOMONTH(설정!$B$10,4)))</f>
        <v/>
      </c>
      <c r="N94" s="33">
        <f>IF(OR($U94="",5&gt;=설정!$B$12),"",SUMIFS(매입원본!$AT$8:$AT$1007,매입원본!$AX$8:$AX$1007,INDEX($R$8:$R$207,$U94),매입원본!$BA$8:$BA$1007,"포함",매입원본!$AS$8:$AS$1007,"&gt;="&amp;EDATE(설정!$B$10,5),매입원본!$AS$8:$AS$1007,"&lt;="&amp;EOMONTH(설정!$B$10,5)))</f>
        <v/>
      </c>
      <c r="Q94" s="35" t="n">
        <v>87</v>
      </c>
      <c r="R94" s="35">
        <f>IFERROR(INDEX(매입원본!$AX$8:$AX$1007,MATCH($Q94,매입원본!$BD$8:$BD$1007,0)),"")</f>
        <v/>
      </c>
      <c r="S94" s="35">
        <f>IF($R94="","",SUMIFS(매입원본!$AT$8:$AT$1007,매입원본!$AX$8:$AX$1007,$R94,매입원본!$BA$8:$BA$1007,"포함"))</f>
        <v/>
      </c>
      <c r="T94" s="35">
        <f>IF($R94="","",$S94-$Q94/100000)</f>
        <v/>
      </c>
      <c r="U94" s="35">
        <f>IFERROR(MATCH(LARGE($T$8:$T$207,87),$T$8:$T$207,0),"")</f>
        <v/>
      </c>
    </row>
    <row r="95">
      <c r="A95" s="32">
        <f>IF($U95="","",88)</f>
        <v/>
      </c>
      <c r="B95" s="10">
        <f>IF($U95="","",IFERROR(INDEX(매입원본!$AZ$8:$AZ$1007,MATCH($U95,매입원본!$BD$8:$BD$1007,0)),""))</f>
        <v/>
      </c>
      <c r="C95" s="10">
        <f>IF($U95="","",IFERROR(INDEX(매입원본!$AY$8:$AY$1007,MATCH($U95,매입원본!$BD$8:$BD$1007,0)),""))</f>
        <v/>
      </c>
      <c r="D95" s="33">
        <f>IF($U95="","",COUNTIFS(매입원본!$AX$8:$AX$1007,INDEX($R$8:$R$207,$U95),매입원본!$BA$8:$BA$1007,"포함"))</f>
        <v/>
      </c>
      <c r="E95" s="33">
        <f>IF($U95="","",SUMIFS(매입원본!$AT$8:$AT$1007,매입원본!$AX$8:$AX$1007,INDEX($R$8:$R$207,$U95),매입원본!$BA$8:$BA$1007,"포함"))</f>
        <v/>
      </c>
      <c r="F95" s="33">
        <f>IF($U95="","",SUMIFS(매입원본!$AU$8:$AU$1007,매입원본!$AX$8:$AX$1007,INDEX($R$8:$R$207,$U95),매입원본!$BA$8:$BA$1007,"포함"))</f>
        <v/>
      </c>
      <c r="G95" s="33">
        <f>IF($U95="","",SUMIFS(매입원본!$AV$8:$AV$1007,매입원본!$AX$8:$AX$1007,INDEX($R$8:$R$207,$U95),매입원본!$BA$8:$BA$1007,"포함"))</f>
        <v/>
      </c>
      <c r="H95" s="34">
        <f>IF(OR($U95="",$E$7=0),"",E95/$E$7)</f>
        <v/>
      </c>
      <c r="I95" s="33">
        <f>IF(OR($U95="",0&gt;=설정!$B$12),"",SUMIFS(매입원본!$AT$8:$AT$1007,매입원본!$AX$8:$AX$1007,INDEX($R$8:$R$207,$U95),매입원본!$BA$8:$BA$1007,"포함",매입원본!$AS$8:$AS$1007,"&gt;="&amp;EDATE(설정!$B$10,0),매입원본!$AS$8:$AS$1007,"&lt;="&amp;EOMONTH(설정!$B$10,0)))</f>
        <v/>
      </c>
      <c r="J95" s="33">
        <f>IF(OR($U95="",1&gt;=설정!$B$12),"",SUMIFS(매입원본!$AT$8:$AT$1007,매입원본!$AX$8:$AX$1007,INDEX($R$8:$R$207,$U95),매입원본!$BA$8:$BA$1007,"포함",매입원본!$AS$8:$AS$1007,"&gt;="&amp;EDATE(설정!$B$10,1),매입원본!$AS$8:$AS$1007,"&lt;="&amp;EOMONTH(설정!$B$10,1)))</f>
        <v/>
      </c>
      <c r="K95" s="33">
        <f>IF(OR($U95="",2&gt;=설정!$B$12),"",SUMIFS(매입원본!$AT$8:$AT$1007,매입원본!$AX$8:$AX$1007,INDEX($R$8:$R$207,$U95),매입원본!$BA$8:$BA$1007,"포함",매입원본!$AS$8:$AS$1007,"&gt;="&amp;EDATE(설정!$B$10,2),매입원본!$AS$8:$AS$1007,"&lt;="&amp;EOMONTH(설정!$B$10,2)))</f>
        <v/>
      </c>
      <c r="L95" s="33">
        <f>IF(OR($U95="",3&gt;=설정!$B$12),"",SUMIFS(매입원본!$AT$8:$AT$1007,매입원본!$AX$8:$AX$1007,INDEX($R$8:$R$207,$U95),매입원본!$BA$8:$BA$1007,"포함",매입원본!$AS$8:$AS$1007,"&gt;="&amp;EDATE(설정!$B$10,3),매입원본!$AS$8:$AS$1007,"&lt;="&amp;EOMONTH(설정!$B$10,3)))</f>
        <v/>
      </c>
      <c r="M95" s="33">
        <f>IF(OR($U95="",4&gt;=설정!$B$12),"",SUMIFS(매입원본!$AT$8:$AT$1007,매입원본!$AX$8:$AX$1007,INDEX($R$8:$R$207,$U95),매입원본!$BA$8:$BA$1007,"포함",매입원본!$AS$8:$AS$1007,"&gt;="&amp;EDATE(설정!$B$10,4),매입원본!$AS$8:$AS$1007,"&lt;="&amp;EOMONTH(설정!$B$10,4)))</f>
        <v/>
      </c>
      <c r="N95" s="33">
        <f>IF(OR($U95="",5&gt;=설정!$B$12),"",SUMIFS(매입원본!$AT$8:$AT$1007,매입원본!$AX$8:$AX$1007,INDEX($R$8:$R$207,$U95),매입원본!$BA$8:$BA$1007,"포함",매입원본!$AS$8:$AS$1007,"&gt;="&amp;EDATE(설정!$B$10,5),매입원본!$AS$8:$AS$1007,"&lt;="&amp;EOMONTH(설정!$B$10,5)))</f>
        <v/>
      </c>
      <c r="Q95" s="35" t="n">
        <v>88</v>
      </c>
      <c r="R95" s="35">
        <f>IFERROR(INDEX(매입원본!$AX$8:$AX$1007,MATCH($Q95,매입원본!$BD$8:$BD$1007,0)),"")</f>
        <v/>
      </c>
      <c r="S95" s="35">
        <f>IF($R95="","",SUMIFS(매입원본!$AT$8:$AT$1007,매입원본!$AX$8:$AX$1007,$R95,매입원본!$BA$8:$BA$1007,"포함"))</f>
        <v/>
      </c>
      <c r="T95" s="35">
        <f>IF($R95="","",$S95-$Q95/100000)</f>
        <v/>
      </c>
      <c r="U95" s="35">
        <f>IFERROR(MATCH(LARGE($T$8:$T$207,88),$T$8:$T$207,0),"")</f>
        <v/>
      </c>
    </row>
    <row r="96">
      <c r="A96" s="32">
        <f>IF($U96="","",89)</f>
        <v/>
      </c>
      <c r="B96" s="10">
        <f>IF($U96="","",IFERROR(INDEX(매입원본!$AZ$8:$AZ$1007,MATCH($U96,매입원본!$BD$8:$BD$1007,0)),""))</f>
        <v/>
      </c>
      <c r="C96" s="10">
        <f>IF($U96="","",IFERROR(INDEX(매입원본!$AY$8:$AY$1007,MATCH($U96,매입원본!$BD$8:$BD$1007,0)),""))</f>
        <v/>
      </c>
      <c r="D96" s="33">
        <f>IF($U96="","",COUNTIFS(매입원본!$AX$8:$AX$1007,INDEX($R$8:$R$207,$U96),매입원본!$BA$8:$BA$1007,"포함"))</f>
        <v/>
      </c>
      <c r="E96" s="33">
        <f>IF($U96="","",SUMIFS(매입원본!$AT$8:$AT$1007,매입원본!$AX$8:$AX$1007,INDEX($R$8:$R$207,$U96),매입원본!$BA$8:$BA$1007,"포함"))</f>
        <v/>
      </c>
      <c r="F96" s="33">
        <f>IF($U96="","",SUMIFS(매입원본!$AU$8:$AU$1007,매입원본!$AX$8:$AX$1007,INDEX($R$8:$R$207,$U96),매입원본!$BA$8:$BA$1007,"포함"))</f>
        <v/>
      </c>
      <c r="G96" s="33">
        <f>IF($U96="","",SUMIFS(매입원본!$AV$8:$AV$1007,매입원본!$AX$8:$AX$1007,INDEX($R$8:$R$207,$U96),매입원본!$BA$8:$BA$1007,"포함"))</f>
        <v/>
      </c>
      <c r="H96" s="34">
        <f>IF(OR($U96="",$E$7=0),"",E96/$E$7)</f>
        <v/>
      </c>
      <c r="I96" s="33">
        <f>IF(OR($U96="",0&gt;=설정!$B$12),"",SUMIFS(매입원본!$AT$8:$AT$1007,매입원본!$AX$8:$AX$1007,INDEX($R$8:$R$207,$U96),매입원본!$BA$8:$BA$1007,"포함",매입원본!$AS$8:$AS$1007,"&gt;="&amp;EDATE(설정!$B$10,0),매입원본!$AS$8:$AS$1007,"&lt;="&amp;EOMONTH(설정!$B$10,0)))</f>
        <v/>
      </c>
      <c r="J96" s="33">
        <f>IF(OR($U96="",1&gt;=설정!$B$12),"",SUMIFS(매입원본!$AT$8:$AT$1007,매입원본!$AX$8:$AX$1007,INDEX($R$8:$R$207,$U96),매입원본!$BA$8:$BA$1007,"포함",매입원본!$AS$8:$AS$1007,"&gt;="&amp;EDATE(설정!$B$10,1),매입원본!$AS$8:$AS$1007,"&lt;="&amp;EOMONTH(설정!$B$10,1)))</f>
        <v/>
      </c>
      <c r="K96" s="33">
        <f>IF(OR($U96="",2&gt;=설정!$B$12),"",SUMIFS(매입원본!$AT$8:$AT$1007,매입원본!$AX$8:$AX$1007,INDEX($R$8:$R$207,$U96),매입원본!$BA$8:$BA$1007,"포함",매입원본!$AS$8:$AS$1007,"&gt;="&amp;EDATE(설정!$B$10,2),매입원본!$AS$8:$AS$1007,"&lt;="&amp;EOMONTH(설정!$B$10,2)))</f>
        <v/>
      </c>
      <c r="L96" s="33">
        <f>IF(OR($U96="",3&gt;=설정!$B$12),"",SUMIFS(매입원본!$AT$8:$AT$1007,매입원본!$AX$8:$AX$1007,INDEX($R$8:$R$207,$U96),매입원본!$BA$8:$BA$1007,"포함",매입원본!$AS$8:$AS$1007,"&gt;="&amp;EDATE(설정!$B$10,3),매입원본!$AS$8:$AS$1007,"&lt;="&amp;EOMONTH(설정!$B$10,3)))</f>
        <v/>
      </c>
      <c r="M96" s="33">
        <f>IF(OR($U96="",4&gt;=설정!$B$12),"",SUMIFS(매입원본!$AT$8:$AT$1007,매입원본!$AX$8:$AX$1007,INDEX($R$8:$R$207,$U96),매입원본!$BA$8:$BA$1007,"포함",매입원본!$AS$8:$AS$1007,"&gt;="&amp;EDATE(설정!$B$10,4),매입원본!$AS$8:$AS$1007,"&lt;="&amp;EOMONTH(설정!$B$10,4)))</f>
        <v/>
      </c>
      <c r="N96" s="33">
        <f>IF(OR($U96="",5&gt;=설정!$B$12),"",SUMIFS(매입원본!$AT$8:$AT$1007,매입원본!$AX$8:$AX$1007,INDEX($R$8:$R$207,$U96),매입원본!$BA$8:$BA$1007,"포함",매입원본!$AS$8:$AS$1007,"&gt;="&amp;EDATE(설정!$B$10,5),매입원본!$AS$8:$AS$1007,"&lt;="&amp;EOMONTH(설정!$B$10,5)))</f>
        <v/>
      </c>
      <c r="Q96" s="35" t="n">
        <v>89</v>
      </c>
      <c r="R96" s="35">
        <f>IFERROR(INDEX(매입원본!$AX$8:$AX$1007,MATCH($Q96,매입원본!$BD$8:$BD$1007,0)),"")</f>
        <v/>
      </c>
      <c r="S96" s="35">
        <f>IF($R96="","",SUMIFS(매입원본!$AT$8:$AT$1007,매입원본!$AX$8:$AX$1007,$R96,매입원본!$BA$8:$BA$1007,"포함"))</f>
        <v/>
      </c>
      <c r="T96" s="35">
        <f>IF($R96="","",$S96-$Q96/100000)</f>
        <v/>
      </c>
      <c r="U96" s="35">
        <f>IFERROR(MATCH(LARGE($T$8:$T$207,89),$T$8:$T$207,0),"")</f>
        <v/>
      </c>
    </row>
    <row r="97">
      <c r="A97" s="32">
        <f>IF($U97="","",90)</f>
        <v/>
      </c>
      <c r="B97" s="10">
        <f>IF($U97="","",IFERROR(INDEX(매입원본!$AZ$8:$AZ$1007,MATCH($U97,매입원본!$BD$8:$BD$1007,0)),""))</f>
        <v/>
      </c>
      <c r="C97" s="10">
        <f>IF($U97="","",IFERROR(INDEX(매입원본!$AY$8:$AY$1007,MATCH($U97,매입원본!$BD$8:$BD$1007,0)),""))</f>
        <v/>
      </c>
      <c r="D97" s="33">
        <f>IF($U97="","",COUNTIFS(매입원본!$AX$8:$AX$1007,INDEX($R$8:$R$207,$U97),매입원본!$BA$8:$BA$1007,"포함"))</f>
        <v/>
      </c>
      <c r="E97" s="33">
        <f>IF($U97="","",SUMIFS(매입원본!$AT$8:$AT$1007,매입원본!$AX$8:$AX$1007,INDEX($R$8:$R$207,$U97),매입원본!$BA$8:$BA$1007,"포함"))</f>
        <v/>
      </c>
      <c r="F97" s="33">
        <f>IF($U97="","",SUMIFS(매입원본!$AU$8:$AU$1007,매입원본!$AX$8:$AX$1007,INDEX($R$8:$R$207,$U97),매입원본!$BA$8:$BA$1007,"포함"))</f>
        <v/>
      </c>
      <c r="G97" s="33">
        <f>IF($U97="","",SUMIFS(매입원본!$AV$8:$AV$1007,매입원본!$AX$8:$AX$1007,INDEX($R$8:$R$207,$U97),매입원본!$BA$8:$BA$1007,"포함"))</f>
        <v/>
      </c>
      <c r="H97" s="34">
        <f>IF(OR($U97="",$E$7=0),"",E97/$E$7)</f>
        <v/>
      </c>
      <c r="I97" s="33">
        <f>IF(OR($U97="",0&gt;=설정!$B$12),"",SUMIFS(매입원본!$AT$8:$AT$1007,매입원본!$AX$8:$AX$1007,INDEX($R$8:$R$207,$U97),매입원본!$BA$8:$BA$1007,"포함",매입원본!$AS$8:$AS$1007,"&gt;="&amp;EDATE(설정!$B$10,0),매입원본!$AS$8:$AS$1007,"&lt;="&amp;EOMONTH(설정!$B$10,0)))</f>
        <v/>
      </c>
      <c r="J97" s="33">
        <f>IF(OR($U97="",1&gt;=설정!$B$12),"",SUMIFS(매입원본!$AT$8:$AT$1007,매입원본!$AX$8:$AX$1007,INDEX($R$8:$R$207,$U97),매입원본!$BA$8:$BA$1007,"포함",매입원본!$AS$8:$AS$1007,"&gt;="&amp;EDATE(설정!$B$10,1),매입원본!$AS$8:$AS$1007,"&lt;="&amp;EOMONTH(설정!$B$10,1)))</f>
        <v/>
      </c>
      <c r="K97" s="33">
        <f>IF(OR($U97="",2&gt;=설정!$B$12),"",SUMIFS(매입원본!$AT$8:$AT$1007,매입원본!$AX$8:$AX$1007,INDEX($R$8:$R$207,$U97),매입원본!$BA$8:$BA$1007,"포함",매입원본!$AS$8:$AS$1007,"&gt;="&amp;EDATE(설정!$B$10,2),매입원본!$AS$8:$AS$1007,"&lt;="&amp;EOMONTH(설정!$B$10,2)))</f>
        <v/>
      </c>
      <c r="L97" s="33">
        <f>IF(OR($U97="",3&gt;=설정!$B$12),"",SUMIFS(매입원본!$AT$8:$AT$1007,매입원본!$AX$8:$AX$1007,INDEX($R$8:$R$207,$U97),매입원본!$BA$8:$BA$1007,"포함",매입원본!$AS$8:$AS$1007,"&gt;="&amp;EDATE(설정!$B$10,3),매입원본!$AS$8:$AS$1007,"&lt;="&amp;EOMONTH(설정!$B$10,3)))</f>
        <v/>
      </c>
      <c r="M97" s="33">
        <f>IF(OR($U97="",4&gt;=설정!$B$12),"",SUMIFS(매입원본!$AT$8:$AT$1007,매입원본!$AX$8:$AX$1007,INDEX($R$8:$R$207,$U97),매입원본!$BA$8:$BA$1007,"포함",매입원본!$AS$8:$AS$1007,"&gt;="&amp;EDATE(설정!$B$10,4),매입원본!$AS$8:$AS$1007,"&lt;="&amp;EOMONTH(설정!$B$10,4)))</f>
        <v/>
      </c>
      <c r="N97" s="33">
        <f>IF(OR($U97="",5&gt;=설정!$B$12),"",SUMIFS(매입원본!$AT$8:$AT$1007,매입원본!$AX$8:$AX$1007,INDEX($R$8:$R$207,$U97),매입원본!$BA$8:$BA$1007,"포함",매입원본!$AS$8:$AS$1007,"&gt;="&amp;EDATE(설정!$B$10,5),매입원본!$AS$8:$AS$1007,"&lt;="&amp;EOMONTH(설정!$B$10,5)))</f>
        <v/>
      </c>
      <c r="Q97" s="35" t="n">
        <v>90</v>
      </c>
      <c r="R97" s="35">
        <f>IFERROR(INDEX(매입원본!$AX$8:$AX$1007,MATCH($Q97,매입원본!$BD$8:$BD$1007,0)),"")</f>
        <v/>
      </c>
      <c r="S97" s="35">
        <f>IF($R97="","",SUMIFS(매입원본!$AT$8:$AT$1007,매입원본!$AX$8:$AX$1007,$R97,매입원본!$BA$8:$BA$1007,"포함"))</f>
        <v/>
      </c>
      <c r="T97" s="35">
        <f>IF($R97="","",$S97-$Q97/100000)</f>
        <v/>
      </c>
      <c r="U97" s="35">
        <f>IFERROR(MATCH(LARGE($T$8:$T$207,90),$T$8:$T$207,0),"")</f>
        <v/>
      </c>
    </row>
    <row r="98">
      <c r="A98" s="32">
        <f>IF($U98="","",91)</f>
        <v/>
      </c>
      <c r="B98" s="10">
        <f>IF($U98="","",IFERROR(INDEX(매입원본!$AZ$8:$AZ$1007,MATCH($U98,매입원본!$BD$8:$BD$1007,0)),""))</f>
        <v/>
      </c>
      <c r="C98" s="10">
        <f>IF($U98="","",IFERROR(INDEX(매입원본!$AY$8:$AY$1007,MATCH($U98,매입원본!$BD$8:$BD$1007,0)),""))</f>
        <v/>
      </c>
      <c r="D98" s="33">
        <f>IF($U98="","",COUNTIFS(매입원본!$AX$8:$AX$1007,INDEX($R$8:$R$207,$U98),매입원본!$BA$8:$BA$1007,"포함"))</f>
        <v/>
      </c>
      <c r="E98" s="33">
        <f>IF($U98="","",SUMIFS(매입원본!$AT$8:$AT$1007,매입원본!$AX$8:$AX$1007,INDEX($R$8:$R$207,$U98),매입원본!$BA$8:$BA$1007,"포함"))</f>
        <v/>
      </c>
      <c r="F98" s="33">
        <f>IF($U98="","",SUMIFS(매입원본!$AU$8:$AU$1007,매입원본!$AX$8:$AX$1007,INDEX($R$8:$R$207,$U98),매입원본!$BA$8:$BA$1007,"포함"))</f>
        <v/>
      </c>
      <c r="G98" s="33">
        <f>IF($U98="","",SUMIFS(매입원본!$AV$8:$AV$1007,매입원본!$AX$8:$AX$1007,INDEX($R$8:$R$207,$U98),매입원본!$BA$8:$BA$1007,"포함"))</f>
        <v/>
      </c>
      <c r="H98" s="34">
        <f>IF(OR($U98="",$E$7=0),"",E98/$E$7)</f>
        <v/>
      </c>
      <c r="I98" s="33">
        <f>IF(OR($U98="",0&gt;=설정!$B$12),"",SUMIFS(매입원본!$AT$8:$AT$1007,매입원본!$AX$8:$AX$1007,INDEX($R$8:$R$207,$U98),매입원본!$BA$8:$BA$1007,"포함",매입원본!$AS$8:$AS$1007,"&gt;="&amp;EDATE(설정!$B$10,0),매입원본!$AS$8:$AS$1007,"&lt;="&amp;EOMONTH(설정!$B$10,0)))</f>
        <v/>
      </c>
      <c r="J98" s="33">
        <f>IF(OR($U98="",1&gt;=설정!$B$12),"",SUMIFS(매입원본!$AT$8:$AT$1007,매입원본!$AX$8:$AX$1007,INDEX($R$8:$R$207,$U98),매입원본!$BA$8:$BA$1007,"포함",매입원본!$AS$8:$AS$1007,"&gt;="&amp;EDATE(설정!$B$10,1),매입원본!$AS$8:$AS$1007,"&lt;="&amp;EOMONTH(설정!$B$10,1)))</f>
        <v/>
      </c>
      <c r="K98" s="33">
        <f>IF(OR($U98="",2&gt;=설정!$B$12),"",SUMIFS(매입원본!$AT$8:$AT$1007,매입원본!$AX$8:$AX$1007,INDEX($R$8:$R$207,$U98),매입원본!$BA$8:$BA$1007,"포함",매입원본!$AS$8:$AS$1007,"&gt;="&amp;EDATE(설정!$B$10,2),매입원본!$AS$8:$AS$1007,"&lt;="&amp;EOMONTH(설정!$B$10,2)))</f>
        <v/>
      </c>
      <c r="L98" s="33">
        <f>IF(OR($U98="",3&gt;=설정!$B$12),"",SUMIFS(매입원본!$AT$8:$AT$1007,매입원본!$AX$8:$AX$1007,INDEX($R$8:$R$207,$U98),매입원본!$BA$8:$BA$1007,"포함",매입원본!$AS$8:$AS$1007,"&gt;="&amp;EDATE(설정!$B$10,3),매입원본!$AS$8:$AS$1007,"&lt;="&amp;EOMONTH(설정!$B$10,3)))</f>
        <v/>
      </c>
      <c r="M98" s="33">
        <f>IF(OR($U98="",4&gt;=설정!$B$12),"",SUMIFS(매입원본!$AT$8:$AT$1007,매입원본!$AX$8:$AX$1007,INDEX($R$8:$R$207,$U98),매입원본!$BA$8:$BA$1007,"포함",매입원본!$AS$8:$AS$1007,"&gt;="&amp;EDATE(설정!$B$10,4),매입원본!$AS$8:$AS$1007,"&lt;="&amp;EOMONTH(설정!$B$10,4)))</f>
        <v/>
      </c>
      <c r="N98" s="33">
        <f>IF(OR($U98="",5&gt;=설정!$B$12),"",SUMIFS(매입원본!$AT$8:$AT$1007,매입원본!$AX$8:$AX$1007,INDEX($R$8:$R$207,$U98),매입원본!$BA$8:$BA$1007,"포함",매입원본!$AS$8:$AS$1007,"&gt;="&amp;EDATE(설정!$B$10,5),매입원본!$AS$8:$AS$1007,"&lt;="&amp;EOMONTH(설정!$B$10,5)))</f>
        <v/>
      </c>
      <c r="Q98" s="35" t="n">
        <v>91</v>
      </c>
      <c r="R98" s="35">
        <f>IFERROR(INDEX(매입원본!$AX$8:$AX$1007,MATCH($Q98,매입원본!$BD$8:$BD$1007,0)),"")</f>
        <v/>
      </c>
      <c r="S98" s="35">
        <f>IF($R98="","",SUMIFS(매입원본!$AT$8:$AT$1007,매입원본!$AX$8:$AX$1007,$R98,매입원본!$BA$8:$BA$1007,"포함"))</f>
        <v/>
      </c>
      <c r="T98" s="35">
        <f>IF($R98="","",$S98-$Q98/100000)</f>
        <v/>
      </c>
      <c r="U98" s="35">
        <f>IFERROR(MATCH(LARGE($T$8:$T$207,91),$T$8:$T$207,0),"")</f>
        <v/>
      </c>
    </row>
    <row r="99">
      <c r="A99" s="32">
        <f>IF($U99="","",92)</f>
        <v/>
      </c>
      <c r="B99" s="10">
        <f>IF($U99="","",IFERROR(INDEX(매입원본!$AZ$8:$AZ$1007,MATCH($U99,매입원본!$BD$8:$BD$1007,0)),""))</f>
        <v/>
      </c>
      <c r="C99" s="10">
        <f>IF($U99="","",IFERROR(INDEX(매입원본!$AY$8:$AY$1007,MATCH($U99,매입원본!$BD$8:$BD$1007,0)),""))</f>
        <v/>
      </c>
      <c r="D99" s="33">
        <f>IF($U99="","",COUNTIFS(매입원본!$AX$8:$AX$1007,INDEX($R$8:$R$207,$U99),매입원본!$BA$8:$BA$1007,"포함"))</f>
        <v/>
      </c>
      <c r="E99" s="33">
        <f>IF($U99="","",SUMIFS(매입원본!$AT$8:$AT$1007,매입원본!$AX$8:$AX$1007,INDEX($R$8:$R$207,$U99),매입원본!$BA$8:$BA$1007,"포함"))</f>
        <v/>
      </c>
      <c r="F99" s="33">
        <f>IF($U99="","",SUMIFS(매입원본!$AU$8:$AU$1007,매입원본!$AX$8:$AX$1007,INDEX($R$8:$R$207,$U99),매입원본!$BA$8:$BA$1007,"포함"))</f>
        <v/>
      </c>
      <c r="G99" s="33">
        <f>IF($U99="","",SUMIFS(매입원본!$AV$8:$AV$1007,매입원본!$AX$8:$AX$1007,INDEX($R$8:$R$207,$U99),매입원본!$BA$8:$BA$1007,"포함"))</f>
        <v/>
      </c>
      <c r="H99" s="34">
        <f>IF(OR($U99="",$E$7=0),"",E99/$E$7)</f>
        <v/>
      </c>
      <c r="I99" s="33">
        <f>IF(OR($U99="",0&gt;=설정!$B$12),"",SUMIFS(매입원본!$AT$8:$AT$1007,매입원본!$AX$8:$AX$1007,INDEX($R$8:$R$207,$U99),매입원본!$BA$8:$BA$1007,"포함",매입원본!$AS$8:$AS$1007,"&gt;="&amp;EDATE(설정!$B$10,0),매입원본!$AS$8:$AS$1007,"&lt;="&amp;EOMONTH(설정!$B$10,0)))</f>
        <v/>
      </c>
      <c r="J99" s="33">
        <f>IF(OR($U99="",1&gt;=설정!$B$12),"",SUMIFS(매입원본!$AT$8:$AT$1007,매입원본!$AX$8:$AX$1007,INDEX($R$8:$R$207,$U99),매입원본!$BA$8:$BA$1007,"포함",매입원본!$AS$8:$AS$1007,"&gt;="&amp;EDATE(설정!$B$10,1),매입원본!$AS$8:$AS$1007,"&lt;="&amp;EOMONTH(설정!$B$10,1)))</f>
        <v/>
      </c>
      <c r="K99" s="33">
        <f>IF(OR($U99="",2&gt;=설정!$B$12),"",SUMIFS(매입원본!$AT$8:$AT$1007,매입원본!$AX$8:$AX$1007,INDEX($R$8:$R$207,$U99),매입원본!$BA$8:$BA$1007,"포함",매입원본!$AS$8:$AS$1007,"&gt;="&amp;EDATE(설정!$B$10,2),매입원본!$AS$8:$AS$1007,"&lt;="&amp;EOMONTH(설정!$B$10,2)))</f>
        <v/>
      </c>
      <c r="L99" s="33">
        <f>IF(OR($U99="",3&gt;=설정!$B$12),"",SUMIFS(매입원본!$AT$8:$AT$1007,매입원본!$AX$8:$AX$1007,INDEX($R$8:$R$207,$U99),매입원본!$BA$8:$BA$1007,"포함",매입원본!$AS$8:$AS$1007,"&gt;="&amp;EDATE(설정!$B$10,3),매입원본!$AS$8:$AS$1007,"&lt;="&amp;EOMONTH(설정!$B$10,3)))</f>
        <v/>
      </c>
      <c r="M99" s="33">
        <f>IF(OR($U99="",4&gt;=설정!$B$12),"",SUMIFS(매입원본!$AT$8:$AT$1007,매입원본!$AX$8:$AX$1007,INDEX($R$8:$R$207,$U99),매입원본!$BA$8:$BA$1007,"포함",매입원본!$AS$8:$AS$1007,"&gt;="&amp;EDATE(설정!$B$10,4),매입원본!$AS$8:$AS$1007,"&lt;="&amp;EOMONTH(설정!$B$10,4)))</f>
        <v/>
      </c>
      <c r="N99" s="33">
        <f>IF(OR($U99="",5&gt;=설정!$B$12),"",SUMIFS(매입원본!$AT$8:$AT$1007,매입원본!$AX$8:$AX$1007,INDEX($R$8:$R$207,$U99),매입원본!$BA$8:$BA$1007,"포함",매입원본!$AS$8:$AS$1007,"&gt;="&amp;EDATE(설정!$B$10,5),매입원본!$AS$8:$AS$1007,"&lt;="&amp;EOMONTH(설정!$B$10,5)))</f>
        <v/>
      </c>
      <c r="Q99" s="35" t="n">
        <v>92</v>
      </c>
      <c r="R99" s="35">
        <f>IFERROR(INDEX(매입원본!$AX$8:$AX$1007,MATCH($Q99,매입원본!$BD$8:$BD$1007,0)),"")</f>
        <v/>
      </c>
      <c r="S99" s="35">
        <f>IF($R99="","",SUMIFS(매입원본!$AT$8:$AT$1007,매입원본!$AX$8:$AX$1007,$R99,매입원본!$BA$8:$BA$1007,"포함"))</f>
        <v/>
      </c>
      <c r="T99" s="35">
        <f>IF($R99="","",$S99-$Q99/100000)</f>
        <v/>
      </c>
      <c r="U99" s="35">
        <f>IFERROR(MATCH(LARGE($T$8:$T$207,92),$T$8:$T$207,0),"")</f>
        <v/>
      </c>
    </row>
    <row r="100">
      <c r="A100" s="32">
        <f>IF($U100="","",93)</f>
        <v/>
      </c>
      <c r="B100" s="10">
        <f>IF($U100="","",IFERROR(INDEX(매입원본!$AZ$8:$AZ$1007,MATCH($U100,매입원본!$BD$8:$BD$1007,0)),""))</f>
        <v/>
      </c>
      <c r="C100" s="10">
        <f>IF($U100="","",IFERROR(INDEX(매입원본!$AY$8:$AY$1007,MATCH($U100,매입원본!$BD$8:$BD$1007,0)),""))</f>
        <v/>
      </c>
      <c r="D100" s="33">
        <f>IF($U100="","",COUNTIFS(매입원본!$AX$8:$AX$1007,INDEX($R$8:$R$207,$U100),매입원본!$BA$8:$BA$1007,"포함"))</f>
        <v/>
      </c>
      <c r="E100" s="33">
        <f>IF($U100="","",SUMIFS(매입원본!$AT$8:$AT$1007,매입원본!$AX$8:$AX$1007,INDEX($R$8:$R$207,$U100),매입원본!$BA$8:$BA$1007,"포함"))</f>
        <v/>
      </c>
      <c r="F100" s="33">
        <f>IF($U100="","",SUMIFS(매입원본!$AU$8:$AU$1007,매입원본!$AX$8:$AX$1007,INDEX($R$8:$R$207,$U100),매입원본!$BA$8:$BA$1007,"포함"))</f>
        <v/>
      </c>
      <c r="G100" s="33">
        <f>IF($U100="","",SUMIFS(매입원본!$AV$8:$AV$1007,매입원본!$AX$8:$AX$1007,INDEX($R$8:$R$207,$U100),매입원본!$BA$8:$BA$1007,"포함"))</f>
        <v/>
      </c>
      <c r="H100" s="34">
        <f>IF(OR($U100="",$E$7=0),"",E100/$E$7)</f>
        <v/>
      </c>
      <c r="I100" s="33">
        <f>IF(OR($U100="",0&gt;=설정!$B$12),"",SUMIFS(매입원본!$AT$8:$AT$1007,매입원본!$AX$8:$AX$1007,INDEX($R$8:$R$207,$U100),매입원본!$BA$8:$BA$1007,"포함",매입원본!$AS$8:$AS$1007,"&gt;="&amp;EDATE(설정!$B$10,0),매입원본!$AS$8:$AS$1007,"&lt;="&amp;EOMONTH(설정!$B$10,0)))</f>
        <v/>
      </c>
      <c r="J100" s="33">
        <f>IF(OR($U100="",1&gt;=설정!$B$12),"",SUMIFS(매입원본!$AT$8:$AT$1007,매입원본!$AX$8:$AX$1007,INDEX($R$8:$R$207,$U100),매입원본!$BA$8:$BA$1007,"포함",매입원본!$AS$8:$AS$1007,"&gt;="&amp;EDATE(설정!$B$10,1),매입원본!$AS$8:$AS$1007,"&lt;="&amp;EOMONTH(설정!$B$10,1)))</f>
        <v/>
      </c>
      <c r="K100" s="33">
        <f>IF(OR($U100="",2&gt;=설정!$B$12),"",SUMIFS(매입원본!$AT$8:$AT$1007,매입원본!$AX$8:$AX$1007,INDEX($R$8:$R$207,$U100),매입원본!$BA$8:$BA$1007,"포함",매입원본!$AS$8:$AS$1007,"&gt;="&amp;EDATE(설정!$B$10,2),매입원본!$AS$8:$AS$1007,"&lt;="&amp;EOMONTH(설정!$B$10,2)))</f>
        <v/>
      </c>
      <c r="L100" s="33">
        <f>IF(OR($U100="",3&gt;=설정!$B$12),"",SUMIFS(매입원본!$AT$8:$AT$1007,매입원본!$AX$8:$AX$1007,INDEX($R$8:$R$207,$U100),매입원본!$BA$8:$BA$1007,"포함",매입원본!$AS$8:$AS$1007,"&gt;="&amp;EDATE(설정!$B$10,3),매입원본!$AS$8:$AS$1007,"&lt;="&amp;EOMONTH(설정!$B$10,3)))</f>
        <v/>
      </c>
      <c r="M100" s="33">
        <f>IF(OR($U100="",4&gt;=설정!$B$12),"",SUMIFS(매입원본!$AT$8:$AT$1007,매입원본!$AX$8:$AX$1007,INDEX($R$8:$R$207,$U100),매입원본!$BA$8:$BA$1007,"포함",매입원본!$AS$8:$AS$1007,"&gt;="&amp;EDATE(설정!$B$10,4),매입원본!$AS$8:$AS$1007,"&lt;="&amp;EOMONTH(설정!$B$10,4)))</f>
        <v/>
      </c>
      <c r="N100" s="33">
        <f>IF(OR($U100="",5&gt;=설정!$B$12),"",SUMIFS(매입원본!$AT$8:$AT$1007,매입원본!$AX$8:$AX$1007,INDEX($R$8:$R$207,$U100),매입원본!$BA$8:$BA$1007,"포함",매입원본!$AS$8:$AS$1007,"&gt;="&amp;EDATE(설정!$B$10,5),매입원본!$AS$8:$AS$1007,"&lt;="&amp;EOMONTH(설정!$B$10,5)))</f>
        <v/>
      </c>
      <c r="Q100" s="35" t="n">
        <v>93</v>
      </c>
      <c r="R100" s="35">
        <f>IFERROR(INDEX(매입원본!$AX$8:$AX$1007,MATCH($Q100,매입원본!$BD$8:$BD$1007,0)),"")</f>
        <v/>
      </c>
      <c r="S100" s="35">
        <f>IF($R100="","",SUMIFS(매입원본!$AT$8:$AT$1007,매입원본!$AX$8:$AX$1007,$R100,매입원본!$BA$8:$BA$1007,"포함"))</f>
        <v/>
      </c>
      <c r="T100" s="35">
        <f>IF($R100="","",$S100-$Q100/100000)</f>
        <v/>
      </c>
      <c r="U100" s="35">
        <f>IFERROR(MATCH(LARGE($T$8:$T$207,93),$T$8:$T$207,0),"")</f>
        <v/>
      </c>
    </row>
    <row r="101">
      <c r="A101" s="32">
        <f>IF($U101="","",94)</f>
        <v/>
      </c>
      <c r="B101" s="10">
        <f>IF($U101="","",IFERROR(INDEX(매입원본!$AZ$8:$AZ$1007,MATCH($U101,매입원본!$BD$8:$BD$1007,0)),""))</f>
        <v/>
      </c>
      <c r="C101" s="10">
        <f>IF($U101="","",IFERROR(INDEX(매입원본!$AY$8:$AY$1007,MATCH($U101,매입원본!$BD$8:$BD$1007,0)),""))</f>
        <v/>
      </c>
      <c r="D101" s="33">
        <f>IF($U101="","",COUNTIFS(매입원본!$AX$8:$AX$1007,INDEX($R$8:$R$207,$U101),매입원본!$BA$8:$BA$1007,"포함"))</f>
        <v/>
      </c>
      <c r="E101" s="33">
        <f>IF($U101="","",SUMIFS(매입원본!$AT$8:$AT$1007,매입원본!$AX$8:$AX$1007,INDEX($R$8:$R$207,$U101),매입원본!$BA$8:$BA$1007,"포함"))</f>
        <v/>
      </c>
      <c r="F101" s="33">
        <f>IF($U101="","",SUMIFS(매입원본!$AU$8:$AU$1007,매입원본!$AX$8:$AX$1007,INDEX($R$8:$R$207,$U101),매입원본!$BA$8:$BA$1007,"포함"))</f>
        <v/>
      </c>
      <c r="G101" s="33">
        <f>IF($U101="","",SUMIFS(매입원본!$AV$8:$AV$1007,매입원본!$AX$8:$AX$1007,INDEX($R$8:$R$207,$U101),매입원본!$BA$8:$BA$1007,"포함"))</f>
        <v/>
      </c>
      <c r="H101" s="34">
        <f>IF(OR($U101="",$E$7=0),"",E101/$E$7)</f>
        <v/>
      </c>
      <c r="I101" s="33">
        <f>IF(OR($U101="",0&gt;=설정!$B$12),"",SUMIFS(매입원본!$AT$8:$AT$1007,매입원본!$AX$8:$AX$1007,INDEX($R$8:$R$207,$U101),매입원본!$BA$8:$BA$1007,"포함",매입원본!$AS$8:$AS$1007,"&gt;="&amp;EDATE(설정!$B$10,0),매입원본!$AS$8:$AS$1007,"&lt;="&amp;EOMONTH(설정!$B$10,0)))</f>
        <v/>
      </c>
      <c r="J101" s="33">
        <f>IF(OR($U101="",1&gt;=설정!$B$12),"",SUMIFS(매입원본!$AT$8:$AT$1007,매입원본!$AX$8:$AX$1007,INDEX($R$8:$R$207,$U101),매입원본!$BA$8:$BA$1007,"포함",매입원본!$AS$8:$AS$1007,"&gt;="&amp;EDATE(설정!$B$10,1),매입원본!$AS$8:$AS$1007,"&lt;="&amp;EOMONTH(설정!$B$10,1)))</f>
        <v/>
      </c>
      <c r="K101" s="33">
        <f>IF(OR($U101="",2&gt;=설정!$B$12),"",SUMIFS(매입원본!$AT$8:$AT$1007,매입원본!$AX$8:$AX$1007,INDEX($R$8:$R$207,$U101),매입원본!$BA$8:$BA$1007,"포함",매입원본!$AS$8:$AS$1007,"&gt;="&amp;EDATE(설정!$B$10,2),매입원본!$AS$8:$AS$1007,"&lt;="&amp;EOMONTH(설정!$B$10,2)))</f>
        <v/>
      </c>
      <c r="L101" s="33">
        <f>IF(OR($U101="",3&gt;=설정!$B$12),"",SUMIFS(매입원본!$AT$8:$AT$1007,매입원본!$AX$8:$AX$1007,INDEX($R$8:$R$207,$U101),매입원본!$BA$8:$BA$1007,"포함",매입원본!$AS$8:$AS$1007,"&gt;="&amp;EDATE(설정!$B$10,3),매입원본!$AS$8:$AS$1007,"&lt;="&amp;EOMONTH(설정!$B$10,3)))</f>
        <v/>
      </c>
      <c r="M101" s="33">
        <f>IF(OR($U101="",4&gt;=설정!$B$12),"",SUMIFS(매입원본!$AT$8:$AT$1007,매입원본!$AX$8:$AX$1007,INDEX($R$8:$R$207,$U101),매입원본!$BA$8:$BA$1007,"포함",매입원본!$AS$8:$AS$1007,"&gt;="&amp;EDATE(설정!$B$10,4),매입원본!$AS$8:$AS$1007,"&lt;="&amp;EOMONTH(설정!$B$10,4)))</f>
        <v/>
      </c>
      <c r="N101" s="33">
        <f>IF(OR($U101="",5&gt;=설정!$B$12),"",SUMIFS(매입원본!$AT$8:$AT$1007,매입원본!$AX$8:$AX$1007,INDEX($R$8:$R$207,$U101),매입원본!$BA$8:$BA$1007,"포함",매입원본!$AS$8:$AS$1007,"&gt;="&amp;EDATE(설정!$B$10,5),매입원본!$AS$8:$AS$1007,"&lt;="&amp;EOMONTH(설정!$B$10,5)))</f>
        <v/>
      </c>
      <c r="Q101" s="35" t="n">
        <v>94</v>
      </c>
      <c r="R101" s="35">
        <f>IFERROR(INDEX(매입원본!$AX$8:$AX$1007,MATCH($Q101,매입원본!$BD$8:$BD$1007,0)),"")</f>
        <v/>
      </c>
      <c r="S101" s="35">
        <f>IF($R101="","",SUMIFS(매입원본!$AT$8:$AT$1007,매입원본!$AX$8:$AX$1007,$R101,매입원본!$BA$8:$BA$1007,"포함"))</f>
        <v/>
      </c>
      <c r="T101" s="35">
        <f>IF($R101="","",$S101-$Q101/100000)</f>
        <v/>
      </c>
      <c r="U101" s="35">
        <f>IFERROR(MATCH(LARGE($T$8:$T$207,94),$T$8:$T$207,0),"")</f>
        <v/>
      </c>
    </row>
    <row r="102">
      <c r="A102" s="32">
        <f>IF($U102="","",95)</f>
        <v/>
      </c>
      <c r="B102" s="10">
        <f>IF($U102="","",IFERROR(INDEX(매입원본!$AZ$8:$AZ$1007,MATCH($U102,매입원본!$BD$8:$BD$1007,0)),""))</f>
        <v/>
      </c>
      <c r="C102" s="10">
        <f>IF($U102="","",IFERROR(INDEX(매입원본!$AY$8:$AY$1007,MATCH($U102,매입원본!$BD$8:$BD$1007,0)),""))</f>
        <v/>
      </c>
      <c r="D102" s="33">
        <f>IF($U102="","",COUNTIFS(매입원본!$AX$8:$AX$1007,INDEX($R$8:$R$207,$U102),매입원본!$BA$8:$BA$1007,"포함"))</f>
        <v/>
      </c>
      <c r="E102" s="33">
        <f>IF($U102="","",SUMIFS(매입원본!$AT$8:$AT$1007,매입원본!$AX$8:$AX$1007,INDEX($R$8:$R$207,$U102),매입원본!$BA$8:$BA$1007,"포함"))</f>
        <v/>
      </c>
      <c r="F102" s="33">
        <f>IF($U102="","",SUMIFS(매입원본!$AU$8:$AU$1007,매입원본!$AX$8:$AX$1007,INDEX($R$8:$R$207,$U102),매입원본!$BA$8:$BA$1007,"포함"))</f>
        <v/>
      </c>
      <c r="G102" s="33">
        <f>IF($U102="","",SUMIFS(매입원본!$AV$8:$AV$1007,매입원본!$AX$8:$AX$1007,INDEX($R$8:$R$207,$U102),매입원본!$BA$8:$BA$1007,"포함"))</f>
        <v/>
      </c>
      <c r="H102" s="34">
        <f>IF(OR($U102="",$E$7=0),"",E102/$E$7)</f>
        <v/>
      </c>
      <c r="I102" s="33">
        <f>IF(OR($U102="",0&gt;=설정!$B$12),"",SUMIFS(매입원본!$AT$8:$AT$1007,매입원본!$AX$8:$AX$1007,INDEX($R$8:$R$207,$U102),매입원본!$BA$8:$BA$1007,"포함",매입원본!$AS$8:$AS$1007,"&gt;="&amp;EDATE(설정!$B$10,0),매입원본!$AS$8:$AS$1007,"&lt;="&amp;EOMONTH(설정!$B$10,0)))</f>
        <v/>
      </c>
      <c r="J102" s="33">
        <f>IF(OR($U102="",1&gt;=설정!$B$12),"",SUMIFS(매입원본!$AT$8:$AT$1007,매입원본!$AX$8:$AX$1007,INDEX($R$8:$R$207,$U102),매입원본!$BA$8:$BA$1007,"포함",매입원본!$AS$8:$AS$1007,"&gt;="&amp;EDATE(설정!$B$10,1),매입원본!$AS$8:$AS$1007,"&lt;="&amp;EOMONTH(설정!$B$10,1)))</f>
        <v/>
      </c>
      <c r="K102" s="33">
        <f>IF(OR($U102="",2&gt;=설정!$B$12),"",SUMIFS(매입원본!$AT$8:$AT$1007,매입원본!$AX$8:$AX$1007,INDEX($R$8:$R$207,$U102),매입원본!$BA$8:$BA$1007,"포함",매입원본!$AS$8:$AS$1007,"&gt;="&amp;EDATE(설정!$B$10,2),매입원본!$AS$8:$AS$1007,"&lt;="&amp;EOMONTH(설정!$B$10,2)))</f>
        <v/>
      </c>
      <c r="L102" s="33">
        <f>IF(OR($U102="",3&gt;=설정!$B$12),"",SUMIFS(매입원본!$AT$8:$AT$1007,매입원본!$AX$8:$AX$1007,INDEX($R$8:$R$207,$U102),매입원본!$BA$8:$BA$1007,"포함",매입원본!$AS$8:$AS$1007,"&gt;="&amp;EDATE(설정!$B$10,3),매입원본!$AS$8:$AS$1007,"&lt;="&amp;EOMONTH(설정!$B$10,3)))</f>
        <v/>
      </c>
      <c r="M102" s="33">
        <f>IF(OR($U102="",4&gt;=설정!$B$12),"",SUMIFS(매입원본!$AT$8:$AT$1007,매입원본!$AX$8:$AX$1007,INDEX($R$8:$R$207,$U102),매입원본!$BA$8:$BA$1007,"포함",매입원본!$AS$8:$AS$1007,"&gt;="&amp;EDATE(설정!$B$10,4),매입원본!$AS$8:$AS$1007,"&lt;="&amp;EOMONTH(설정!$B$10,4)))</f>
        <v/>
      </c>
      <c r="N102" s="33">
        <f>IF(OR($U102="",5&gt;=설정!$B$12),"",SUMIFS(매입원본!$AT$8:$AT$1007,매입원본!$AX$8:$AX$1007,INDEX($R$8:$R$207,$U102),매입원본!$BA$8:$BA$1007,"포함",매입원본!$AS$8:$AS$1007,"&gt;="&amp;EDATE(설정!$B$10,5),매입원본!$AS$8:$AS$1007,"&lt;="&amp;EOMONTH(설정!$B$10,5)))</f>
        <v/>
      </c>
      <c r="Q102" s="35" t="n">
        <v>95</v>
      </c>
      <c r="R102" s="35">
        <f>IFERROR(INDEX(매입원본!$AX$8:$AX$1007,MATCH($Q102,매입원본!$BD$8:$BD$1007,0)),"")</f>
        <v/>
      </c>
      <c r="S102" s="35">
        <f>IF($R102="","",SUMIFS(매입원본!$AT$8:$AT$1007,매입원본!$AX$8:$AX$1007,$R102,매입원본!$BA$8:$BA$1007,"포함"))</f>
        <v/>
      </c>
      <c r="T102" s="35">
        <f>IF($R102="","",$S102-$Q102/100000)</f>
        <v/>
      </c>
      <c r="U102" s="35">
        <f>IFERROR(MATCH(LARGE($T$8:$T$207,95),$T$8:$T$207,0),"")</f>
        <v/>
      </c>
    </row>
    <row r="103">
      <c r="A103" s="32">
        <f>IF($U103="","",96)</f>
        <v/>
      </c>
      <c r="B103" s="10">
        <f>IF($U103="","",IFERROR(INDEX(매입원본!$AZ$8:$AZ$1007,MATCH($U103,매입원본!$BD$8:$BD$1007,0)),""))</f>
        <v/>
      </c>
      <c r="C103" s="10">
        <f>IF($U103="","",IFERROR(INDEX(매입원본!$AY$8:$AY$1007,MATCH($U103,매입원본!$BD$8:$BD$1007,0)),""))</f>
        <v/>
      </c>
      <c r="D103" s="33">
        <f>IF($U103="","",COUNTIFS(매입원본!$AX$8:$AX$1007,INDEX($R$8:$R$207,$U103),매입원본!$BA$8:$BA$1007,"포함"))</f>
        <v/>
      </c>
      <c r="E103" s="33">
        <f>IF($U103="","",SUMIFS(매입원본!$AT$8:$AT$1007,매입원본!$AX$8:$AX$1007,INDEX($R$8:$R$207,$U103),매입원본!$BA$8:$BA$1007,"포함"))</f>
        <v/>
      </c>
      <c r="F103" s="33">
        <f>IF($U103="","",SUMIFS(매입원본!$AU$8:$AU$1007,매입원본!$AX$8:$AX$1007,INDEX($R$8:$R$207,$U103),매입원본!$BA$8:$BA$1007,"포함"))</f>
        <v/>
      </c>
      <c r="G103" s="33">
        <f>IF($U103="","",SUMIFS(매입원본!$AV$8:$AV$1007,매입원본!$AX$8:$AX$1007,INDEX($R$8:$R$207,$U103),매입원본!$BA$8:$BA$1007,"포함"))</f>
        <v/>
      </c>
      <c r="H103" s="34">
        <f>IF(OR($U103="",$E$7=0),"",E103/$E$7)</f>
        <v/>
      </c>
      <c r="I103" s="33">
        <f>IF(OR($U103="",0&gt;=설정!$B$12),"",SUMIFS(매입원본!$AT$8:$AT$1007,매입원본!$AX$8:$AX$1007,INDEX($R$8:$R$207,$U103),매입원본!$BA$8:$BA$1007,"포함",매입원본!$AS$8:$AS$1007,"&gt;="&amp;EDATE(설정!$B$10,0),매입원본!$AS$8:$AS$1007,"&lt;="&amp;EOMONTH(설정!$B$10,0)))</f>
        <v/>
      </c>
      <c r="J103" s="33">
        <f>IF(OR($U103="",1&gt;=설정!$B$12),"",SUMIFS(매입원본!$AT$8:$AT$1007,매입원본!$AX$8:$AX$1007,INDEX($R$8:$R$207,$U103),매입원본!$BA$8:$BA$1007,"포함",매입원본!$AS$8:$AS$1007,"&gt;="&amp;EDATE(설정!$B$10,1),매입원본!$AS$8:$AS$1007,"&lt;="&amp;EOMONTH(설정!$B$10,1)))</f>
        <v/>
      </c>
      <c r="K103" s="33">
        <f>IF(OR($U103="",2&gt;=설정!$B$12),"",SUMIFS(매입원본!$AT$8:$AT$1007,매입원본!$AX$8:$AX$1007,INDEX($R$8:$R$207,$U103),매입원본!$BA$8:$BA$1007,"포함",매입원본!$AS$8:$AS$1007,"&gt;="&amp;EDATE(설정!$B$10,2),매입원본!$AS$8:$AS$1007,"&lt;="&amp;EOMONTH(설정!$B$10,2)))</f>
        <v/>
      </c>
      <c r="L103" s="33">
        <f>IF(OR($U103="",3&gt;=설정!$B$12),"",SUMIFS(매입원본!$AT$8:$AT$1007,매입원본!$AX$8:$AX$1007,INDEX($R$8:$R$207,$U103),매입원본!$BA$8:$BA$1007,"포함",매입원본!$AS$8:$AS$1007,"&gt;="&amp;EDATE(설정!$B$10,3),매입원본!$AS$8:$AS$1007,"&lt;="&amp;EOMONTH(설정!$B$10,3)))</f>
        <v/>
      </c>
      <c r="M103" s="33">
        <f>IF(OR($U103="",4&gt;=설정!$B$12),"",SUMIFS(매입원본!$AT$8:$AT$1007,매입원본!$AX$8:$AX$1007,INDEX($R$8:$R$207,$U103),매입원본!$BA$8:$BA$1007,"포함",매입원본!$AS$8:$AS$1007,"&gt;="&amp;EDATE(설정!$B$10,4),매입원본!$AS$8:$AS$1007,"&lt;="&amp;EOMONTH(설정!$B$10,4)))</f>
        <v/>
      </c>
      <c r="N103" s="33">
        <f>IF(OR($U103="",5&gt;=설정!$B$12),"",SUMIFS(매입원본!$AT$8:$AT$1007,매입원본!$AX$8:$AX$1007,INDEX($R$8:$R$207,$U103),매입원본!$BA$8:$BA$1007,"포함",매입원본!$AS$8:$AS$1007,"&gt;="&amp;EDATE(설정!$B$10,5),매입원본!$AS$8:$AS$1007,"&lt;="&amp;EOMONTH(설정!$B$10,5)))</f>
        <v/>
      </c>
      <c r="Q103" s="35" t="n">
        <v>96</v>
      </c>
      <c r="R103" s="35">
        <f>IFERROR(INDEX(매입원본!$AX$8:$AX$1007,MATCH($Q103,매입원본!$BD$8:$BD$1007,0)),"")</f>
        <v/>
      </c>
      <c r="S103" s="35">
        <f>IF($R103="","",SUMIFS(매입원본!$AT$8:$AT$1007,매입원본!$AX$8:$AX$1007,$R103,매입원본!$BA$8:$BA$1007,"포함"))</f>
        <v/>
      </c>
      <c r="T103" s="35">
        <f>IF($R103="","",$S103-$Q103/100000)</f>
        <v/>
      </c>
      <c r="U103" s="35">
        <f>IFERROR(MATCH(LARGE($T$8:$T$207,96),$T$8:$T$207,0),"")</f>
        <v/>
      </c>
    </row>
    <row r="104">
      <c r="A104" s="32">
        <f>IF($U104="","",97)</f>
        <v/>
      </c>
      <c r="B104" s="10">
        <f>IF($U104="","",IFERROR(INDEX(매입원본!$AZ$8:$AZ$1007,MATCH($U104,매입원본!$BD$8:$BD$1007,0)),""))</f>
        <v/>
      </c>
      <c r="C104" s="10">
        <f>IF($U104="","",IFERROR(INDEX(매입원본!$AY$8:$AY$1007,MATCH($U104,매입원본!$BD$8:$BD$1007,0)),""))</f>
        <v/>
      </c>
      <c r="D104" s="33">
        <f>IF($U104="","",COUNTIFS(매입원본!$AX$8:$AX$1007,INDEX($R$8:$R$207,$U104),매입원본!$BA$8:$BA$1007,"포함"))</f>
        <v/>
      </c>
      <c r="E104" s="33">
        <f>IF($U104="","",SUMIFS(매입원본!$AT$8:$AT$1007,매입원본!$AX$8:$AX$1007,INDEX($R$8:$R$207,$U104),매입원본!$BA$8:$BA$1007,"포함"))</f>
        <v/>
      </c>
      <c r="F104" s="33">
        <f>IF($U104="","",SUMIFS(매입원본!$AU$8:$AU$1007,매입원본!$AX$8:$AX$1007,INDEX($R$8:$R$207,$U104),매입원본!$BA$8:$BA$1007,"포함"))</f>
        <v/>
      </c>
      <c r="G104" s="33">
        <f>IF($U104="","",SUMIFS(매입원본!$AV$8:$AV$1007,매입원본!$AX$8:$AX$1007,INDEX($R$8:$R$207,$U104),매입원본!$BA$8:$BA$1007,"포함"))</f>
        <v/>
      </c>
      <c r="H104" s="34">
        <f>IF(OR($U104="",$E$7=0),"",E104/$E$7)</f>
        <v/>
      </c>
      <c r="I104" s="33">
        <f>IF(OR($U104="",0&gt;=설정!$B$12),"",SUMIFS(매입원본!$AT$8:$AT$1007,매입원본!$AX$8:$AX$1007,INDEX($R$8:$R$207,$U104),매입원본!$BA$8:$BA$1007,"포함",매입원본!$AS$8:$AS$1007,"&gt;="&amp;EDATE(설정!$B$10,0),매입원본!$AS$8:$AS$1007,"&lt;="&amp;EOMONTH(설정!$B$10,0)))</f>
        <v/>
      </c>
      <c r="J104" s="33">
        <f>IF(OR($U104="",1&gt;=설정!$B$12),"",SUMIFS(매입원본!$AT$8:$AT$1007,매입원본!$AX$8:$AX$1007,INDEX($R$8:$R$207,$U104),매입원본!$BA$8:$BA$1007,"포함",매입원본!$AS$8:$AS$1007,"&gt;="&amp;EDATE(설정!$B$10,1),매입원본!$AS$8:$AS$1007,"&lt;="&amp;EOMONTH(설정!$B$10,1)))</f>
        <v/>
      </c>
      <c r="K104" s="33">
        <f>IF(OR($U104="",2&gt;=설정!$B$12),"",SUMIFS(매입원본!$AT$8:$AT$1007,매입원본!$AX$8:$AX$1007,INDEX($R$8:$R$207,$U104),매입원본!$BA$8:$BA$1007,"포함",매입원본!$AS$8:$AS$1007,"&gt;="&amp;EDATE(설정!$B$10,2),매입원본!$AS$8:$AS$1007,"&lt;="&amp;EOMONTH(설정!$B$10,2)))</f>
        <v/>
      </c>
      <c r="L104" s="33">
        <f>IF(OR($U104="",3&gt;=설정!$B$12),"",SUMIFS(매입원본!$AT$8:$AT$1007,매입원본!$AX$8:$AX$1007,INDEX($R$8:$R$207,$U104),매입원본!$BA$8:$BA$1007,"포함",매입원본!$AS$8:$AS$1007,"&gt;="&amp;EDATE(설정!$B$10,3),매입원본!$AS$8:$AS$1007,"&lt;="&amp;EOMONTH(설정!$B$10,3)))</f>
        <v/>
      </c>
      <c r="M104" s="33">
        <f>IF(OR($U104="",4&gt;=설정!$B$12),"",SUMIFS(매입원본!$AT$8:$AT$1007,매입원본!$AX$8:$AX$1007,INDEX($R$8:$R$207,$U104),매입원본!$BA$8:$BA$1007,"포함",매입원본!$AS$8:$AS$1007,"&gt;="&amp;EDATE(설정!$B$10,4),매입원본!$AS$8:$AS$1007,"&lt;="&amp;EOMONTH(설정!$B$10,4)))</f>
        <v/>
      </c>
      <c r="N104" s="33">
        <f>IF(OR($U104="",5&gt;=설정!$B$12),"",SUMIFS(매입원본!$AT$8:$AT$1007,매입원본!$AX$8:$AX$1007,INDEX($R$8:$R$207,$U104),매입원본!$BA$8:$BA$1007,"포함",매입원본!$AS$8:$AS$1007,"&gt;="&amp;EDATE(설정!$B$10,5),매입원본!$AS$8:$AS$1007,"&lt;="&amp;EOMONTH(설정!$B$10,5)))</f>
        <v/>
      </c>
      <c r="Q104" s="35" t="n">
        <v>97</v>
      </c>
      <c r="R104" s="35">
        <f>IFERROR(INDEX(매입원본!$AX$8:$AX$1007,MATCH($Q104,매입원본!$BD$8:$BD$1007,0)),"")</f>
        <v/>
      </c>
      <c r="S104" s="35">
        <f>IF($R104="","",SUMIFS(매입원본!$AT$8:$AT$1007,매입원본!$AX$8:$AX$1007,$R104,매입원본!$BA$8:$BA$1007,"포함"))</f>
        <v/>
      </c>
      <c r="T104" s="35">
        <f>IF($R104="","",$S104-$Q104/100000)</f>
        <v/>
      </c>
      <c r="U104" s="35">
        <f>IFERROR(MATCH(LARGE($T$8:$T$207,97),$T$8:$T$207,0),"")</f>
        <v/>
      </c>
    </row>
    <row r="105">
      <c r="A105" s="32">
        <f>IF($U105="","",98)</f>
        <v/>
      </c>
      <c r="B105" s="10">
        <f>IF($U105="","",IFERROR(INDEX(매입원본!$AZ$8:$AZ$1007,MATCH($U105,매입원본!$BD$8:$BD$1007,0)),""))</f>
        <v/>
      </c>
      <c r="C105" s="10">
        <f>IF($U105="","",IFERROR(INDEX(매입원본!$AY$8:$AY$1007,MATCH($U105,매입원본!$BD$8:$BD$1007,0)),""))</f>
        <v/>
      </c>
      <c r="D105" s="33">
        <f>IF($U105="","",COUNTIFS(매입원본!$AX$8:$AX$1007,INDEX($R$8:$R$207,$U105),매입원본!$BA$8:$BA$1007,"포함"))</f>
        <v/>
      </c>
      <c r="E105" s="33">
        <f>IF($U105="","",SUMIFS(매입원본!$AT$8:$AT$1007,매입원본!$AX$8:$AX$1007,INDEX($R$8:$R$207,$U105),매입원본!$BA$8:$BA$1007,"포함"))</f>
        <v/>
      </c>
      <c r="F105" s="33">
        <f>IF($U105="","",SUMIFS(매입원본!$AU$8:$AU$1007,매입원본!$AX$8:$AX$1007,INDEX($R$8:$R$207,$U105),매입원본!$BA$8:$BA$1007,"포함"))</f>
        <v/>
      </c>
      <c r="G105" s="33">
        <f>IF($U105="","",SUMIFS(매입원본!$AV$8:$AV$1007,매입원본!$AX$8:$AX$1007,INDEX($R$8:$R$207,$U105),매입원본!$BA$8:$BA$1007,"포함"))</f>
        <v/>
      </c>
      <c r="H105" s="34">
        <f>IF(OR($U105="",$E$7=0),"",E105/$E$7)</f>
        <v/>
      </c>
      <c r="I105" s="33">
        <f>IF(OR($U105="",0&gt;=설정!$B$12),"",SUMIFS(매입원본!$AT$8:$AT$1007,매입원본!$AX$8:$AX$1007,INDEX($R$8:$R$207,$U105),매입원본!$BA$8:$BA$1007,"포함",매입원본!$AS$8:$AS$1007,"&gt;="&amp;EDATE(설정!$B$10,0),매입원본!$AS$8:$AS$1007,"&lt;="&amp;EOMONTH(설정!$B$10,0)))</f>
        <v/>
      </c>
      <c r="J105" s="33">
        <f>IF(OR($U105="",1&gt;=설정!$B$12),"",SUMIFS(매입원본!$AT$8:$AT$1007,매입원본!$AX$8:$AX$1007,INDEX($R$8:$R$207,$U105),매입원본!$BA$8:$BA$1007,"포함",매입원본!$AS$8:$AS$1007,"&gt;="&amp;EDATE(설정!$B$10,1),매입원본!$AS$8:$AS$1007,"&lt;="&amp;EOMONTH(설정!$B$10,1)))</f>
        <v/>
      </c>
      <c r="K105" s="33">
        <f>IF(OR($U105="",2&gt;=설정!$B$12),"",SUMIFS(매입원본!$AT$8:$AT$1007,매입원본!$AX$8:$AX$1007,INDEX($R$8:$R$207,$U105),매입원본!$BA$8:$BA$1007,"포함",매입원본!$AS$8:$AS$1007,"&gt;="&amp;EDATE(설정!$B$10,2),매입원본!$AS$8:$AS$1007,"&lt;="&amp;EOMONTH(설정!$B$10,2)))</f>
        <v/>
      </c>
      <c r="L105" s="33">
        <f>IF(OR($U105="",3&gt;=설정!$B$12),"",SUMIFS(매입원본!$AT$8:$AT$1007,매입원본!$AX$8:$AX$1007,INDEX($R$8:$R$207,$U105),매입원본!$BA$8:$BA$1007,"포함",매입원본!$AS$8:$AS$1007,"&gt;="&amp;EDATE(설정!$B$10,3),매입원본!$AS$8:$AS$1007,"&lt;="&amp;EOMONTH(설정!$B$10,3)))</f>
        <v/>
      </c>
      <c r="M105" s="33">
        <f>IF(OR($U105="",4&gt;=설정!$B$12),"",SUMIFS(매입원본!$AT$8:$AT$1007,매입원본!$AX$8:$AX$1007,INDEX($R$8:$R$207,$U105),매입원본!$BA$8:$BA$1007,"포함",매입원본!$AS$8:$AS$1007,"&gt;="&amp;EDATE(설정!$B$10,4),매입원본!$AS$8:$AS$1007,"&lt;="&amp;EOMONTH(설정!$B$10,4)))</f>
        <v/>
      </c>
      <c r="N105" s="33">
        <f>IF(OR($U105="",5&gt;=설정!$B$12),"",SUMIFS(매입원본!$AT$8:$AT$1007,매입원본!$AX$8:$AX$1007,INDEX($R$8:$R$207,$U105),매입원본!$BA$8:$BA$1007,"포함",매입원본!$AS$8:$AS$1007,"&gt;="&amp;EDATE(설정!$B$10,5),매입원본!$AS$8:$AS$1007,"&lt;="&amp;EOMONTH(설정!$B$10,5)))</f>
        <v/>
      </c>
      <c r="Q105" s="35" t="n">
        <v>98</v>
      </c>
      <c r="R105" s="35">
        <f>IFERROR(INDEX(매입원본!$AX$8:$AX$1007,MATCH($Q105,매입원본!$BD$8:$BD$1007,0)),"")</f>
        <v/>
      </c>
      <c r="S105" s="35">
        <f>IF($R105="","",SUMIFS(매입원본!$AT$8:$AT$1007,매입원본!$AX$8:$AX$1007,$R105,매입원본!$BA$8:$BA$1007,"포함"))</f>
        <v/>
      </c>
      <c r="T105" s="35">
        <f>IF($R105="","",$S105-$Q105/100000)</f>
        <v/>
      </c>
      <c r="U105" s="35">
        <f>IFERROR(MATCH(LARGE($T$8:$T$207,98),$T$8:$T$207,0),"")</f>
        <v/>
      </c>
    </row>
    <row r="106">
      <c r="A106" s="32">
        <f>IF($U106="","",99)</f>
        <v/>
      </c>
      <c r="B106" s="10">
        <f>IF($U106="","",IFERROR(INDEX(매입원본!$AZ$8:$AZ$1007,MATCH($U106,매입원본!$BD$8:$BD$1007,0)),""))</f>
        <v/>
      </c>
      <c r="C106" s="10">
        <f>IF($U106="","",IFERROR(INDEX(매입원본!$AY$8:$AY$1007,MATCH($U106,매입원본!$BD$8:$BD$1007,0)),""))</f>
        <v/>
      </c>
      <c r="D106" s="33">
        <f>IF($U106="","",COUNTIFS(매입원본!$AX$8:$AX$1007,INDEX($R$8:$R$207,$U106),매입원본!$BA$8:$BA$1007,"포함"))</f>
        <v/>
      </c>
      <c r="E106" s="33">
        <f>IF($U106="","",SUMIFS(매입원본!$AT$8:$AT$1007,매입원본!$AX$8:$AX$1007,INDEX($R$8:$R$207,$U106),매입원본!$BA$8:$BA$1007,"포함"))</f>
        <v/>
      </c>
      <c r="F106" s="33">
        <f>IF($U106="","",SUMIFS(매입원본!$AU$8:$AU$1007,매입원본!$AX$8:$AX$1007,INDEX($R$8:$R$207,$U106),매입원본!$BA$8:$BA$1007,"포함"))</f>
        <v/>
      </c>
      <c r="G106" s="33">
        <f>IF($U106="","",SUMIFS(매입원본!$AV$8:$AV$1007,매입원본!$AX$8:$AX$1007,INDEX($R$8:$R$207,$U106),매입원본!$BA$8:$BA$1007,"포함"))</f>
        <v/>
      </c>
      <c r="H106" s="34">
        <f>IF(OR($U106="",$E$7=0),"",E106/$E$7)</f>
        <v/>
      </c>
      <c r="I106" s="33">
        <f>IF(OR($U106="",0&gt;=설정!$B$12),"",SUMIFS(매입원본!$AT$8:$AT$1007,매입원본!$AX$8:$AX$1007,INDEX($R$8:$R$207,$U106),매입원본!$BA$8:$BA$1007,"포함",매입원본!$AS$8:$AS$1007,"&gt;="&amp;EDATE(설정!$B$10,0),매입원본!$AS$8:$AS$1007,"&lt;="&amp;EOMONTH(설정!$B$10,0)))</f>
        <v/>
      </c>
      <c r="J106" s="33">
        <f>IF(OR($U106="",1&gt;=설정!$B$12),"",SUMIFS(매입원본!$AT$8:$AT$1007,매입원본!$AX$8:$AX$1007,INDEX($R$8:$R$207,$U106),매입원본!$BA$8:$BA$1007,"포함",매입원본!$AS$8:$AS$1007,"&gt;="&amp;EDATE(설정!$B$10,1),매입원본!$AS$8:$AS$1007,"&lt;="&amp;EOMONTH(설정!$B$10,1)))</f>
        <v/>
      </c>
      <c r="K106" s="33">
        <f>IF(OR($U106="",2&gt;=설정!$B$12),"",SUMIFS(매입원본!$AT$8:$AT$1007,매입원본!$AX$8:$AX$1007,INDEX($R$8:$R$207,$U106),매입원본!$BA$8:$BA$1007,"포함",매입원본!$AS$8:$AS$1007,"&gt;="&amp;EDATE(설정!$B$10,2),매입원본!$AS$8:$AS$1007,"&lt;="&amp;EOMONTH(설정!$B$10,2)))</f>
        <v/>
      </c>
      <c r="L106" s="33">
        <f>IF(OR($U106="",3&gt;=설정!$B$12),"",SUMIFS(매입원본!$AT$8:$AT$1007,매입원본!$AX$8:$AX$1007,INDEX($R$8:$R$207,$U106),매입원본!$BA$8:$BA$1007,"포함",매입원본!$AS$8:$AS$1007,"&gt;="&amp;EDATE(설정!$B$10,3),매입원본!$AS$8:$AS$1007,"&lt;="&amp;EOMONTH(설정!$B$10,3)))</f>
        <v/>
      </c>
      <c r="M106" s="33">
        <f>IF(OR($U106="",4&gt;=설정!$B$12),"",SUMIFS(매입원본!$AT$8:$AT$1007,매입원본!$AX$8:$AX$1007,INDEX($R$8:$R$207,$U106),매입원본!$BA$8:$BA$1007,"포함",매입원본!$AS$8:$AS$1007,"&gt;="&amp;EDATE(설정!$B$10,4),매입원본!$AS$8:$AS$1007,"&lt;="&amp;EOMONTH(설정!$B$10,4)))</f>
        <v/>
      </c>
      <c r="N106" s="33">
        <f>IF(OR($U106="",5&gt;=설정!$B$12),"",SUMIFS(매입원본!$AT$8:$AT$1007,매입원본!$AX$8:$AX$1007,INDEX($R$8:$R$207,$U106),매입원본!$BA$8:$BA$1007,"포함",매입원본!$AS$8:$AS$1007,"&gt;="&amp;EDATE(설정!$B$10,5),매입원본!$AS$8:$AS$1007,"&lt;="&amp;EOMONTH(설정!$B$10,5)))</f>
        <v/>
      </c>
      <c r="Q106" s="35" t="n">
        <v>99</v>
      </c>
      <c r="R106" s="35">
        <f>IFERROR(INDEX(매입원본!$AX$8:$AX$1007,MATCH($Q106,매입원본!$BD$8:$BD$1007,0)),"")</f>
        <v/>
      </c>
      <c r="S106" s="35">
        <f>IF($R106="","",SUMIFS(매입원본!$AT$8:$AT$1007,매입원본!$AX$8:$AX$1007,$R106,매입원본!$BA$8:$BA$1007,"포함"))</f>
        <v/>
      </c>
      <c r="T106" s="35">
        <f>IF($R106="","",$S106-$Q106/100000)</f>
        <v/>
      </c>
      <c r="U106" s="35">
        <f>IFERROR(MATCH(LARGE($T$8:$T$207,99),$T$8:$T$207,0),"")</f>
        <v/>
      </c>
    </row>
    <row r="107">
      <c r="A107" s="32">
        <f>IF($U107="","",100)</f>
        <v/>
      </c>
      <c r="B107" s="10">
        <f>IF($U107="","",IFERROR(INDEX(매입원본!$AZ$8:$AZ$1007,MATCH($U107,매입원본!$BD$8:$BD$1007,0)),""))</f>
        <v/>
      </c>
      <c r="C107" s="10">
        <f>IF($U107="","",IFERROR(INDEX(매입원본!$AY$8:$AY$1007,MATCH($U107,매입원본!$BD$8:$BD$1007,0)),""))</f>
        <v/>
      </c>
      <c r="D107" s="33">
        <f>IF($U107="","",COUNTIFS(매입원본!$AX$8:$AX$1007,INDEX($R$8:$R$207,$U107),매입원본!$BA$8:$BA$1007,"포함"))</f>
        <v/>
      </c>
      <c r="E107" s="33">
        <f>IF($U107="","",SUMIFS(매입원본!$AT$8:$AT$1007,매입원본!$AX$8:$AX$1007,INDEX($R$8:$R$207,$U107),매입원본!$BA$8:$BA$1007,"포함"))</f>
        <v/>
      </c>
      <c r="F107" s="33">
        <f>IF($U107="","",SUMIFS(매입원본!$AU$8:$AU$1007,매입원본!$AX$8:$AX$1007,INDEX($R$8:$R$207,$U107),매입원본!$BA$8:$BA$1007,"포함"))</f>
        <v/>
      </c>
      <c r="G107" s="33">
        <f>IF($U107="","",SUMIFS(매입원본!$AV$8:$AV$1007,매입원본!$AX$8:$AX$1007,INDEX($R$8:$R$207,$U107),매입원본!$BA$8:$BA$1007,"포함"))</f>
        <v/>
      </c>
      <c r="H107" s="34">
        <f>IF(OR($U107="",$E$7=0),"",E107/$E$7)</f>
        <v/>
      </c>
      <c r="I107" s="33">
        <f>IF(OR($U107="",0&gt;=설정!$B$12),"",SUMIFS(매입원본!$AT$8:$AT$1007,매입원본!$AX$8:$AX$1007,INDEX($R$8:$R$207,$U107),매입원본!$BA$8:$BA$1007,"포함",매입원본!$AS$8:$AS$1007,"&gt;="&amp;EDATE(설정!$B$10,0),매입원본!$AS$8:$AS$1007,"&lt;="&amp;EOMONTH(설정!$B$10,0)))</f>
        <v/>
      </c>
      <c r="J107" s="33">
        <f>IF(OR($U107="",1&gt;=설정!$B$12),"",SUMIFS(매입원본!$AT$8:$AT$1007,매입원본!$AX$8:$AX$1007,INDEX($R$8:$R$207,$U107),매입원본!$BA$8:$BA$1007,"포함",매입원본!$AS$8:$AS$1007,"&gt;="&amp;EDATE(설정!$B$10,1),매입원본!$AS$8:$AS$1007,"&lt;="&amp;EOMONTH(설정!$B$10,1)))</f>
        <v/>
      </c>
      <c r="K107" s="33">
        <f>IF(OR($U107="",2&gt;=설정!$B$12),"",SUMIFS(매입원본!$AT$8:$AT$1007,매입원본!$AX$8:$AX$1007,INDEX($R$8:$R$207,$U107),매입원본!$BA$8:$BA$1007,"포함",매입원본!$AS$8:$AS$1007,"&gt;="&amp;EDATE(설정!$B$10,2),매입원본!$AS$8:$AS$1007,"&lt;="&amp;EOMONTH(설정!$B$10,2)))</f>
        <v/>
      </c>
      <c r="L107" s="33">
        <f>IF(OR($U107="",3&gt;=설정!$B$12),"",SUMIFS(매입원본!$AT$8:$AT$1007,매입원본!$AX$8:$AX$1007,INDEX($R$8:$R$207,$U107),매입원본!$BA$8:$BA$1007,"포함",매입원본!$AS$8:$AS$1007,"&gt;="&amp;EDATE(설정!$B$10,3),매입원본!$AS$8:$AS$1007,"&lt;="&amp;EOMONTH(설정!$B$10,3)))</f>
        <v/>
      </c>
      <c r="M107" s="33">
        <f>IF(OR($U107="",4&gt;=설정!$B$12),"",SUMIFS(매입원본!$AT$8:$AT$1007,매입원본!$AX$8:$AX$1007,INDEX($R$8:$R$207,$U107),매입원본!$BA$8:$BA$1007,"포함",매입원본!$AS$8:$AS$1007,"&gt;="&amp;EDATE(설정!$B$10,4),매입원본!$AS$8:$AS$1007,"&lt;="&amp;EOMONTH(설정!$B$10,4)))</f>
        <v/>
      </c>
      <c r="N107" s="33">
        <f>IF(OR($U107="",5&gt;=설정!$B$12),"",SUMIFS(매입원본!$AT$8:$AT$1007,매입원본!$AX$8:$AX$1007,INDEX($R$8:$R$207,$U107),매입원본!$BA$8:$BA$1007,"포함",매입원본!$AS$8:$AS$1007,"&gt;="&amp;EDATE(설정!$B$10,5),매입원본!$AS$8:$AS$1007,"&lt;="&amp;EOMONTH(설정!$B$10,5)))</f>
        <v/>
      </c>
      <c r="Q107" s="35" t="n">
        <v>100</v>
      </c>
      <c r="R107" s="35">
        <f>IFERROR(INDEX(매입원본!$AX$8:$AX$1007,MATCH($Q107,매입원본!$BD$8:$BD$1007,0)),"")</f>
        <v/>
      </c>
      <c r="S107" s="35">
        <f>IF($R107="","",SUMIFS(매입원본!$AT$8:$AT$1007,매입원본!$AX$8:$AX$1007,$R107,매입원본!$BA$8:$BA$1007,"포함"))</f>
        <v/>
      </c>
      <c r="T107" s="35">
        <f>IF($R107="","",$S107-$Q107/100000)</f>
        <v/>
      </c>
      <c r="U107" s="35">
        <f>IFERROR(MATCH(LARGE($T$8:$T$207,100),$T$8:$T$207,0),"")</f>
        <v/>
      </c>
    </row>
    <row r="108">
      <c r="A108" s="32">
        <f>IF($U108="","",101)</f>
        <v/>
      </c>
      <c r="B108" s="10">
        <f>IF($U108="","",IFERROR(INDEX(매입원본!$AZ$8:$AZ$1007,MATCH($U108,매입원본!$BD$8:$BD$1007,0)),""))</f>
        <v/>
      </c>
      <c r="C108" s="10">
        <f>IF($U108="","",IFERROR(INDEX(매입원본!$AY$8:$AY$1007,MATCH($U108,매입원본!$BD$8:$BD$1007,0)),""))</f>
        <v/>
      </c>
      <c r="D108" s="33">
        <f>IF($U108="","",COUNTIFS(매입원본!$AX$8:$AX$1007,INDEX($R$8:$R$207,$U108),매입원본!$BA$8:$BA$1007,"포함"))</f>
        <v/>
      </c>
      <c r="E108" s="33">
        <f>IF($U108="","",SUMIFS(매입원본!$AT$8:$AT$1007,매입원본!$AX$8:$AX$1007,INDEX($R$8:$R$207,$U108),매입원본!$BA$8:$BA$1007,"포함"))</f>
        <v/>
      </c>
      <c r="F108" s="33">
        <f>IF($U108="","",SUMIFS(매입원본!$AU$8:$AU$1007,매입원본!$AX$8:$AX$1007,INDEX($R$8:$R$207,$U108),매입원본!$BA$8:$BA$1007,"포함"))</f>
        <v/>
      </c>
      <c r="G108" s="33">
        <f>IF($U108="","",SUMIFS(매입원본!$AV$8:$AV$1007,매입원본!$AX$8:$AX$1007,INDEX($R$8:$R$207,$U108),매입원본!$BA$8:$BA$1007,"포함"))</f>
        <v/>
      </c>
      <c r="H108" s="34">
        <f>IF(OR($U108="",$E$7=0),"",E108/$E$7)</f>
        <v/>
      </c>
      <c r="I108" s="33">
        <f>IF(OR($U108="",0&gt;=설정!$B$12),"",SUMIFS(매입원본!$AT$8:$AT$1007,매입원본!$AX$8:$AX$1007,INDEX($R$8:$R$207,$U108),매입원본!$BA$8:$BA$1007,"포함",매입원본!$AS$8:$AS$1007,"&gt;="&amp;EDATE(설정!$B$10,0),매입원본!$AS$8:$AS$1007,"&lt;="&amp;EOMONTH(설정!$B$10,0)))</f>
        <v/>
      </c>
      <c r="J108" s="33">
        <f>IF(OR($U108="",1&gt;=설정!$B$12),"",SUMIFS(매입원본!$AT$8:$AT$1007,매입원본!$AX$8:$AX$1007,INDEX($R$8:$R$207,$U108),매입원본!$BA$8:$BA$1007,"포함",매입원본!$AS$8:$AS$1007,"&gt;="&amp;EDATE(설정!$B$10,1),매입원본!$AS$8:$AS$1007,"&lt;="&amp;EOMONTH(설정!$B$10,1)))</f>
        <v/>
      </c>
      <c r="K108" s="33">
        <f>IF(OR($U108="",2&gt;=설정!$B$12),"",SUMIFS(매입원본!$AT$8:$AT$1007,매입원본!$AX$8:$AX$1007,INDEX($R$8:$R$207,$U108),매입원본!$BA$8:$BA$1007,"포함",매입원본!$AS$8:$AS$1007,"&gt;="&amp;EDATE(설정!$B$10,2),매입원본!$AS$8:$AS$1007,"&lt;="&amp;EOMONTH(설정!$B$10,2)))</f>
        <v/>
      </c>
      <c r="L108" s="33">
        <f>IF(OR($U108="",3&gt;=설정!$B$12),"",SUMIFS(매입원본!$AT$8:$AT$1007,매입원본!$AX$8:$AX$1007,INDEX($R$8:$R$207,$U108),매입원본!$BA$8:$BA$1007,"포함",매입원본!$AS$8:$AS$1007,"&gt;="&amp;EDATE(설정!$B$10,3),매입원본!$AS$8:$AS$1007,"&lt;="&amp;EOMONTH(설정!$B$10,3)))</f>
        <v/>
      </c>
      <c r="M108" s="33">
        <f>IF(OR($U108="",4&gt;=설정!$B$12),"",SUMIFS(매입원본!$AT$8:$AT$1007,매입원본!$AX$8:$AX$1007,INDEX($R$8:$R$207,$U108),매입원본!$BA$8:$BA$1007,"포함",매입원본!$AS$8:$AS$1007,"&gt;="&amp;EDATE(설정!$B$10,4),매입원본!$AS$8:$AS$1007,"&lt;="&amp;EOMONTH(설정!$B$10,4)))</f>
        <v/>
      </c>
      <c r="N108" s="33">
        <f>IF(OR($U108="",5&gt;=설정!$B$12),"",SUMIFS(매입원본!$AT$8:$AT$1007,매입원본!$AX$8:$AX$1007,INDEX($R$8:$R$207,$U108),매입원본!$BA$8:$BA$1007,"포함",매입원본!$AS$8:$AS$1007,"&gt;="&amp;EDATE(설정!$B$10,5),매입원본!$AS$8:$AS$1007,"&lt;="&amp;EOMONTH(설정!$B$10,5)))</f>
        <v/>
      </c>
      <c r="Q108" s="35" t="n">
        <v>101</v>
      </c>
      <c r="R108" s="35">
        <f>IFERROR(INDEX(매입원본!$AX$8:$AX$1007,MATCH($Q108,매입원본!$BD$8:$BD$1007,0)),"")</f>
        <v/>
      </c>
      <c r="S108" s="35">
        <f>IF($R108="","",SUMIFS(매입원본!$AT$8:$AT$1007,매입원본!$AX$8:$AX$1007,$R108,매입원본!$BA$8:$BA$1007,"포함"))</f>
        <v/>
      </c>
      <c r="T108" s="35">
        <f>IF($R108="","",$S108-$Q108/100000)</f>
        <v/>
      </c>
      <c r="U108" s="35">
        <f>IFERROR(MATCH(LARGE($T$8:$T$207,101),$T$8:$T$207,0),"")</f>
        <v/>
      </c>
    </row>
    <row r="109">
      <c r="A109" s="32">
        <f>IF($U109="","",102)</f>
        <v/>
      </c>
      <c r="B109" s="10">
        <f>IF($U109="","",IFERROR(INDEX(매입원본!$AZ$8:$AZ$1007,MATCH($U109,매입원본!$BD$8:$BD$1007,0)),""))</f>
        <v/>
      </c>
      <c r="C109" s="10">
        <f>IF($U109="","",IFERROR(INDEX(매입원본!$AY$8:$AY$1007,MATCH($U109,매입원본!$BD$8:$BD$1007,0)),""))</f>
        <v/>
      </c>
      <c r="D109" s="33">
        <f>IF($U109="","",COUNTIFS(매입원본!$AX$8:$AX$1007,INDEX($R$8:$R$207,$U109),매입원본!$BA$8:$BA$1007,"포함"))</f>
        <v/>
      </c>
      <c r="E109" s="33">
        <f>IF($U109="","",SUMIFS(매입원본!$AT$8:$AT$1007,매입원본!$AX$8:$AX$1007,INDEX($R$8:$R$207,$U109),매입원본!$BA$8:$BA$1007,"포함"))</f>
        <v/>
      </c>
      <c r="F109" s="33">
        <f>IF($U109="","",SUMIFS(매입원본!$AU$8:$AU$1007,매입원본!$AX$8:$AX$1007,INDEX($R$8:$R$207,$U109),매입원본!$BA$8:$BA$1007,"포함"))</f>
        <v/>
      </c>
      <c r="G109" s="33">
        <f>IF($U109="","",SUMIFS(매입원본!$AV$8:$AV$1007,매입원본!$AX$8:$AX$1007,INDEX($R$8:$R$207,$U109),매입원본!$BA$8:$BA$1007,"포함"))</f>
        <v/>
      </c>
      <c r="H109" s="34">
        <f>IF(OR($U109="",$E$7=0),"",E109/$E$7)</f>
        <v/>
      </c>
      <c r="I109" s="33">
        <f>IF(OR($U109="",0&gt;=설정!$B$12),"",SUMIFS(매입원본!$AT$8:$AT$1007,매입원본!$AX$8:$AX$1007,INDEX($R$8:$R$207,$U109),매입원본!$BA$8:$BA$1007,"포함",매입원본!$AS$8:$AS$1007,"&gt;="&amp;EDATE(설정!$B$10,0),매입원본!$AS$8:$AS$1007,"&lt;="&amp;EOMONTH(설정!$B$10,0)))</f>
        <v/>
      </c>
      <c r="J109" s="33">
        <f>IF(OR($U109="",1&gt;=설정!$B$12),"",SUMIFS(매입원본!$AT$8:$AT$1007,매입원본!$AX$8:$AX$1007,INDEX($R$8:$R$207,$U109),매입원본!$BA$8:$BA$1007,"포함",매입원본!$AS$8:$AS$1007,"&gt;="&amp;EDATE(설정!$B$10,1),매입원본!$AS$8:$AS$1007,"&lt;="&amp;EOMONTH(설정!$B$10,1)))</f>
        <v/>
      </c>
      <c r="K109" s="33">
        <f>IF(OR($U109="",2&gt;=설정!$B$12),"",SUMIFS(매입원본!$AT$8:$AT$1007,매입원본!$AX$8:$AX$1007,INDEX($R$8:$R$207,$U109),매입원본!$BA$8:$BA$1007,"포함",매입원본!$AS$8:$AS$1007,"&gt;="&amp;EDATE(설정!$B$10,2),매입원본!$AS$8:$AS$1007,"&lt;="&amp;EOMONTH(설정!$B$10,2)))</f>
        <v/>
      </c>
      <c r="L109" s="33">
        <f>IF(OR($U109="",3&gt;=설정!$B$12),"",SUMIFS(매입원본!$AT$8:$AT$1007,매입원본!$AX$8:$AX$1007,INDEX($R$8:$R$207,$U109),매입원본!$BA$8:$BA$1007,"포함",매입원본!$AS$8:$AS$1007,"&gt;="&amp;EDATE(설정!$B$10,3),매입원본!$AS$8:$AS$1007,"&lt;="&amp;EOMONTH(설정!$B$10,3)))</f>
        <v/>
      </c>
      <c r="M109" s="33">
        <f>IF(OR($U109="",4&gt;=설정!$B$12),"",SUMIFS(매입원본!$AT$8:$AT$1007,매입원본!$AX$8:$AX$1007,INDEX($R$8:$R$207,$U109),매입원본!$BA$8:$BA$1007,"포함",매입원본!$AS$8:$AS$1007,"&gt;="&amp;EDATE(설정!$B$10,4),매입원본!$AS$8:$AS$1007,"&lt;="&amp;EOMONTH(설정!$B$10,4)))</f>
        <v/>
      </c>
      <c r="N109" s="33">
        <f>IF(OR($U109="",5&gt;=설정!$B$12),"",SUMIFS(매입원본!$AT$8:$AT$1007,매입원본!$AX$8:$AX$1007,INDEX($R$8:$R$207,$U109),매입원본!$BA$8:$BA$1007,"포함",매입원본!$AS$8:$AS$1007,"&gt;="&amp;EDATE(설정!$B$10,5),매입원본!$AS$8:$AS$1007,"&lt;="&amp;EOMONTH(설정!$B$10,5)))</f>
        <v/>
      </c>
      <c r="Q109" s="35" t="n">
        <v>102</v>
      </c>
      <c r="R109" s="35">
        <f>IFERROR(INDEX(매입원본!$AX$8:$AX$1007,MATCH($Q109,매입원본!$BD$8:$BD$1007,0)),"")</f>
        <v/>
      </c>
      <c r="S109" s="35">
        <f>IF($R109="","",SUMIFS(매입원본!$AT$8:$AT$1007,매입원본!$AX$8:$AX$1007,$R109,매입원본!$BA$8:$BA$1007,"포함"))</f>
        <v/>
      </c>
      <c r="T109" s="35">
        <f>IF($R109="","",$S109-$Q109/100000)</f>
        <v/>
      </c>
      <c r="U109" s="35">
        <f>IFERROR(MATCH(LARGE($T$8:$T$207,102),$T$8:$T$207,0),"")</f>
        <v/>
      </c>
    </row>
    <row r="110">
      <c r="A110" s="32">
        <f>IF($U110="","",103)</f>
        <v/>
      </c>
      <c r="B110" s="10">
        <f>IF($U110="","",IFERROR(INDEX(매입원본!$AZ$8:$AZ$1007,MATCH($U110,매입원본!$BD$8:$BD$1007,0)),""))</f>
        <v/>
      </c>
      <c r="C110" s="10">
        <f>IF($U110="","",IFERROR(INDEX(매입원본!$AY$8:$AY$1007,MATCH($U110,매입원본!$BD$8:$BD$1007,0)),""))</f>
        <v/>
      </c>
      <c r="D110" s="33">
        <f>IF($U110="","",COUNTIFS(매입원본!$AX$8:$AX$1007,INDEX($R$8:$R$207,$U110),매입원본!$BA$8:$BA$1007,"포함"))</f>
        <v/>
      </c>
      <c r="E110" s="33">
        <f>IF($U110="","",SUMIFS(매입원본!$AT$8:$AT$1007,매입원본!$AX$8:$AX$1007,INDEX($R$8:$R$207,$U110),매입원본!$BA$8:$BA$1007,"포함"))</f>
        <v/>
      </c>
      <c r="F110" s="33">
        <f>IF($U110="","",SUMIFS(매입원본!$AU$8:$AU$1007,매입원본!$AX$8:$AX$1007,INDEX($R$8:$R$207,$U110),매입원본!$BA$8:$BA$1007,"포함"))</f>
        <v/>
      </c>
      <c r="G110" s="33">
        <f>IF($U110="","",SUMIFS(매입원본!$AV$8:$AV$1007,매입원본!$AX$8:$AX$1007,INDEX($R$8:$R$207,$U110),매입원본!$BA$8:$BA$1007,"포함"))</f>
        <v/>
      </c>
      <c r="H110" s="34">
        <f>IF(OR($U110="",$E$7=0),"",E110/$E$7)</f>
        <v/>
      </c>
      <c r="I110" s="33">
        <f>IF(OR($U110="",0&gt;=설정!$B$12),"",SUMIFS(매입원본!$AT$8:$AT$1007,매입원본!$AX$8:$AX$1007,INDEX($R$8:$R$207,$U110),매입원본!$BA$8:$BA$1007,"포함",매입원본!$AS$8:$AS$1007,"&gt;="&amp;EDATE(설정!$B$10,0),매입원본!$AS$8:$AS$1007,"&lt;="&amp;EOMONTH(설정!$B$10,0)))</f>
        <v/>
      </c>
      <c r="J110" s="33">
        <f>IF(OR($U110="",1&gt;=설정!$B$12),"",SUMIFS(매입원본!$AT$8:$AT$1007,매입원본!$AX$8:$AX$1007,INDEX($R$8:$R$207,$U110),매입원본!$BA$8:$BA$1007,"포함",매입원본!$AS$8:$AS$1007,"&gt;="&amp;EDATE(설정!$B$10,1),매입원본!$AS$8:$AS$1007,"&lt;="&amp;EOMONTH(설정!$B$10,1)))</f>
        <v/>
      </c>
      <c r="K110" s="33">
        <f>IF(OR($U110="",2&gt;=설정!$B$12),"",SUMIFS(매입원본!$AT$8:$AT$1007,매입원본!$AX$8:$AX$1007,INDEX($R$8:$R$207,$U110),매입원본!$BA$8:$BA$1007,"포함",매입원본!$AS$8:$AS$1007,"&gt;="&amp;EDATE(설정!$B$10,2),매입원본!$AS$8:$AS$1007,"&lt;="&amp;EOMONTH(설정!$B$10,2)))</f>
        <v/>
      </c>
      <c r="L110" s="33">
        <f>IF(OR($U110="",3&gt;=설정!$B$12),"",SUMIFS(매입원본!$AT$8:$AT$1007,매입원본!$AX$8:$AX$1007,INDEX($R$8:$R$207,$U110),매입원본!$BA$8:$BA$1007,"포함",매입원본!$AS$8:$AS$1007,"&gt;="&amp;EDATE(설정!$B$10,3),매입원본!$AS$8:$AS$1007,"&lt;="&amp;EOMONTH(설정!$B$10,3)))</f>
        <v/>
      </c>
      <c r="M110" s="33">
        <f>IF(OR($U110="",4&gt;=설정!$B$12),"",SUMIFS(매입원본!$AT$8:$AT$1007,매입원본!$AX$8:$AX$1007,INDEX($R$8:$R$207,$U110),매입원본!$BA$8:$BA$1007,"포함",매입원본!$AS$8:$AS$1007,"&gt;="&amp;EDATE(설정!$B$10,4),매입원본!$AS$8:$AS$1007,"&lt;="&amp;EOMONTH(설정!$B$10,4)))</f>
        <v/>
      </c>
      <c r="N110" s="33">
        <f>IF(OR($U110="",5&gt;=설정!$B$12),"",SUMIFS(매입원본!$AT$8:$AT$1007,매입원본!$AX$8:$AX$1007,INDEX($R$8:$R$207,$U110),매입원본!$BA$8:$BA$1007,"포함",매입원본!$AS$8:$AS$1007,"&gt;="&amp;EDATE(설정!$B$10,5),매입원본!$AS$8:$AS$1007,"&lt;="&amp;EOMONTH(설정!$B$10,5)))</f>
        <v/>
      </c>
      <c r="Q110" s="35" t="n">
        <v>103</v>
      </c>
      <c r="R110" s="35">
        <f>IFERROR(INDEX(매입원본!$AX$8:$AX$1007,MATCH($Q110,매입원본!$BD$8:$BD$1007,0)),"")</f>
        <v/>
      </c>
      <c r="S110" s="35">
        <f>IF($R110="","",SUMIFS(매입원본!$AT$8:$AT$1007,매입원본!$AX$8:$AX$1007,$R110,매입원본!$BA$8:$BA$1007,"포함"))</f>
        <v/>
      </c>
      <c r="T110" s="35">
        <f>IF($R110="","",$S110-$Q110/100000)</f>
        <v/>
      </c>
      <c r="U110" s="35">
        <f>IFERROR(MATCH(LARGE($T$8:$T$207,103),$T$8:$T$207,0),"")</f>
        <v/>
      </c>
    </row>
    <row r="111">
      <c r="A111" s="32">
        <f>IF($U111="","",104)</f>
        <v/>
      </c>
      <c r="B111" s="10">
        <f>IF($U111="","",IFERROR(INDEX(매입원본!$AZ$8:$AZ$1007,MATCH($U111,매입원본!$BD$8:$BD$1007,0)),""))</f>
        <v/>
      </c>
      <c r="C111" s="10">
        <f>IF($U111="","",IFERROR(INDEX(매입원본!$AY$8:$AY$1007,MATCH($U111,매입원본!$BD$8:$BD$1007,0)),""))</f>
        <v/>
      </c>
      <c r="D111" s="33">
        <f>IF($U111="","",COUNTIFS(매입원본!$AX$8:$AX$1007,INDEX($R$8:$R$207,$U111),매입원본!$BA$8:$BA$1007,"포함"))</f>
        <v/>
      </c>
      <c r="E111" s="33">
        <f>IF($U111="","",SUMIFS(매입원본!$AT$8:$AT$1007,매입원본!$AX$8:$AX$1007,INDEX($R$8:$R$207,$U111),매입원본!$BA$8:$BA$1007,"포함"))</f>
        <v/>
      </c>
      <c r="F111" s="33">
        <f>IF($U111="","",SUMIFS(매입원본!$AU$8:$AU$1007,매입원본!$AX$8:$AX$1007,INDEX($R$8:$R$207,$U111),매입원본!$BA$8:$BA$1007,"포함"))</f>
        <v/>
      </c>
      <c r="G111" s="33">
        <f>IF($U111="","",SUMIFS(매입원본!$AV$8:$AV$1007,매입원본!$AX$8:$AX$1007,INDEX($R$8:$R$207,$U111),매입원본!$BA$8:$BA$1007,"포함"))</f>
        <v/>
      </c>
      <c r="H111" s="34">
        <f>IF(OR($U111="",$E$7=0),"",E111/$E$7)</f>
        <v/>
      </c>
      <c r="I111" s="33">
        <f>IF(OR($U111="",0&gt;=설정!$B$12),"",SUMIFS(매입원본!$AT$8:$AT$1007,매입원본!$AX$8:$AX$1007,INDEX($R$8:$R$207,$U111),매입원본!$BA$8:$BA$1007,"포함",매입원본!$AS$8:$AS$1007,"&gt;="&amp;EDATE(설정!$B$10,0),매입원본!$AS$8:$AS$1007,"&lt;="&amp;EOMONTH(설정!$B$10,0)))</f>
        <v/>
      </c>
      <c r="J111" s="33">
        <f>IF(OR($U111="",1&gt;=설정!$B$12),"",SUMIFS(매입원본!$AT$8:$AT$1007,매입원본!$AX$8:$AX$1007,INDEX($R$8:$R$207,$U111),매입원본!$BA$8:$BA$1007,"포함",매입원본!$AS$8:$AS$1007,"&gt;="&amp;EDATE(설정!$B$10,1),매입원본!$AS$8:$AS$1007,"&lt;="&amp;EOMONTH(설정!$B$10,1)))</f>
        <v/>
      </c>
      <c r="K111" s="33">
        <f>IF(OR($U111="",2&gt;=설정!$B$12),"",SUMIFS(매입원본!$AT$8:$AT$1007,매입원본!$AX$8:$AX$1007,INDEX($R$8:$R$207,$U111),매입원본!$BA$8:$BA$1007,"포함",매입원본!$AS$8:$AS$1007,"&gt;="&amp;EDATE(설정!$B$10,2),매입원본!$AS$8:$AS$1007,"&lt;="&amp;EOMONTH(설정!$B$10,2)))</f>
        <v/>
      </c>
      <c r="L111" s="33">
        <f>IF(OR($U111="",3&gt;=설정!$B$12),"",SUMIFS(매입원본!$AT$8:$AT$1007,매입원본!$AX$8:$AX$1007,INDEX($R$8:$R$207,$U111),매입원본!$BA$8:$BA$1007,"포함",매입원본!$AS$8:$AS$1007,"&gt;="&amp;EDATE(설정!$B$10,3),매입원본!$AS$8:$AS$1007,"&lt;="&amp;EOMONTH(설정!$B$10,3)))</f>
        <v/>
      </c>
      <c r="M111" s="33">
        <f>IF(OR($U111="",4&gt;=설정!$B$12),"",SUMIFS(매입원본!$AT$8:$AT$1007,매입원본!$AX$8:$AX$1007,INDEX($R$8:$R$207,$U111),매입원본!$BA$8:$BA$1007,"포함",매입원본!$AS$8:$AS$1007,"&gt;="&amp;EDATE(설정!$B$10,4),매입원본!$AS$8:$AS$1007,"&lt;="&amp;EOMONTH(설정!$B$10,4)))</f>
        <v/>
      </c>
      <c r="N111" s="33">
        <f>IF(OR($U111="",5&gt;=설정!$B$12),"",SUMIFS(매입원본!$AT$8:$AT$1007,매입원본!$AX$8:$AX$1007,INDEX($R$8:$R$207,$U111),매입원본!$BA$8:$BA$1007,"포함",매입원본!$AS$8:$AS$1007,"&gt;="&amp;EDATE(설정!$B$10,5),매입원본!$AS$8:$AS$1007,"&lt;="&amp;EOMONTH(설정!$B$10,5)))</f>
        <v/>
      </c>
      <c r="Q111" s="35" t="n">
        <v>104</v>
      </c>
      <c r="R111" s="35">
        <f>IFERROR(INDEX(매입원본!$AX$8:$AX$1007,MATCH($Q111,매입원본!$BD$8:$BD$1007,0)),"")</f>
        <v/>
      </c>
      <c r="S111" s="35">
        <f>IF($R111="","",SUMIFS(매입원본!$AT$8:$AT$1007,매입원본!$AX$8:$AX$1007,$R111,매입원본!$BA$8:$BA$1007,"포함"))</f>
        <v/>
      </c>
      <c r="T111" s="35">
        <f>IF($R111="","",$S111-$Q111/100000)</f>
        <v/>
      </c>
      <c r="U111" s="35">
        <f>IFERROR(MATCH(LARGE($T$8:$T$207,104),$T$8:$T$207,0),"")</f>
        <v/>
      </c>
    </row>
    <row r="112">
      <c r="A112" s="32">
        <f>IF($U112="","",105)</f>
        <v/>
      </c>
      <c r="B112" s="10">
        <f>IF($U112="","",IFERROR(INDEX(매입원본!$AZ$8:$AZ$1007,MATCH($U112,매입원본!$BD$8:$BD$1007,0)),""))</f>
        <v/>
      </c>
      <c r="C112" s="10">
        <f>IF($U112="","",IFERROR(INDEX(매입원본!$AY$8:$AY$1007,MATCH($U112,매입원본!$BD$8:$BD$1007,0)),""))</f>
        <v/>
      </c>
      <c r="D112" s="33">
        <f>IF($U112="","",COUNTIFS(매입원본!$AX$8:$AX$1007,INDEX($R$8:$R$207,$U112),매입원본!$BA$8:$BA$1007,"포함"))</f>
        <v/>
      </c>
      <c r="E112" s="33">
        <f>IF($U112="","",SUMIFS(매입원본!$AT$8:$AT$1007,매입원본!$AX$8:$AX$1007,INDEX($R$8:$R$207,$U112),매입원본!$BA$8:$BA$1007,"포함"))</f>
        <v/>
      </c>
      <c r="F112" s="33">
        <f>IF($U112="","",SUMIFS(매입원본!$AU$8:$AU$1007,매입원본!$AX$8:$AX$1007,INDEX($R$8:$R$207,$U112),매입원본!$BA$8:$BA$1007,"포함"))</f>
        <v/>
      </c>
      <c r="G112" s="33">
        <f>IF($U112="","",SUMIFS(매입원본!$AV$8:$AV$1007,매입원본!$AX$8:$AX$1007,INDEX($R$8:$R$207,$U112),매입원본!$BA$8:$BA$1007,"포함"))</f>
        <v/>
      </c>
      <c r="H112" s="34">
        <f>IF(OR($U112="",$E$7=0),"",E112/$E$7)</f>
        <v/>
      </c>
      <c r="I112" s="33">
        <f>IF(OR($U112="",0&gt;=설정!$B$12),"",SUMIFS(매입원본!$AT$8:$AT$1007,매입원본!$AX$8:$AX$1007,INDEX($R$8:$R$207,$U112),매입원본!$BA$8:$BA$1007,"포함",매입원본!$AS$8:$AS$1007,"&gt;="&amp;EDATE(설정!$B$10,0),매입원본!$AS$8:$AS$1007,"&lt;="&amp;EOMONTH(설정!$B$10,0)))</f>
        <v/>
      </c>
      <c r="J112" s="33">
        <f>IF(OR($U112="",1&gt;=설정!$B$12),"",SUMIFS(매입원본!$AT$8:$AT$1007,매입원본!$AX$8:$AX$1007,INDEX($R$8:$R$207,$U112),매입원본!$BA$8:$BA$1007,"포함",매입원본!$AS$8:$AS$1007,"&gt;="&amp;EDATE(설정!$B$10,1),매입원본!$AS$8:$AS$1007,"&lt;="&amp;EOMONTH(설정!$B$10,1)))</f>
        <v/>
      </c>
      <c r="K112" s="33">
        <f>IF(OR($U112="",2&gt;=설정!$B$12),"",SUMIFS(매입원본!$AT$8:$AT$1007,매입원본!$AX$8:$AX$1007,INDEX($R$8:$R$207,$U112),매입원본!$BA$8:$BA$1007,"포함",매입원본!$AS$8:$AS$1007,"&gt;="&amp;EDATE(설정!$B$10,2),매입원본!$AS$8:$AS$1007,"&lt;="&amp;EOMONTH(설정!$B$10,2)))</f>
        <v/>
      </c>
      <c r="L112" s="33">
        <f>IF(OR($U112="",3&gt;=설정!$B$12),"",SUMIFS(매입원본!$AT$8:$AT$1007,매입원본!$AX$8:$AX$1007,INDEX($R$8:$R$207,$U112),매입원본!$BA$8:$BA$1007,"포함",매입원본!$AS$8:$AS$1007,"&gt;="&amp;EDATE(설정!$B$10,3),매입원본!$AS$8:$AS$1007,"&lt;="&amp;EOMONTH(설정!$B$10,3)))</f>
        <v/>
      </c>
      <c r="M112" s="33">
        <f>IF(OR($U112="",4&gt;=설정!$B$12),"",SUMIFS(매입원본!$AT$8:$AT$1007,매입원본!$AX$8:$AX$1007,INDEX($R$8:$R$207,$U112),매입원본!$BA$8:$BA$1007,"포함",매입원본!$AS$8:$AS$1007,"&gt;="&amp;EDATE(설정!$B$10,4),매입원본!$AS$8:$AS$1007,"&lt;="&amp;EOMONTH(설정!$B$10,4)))</f>
        <v/>
      </c>
      <c r="N112" s="33">
        <f>IF(OR($U112="",5&gt;=설정!$B$12),"",SUMIFS(매입원본!$AT$8:$AT$1007,매입원본!$AX$8:$AX$1007,INDEX($R$8:$R$207,$U112),매입원본!$BA$8:$BA$1007,"포함",매입원본!$AS$8:$AS$1007,"&gt;="&amp;EDATE(설정!$B$10,5),매입원본!$AS$8:$AS$1007,"&lt;="&amp;EOMONTH(설정!$B$10,5)))</f>
        <v/>
      </c>
      <c r="Q112" s="35" t="n">
        <v>105</v>
      </c>
      <c r="R112" s="35">
        <f>IFERROR(INDEX(매입원본!$AX$8:$AX$1007,MATCH($Q112,매입원본!$BD$8:$BD$1007,0)),"")</f>
        <v/>
      </c>
      <c r="S112" s="35">
        <f>IF($R112="","",SUMIFS(매입원본!$AT$8:$AT$1007,매입원본!$AX$8:$AX$1007,$R112,매입원본!$BA$8:$BA$1007,"포함"))</f>
        <v/>
      </c>
      <c r="T112" s="35">
        <f>IF($R112="","",$S112-$Q112/100000)</f>
        <v/>
      </c>
      <c r="U112" s="35">
        <f>IFERROR(MATCH(LARGE($T$8:$T$207,105),$T$8:$T$207,0),"")</f>
        <v/>
      </c>
    </row>
    <row r="113">
      <c r="A113" s="32">
        <f>IF($U113="","",106)</f>
        <v/>
      </c>
      <c r="B113" s="10">
        <f>IF($U113="","",IFERROR(INDEX(매입원본!$AZ$8:$AZ$1007,MATCH($U113,매입원본!$BD$8:$BD$1007,0)),""))</f>
        <v/>
      </c>
      <c r="C113" s="10">
        <f>IF($U113="","",IFERROR(INDEX(매입원본!$AY$8:$AY$1007,MATCH($U113,매입원본!$BD$8:$BD$1007,0)),""))</f>
        <v/>
      </c>
      <c r="D113" s="33">
        <f>IF($U113="","",COUNTIFS(매입원본!$AX$8:$AX$1007,INDEX($R$8:$R$207,$U113),매입원본!$BA$8:$BA$1007,"포함"))</f>
        <v/>
      </c>
      <c r="E113" s="33">
        <f>IF($U113="","",SUMIFS(매입원본!$AT$8:$AT$1007,매입원본!$AX$8:$AX$1007,INDEX($R$8:$R$207,$U113),매입원본!$BA$8:$BA$1007,"포함"))</f>
        <v/>
      </c>
      <c r="F113" s="33">
        <f>IF($U113="","",SUMIFS(매입원본!$AU$8:$AU$1007,매입원본!$AX$8:$AX$1007,INDEX($R$8:$R$207,$U113),매입원본!$BA$8:$BA$1007,"포함"))</f>
        <v/>
      </c>
      <c r="G113" s="33">
        <f>IF($U113="","",SUMIFS(매입원본!$AV$8:$AV$1007,매입원본!$AX$8:$AX$1007,INDEX($R$8:$R$207,$U113),매입원본!$BA$8:$BA$1007,"포함"))</f>
        <v/>
      </c>
      <c r="H113" s="34">
        <f>IF(OR($U113="",$E$7=0),"",E113/$E$7)</f>
        <v/>
      </c>
      <c r="I113" s="33">
        <f>IF(OR($U113="",0&gt;=설정!$B$12),"",SUMIFS(매입원본!$AT$8:$AT$1007,매입원본!$AX$8:$AX$1007,INDEX($R$8:$R$207,$U113),매입원본!$BA$8:$BA$1007,"포함",매입원본!$AS$8:$AS$1007,"&gt;="&amp;EDATE(설정!$B$10,0),매입원본!$AS$8:$AS$1007,"&lt;="&amp;EOMONTH(설정!$B$10,0)))</f>
        <v/>
      </c>
      <c r="J113" s="33">
        <f>IF(OR($U113="",1&gt;=설정!$B$12),"",SUMIFS(매입원본!$AT$8:$AT$1007,매입원본!$AX$8:$AX$1007,INDEX($R$8:$R$207,$U113),매입원본!$BA$8:$BA$1007,"포함",매입원본!$AS$8:$AS$1007,"&gt;="&amp;EDATE(설정!$B$10,1),매입원본!$AS$8:$AS$1007,"&lt;="&amp;EOMONTH(설정!$B$10,1)))</f>
        <v/>
      </c>
      <c r="K113" s="33">
        <f>IF(OR($U113="",2&gt;=설정!$B$12),"",SUMIFS(매입원본!$AT$8:$AT$1007,매입원본!$AX$8:$AX$1007,INDEX($R$8:$R$207,$U113),매입원본!$BA$8:$BA$1007,"포함",매입원본!$AS$8:$AS$1007,"&gt;="&amp;EDATE(설정!$B$10,2),매입원본!$AS$8:$AS$1007,"&lt;="&amp;EOMONTH(설정!$B$10,2)))</f>
        <v/>
      </c>
      <c r="L113" s="33">
        <f>IF(OR($U113="",3&gt;=설정!$B$12),"",SUMIFS(매입원본!$AT$8:$AT$1007,매입원본!$AX$8:$AX$1007,INDEX($R$8:$R$207,$U113),매입원본!$BA$8:$BA$1007,"포함",매입원본!$AS$8:$AS$1007,"&gt;="&amp;EDATE(설정!$B$10,3),매입원본!$AS$8:$AS$1007,"&lt;="&amp;EOMONTH(설정!$B$10,3)))</f>
        <v/>
      </c>
      <c r="M113" s="33">
        <f>IF(OR($U113="",4&gt;=설정!$B$12),"",SUMIFS(매입원본!$AT$8:$AT$1007,매입원본!$AX$8:$AX$1007,INDEX($R$8:$R$207,$U113),매입원본!$BA$8:$BA$1007,"포함",매입원본!$AS$8:$AS$1007,"&gt;="&amp;EDATE(설정!$B$10,4),매입원본!$AS$8:$AS$1007,"&lt;="&amp;EOMONTH(설정!$B$10,4)))</f>
        <v/>
      </c>
      <c r="N113" s="33">
        <f>IF(OR($U113="",5&gt;=설정!$B$12),"",SUMIFS(매입원본!$AT$8:$AT$1007,매입원본!$AX$8:$AX$1007,INDEX($R$8:$R$207,$U113),매입원본!$BA$8:$BA$1007,"포함",매입원본!$AS$8:$AS$1007,"&gt;="&amp;EDATE(설정!$B$10,5),매입원본!$AS$8:$AS$1007,"&lt;="&amp;EOMONTH(설정!$B$10,5)))</f>
        <v/>
      </c>
      <c r="Q113" s="35" t="n">
        <v>106</v>
      </c>
      <c r="R113" s="35">
        <f>IFERROR(INDEX(매입원본!$AX$8:$AX$1007,MATCH($Q113,매입원본!$BD$8:$BD$1007,0)),"")</f>
        <v/>
      </c>
      <c r="S113" s="35">
        <f>IF($R113="","",SUMIFS(매입원본!$AT$8:$AT$1007,매입원본!$AX$8:$AX$1007,$R113,매입원본!$BA$8:$BA$1007,"포함"))</f>
        <v/>
      </c>
      <c r="T113" s="35">
        <f>IF($R113="","",$S113-$Q113/100000)</f>
        <v/>
      </c>
      <c r="U113" s="35">
        <f>IFERROR(MATCH(LARGE($T$8:$T$207,106),$T$8:$T$207,0),"")</f>
        <v/>
      </c>
    </row>
    <row r="114">
      <c r="A114" s="32">
        <f>IF($U114="","",107)</f>
        <v/>
      </c>
      <c r="B114" s="10">
        <f>IF($U114="","",IFERROR(INDEX(매입원본!$AZ$8:$AZ$1007,MATCH($U114,매입원본!$BD$8:$BD$1007,0)),""))</f>
        <v/>
      </c>
      <c r="C114" s="10">
        <f>IF($U114="","",IFERROR(INDEX(매입원본!$AY$8:$AY$1007,MATCH($U114,매입원본!$BD$8:$BD$1007,0)),""))</f>
        <v/>
      </c>
      <c r="D114" s="33">
        <f>IF($U114="","",COUNTIFS(매입원본!$AX$8:$AX$1007,INDEX($R$8:$R$207,$U114),매입원본!$BA$8:$BA$1007,"포함"))</f>
        <v/>
      </c>
      <c r="E114" s="33">
        <f>IF($U114="","",SUMIFS(매입원본!$AT$8:$AT$1007,매입원본!$AX$8:$AX$1007,INDEX($R$8:$R$207,$U114),매입원본!$BA$8:$BA$1007,"포함"))</f>
        <v/>
      </c>
      <c r="F114" s="33">
        <f>IF($U114="","",SUMIFS(매입원본!$AU$8:$AU$1007,매입원본!$AX$8:$AX$1007,INDEX($R$8:$R$207,$U114),매입원본!$BA$8:$BA$1007,"포함"))</f>
        <v/>
      </c>
      <c r="G114" s="33">
        <f>IF($U114="","",SUMIFS(매입원본!$AV$8:$AV$1007,매입원본!$AX$8:$AX$1007,INDEX($R$8:$R$207,$U114),매입원본!$BA$8:$BA$1007,"포함"))</f>
        <v/>
      </c>
      <c r="H114" s="34">
        <f>IF(OR($U114="",$E$7=0),"",E114/$E$7)</f>
        <v/>
      </c>
      <c r="I114" s="33">
        <f>IF(OR($U114="",0&gt;=설정!$B$12),"",SUMIFS(매입원본!$AT$8:$AT$1007,매입원본!$AX$8:$AX$1007,INDEX($R$8:$R$207,$U114),매입원본!$BA$8:$BA$1007,"포함",매입원본!$AS$8:$AS$1007,"&gt;="&amp;EDATE(설정!$B$10,0),매입원본!$AS$8:$AS$1007,"&lt;="&amp;EOMONTH(설정!$B$10,0)))</f>
        <v/>
      </c>
      <c r="J114" s="33">
        <f>IF(OR($U114="",1&gt;=설정!$B$12),"",SUMIFS(매입원본!$AT$8:$AT$1007,매입원본!$AX$8:$AX$1007,INDEX($R$8:$R$207,$U114),매입원본!$BA$8:$BA$1007,"포함",매입원본!$AS$8:$AS$1007,"&gt;="&amp;EDATE(설정!$B$10,1),매입원본!$AS$8:$AS$1007,"&lt;="&amp;EOMONTH(설정!$B$10,1)))</f>
        <v/>
      </c>
      <c r="K114" s="33">
        <f>IF(OR($U114="",2&gt;=설정!$B$12),"",SUMIFS(매입원본!$AT$8:$AT$1007,매입원본!$AX$8:$AX$1007,INDEX($R$8:$R$207,$U114),매입원본!$BA$8:$BA$1007,"포함",매입원본!$AS$8:$AS$1007,"&gt;="&amp;EDATE(설정!$B$10,2),매입원본!$AS$8:$AS$1007,"&lt;="&amp;EOMONTH(설정!$B$10,2)))</f>
        <v/>
      </c>
      <c r="L114" s="33">
        <f>IF(OR($U114="",3&gt;=설정!$B$12),"",SUMIFS(매입원본!$AT$8:$AT$1007,매입원본!$AX$8:$AX$1007,INDEX($R$8:$R$207,$U114),매입원본!$BA$8:$BA$1007,"포함",매입원본!$AS$8:$AS$1007,"&gt;="&amp;EDATE(설정!$B$10,3),매입원본!$AS$8:$AS$1007,"&lt;="&amp;EOMONTH(설정!$B$10,3)))</f>
        <v/>
      </c>
      <c r="M114" s="33">
        <f>IF(OR($U114="",4&gt;=설정!$B$12),"",SUMIFS(매입원본!$AT$8:$AT$1007,매입원본!$AX$8:$AX$1007,INDEX($R$8:$R$207,$U114),매입원본!$BA$8:$BA$1007,"포함",매입원본!$AS$8:$AS$1007,"&gt;="&amp;EDATE(설정!$B$10,4),매입원본!$AS$8:$AS$1007,"&lt;="&amp;EOMONTH(설정!$B$10,4)))</f>
        <v/>
      </c>
      <c r="N114" s="33">
        <f>IF(OR($U114="",5&gt;=설정!$B$12),"",SUMIFS(매입원본!$AT$8:$AT$1007,매입원본!$AX$8:$AX$1007,INDEX($R$8:$R$207,$U114),매입원본!$BA$8:$BA$1007,"포함",매입원본!$AS$8:$AS$1007,"&gt;="&amp;EDATE(설정!$B$10,5),매입원본!$AS$8:$AS$1007,"&lt;="&amp;EOMONTH(설정!$B$10,5)))</f>
        <v/>
      </c>
      <c r="Q114" s="35" t="n">
        <v>107</v>
      </c>
      <c r="R114" s="35">
        <f>IFERROR(INDEX(매입원본!$AX$8:$AX$1007,MATCH($Q114,매입원본!$BD$8:$BD$1007,0)),"")</f>
        <v/>
      </c>
      <c r="S114" s="35">
        <f>IF($R114="","",SUMIFS(매입원본!$AT$8:$AT$1007,매입원본!$AX$8:$AX$1007,$R114,매입원본!$BA$8:$BA$1007,"포함"))</f>
        <v/>
      </c>
      <c r="T114" s="35">
        <f>IF($R114="","",$S114-$Q114/100000)</f>
        <v/>
      </c>
      <c r="U114" s="35">
        <f>IFERROR(MATCH(LARGE($T$8:$T$207,107),$T$8:$T$207,0),"")</f>
        <v/>
      </c>
    </row>
    <row r="115">
      <c r="A115" s="32">
        <f>IF($U115="","",108)</f>
        <v/>
      </c>
      <c r="B115" s="10">
        <f>IF($U115="","",IFERROR(INDEX(매입원본!$AZ$8:$AZ$1007,MATCH($U115,매입원본!$BD$8:$BD$1007,0)),""))</f>
        <v/>
      </c>
      <c r="C115" s="10">
        <f>IF($U115="","",IFERROR(INDEX(매입원본!$AY$8:$AY$1007,MATCH($U115,매입원본!$BD$8:$BD$1007,0)),""))</f>
        <v/>
      </c>
      <c r="D115" s="33">
        <f>IF($U115="","",COUNTIFS(매입원본!$AX$8:$AX$1007,INDEX($R$8:$R$207,$U115),매입원본!$BA$8:$BA$1007,"포함"))</f>
        <v/>
      </c>
      <c r="E115" s="33">
        <f>IF($U115="","",SUMIFS(매입원본!$AT$8:$AT$1007,매입원본!$AX$8:$AX$1007,INDEX($R$8:$R$207,$U115),매입원본!$BA$8:$BA$1007,"포함"))</f>
        <v/>
      </c>
      <c r="F115" s="33">
        <f>IF($U115="","",SUMIFS(매입원본!$AU$8:$AU$1007,매입원본!$AX$8:$AX$1007,INDEX($R$8:$R$207,$U115),매입원본!$BA$8:$BA$1007,"포함"))</f>
        <v/>
      </c>
      <c r="G115" s="33">
        <f>IF($U115="","",SUMIFS(매입원본!$AV$8:$AV$1007,매입원본!$AX$8:$AX$1007,INDEX($R$8:$R$207,$U115),매입원본!$BA$8:$BA$1007,"포함"))</f>
        <v/>
      </c>
      <c r="H115" s="34">
        <f>IF(OR($U115="",$E$7=0),"",E115/$E$7)</f>
        <v/>
      </c>
      <c r="I115" s="33">
        <f>IF(OR($U115="",0&gt;=설정!$B$12),"",SUMIFS(매입원본!$AT$8:$AT$1007,매입원본!$AX$8:$AX$1007,INDEX($R$8:$R$207,$U115),매입원본!$BA$8:$BA$1007,"포함",매입원본!$AS$8:$AS$1007,"&gt;="&amp;EDATE(설정!$B$10,0),매입원본!$AS$8:$AS$1007,"&lt;="&amp;EOMONTH(설정!$B$10,0)))</f>
        <v/>
      </c>
      <c r="J115" s="33">
        <f>IF(OR($U115="",1&gt;=설정!$B$12),"",SUMIFS(매입원본!$AT$8:$AT$1007,매입원본!$AX$8:$AX$1007,INDEX($R$8:$R$207,$U115),매입원본!$BA$8:$BA$1007,"포함",매입원본!$AS$8:$AS$1007,"&gt;="&amp;EDATE(설정!$B$10,1),매입원본!$AS$8:$AS$1007,"&lt;="&amp;EOMONTH(설정!$B$10,1)))</f>
        <v/>
      </c>
      <c r="K115" s="33">
        <f>IF(OR($U115="",2&gt;=설정!$B$12),"",SUMIFS(매입원본!$AT$8:$AT$1007,매입원본!$AX$8:$AX$1007,INDEX($R$8:$R$207,$U115),매입원본!$BA$8:$BA$1007,"포함",매입원본!$AS$8:$AS$1007,"&gt;="&amp;EDATE(설정!$B$10,2),매입원본!$AS$8:$AS$1007,"&lt;="&amp;EOMONTH(설정!$B$10,2)))</f>
        <v/>
      </c>
      <c r="L115" s="33">
        <f>IF(OR($U115="",3&gt;=설정!$B$12),"",SUMIFS(매입원본!$AT$8:$AT$1007,매입원본!$AX$8:$AX$1007,INDEX($R$8:$R$207,$U115),매입원본!$BA$8:$BA$1007,"포함",매입원본!$AS$8:$AS$1007,"&gt;="&amp;EDATE(설정!$B$10,3),매입원본!$AS$8:$AS$1007,"&lt;="&amp;EOMONTH(설정!$B$10,3)))</f>
        <v/>
      </c>
      <c r="M115" s="33">
        <f>IF(OR($U115="",4&gt;=설정!$B$12),"",SUMIFS(매입원본!$AT$8:$AT$1007,매입원본!$AX$8:$AX$1007,INDEX($R$8:$R$207,$U115),매입원본!$BA$8:$BA$1007,"포함",매입원본!$AS$8:$AS$1007,"&gt;="&amp;EDATE(설정!$B$10,4),매입원본!$AS$8:$AS$1007,"&lt;="&amp;EOMONTH(설정!$B$10,4)))</f>
        <v/>
      </c>
      <c r="N115" s="33">
        <f>IF(OR($U115="",5&gt;=설정!$B$12),"",SUMIFS(매입원본!$AT$8:$AT$1007,매입원본!$AX$8:$AX$1007,INDEX($R$8:$R$207,$U115),매입원본!$BA$8:$BA$1007,"포함",매입원본!$AS$8:$AS$1007,"&gt;="&amp;EDATE(설정!$B$10,5),매입원본!$AS$8:$AS$1007,"&lt;="&amp;EOMONTH(설정!$B$10,5)))</f>
        <v/>
      </c>
      <c r="Q115" s="35" t="n">
        <v>108</v>
      </c>
      <c r="R115" s="35">
        <f>IFERROR(INDEX(매입원본!$AX$8:$AX$1007,MATCH($Q115,매입원본!$BD$8:$BD$1007,0)),"")</f>
        <v/>
      </c>
      <c r="S115" s="35">
        <f>IF($R115="","",SUMIFS(매입원본!$AT$8:$AT$1007,매입원본!$AX$8:$AX$1007,$R115,매입원본!$BA$8:$BA$1007,"포함"))</f>
        <v/>
      </c>
      <c r="T115" s="35">
        <f>IF($R115="","",$S115-$Q115/100000)</f>
        <v/>
      </c>
      <c r="U115" s="35">
        <f>IFERROR(MATCH(LARGE($T$8:$T$207,108),$T$8:$T$207,0),"")</f>
        <v/>
      </c>
    </row>
    <row r="116">
      <c r="A116" s="32">
        <f>IF($U116="","",109)</f>
        <v/>
      </c>
      <c r="B116" s="10">
        <f>IF($U116="","",IFERROR(INDEX(매입원본!$AZ$8:$AZ$1007,MATCH($U116,매입원본!$BD$8:$BD$1007,0)),""))</f>
        <v/>
      </c>
      <c r="C116" s="10">
        <f>IF($U116="","",IFERROR(INDEX(매입원본!$AY$8:$AY$1007,MATCH($U116,매입원본!$BD$8:$BD$1007,0)),""))</f>
        <v/>
      </c>
      <c r="D116" s="33">
        <f>IF($U116="","",COUNTIFS(매입원본!$AX$8:$AX$1007,INDEX($R$8:$R$207,$U116),매입원본!$BA$8:$BA$1007,"포함"))</f>
        <v/>
      </c>
      <c r="E116" s="33">
        <f>IF($U116="","",SUMIFS(매입원본!$AT$8:$AT$1007,매입원본!$AX$8:$AX$1007,INDEX($R$8:$R$207,$U116),매입원본!$BA$8:$BA$1007,"포함"))</f>
        <v/>
      </c>
      <c r="F116" s="33">
        <f>IF($U116="","",SUMIFS(매입원본!$AU$8:$AU$1007,매입원본!$AX$8:$AX$1007,INDEX($R$8:$R$207,$U116),매입원본!$BA$8:$BA$1007,"포함"))</f>
        <v/>
      </c>
      <c r="G116" s="33">
        <f>IF($U116="","",SUMIFS(매입원본!$AV$8:$AV$1007,매입원본!$AX$8:$AX$1007,INDEX($R$8:$R$207,$U116),매입원본!$BA$8:$BA$1007,"포함"))</f>
        <v/>
      </c>
      <c r="H116" s="34">
        <f>IF(OR($U116="",$E$7=0),"",E116/$E$7)</f>
        <v/>
      </c>
      <c r="I116" s="33">
        <f>IF(OR($U116="",0&gt;=설정!$B$12),"",SUMIFS(매입원본!$AT$8:$AT$1007,매입원본!$AX$8:$AX$1007,INDEX($R$8:$R$207,$U116),매입원본!$BA$8:$BA$1007,"포함",매입원본!$AS$8:$AS$1007,"&gt;="&amp;EDATE(설정!$B$10,0),매입원본!$AS$8:$AS$1007,"&lt;="&amp;EOMONTH(설정!$B$10,0)))</f>
        <v/>
      </c>
      <c r="J116" s="33">
        <f>IF(OR($U116="",1&gt;=설정!$B$12),"",SUMIFS(매입원본!$AT$8:$AT$1007,매입원본!$AX$8:$AX$1007,INDEX($R$8:$R$207,$U116),매입원본!$BA$8:$BA$1007,"포함",매입원본!$AS$8:$AS$1007,"&gt;="&amp;EDATE(설정!$B$10,1),매입원본!$AS$8:$AS$1007,"&lt;="&amp;EOMONTH(설정!$B$10,1)))</f>
        <v/>
      </c>
      <c r="K116" s="33">
        <f>IF(OR($U116="",2&gt;=설정!$B$12),"",SUMIFS(매입원본!$AT$8:$AT$1007,매입원본!$AX$8:$AX$1007,INDEX($R$8:$R$207,$U116),매입원본!$BA$8:$BA$1007,"포함",매입원본!$AS$8:$AS$1007,"&gt;="&amp;EDATE(설정!$B$10,2),매입원본!$AS$8:$AS$1007,"&lt;="&amp;EOMONTH(설정!$B$10,2)))</f>
        <v/>
      </c>
      <c r="L116" s="33">
        <f>IF(OR($U116="",3&gt;=설정!$B$12),"",SUMIFS(매입원본!$AT$8:$AT$1007,매입원본!$AX$8:$AX$1007,INDEX($R$8:$R$207,$U116),매입원본!$BA$8:$BA$1007,"포함",매입원본!$AS$8:$AS$1007,"&gt;="&amp;EDATE(설정!$B$10,3),매입원본!$AS$8:$AS$1007,"&lt;="&amp;EOMONTH(설정!$B$10,3)))</f>
        <v/>
      </c>
      <c r="M116" s="33">
        <f>IF(OR($U116="",4&gt;=설정!$B$12),"",SUMIFS(매입원본!$AT$8:$AT$1007,매입원본!$AX$8:$AX$1007,INDEX($R$8:$R$207,$U116),매입원본!$BA$8:$BA$1007,"포함",매입원본!$AS$8:$AS$1007,"&gt;="&amp;EDATE(설정!$B$10,4),매입원본!$AS$8:$AS$1007,"&lt;="&amp;EOMONTH(설정!$B$10,4)))</f>
        <v/>
      </c>
      <c r="N116" s="33">
        <f>IF(OR($U116="",5&gt;=설정!$B$12),"",SUMIFS(매입원본!$AT$8:$AT$1007,매입원본!$AX$8:$AX$1007,INDEX($R$8:$R$207,$U116),매입원본!$BA$8:$BA$1007,"포함",매입원본!$AS$8:$AS$1007,"&gt;="&amp;EDATE(설정!$B$10,5),매입원본!$AS$8:$AS$1007,"&lt;="&amp;EOMONTH(설정!$B$10,5)))</f>
        <v/>
      </c>
      <c r="Q116" s="35" t="n">
        <v>109</v>
      </c>
      <c r="R116" s="35">
        <f>IFERROR(INDEX(매입원본!$AX$8:$AX$1007,MATCH($Q116,매입원본!$BD$8:$BD$1007,0)),"")</f>
        <v/>
      </c>
      <c r="S116" s="35">
        <f>IF($R116="","",SUMIFS(매입원본!$AT$8:$AT$1007,매입원본!$AX$8:$AX$1007,$R116,매입원본!$BA$8:$BA$1007,"포함"))</f>
        <v/>
      </c>
      <c r="T116" s="35">
        <f>IF($R116="","",$S116-$Q116/100000)</f>
        <v/>
      </c>
      <c r="U116" s="35">
        <f>IFERROR(MATCH(LARGE($T$8:$T$207,109),$T$8:$T$207,0),"")</f>
        <v/>
      </c>
    </row>
    <row r="117">
      <c r="A117" s="32">
        <f>IF($U117="","",110)</f>
        <v/>
      </c>
      <c r="B117" s="10">
        <f>IF($U117="","",IFERROR(INDEX(매입원본!$AZ$8:$AZ$1007,MATCH($U117,매입원본!$BD$8:$BD$1007,0)),""))</f>
        <v/>
      </c>
      <c r="C117" s="10">
        <f>IF($U117="","",IFERROR(INDEX(매입원본!$AY$8:$AY$1007,MATCH($U117,매입원본!$BD$8:$BD$1007,0)),""))</f>
        <v/>
      </c>
      <c r="D117" s="33">
        <f>IF($U117="","",COUNTIFS(매입원본!$AX$8:$AX$1007,INDEX($R$8:$R$207,$U117),매입원본!$BA$8:$BA$1007,"포함"))</f>
        <v/>
      </c>
      <c r="E117" s="33">
        <f>IF($U117="","",SUMIFS(매입원본!$AT$8:$AT$1007,매입원본!$AX$8:$AX$1007,INDEX($R$8:$R$207,$U117),매입원본!$BA$8:$BA$1007,"포함"))</f>
        <v/>
      </c>
      <c r="F117" s="33">
        <f>IF($U117="","",SUMIFS(매입원본!$AU$8:$AU$1007,매입원본!$AX$8:$AX$1007,INDEX($R$8:$R$207,$U117),매입원본!$BA$8:$BA$1007,"포함"))</f>
        <v/>
      </c>
      <c r="G117" s="33">
        <f>IF($U117="","",SUMIFS(매입원본!$AV$8:$AV$1007,매입원본!$AX$8:$AX$1007,INDEX($R$8:$R$207,$U117),매입원본!$BA$8:$BA$1007,"포함"))</f>
        <v/>
      </c>
      <c r="H117" s="34">
        <f>IF(OR($U117="",$E$7=0),"",E117/$E$7)</f>
        <v/>
      </c>
      <c r="I117" s="33">
        <f>IF(OR($U117="",0&gt;=설정!$B$12),"",SUMIFS(매입원본!$AT$8:$AT$1007,매입원본!$AX$8:$AX$1007,INDEX($R$8:$R$207,$U117),매입원본!$BA$8:$BA$1007,"포함",매입원본!$AS$8:$AS$1007,"&gt;="&amp;EDATE(설정!$B$10,0),매입원본!$AS$8:$AS$1007,"&lt;="&amp;EOMONTH(설정!$B$10,0)))</f>
        <v/>
      </c>
      <c r="J117" s="33">
        <f>IF(OR($U117="",1&gt;=설정!$B$12),"",SUMIFS(매입원본!$AT$8:$AT$1007,매입원본!$AX$8:$AX$1007,INDEX($R$8:$R$207,$U117),매입원본!$BA$8:$BA$1007,"포함",매입원본!$AS$8:$AS$1007,"&gt;="&amp;EDATE(설정!$B$10,1),매입원본!$AS$8:$AS$1007,"&lt;="&amp;EOMONTH(설정!$B$10,1)))</f>
        <v/>
      </c>
      <c r="K117" s="33">
        <f>IF(OR($U117="",2&gt;=설정!$B$12),"",SUMIFS(매입원본!$AT$8:$AT$1007,매입원본!$AX$8:$AX$1007,INDEX($R$8:$R$207,$U117),매입원본!$BA$8:$BA$1007,"포함",매입원본!$AS$8:$AS$1007,"&gt;="&amp;EDATE(설정!$B$10,2),매입원본!$AS$8:$AS$1007,"&lt;="&amp;EOMONTH(설정!$B$10,2)))</f>
        <v/>
      </c>
      <c r="L117" s="33">
        <f>IF(OR($U117="",3&gt;=설정!$B$12),"",SUMIFS(매입원본!$AT$8:$AT$1007,매입원본!$AX$8:$AX$1007,INDEX($R$8:$R$207,$U117),매입원본!$BA$8:$BA$1007,"포함",매입원본!$AS$8:$AS$1007,"&gt;="&amp;EDATE(설정!$B$10,3),매입원본!$AS$8:$AS$1007,"&lt;="&amp;EOMONTH(설정!$B$10,3)))</f>
        <v/>
      </c>
      <c r="M117" s="33">
        <f>IF(OR($U117="",4&gt;=설정!$B$12),"",SUMIFS(매입원본!$AT$8:$AT$1007,매입원본!$AX$8:$AX$1007,INDEX($R$8:$R$207,$U117),매입원본!$BA$8:$BA$1007,"포함",매입원본!$AS$8:$AS$1007,"&gt;="&amp;EDATE(설정!$B$10,4),매입원본!$AS$8:$AS$1007,"&lt;="&amp;EOMONTH(설정!$B$10,4)))</f>
        <v/>
      </c>
      <c r="N117" s="33">
        <f>IF(OR($U117="",5&gt;=설정!$B$12),"",SUMIFS(매입원본!$AT$8:$AT$1007,매입원본!$AX$8:$AX$1007,INDEX($R$8:$R$207,$U117),매입원본!$BA$8:$BA$1007,"포함",매입원본!$AS$8:$AS$1007,"&gt;="&amp;EDATE(설정!$B$10,5),매입원본!$AS$8:$AS$1007,"&lt;="&amp;EOMONTH(설정!$B$10,5)))</f>
        <v/>
      </c>
      <c r="Q117" s="35" t="n">
        <v>110</v>
      </c>
      <c r="R117" s="35">
        <f>IFERROR(INDEX(매입원본!$AX$8:$AX$1007,MATCH($Q117,매입원본!$BD$8:$BD$1007,0)),"")</f>
        <v/>
      </c>
      <c r="S117" s="35">
        <f>IF($R117="","",SUMIFS(매입원본!$AT$8:$AT$1007,매입원본!$AX$8:$AX$1007,$R117,매입원본!$BA$8:$BA$1007,"포함"))</f>
        <v/>
      </c>
      <c r="T117" s="35">
        <f>IF($R117="","",$S117-$Q117/100000)</f>
        <v/>
      </c>
      <c r="U117" s="35">
        <f>IFERROR(MATCH(LARGE($T$8:$T$207,110),$T$8:$T$207,0),"")</f>
        <v/>
      </c>
    </row>
    <row r="118">
      <c r="A118" s="32">
        <f>IF($U118="","",111)</f>
        <v/>
      </c>
      <c r="B118" s="10">
        <f>IF($U118="","",IFERROR(INDEX(매입원본!$AZ$8:$AZ$1007,MATCH($U118,매입원본!$BD$8:$BD$1007,0)),""))</f>
        <v/>
      </c>
      <c r="C118" s="10">
        <f>IF($U118="","",IFERROR(INDEX(매입원본!$AY$8:$AY$1007,MATCH($U118,매입원본!$BD$8:$BD$1007,0)),""))</f>
        <v/>
      </c>
      <c r="D118" s="33">
        <f>IF($U118="","",COUNTIFS(매입원본!$AX$8:$AX$1007,INDEX($R$8:$R$207,$U118),매입원본!$BA$8:$BA$1007,"포함"))</f>
        <v/>
      </c>
      <c r="E118" s="33">
        <f>IF($U118="","",SUMIFS(매입원본!$AT$8:$AT$1007,매입원본!$AX$8:$AX$1007,INDEX($R$8:$R$207,$U118),매입원본!$BA$8:$BA$1007,"포함"))</f>
        <v/>
      </c>
      <c r="F118" s="33">
        <f>IF($U118="","",SUMIFS(매입원본!$AU$8:$AU$1007,매입원본!$AX$8:$AX$1007,INDEX($R$8:$R$207,$U118),매입원본!$BA$8:$BA$1007,"포함"))</f>
        <v/>
      </c>
      <c r="G118" s="33">
        <f>IF($U118="","",SUMIFS(매입원본!$AV$8:$AV$1007,매입원본!$AX$8:$AX$1007,INDEX($R$8:$R$207,$U118),매입원본!$BA$8:$BA$1007,"포함"))</f>
        <v/>
      </c>
      <c r="H118" s="34">
        <f>IF(OR($U118="",$E$7=0),"",E118/$E$7)</f>
        <v/>
      </c>
      <c r="I118" s="33">
        <f>IF(OR($U118="",0&gt;=설정!$B$12),"",SUMIFS(매입원본!$AT$8:$AT$1007,매입원본!$AX$8:$AX$1007,INDEX($R$8:$R$207,$U118),매입원본!$BA$8:$BA$1007,"포함",매입원본!$AS$8:$AS$1007,"&gt;="&amp;EDATE(설정!$B$10,0),매입원본!$AS$8:$AS$1007,"&lt;="&amp;EOMONTH(설정!$B$10,0)))</f>
        <v/>
      </c>
      <c r="J118" s="33">
        <f>IF(OR($U118="",1&gt;=설정!$B$12),"",SUMIFS(매입원본!$AT$8:$AT$1007,매입원본!$AX$8:$AX$1007,INDEX($R$8:$R$207,$U118),매입원본!$BA$8:$BA$1007,"포함",매입원본!$AS$8:$AS$1007,"&gt;="&amp;EDATE(설정!$B$10,1),매입원본!$AS$8:$AS$1007,"&lt;="&amp;EOMONTH(설정!$B$10,1)))</f>
        <v/>
      </c>
      <c r="K118" s="33">
        <f>IF(OR($U118="",2&gt;=설정!$B$12),"",SUMIFS(매입원본!$AT$8:$AT$1007,매입원본!$AX$8:$AX$1007,INDEX($R$8:$R$207,$U118),매입원본!$BA$8:$BA$1007,"포함",매입원본!$AS$8:$AS$1007,"&gt;="&amp;EDATE(설정!$B$10,2),매입원본!$AS$8:$AS$1007,"&lt;="&amp;EOMONTH(설정!$B$10,2)))</f>
        <v/>
      </c>
      <c r="L118" s="33">
        <f>IF(OR($U118="",3&gt;=설정!$B$12),"",SUMIFS(매입원본!$AT$8:$AT$1007,매입원본!$AX$8:$AX$1007,INDEX($R$8:$R$207,$U118),매입원본!$BA$8:$BA$1007,"포함",매입원본!$AS$8:$AS$1007,"&gt;="&amp;EDATE(설정!$B$10,3),매입원본!$AS$8:$AS$1007,"&lt;="&amp;EOMONTH(설정!$B$10,3)))</f>
        <v/>
      </c>
      <c r="M118" s="33">
        <f>IF(OR($U118="",4&gt;=설정!$B$12),"",SUMIFS(매입원본!$AT$8:$AT$1007,매입원본!$AX$8:$AX$1007,INDEX($R$8:$R$207,$U118),매입원본!$BA$8:$BA$1007,"포함",매입원본!$AS$8:$AS$1007,"&gt;="&amp;EDATE(설정!$B$10,4),매입원본!$AS$8:$AS$1007,"&lt;="&amp;EOMONTH(설정!$B$10,4)))</f>
        <v/>
      </c>
      <c r="N118" s="33">
        <f>IF(OR($U118="",5&gt;=설정!$B$12),"",SUMIFS(매입원본!$AT$8:$AT$1007,매입원본!$AX$8:$AX$1007,INDEX($R$8:$R$207,$U118),매입원본!$BA$8:$BA$1007,"포함",매입원본!$AS$8:$AS$1007,"&gt;="&amp;EDATE(설정!$B$10,5),매입원본!$AS$8:$AS$1007,"&lt;="&amp;EOMONTH(설정!$B$10,5)))</f>
        <v/>
      </c>
      <c r="Q118" s="35" t="n">
        <v>111</v>
      </c>
      <c r="R118" s="35">
        <f>IFERROR(INDEX(매입원본!$AX$8:$AX$1007,MATCH($Q118,매입원본!$BD$8:$BD$1007,0)),"")</f>
        <v/>
      </c>
      <c r="S118" s="35">
        <f>IF($R118="","",SUMIFS(매입원본!$AT$8:$AT$1007,매입원본!$AX$8:$AX$1007,$R118,매입원본!$BA$8:$BA$1007,"포함"))</f>
        <v/>
      </c>
      <c r="T118" s="35">
        <f>IF($R118="","",$S118-$Q118/100000)</f>
        <v/>
      </c>
      <c r="U118" s="35">
        <f>IFERROR(MATCH(LARGE($T$8:$T$207,111),$T$8:$T$207,0),"")</f>
        <v/>
      </c>
    </row>
    <row r="119">
      <c r="A119" s="32">
        <f>IF($U119="","",112)</f>
        <v/>
      </c>
      <c r="B119" s="10">
        <f>IF($U119="","",IFERROR(INDEX(매입원본!$AZ$8:$AZ$1007,MATCH($U119,매입원본!$BD$8:$BD$1007,0)),""))</f>
        <v/>
      </c>
      <c r="C119" s="10">
        <f>IF($U119="","",IFERROR(INDEX(매입원본!$AY$8:$AY$1007,MATCH($U119,매입원본!$BD$8:$BD$1007,0)),""))</f>
        <v/>
      </c>
      <c r="D119" s="33">
        <f>IF($U119="","",COUNTIFS(매입원본!$AX$8:$AX$1007,INDEX($R$8:$R$207,$U119),매입원본!$BA$8:$BA$1007,"포함"))</f>
        <v/>
      </c>
      <c r="E119" s="33">
        <f>IF($U119="","",SUMIFS(매입원본!$AT$8:$AT$1007,매입원본!$AX$8:$AX$1007,INDEX($R$8:$R$207,$U119),매입원본!$BA$8:$BA$1007,"포함"))</f>
        <v/>
      </c>
      <c r="F119" s="33">
        <f>IF($U119="","",SUMIFS(매입원본!$AU$8:$AU$1007,매입원본!$AX$8:$AX$1007,INDEX($R$8:$R$207,$U119),매입원본!$BA$8:$BA$1007,"포함"))</f>
        <v/>
      </c>
      <c r="G119" s="33">
        <f>IF($U119="","",SUMIFS(매입원본!$AV$8:$AV$1007,매입원본!$AX$8:$AX$1007,INDEX($R$8:$R$207,$U119),매입원본!$BA$8:$BA$1007,"포함"))</f>
        <v/>
      </c>
      <c r="H119" s="34">
        <f>IF(OR($U119="",$E$7=0),"",E119/$E$7)</f>
        <v/>
      </c>
      <c r="I119" s="33">
        <f>IF(OR($U119="",0&gt;=설정!$B$12),"",SUMIFS(매입원본!$AT$8:$AT$1007,매입원본!$AX$8:$AX$1007,INDEX($R$8:$R$207,$U119),매입원본!$BA$8:$BA$1007,"포함",매입원본!$AS$8:$AS$1007,"&gt;="&amp;EDATE(설정!$B$10,0),매입원본!$AS$8:$AS$1007,"&lt;="&amp;EOMONTH(설정!$B$10,0)))</f>
        <v/>
      </c>
      <c r="J119" s="33">
        <f>IF(OR($U119="",1&gt;=설정!$B$12),"",SUMIFS(매입원본!$AT$8:$AT$1007,매입원본!$AX$8:$AX$1007,INDEX($R$8:$R$207,$U119),매입원본!$BA$8:$BA$1007,"포함",매입원본!$AS$8:$AS$1007,"&gt;="&amp;EDATE(설정!$B$10,1),매입원본!$AS$8:$AS$1007,"&lt;="&amp;EOMONTH(설정!$B$10,1)))</f>
        <v/>
      </c>
      <c r="K119" s="33">
        <f>IF(OR($U119="",2&gt;=설정!$B$12),"",SUMIFS(매입원본!$AT$8:$AT$1007,매입원본!$AX$8:$AX$1007,INDEX($R$8:$R$207,$U119),매입원본!$BA$8:$BA$1007,"포함",매입원본!$AS$8:$AS$1007,"&gt;="&amp;EDATE(설정!$B$10,2),매입원본!$AS$8:$AS$1007,"&lt;="&amp;EOMONTH(설정!$B$10,2)))</f>
        <v/>
      </c>
      <c r="L119" s="33">
        <f>IF(OR($U119="",3&gt;=설정!$B$12),"",SUMIFS(매입원본!$AT$8:$AT$1007,매입원본!$AX$8:$AX$1007,INDEX($R$8:$R$207,$U119),매입원본!$BA$8:$BA$1007,"포함",매입원본!$AS$8:$AS$1007,"&gt;="&amp;EDATE(설정!$B$10,3),매입원본!$AS$8:$AS$1007,"&lt;="&amp;EOMONTH(설정!$B$10,3)))</f>
        <v/>
      </c>
      <c r="M119" s="33">
        <f>IF(OR($U119="",4&gt;=설정!$B$12),"",SUMIFS(매입원본!$AT$8:$AT$1007,매입원본!$AX$8:$AX$1007,INDEX($R$8:$R$207,$U119),매입원본!$BA$8:$BA$1007,"포함",매입원본!$AS$8:$AS$1007,"&gt;="&amp;EDATE(설정!$B$10,4),매입원본!$AS$8:$AS$1007,"&lt;="&amp;EOMONTH(설정!$B$10,4)))</f>
        <v/>
      </c>
      <c r="N119" s="33">
        <f>IF(OR($U119="",5&gt;=설정!$B$12),"",SUMIFS(매입원본!$AT$8:$AT$1007,매입원본!$AX$8:$AX$1007,INDEX($R$8:$R$207,$U119),매입원본!$BA$8:$BA$1007,"포함",매입원본!$AS$8:$AS$1007,"&gt;="&amp;EDATE(설정!$B$10,5),매입원본!$AS$8:$AS$1007,"&lt;="&amp;EOMONTH(설정!$B$10,5)))</f>
        <v/>
      </c>
      <c r="Q119" s="35" t="n">
        <v>112</v>
      </c>
      <c r="R119" s="35">
        <f>IFERROR(INDEX(매입원본!$AX$8:$AX$1007,MATCH($Q119,매입원본!$BD$8:$BD$1007,0)),"")</f>
        <v/>
      </c>
      <c r="S119" s="35">
        <f>IF($R119="","",SUMIFS(매입원본!$AT$8:$AT$1007,매입원본!$AX$8:$AX$1007,$R119,매입원본!$BA$8:$BA$1007,"포함"))</f>
        <v/>
      </c>
      <c r="T119" s="35">
        <f>IF($R119="","",$S119-$Q119/100000)</f>
        <v/>
      </c>
      <c r="U119" s="35">
        <f>IFERROR(MATCH(LARGE($T$8:$T$207,112),$T$8:$T$207,0),"")</f>
        <v/>
      </c>
    </row>
    <row r="120">
      <c r="A120" s="32">
        <f>IF($U120="","",113)</f>
        <v/>
      </c>
      <c r="B120" s="10">
        <f>IF($U120="","",IFERROR(INDEX(매입원본!$AZ$8:$AZ$1007,MATCH($U120,매입원본!$BD$8:$BD$1007,0)),""))</f>
        <v/>
      </c>
      <c r="C120" s="10">
        <f>IF($U120="","",IFERROR(INDEX(매입원본!$AY$8:$AY$1007,MATCH($U120,매입원본!$BD$8:$BD$1007,0)),""))</f>
        <v/>
      </c>
      <c r="D120" s="33">
        <f>IF($U120="","",COUNTIFS(매입원본!$AX$8:$AX$1007,INDEX($R$8:$R$207,$U120),매입원본!$BA$8:$BA$1007,"포함"))</f>
        <v/>
      </c>
      <c r="E120" s="33">
        <f>IF($U120="","",SUMIFS(매입원본!$AT$8:$AT$1007,매입원본!$AX$8:$AX$1007,INDEX($R$8:$R$207,$U120),매입원본!$BA$8:$BA$1007,"포함"))</f>
        <v/>
      </c>
      <c r="F120" s="33">
        <f>IF($U120="","",SUMIFS(매입원본!$AU$8:$AU$1007,매입원본!$AX$8:$AX$1007,INDEX($R$8:$R$207,$U120),매입원본!$BA$8:$BA$1007,"포함"))</f>
        <v/>
      </c>
      <c r="G120" s="33">
        <f>IF($U120="","",SUMIFS(매입원본!$AV$8:$AV$1007,매입원본!$AX$8:$AX$1007,INDEX($R$8:$R$207,$U120),매입원본!$BA$8:$BA$1007,"포함"))</f>
        <v/>
      </c>
      <c r="H120" s="34">
        <f>IF(OR($U120="",$E$7=0),"",E120/$E$7)</f>
        <v/>
      </c>
      <c r="I120" s="33">
        <f>IF(OR($U120="",0&gt;=설정!$B$12),"",SUMIFS(매입원본!$AT$8:$AT$1007,매입원본!$AX$8:$AX$1007,INDEX($R$8:$R$207,$U120),매입원본!$BA$8:$BA$1007,"포함",매입원본!$AS$8:$AS$1007,"&gt;="&amp;EDATE(설정!$B$10,0),매입원본!$AS$8:$AS$1007,"&lt;="&amp;EOMONTH(설정!$B$10,0)))</f>
        <v/>
      </c>
      <c r="J120" s="33">
        <f>IF(OR($U120="",1&gt;=설정!$B$12),"",SUMIFS(매입원본!$AT$8:$AT$1007,매입원본!$AX$8:$AX$1007,INDEX($R$8:$R$207,$U120),매입원본!$BA$8:$BA$1007,"포함",매입원본!$AS$8:$AS$1007,"&gt;="&amp;EDATE(설정!$B$10,1),매입원본!$AS$8:$AS$1007,"&lt;="&amp;EOMONTH(설정!$B$10,1)))</f>
        <v/>
      </c>
      <c r="K120" s="33">
        <f>IF(OR($U120="",2&gt;=설정!$B$12),"",SUMIFS(매입원본!$AT$8:$AT$1007,매입원본!$AX$8:$AX$1007,INDEX($R$8:$R$207,$U120),매입원본!$BA$8:$BA$1007,"포함",매입원본!$AS$8:$AS$1007,"&gt;="&amp;EDATE(설정!$B$10,2),매입원본!$AS$8:$AS$1007,"&lt;="&amp;EOMONTH(설정!$B$10,2)))</f>
        <v/>
      </c>
      <c r="L120" s="33">
        <f>IF(OR($U120="",3&gt;=설정!$B$12),"",SUMIFS(매입원본!$AT$8:$AT$1007,매입원본!$AX$8:$AX$1007,INDEX($R$8:$R$207,$U120),매입원본!$BA$8:$BA$1007,"포함",매입원본!$AS$8:$AS$1007,"&gt;="&amp;EDATE(설정!$B$10,3),매입원본!$AS$8:$AS$1007,"&lt;="&amp;EOMONTH(설정!$B$10,3)))</f>
        <v/>
      </c>
      <c r="M120" s="33">
        <f>IF(OR($U120="",4&gt;=설정!$B$12),"",SUMIFS(매입원본!$AT$8:$AT$1007,매입원본!$AX$8:$AX$1007,INDEX($R$8:$R$207,$U120),매입원본!$BA$8:$BA$1007,"포함",매입원본!$AS$8:$AS$1007,"&gt;="&amp;EDATE(설정!$B$10,4),매입원본!$AS$8:$AS$1007,"&lt;="&amp;EOMONTH(설정!$B$10,4)))</f>
        <v/>
      </c>
      <c r="N120" s="33">
        <f>IF(OR($U120="",5&gt;=설정!$B$12),"",SUMIFS(매입원본!$AT$8:$AT$1007,매입원본!$AX$8:$AX$1007,INDEX($R$8:$R$207,$U120),매입원본!$BA$8:$BA$1007,"포함",매입원본!$AS$8:$AS$1007,"&gt;="&amp;EDATE(설정!$B$10,5),매입원본!$AS$8:$AS$1007,"&lt;="&amp;EOMONTH(설정!$B$10,5)))</f>
        <v/>
      </c>
      <c r="Q120" s="35" t="n">
        <v>113</v>
      </c>
      <c r="R120" s="35">
        <f>IFERROR(INDEX(매입원본!$AX$8:$AX$1007,MATCH($Q120,매입원본!$BD$8:$BD$1007,0)),"")</f>
        <v/>
      </c>
      <c r="S120" s="35">
        <f>IF($R120="","",SUMIFS(매입원본!$AT$8:$AT$1007,매입원본!$AX$8:$AX$1007,$R120,매입원본!$BA$8:$BA$1007,"포함"))</f>
        <v/>
      </c>
      <c r="T120" s="35">
        <f>IF($R120="","",$S120-$Q120/100000)</f>
        <v/>
      </c>
      <c r="U120" s="35">
        <f>IFERROR(MATCH(LARGE($T$8:$T$207,113),$T$8:$T$207,0),"")</f>
        <v/>
      </c>
    </row>
    <row r="121">
      <c r="A121" s="32">
        <f>IF($U121="","",114)</f>
        <v/>
      </c>
      <c r="B121" s="10">
        <f>IF($U121="","",IFERROR(INDEX(매입원본!$AZ$8:$AZ$1007,MATCH($U121,매입원본!$BD$8:$BD$1007,0)),""))</f>
        <v/>
      </c>
      <c r="C121" s="10">
        <f>IF($U121="","",IFERROR(INDEX(매입원본!$AY$8:$AY$1007,MATCH($U121,매입원본!$BD$8:$BD$1007,0)),""))</f>
        <v/>
      </c>
      <c r="D121" s="33">
        <f>IF($U121="","",COUNTIFS(매입원본!$AX$8:$AX$1007,INDEX($R$8:$R$207,$U121),매입원본!$BA$8:$BA$1007,"포함"))</f>
        <v/>
      </c>
      <c r="E121" s="33">
        <f>IF($U121="","",SUMIFS(매입원본!$AT$8:$AT$1007,매입원본!$AX$8:$AX$1007,INDEX($R$8:$R$207,$U121),매입원본!$BA$8:$BA$1007,"포함"))</f>
        <v/>
      </c>
      <c r="F121" s="33">
        <f>IF($U121="","",SUMIFS(매입원본!$AU$8:$AU$1007,매입원본!$AX$8:$AX$1007,INDEX($R$8:$R$207,$U121),매입원본!$BA$8:$BA$1007,"포함"))</f>
        <v/>
      </c>
      <c r="G121" s="33">
        <f>IF($U121="","",SUMIFS(매입원본!$AV$8:$AV$1007,매입원본!$AX$8:$AX$1007,INDEX($R$8:$R$207,$U121),매입원본!$BA$8:$BA$1007,"포함"))</f>
        <v/>
      </c>
      <c r="H121" s="34">
        <f>IF(OR($U121="",$E$7=0),"",E121/$E$7)</f>
        <v/>
      </c>
      <c r="I121" s="33">
        <f>IF(OR($U121="",0&gt;=설정!$B$12),"",SUMIFS(매입원본!$AT$8:$AT$1007,매입원본!$AX$8:$AX$1007,INDEX($R$8:$R$207,$U121),매입원본!$BA$8:$BA$1007,"포함",매입원본!$AS$8:$AS$1007,"&gt;="&amp;EDATE(설정!$B$10,0),매입원본!$AS$8:$AS$1007,"&lt;="&amp;EOMONTH(설정!$B$10,0)))</f>
        <v/>
      </c>
      <c r="J121" s="33">
        <f>IF(OR($U121="",1&gt;=설정!$B$12),"",SUMIFS(매입원본!$AT$8:$AT$1007,매입원본!$AX$8:$AX$1007,INDEX($R$8:$R$207,$U121),매입원본!$BA$8:$BA$1007,"포함",매입원본!$AS$8:$AS$1007,"&gt;="&amp;EDATE(설정!$B$10,1),매입원본!$AS$8:$AS$1007,"&lt;="&amp;EOMONTH(설정!$B$10,1)))</f>
        <v/>
      </c>
      <c r="K121" s="33">
        <f>IF(OR($U121="",2&gt;=설정!$B$12),"",SUMIFS(매입원본!$AT$8:$AT$1007,매입원본!$AX$8:$AX$1007,INDEX($R$8:$R$207,$U121),매입원본!$BA$8:$BA$1007,"포함",매입원본!$AS$8:$AS$1007,"&gt;="&amp;EDATE(설정!$B$10,2),매입원본!$AS$8:$AS$1007,"&lt;="&amp;EOMONTH(설정!$B$10,2)))</f>
        <v/>
      </c>
      <c r="L121" s="33">
        <f>IF(OR($U121="",3&gt;=설정!$B$12),"",SUMIFS(매입원본!$AT$8:$AT$1007,매입원본!$AX$8:$AX$1007,INDEX($R$8:$R$207,$U121),매입원본!$BA$8:$BA$1007,"포함",매입원본!$AS$8:$AS$1007,"&gt;="&amp;EDATE(설정!$B$10,3),매입원본!$AS$8:$AS$1007,"&lt;="&amp;EOMONTH(설정!$B$10,3)))</f>
        <v/>
      </c>
      <c r="M121" s="33">
        <f>IF(OR($U121="",4&gt;=설정!$B$12),"",SUMIFS(매입원본!$AT$8:$AT$1007,매입원본!$AX$8:$AX$1007,INDEX($R$8:$R$207,$U121),매입원본!$BA$8:$BA$1007,"포함",매입원본!$AS$8:$AS$1007,"&gt;="&amp;EDATE(설정!$B$10,4),매입원본!$AS$8:$AS$1007,"&lt;="&amp;EOMONTH(설정!$B$10,4)))</f>
        <v/>
      </c>
      <c r="N121" s="33">
        <f>IF(OR($U121="",5&gt;=설정!$B$12),"",SUMIFS(매입원본!$AT$8:$AT$1007,매입원본!$AX$8:$AX$1007,INDEX($R$8:$R$207,$U121),매입원본!$BA$8:$BA$1007,"포함",매입원본!$AS$8:$AS$1007,"&gt;="&amp;EDATE(설정!$B$10,5),매입원본!$AS$8:$AS$1007,"&lt;="&amp;EOMONTH(설정!$B$10,5)))</f>
        <v/>
      </c>
      <c r="Q121" s="35" t="n">
        <v>114</v>
      </c>
      <c r="R121" s="35">
        <f>IFERROR(INDEX(매입원본!$AX$8:$AX$1007,MATCH($Q121,매입원본!$BD$8:$BD$1007,0)),"")</f>
        <v/>
      </c>
      <c r="S121" s="35">
        <f>IF($R121="","",SUMIFS(매입원본!$AT$8:$AT$1007,매입원본!$AX$8:$AX$1007,$R121,매입원본!$BA$8:$BA$1007,"포함"))</f>
        <v/>
      </c>
      <c r="T121" s="35">
        <f>IF($R121="","",$S121-$Q121/100000)</f>
        <v/>
      </c>
      <c r="U121" s="35">
        <f>IFERROR(MATCH(LARGE($T$8:$T$207,114),$T$8:$T$207,0),"")</f>
        <v/>
      </c>
    </row>
    <row r="122">
      <c r="A122" s="32">
        <f>IF($U122="","",115)</f>
        <v/>
      </c>
      <c r="B122" s="10">
        <f>IF($U122="","",IFERROR(INDEX(매입원본!$AZ$8:$AZ$1007,MATCH($U122,매입원본!$BD$8:$BD$1007,0)),""))</f>
        <v/>
      </c>
      <c r="C122" s="10">
        <f>IF($U122="","",IFERROR(INDEX(매입원본!$AY$8:$AY$1007,MATCH($U122,매입원본!$BD$8:$BD$1007,0)),""))</f>
        <v/>
      </c>
      <c r="D122" s="33">
        <f>IF($U122="","",COUNTIFS(매입원본!$AX$8:$AX$1007,INDEX($R$8:$R$207,$U122),매입원본!$BA$8:$BA$1007,"포함"))</f>
        <v/>
      </c>
      <c r="E122" s="33">
        <f>IF($U122="","",SUMIFS(매입원본!$AT$8:$AT$1007,매입원본!$AX$8:$AX$1007,INDEX($R$8:$R$207,$U122),매입원본!$BA$8:$BA$1007,"포함"))</f>
        <v/>
      </c>
      <c r="F122" s="33">
        <f>IF($U122="","",SUMIFS(매입원본!$AU$8:$AU$1007,매입원본!$AX$8:$AX$1007,INDEX($R$8:$R$207,$U122),매입원본!$BA$8:$BA$1007,"포함"))</f>
        <v/>
      </c>
      <c r="G122" s="33">
        <f>IF($U122="","",SUMIFS(매입원본!$AV$8:$AV$1007,매입원본!$AX$8:$AX$1007,INDEX($R$8:$R$207,$U122),매입원본!$BA$8:$BA$1007,"포함"))</f>
        <v/>
      </c>
      <c r="H122" s="34">
        <f>IF(OR($U122="",$E$7=0),"",E122/$E$7)</f>
        <v/>
      </c>
      <c r="I122" s="33">
        <f>IF(OR($U122="",0&gt;=설정!$B$12),"",SUMIFS(매입원본!$AT$8:$AT$1007,매입원본!$AX$8:$AX$1007,INDEX($R$8:$R$207,$U122),매입원본!$BA$8:$BA$1007,"포함",매입원본!$AS$8:$AS$1007,"&gt;="&amp;EDATE(설정!$B$10,0),매입원본!$AS$8:$AS$1007,"&lt;="&amp;EOMONTH(설정!$B$10,0)))</f>
        <v/>
      </c>
      <c r="J122" s="33">
        <f>IF(OR($U122="",1&gt;=설정!$B$12),"",SUMIFS(매입원본!$AT$8:$AT$1007,매입원본!$AX$8:$AX$1007,INDEX($R$8:$R$207,$U122),매입원본!$BA$8:$BA$1007,"포함",매입원본!$AS$8:$AS$1007,"&gt;="&amp;EDATE(설정!$B$10,1),매입원본!$AS$8:$AS$1007,"&lt;="&amp;EOMONTH(설정!$B$10,1)))</f>
        <v/>
      </c>
      <c r="K122" s="33">
        <f>IF(OR($U122="",2&gt;=설정!$B$12),"",SUMIFS(매입원본!$AT$8:$AT$1007,매입원본!$AX$8:$AX$1007,INDEX($R$8:$R$207,$U122),매입원본!$BA$8:$BA$1007,"포함",매입원본!$AS$8:$AS$1007,"&gt;="&amp;EDATE(설정!$B$10,2),매입원본!$AS$8:$AS$1007,"&lt;="&amp;EOMONTH(설정!$B$10,2)))</f>
        <v/>
      </c>
      <c r="L122" s="33">
        <f>IF(OR($U122="",3&gt;=설정!$B$12),"",SUMIFS(매입원본!$AT$8:$AT$1007,매입원본!$AX$8:$AX$1007,INDEX($R$8:$R$207,$U122),매입원본!$BA$8:$BA$1007,"포함",매입원본!$AS$8:$AS$1007,"&gt;="&amp;EDATE(설정!$B$10,3),매입원본!$AS$8:$AS$1007,"&lt;="&amp;EOMONTH(설정!$B$10,3)))</f>
        <v/>
      </c>
      <c r="M122" s="33">
        <f>IF(OR($U122="",4&gt;=설정!$B$12),"",SUMIFS(매입원본!$AT$8:$AT$1007,매입원본!$AX$8:$AX$1007,INDEX($R$8:$R$207,$U122),매입원본!$BA$8:$BA$1007,"포함",매입원본!$AS$8:$AS$1007,"&gt;="&amp;EDATE(설정!$B$10,4),매입원본!$AS$8:$AS$1007,"&lt;="&amp;EOMONTH(설정!$B$10,4)))</f>
        <v/>
      </c>
      <c r="N122" s="33">
        <f>IF(OR($U122="",5&gt;=설정!$B$12),"",SUMIFS(매입원본!$AT$8:$AT$1007,매입원본!$AX$8:$AX$1007,INDEX($R$8:$R$207,$U122),매입원본!$BA$8:$BA$1007,"포함",매입원본!$AS$8:$AS$1007,"&gt;="&amp;EDATE(설정!$B$10,5),매입원본!$AS$8:$AS$1007,"&lt;="&amp;EOMONTH(설정!$B$10,5)))</f>
        <v/>
      </c>
      <c r="Q122" s="35" t="n">
        <v>115</v>
      </c>
      <c r="R122" s="35">
        <f>IFERROR(INDEX(매입원본!$AX$8:$AX$1007,MATCH($Q122,매입원본!$BD$8:$BD$1007,0)),"")</f>
        <v/>
      </c>
      <c r="S122" s="35">
        <f>IF($R122="","",SUMIFS(매입원본!$AT$8:$AT$1007,매입원본!$AX$8:$AX$1007,$R122,매입원본!$BA$8:$BA$1007,"포함"))</f>
        <v/>
      </c>
      <c r="T122" s="35">
        <f>IF($R122="","",$S122-$Q122/100000)</f>
        <v/>
      </c>
      <c r="U122" s="35">
        <f>IFERROR(MATCH(LARGE($T$8:$T$207,115),$T$8:$T$207,0),"")</f>
        <v/>
      </c>
    </row>
    <row r="123">
      <c r="A123" s="32">
        <f>IF($U123="","",116)</f>
        <v/>
      </c>
      <c r="B123" s="10">
        <f>IF($U123="","",IFERROR(INDEX(매입원본!$AZ$8:$AZ$1007,MATCH($U123,매입원본!$BD$8:$BD$1007,0)),""))</f>
        <v/>
      </c>
      <c r="C123" s="10">
        <f>IF($U123="","",IFERROR(INDEX(매입원본!$AY$8:$AY$1007,MATCH($U123,매입원본!$BD$8:$BD$1007,0)),""))</f>
        <v/>
      </c>
      <c r="D123" s="33">
        <f>IF($U123="","",COUNTIFS(매입원본!$AX$8:$AX$1007,INDEX($R$8:$R$207,$U123),매입원본!$BA$8:$BA$1007,"포함"))</f>
        <v/>
      </c>
      <c r="E123" s="33">
        <f>IF($U123="","",SUMIFS(매입원본!$AT$8:$AT$1007,매입원본!$AX$8:$AX$1007,INDEX($R$8:$R$207,$U123),매입원본!$BA$8:$BA$1007,"포함"))</f>
        <v/>
      </c>
      <c r="F123" s="33">
        <f>IF($U123="","",SUMIFS(매입원본!$AU$8:$AU$1007,매입원본!$AX$8:$AX$1007,INDEX($R$8:$R$207,$U123),매입원본!$BA$8:$BA$1007,"포함"))</f>
        <v/>
      </c>
      <c r="G123" s="33">
        <f>IF($U123="","",SUMIFS(매입원본!$AV$8:$AV$1007,매입원본!$AX$8:$AX$1007,INDEX($R$8:$R$207,$U123),매입원본!$BA$8:$BA$1007,"포함"))</f>
        <v/>
      </c>
      <c r="H123" s="34">
        <f>IF(OR($U123="",$E$7=0),"",E123/$E$7)</f>
        <v/>
      </c>
      <c r="I123" s="33">
        <f>IF(OR($U123="",0&gt;=설정!$B$12),"",SUMIFS(매입원본!$AT$8:$AT$1007,매입원본!$AX$8:$AX$1007,INDEX($R$8:$R$207,$U123),매입원본!$BA$8:$BA$1007,"포함",매입원본!$AS$8:$AS$1007,"&gt;="&amp;EDATE(설정!$B$10,0),매입원본!$AS$8:$AS$1007,"&lt;="&amp;EOMONTH(설정!$B$10,0)))</f>
        <v/>
      </c>
      <c r="J123" s="33">
        <f>IF(OR($U123="",1&gt;=설정!$B$12),"",SUMIFS(매입원본!$AT$8:$AT$1007,매입원본!$AX$8:$AX$1007,INDEX($R$8:$R$207,$U123),매입원본!$BA$8:$BA$1007,"포함",매입원본!$AS$8:$AS$1007,"&gt;="&amp;EDATE(설정!$B$10,1),매입원본!$AS$8:$AS$1007,"&lt;="&amp;EOMONTH(설정!$B$10,1)))</f>
        <v/>
      </c>
      <c r="K123" s="33">
        <f>IF(OR($U123="",2&gt;=설정!$B$12),"",SUMIFS(매입원본!$AT$8:$AT$1007,매입원본!$AX$8:$AX$1007,INDEX($R$8:$R$207,$U123),매입원본!$BA$8:$BA$1007,"포함",매입원본!$AS$8:$AS$1007,"&gt;="&amp;EDATE(설정!$B$10,2),매입원본!$AS$8:$AS$1007,"&lt;="&amp;EOMONTH(설정!$B$10,2)))</f>
        <v/>
      </c>
      <c r="L123" s="33">
        <f>IF(OR($U123="",3&gt;=설정!$B$12),"",SUMIFS(매입원본!$AT$8:$AT$1007,매입원본!$AX$8:$AX$1007,INDEX($R$8:$R$207,$U123),매입원본!$BA$8:$BA$1007,"포함",매입원본!$AS$8:$AS$1007,"&gt;="&amp;EDATE(설정!$B$10,3),매입원본!$AS$8:$AS$1007,"&lt;="&amp;EOMONTH(설정!$B$10,3)))</f>
        <v/>
      </c>
      <c r="M123" s="33">
        <f>IF(OR($U123="",4&gt;=설정!$B$12),"",SUMIFS(매입원본!$AT$8:$AT$1007,매입원본!$AX$8:$AX$1007,INDEX($R$8:$R$207,$U123),매입원본!$BA$8:$BA$1007,"포함",매입원본!$AS$8:$AS$1007,"&gt;="&amp;EDATE(설정!$B$10,4),매입원본!$AS$8:$AS$1007,"&lt;="&amp;EOMONTH(설정!$B$10,4)))</f>
        <v/>
      </c>
      <c r="N123" s="33">
        <f>IF(OR($U123="",5&gt;=설정!$B$12),"",SUMIFS(매입원본!$AT$8:$AT$1007,매입원본!$AX$8:$AX$1007,INDEX($R$8:$R$207,$U123),매입원본!$BA$8:$BA$1007,"포함",매입원본!$AS$8:$AS$1007,"&gt;="&amp;EDATE(설정!$B$10,5),매입원본!$AS$8:$AS$1007,"&lt;="&amp;EOMONTH(설정!$B$10,5)))</f>
        <v/>
      </c>
      <c r="Q123" s="35" t="n">
        <v>116</v>
      </c>
      <c r="R123" s="35">
        <f>IFERROR(INDEX(매입원본!$AX$8:$AX$1007,MATCH($Q123,매입원본!$BD$8:$BD$1007,0)),"")</f>
        <v/>
      </c>
      <c r="S123" s="35">
        <f>IF($R123="","",SUMIFS(매입원본!$AT$8:$AT$1007,매입원본!$AX$8:$AX$1007,$R123,매입원본!$BA$8:$BA$1007,"포함"))</f>
        <v/>
      </c>
      <c r="T123" s="35">
        <f>IF($R123="","",$S123-$Q123/100000)</f>
        <v/>
      </c>
      <c r="U123" s="35">
        <f>IFERROR(MATCH(LARGE($T$8:$T$207,116),$T$8:$T$207,0),"")</f>
        <v/>
      </c>
    </row>
    <row r="124">
      <c r="A124" s="32">
        <f>IF($U124="","",117)</f>
        <v/>
      </c>
      <c r="B124" s="10">
        <f>IF($U124="","",IFERROR(INDEX(매입원본!$AZ$8:$AZ$1007,MATCH($U124,매입원본!$BD$8:$BD$1007,0)),""))</f>
        <v/>
      </c>
      <c r="C124" s="10">
        <f>IF($U124="","",IFERROR(INDEX(매입원본!$AY$8:$AY$1007,MATCH($U124,매입원본!$BD$8:$BD$1007,0)),""))</f>
        <v/>
      </c>
      <c r="D124" s="33">
        <f>IF($U124="","",COUNTIFS(매입원본!$AX$8:$AX$1007,INDEX($R$8:$R$207,$U124),매입원본!$BA$8:$BA$1007,"포함"))</f>
        <v/>
      </c>
      <c r="E124" s="33">
        <f>IF($U124="","",SUMIFS(매입원본!$AT$8:$AT$1007,매입원본!$AX$8:$AX$1007,INDEX($R$8:$R$207,$U124),매입원본!$BA$8:$BA$1007,"포함"))</f>
        <v/>
      </c>
      <c r="F124" s="33">
        <f>IF($U124="","",SUMIFS(매입원본!$AU$8:$AU$1007,매입원본!$AX$8:$AX$1007,INDEX($R$8:$R$207,$U124),매입원본!$BA$8:$BA$1007,"포함"))</f>
        <v/>
      </c>
      <c r="G124" s="33">
        <f>IF($U124="","",SUMIFS(매입원본!$AV$8:$AV$1007,매입원본!$AX$8:$AX$1007,INDEX($R$8:$R$207,$U124),매입원본!$BA$8:$BA$1007,"포함"))</f>
        <v/>
      </c>
      <c r="H124" s="34">
        <f>IF(OR($U124="",$E$7=0),"",E124/$E$7)</f>
        <v/>
      </c>
      <c r="I124" s="33">
        <f>IF(OR($U124="",0&gt;=설정!$B$12),"",SUMIFS(매입원본!$AT$8:$AT$1007,매입원본!$AX$8:$AX$1007,INDEX($R$8:$R$207,$U124),매입원본!$BA$8:$BA$1007,"포함",매입원본!$AS$8:$AS$1007,"&gt;="&amp;EDATE(설정!$B$10,0),매입원본!$AS$8:$AS$1007,"&lt;="&amp;EOMONTH(설정!$B$10,0)))</f>
        <v/>
      </c>
      <c r="J124" s="33">
        <f>IF(OR($U124="",1&gt;=설정!$B$12),"",SUMIFS(매입원본!$AT$8:$AT$1007,매입원본!$AX$8:$AX$1007,INDEX($R$8:$R$207,$U124),매입원본!$BA$8:$BA$1007,"포함",매입원본!$AS$8:$AS$1007,"&gt;="&amp;EDATE(설정!$B$10,1),매입원본!$AS$8:$AS$1007,"&lt;="&amp;EOMONTH(설정!$B$10,1)))</f>
        <v/>
      </c>
      <c r="K124" s="33">
        <f>IF(OR($U124="",2&gt;=설정!$B$12),"",SUMIFS(매입원본!$AT$8:$AT$1007,매입원본!$AX$8:$AX$1007,INDEX($R$8:$R$207,$U124),매입원본!$BA$8:$BA$1007,"포함",매입원본!$AS$8:$AS$1007,"&gt;="&amp;EDATE(설정!$B$10,2),매입원본!$AS$8:$AS$1007,"&lt;="&amp;EOMONTH(설정!$B$10,2)))</f>
        <v/>
      </c>
      <c r="L124" s="33">
        <f>IF(OR($U124="",3&gt;=설정!$B$12),"",SUMIFS(매입원본!$AT$8:$AT$1007,매입원본!$AX$8:$AX$1007,INDEX($R$8:$R$207,$U124),매입원본!$BA$8:$BA$1007,"포함",매입원본!$AS$8:$AS$1007,"&gt;="&amp;EDATE(설정!$B$10,3),매입원본!$AS$8:$AS$1007,"&lt;="&amp;EOMONTH(설정!$B$10,3)))</f>
        <v/>
      </c>
      <c r="M124" s="33">
        <f>IF(OR($U124="",4&gt;=설정!$B$12),"",SUMIFS(매입원본!$AT$8:$AT$1007,매입원본!$AX$8:$AX$1007,INDEX($R$8:$R$207,$U124),매입원본!$BA$8:$BA$1007,"포함",매입원본!$AS$8:$AS$1007,"&gt;="&amp;EDATE(설정!$B$10,4),매입원본!$AS$8:$AS$1007,"&lt;="&amp;EOMONTH(설정!$B$10,4)))</f>
        <v/>
      </c>
      <c r="N124" s="33">
        <f>IF(OR($U124="",5&gt;=설정!$B$12),"",SUMIFS(매입원본!$AT$8:$AT$1007,매입원본!$AX$8:$AX$1007,INDEX($R$8:$R$207,$U124),매입원본!$BA$8:$BA$1007,"포함",매입원본!$AS$8:$AS$1007,"&gt;="&amp;EDATE(설정!$B$10,5),매입원본!$AS$8:$AS$1007,"&lt;="&amp;EOMONTH(설정!$B$10,5)))</f>
        <v/>
      </c>
      <c r="Q124" s="35" t="n">
        <v>117</v>
      </c>
      <c r="R124" s="35">
        <f>IFERROR(INDEX(매입원본!$AX$8:$AX$1007,MATCH($Q124,매입원본!$BD$8:$BD$1007,0)),"")</f>
        <v/>
      </c>
      <c r="S124" s="35">
        <f>IF($R124="","",SUMIFS(매입원본!$AT$8:$AT$1007,매입원본!$AX$8:$AX$1007,$R124,매입원본!$BA$8:$BA$1007,"포함"))</f>
        <v/>
      </c>
      <c r="T124" s="35">
        <f>IF($R124="","",$S124-$Q124/100000)</f>
        <v/>
      </c>
      <c r="U124" s="35">
        <f>IFERROR(MATCH(LARGE($T$8:$T$207,117),$T$8:$T$207,0),"")</f>
        <v/>
      </c>
    </row>
    <row r="125">
      <c r="A125" s="32">
        <f>IF($U125="","",118)</f>
        <v/>
      </c>
      <c r="B125" s="10">
        <f>IF($U125="","",IFERROR(INDEX(매입원본!$AZ$8:$AZ$1007,MATCH($U125,매입원본!$BD$8:$BD$1007,0)),""))</f>
        <v/>
      </c>
      <c r="C125" s="10">
        <f>IF($U125="","",IFERROR(INDEX(매입원본!$AY$8:$AY$1007,MATCH($U125,매입원본!$BD$8:$BD$1007,0)),""))</f>
        <v/>
      </c>
      <c r="D125" s="33">
        <f>IF($U125="","",COUNTIFS(매입원본!$AX$8:$AX$1007,INDEX($R$8:$R$207,$U125),매입원본!$BA$8:$BA$1007,"포함"))</f>
        <v/>
      </c>
      <c r="E125" s="33">
        <f>IF($U125="","",SUMIFS(매입원본!$AT$8:$AT$1007,매입원본!$AX$8:$AX$1007,INDEX($R$8:$R$207,$U125),매입원본!$BA$8:$BA$1007,"포함"))</f>
        <v/>
      </c>
      <c r="F125" s="33">
        <f>IF($U125="","",SUMIFS(매입원본!$AU$8:$AU$1007,매입원본!$AX$8:$AX$1007,INDEX($R$8:$R$207,$U125),매입원본!$BA$8:$BA$1007,"포함"))</f>
        <v/>
      </c>
      <c r="G125" s="33">
        <f>IF($U125="","",SUMIFS(매입원본!$AV$8:$AV$1007,매입원본!$AX$8:$AX$1007,INDEX($R$8:$R$207,$U125),매입원본!$BA$8:$BA$1007,"포함"))</f>
        <v/>
      </c>
      <c r="H125" s="34">
        <f>IF(OR($U125="",$E$7=0),"",E125/$E$7)</f>
        <v/>
      </c>
      <c r="I125" s="33">
        <f>IF(OR($U125="",0&gt;=설정!$B$12),"",SUMIFS(매입원본!$AT$8:$AT$1007,매입원본!$AX$8:$AX$1007,INDEX($R$8:$R$207,$U125),매입원본!$BA$8:$BA$1007,"포함",매입원본!$AS$8:$AS$1007,"&gt;="&amp;EDATE(설정!$B$10,0),매입원본!$AS$8:$AS$1007,"&lt;="&amp;EOMONTH(설정!$B$10,0)))</f>
        <v/>
      </c>
      <c r="J125" s="33">
        <f>IF(OR($U125="",1&gt;=설정!$B$12),"",SUMIFS(매입원본!$AT$8:$AT$1007,매입원본!$AX$8:$AX$1007,INDEX($R$8:$R$207,$U125),매입원본!$BA$8:$BA$1007,"포함",매입원본!$AS$8:$AS$1007,"&gt;="&amp;EDATE(설정!$B$10,1),매입원본!$AS$8:$AS$1007,"&lt;="&amp;EOMONTH(설정!$B$10,1)))</f>
        <v/>
      </c>
      <c r="K125" s="33">
        <f>IF(OR($U125="",2&gt;=설정!$B$12),"",SUMIFS(매입원본!$AT$8:$AT$1007,매입원본!$AX$8:$AX$1007,INDEX($R$8:$R$207,$U125),매입원본!$BA$8:$BA$1007,"포함",매입원본!$AS$8:$AS$1007,"&gt;="&amp;EDATE(설정!$B$10,2),매입원본!$AS$8:$AS$1007,"&lt;="&amp;EOMONTH(설정!$B$10,2)))</f>
        <v/>
      </c>
      <c r="L125" s="33">
        <f>IF(OR($U125="",3&gt;=설정!$B$12),"",SUMIFS(매입원본!$AT$8:$AT$1007,매입원본!$AX$8:$AX$1007,INDEX($R$8:$R$207,$U125),매입원본!$BA$8:$BA$1007,"포함",매입원본!$AS$8:$AS$1007,"&gt;="&amp;EDATE(설정!$B$10,3),매입원본!$AS$8:$AS$1007,"&lt;="&amp;EOMONTH(설정!$B$10,3)))</f>
        <v/>
      </c>
      <c r="M125" s="33">
        <f>IF(OR($U125="",4&gt;=설정!$B$12),"",SUMIFS(매입원본!$AT$8:$AT$1007,매입원본!$AX$8:$AX$1007,INDEX($R$8:$R$207,$U125),매입원본!$BA$8:$BA$1007,"포함",매입원본!$AS$8:$AS$1007,"&gt;="&amp;EDATE(설정!$B$10,4),매입원본!$AS$8:$AS$1007,"&lt;="&amp;EOMONTH(설정!$B$10,4)))</f>
        <v/>
      </c>
      <c r="N125" s="33">
        <f>IF(OR($U125="",5&gt;=설정!$B$12),"",SUMIFS(매입원본!$AT$8:$AT$1007,매입원본!$AX$8:$AX$1007,INDEX($R$8:$R$207,$U125),매입원본!$BA$8:$BA$1007,"포함",매입원본!$AS$8:$AS$1007,"&gt;="&amp;EDATE(설정!$B$10,5),매입원본!$AS$8:$AS$1007,"&lt;="&amp;EOMONTH(설정!$B$10,5)))</f>
        <v/>
      </c>
      <c r="Q125" s="35" t="n">
        <v>118</v>
      </c>
      <c r="R125" s="35">
        <f>IFERROR(INDEX(매입원본!$AX$8:$AX$1007,MATCH($Q125,매입원본!$BD$8:$BD$1007,0)),"")</f>
        <v/>
      </c>
      <c r="S125" s="35">
        <f>IF($R125="","",SUMIFS(매입원본!$AT$8:$AT$1007,매입원본!$AX$8:$AX$1007,$R125,매입원본!$BA$8:$BA$1007,"포함"))</f>
        <v/>
      </c>
      <c r="T125" s="35">
        <f>IF($R125="","",$S125-$Q125/100000)</f>
        <v/>
      </c>
      <c r="U125" s="35">
        <f>IFERROR(MATCH(LARGE($T$8:$T$207,118),$T$8:$T$207,0),"")</f>
        <v/>
      </c>
    </row>
    <row r="126">
      <c r="A126" s="32">
        <f>IF($U126="","",119)</f>
        <v/>
      </c>
      <c r="B126" s="10">
        <f>IF($U126="","",IFERROR(INDEX(매입원본!$AZ$8:$AZ$1007,MATCH($U126,매입원본!$BD$8:$BD$1007,0)),""))</f>
        <v/>
      </c>
      <c r="C126" s="10">
        <f>IF($U126="","",IFERROR(INDEX(매입원본!$AY$8:$AY$1007,MATCH($U126,매입원본!$BD$8:$BD$1007,0)),""))</f>
        <v/>
      </c>
      <c r="D126" s="33">
        <f>IF($U126="","",COUNTIFS(매입원본!$AX$8:$AX$1007,INDEX($R$8:$R$207,$U126),매입원본!$BA$8:$BA$1007,"포함"))</f>
        <v/>
      </c>
      <c r="E126" s="33">
        <f>IF($U126="","",SUMIFS(매입원본!$AT$8:$AT$1007,매입원본!$AX$8:$AX$1007,INDEX($R$8:$R$207,$U126),매입원본!$BA$8:$BA$1007,"포함"))</f>
        <v/>
      </c>
      <c r="F126" s="33">
        <f>IF($U126="","",SUMIFS(매입원본!$AU$8:$AU$1007,매입원본!$AX$8:$AX$1007,INDEX($R$8:$R$207,$U126),매입원본!$BA$8:$BA$1007,"포함"))</f>
        <v/>
      </c>
      <c r="G126" s="33">
        <f>IF($U126="","",SUMIFS(매입원본!$AV$8:$AV$1007,매입원본!$AX$8:$AX$1007,INDEX($R$8:$R$207,$U126),매입원본!$BA$8:$BA$1007,"포함"))</f>
        <v/>
      </c>
      <c r="H126" s="34">
        <f>IF(OR($U126="",$E$7=0),"",E126/$E$7)</f>
        <v/>
      </c>
      <c r="I126" s="33">
        <f>IF(OR($U126="",0&gt;=설정!$B$12),"",SUMIFS(매입원본!$AT$8:$AT$1007,매입원본!$AX$8:$AX$1007,INDEX($R$8:$R$207,$U126),매입원본!$BA$8:$BA$1007,"포함",매입원본!$AS$8:$AS$1007,"&gt;="&amp;EDATE(설정!$B$10,0),매입원본!$AS$8:$AS$1007,"&lt;="&amp;EOMONTH(설정!$B$10,0)))</f>
        <v/>
      </c>
      <c r="J126" s="33">
        <f>IF(OR($U126="",1&gt;=설정!$B$12),"",SUMIFS(매입원본!$AT$8:$AT$1007,매입원본!$AX$8:$AX$1007,INDEX($R$8:$R$207,$U126),매입원본!$BA$8:$BA$1007,"포함",매입원본!$AS$8:$AS$1007,"&gt;="&amp;EDATE(설정!$B$10,1),매입원본!$AS$8:$AS$1007,"&lt;="&amp;EOMONTH(설정!$B$10,1)))</f>
        <v/>
      </c>
      <c r="K126" s="33">
        <f>IF(OR($U126="",2&gt;=설정!$B$12),"",SUMIFS(매입원본!$AT$8:$AT$1007,매입원본!$AX$8:$AX$1007,INDEX($R$8:$R$207,$U126),매입원본!$BA$8:$BA$1007,"포함",매입원본!$AS$8:$AS$1007,"&gt;="&amp;EDATE(설정!$B$10,2),매입원본!$AS$8:$AS$1007,"&lt;="&amp;EOMONTH(설정!$B$10,2)))</f>
        <v/>
      </c>
      <c r="L126" s="33">
        <f>IF(OR($U126="",3&gt;=설정!$B$12),"",SUMIFS(매입원본!$AT$8:$AT$1007,매입원본!$AX$8:$AX$1007,INDEX($R$8:$R$207,$U126),매입원본!$BA$8:$BA$1007,"포함",매입원본!$AS$8:$AS$1007,"&gt;="&amp;EDATE(설정!$B$10,3),매입원본!$AS$8:$AS$1007,"&lt;="&amp;EOMONTH(설정!$B$10,3)))</f>
        <v/>
      </c>
      <c r="M126" s="33">
        <f>IF(OR($U126="",4&gt;=설정!$B$12),"",SUMIFS(매입원본!$AT$8:$AT$1007,매입원본!$AX$8:$AX$1007,INDEX($R$8:$R$207,$U126),매입원본!$BA$8:$BA$1007,"포함",매입원본!$AS$8:$AS$1007,"&gt;="&amp;EDATE(설정!$B$10,4),매입원본!$AS$8:$AS$1007,"&lt;="&amp;EOMONTH(설정!$B$10,4)))</f>
        <v/>
      </c>
      <c r="N126" s="33">
        <f>IF(OR($U126="",5&gt;=설정!$B$12),"",SUMIFS(매입원본!$AT$8:$AT$1007,매입원본!$AX$8:$AX$1007,INDEX($R$8:$R$207,$U126),매입원본!$BA$8:$BA$1007,"포함",매입원본!$AS$8:$AS$1007,"&gt;="&amp;EDATE(설정!$B$10,5),매입원본!$AS$8:$AS$1007,"&lt;="&amp;EOMONTH(설정!$B$10,5)))</f>
        <v/>
      </c>
      <c r="Q126" s="35" t="n">
        <v>119</v>
      </c>
      <c r="R126" s="35">
        <f>IFERROR(INDEX(매입원본!$AX$8:$AX$1007,MATCH($Q126,매입원본!$BD$8:$BD$1007,0)),"")</f>
        <v/>
      </c>
      <c r="S126" s="35">
        <f>IF($R126="","",SUMIFS(매입원본!$AT$8:$AT$1007,매입원본!$AX$8:$AX$1007,$R126,매입원본!$BA$8:$BA$1007,"포함"))</f>
        <v/>
      </c>
      <c r="T126" s="35">
        <f>IF($R126="","",$S126-$Q126/100000)</f>
        <v/>
      </c>
      <c r="U126" s="35">
        <f>IFERROR(MATCH(LARGE($T$8:$T$207,119),$T$8:$T$207,0),"")</f>
        <v/>
      </c>
    </row>
    <row r="127">
      <c r="A127" s="32">
        <f>IF($U127="","",120)</f>
        <v/>
      </c>
      <c r="B127" s="10">
        <f>IF($U127="","",IFERROR(INDEX(매입원본!$AZ$8:$AZ$1007,MATCH($U127,매입원본!$BD$8:$BD$1007,0)),""))</f>
        <v/>
      </c>
      <c r="C127" s="10">
        <f>IF($U127="","",IFERROR(INDEX(매입원본!$AY$8:$AY$1007,MATCH($U127,매입원본!$BD$8:$BD$1007,0)),""))</f>
        <v/>
      </c>
      <c r="D127" s="33">
        <f>IF($U127="","",COUNTIFS(매입원본!$AX$8:$AX$1007,INDEX($R$8:$R$207,$U127),매입원본!$BA$8:$BA$1007,"포함"))</f>
        <v/>
      </c>
      <c r="E127" s="33">
        <f>IF($U127="","",SUMIFS(매입원본!$AT$8:$AT$1007,매입원본!$AX$8:$AX$1007,INDEX($R$8:$R$207,$U127),매입원본!$BA$8:$BA$1007,"포함"))</f>
        <v/>
      </c>
      <c r="F127" s="33">
        <f>IF($U127="","",SUMIFS(매입원본!$AU$8:$AU$1007,매입원본!$AX$8:$AX$1007,INDEX($R$8:$R$207,$U127),매입원본!$BA$8:$BA$1007,"포함"))</f>
        <v/>
      </c>
      <c r="G127" s="33">
        <f>IF($U127="","",SUMIFS(매입원본!$AV$8:$AV$1007,매입원본!$AX$8:$AX$1007,INDEX($R$8:$R$207,$U127),매입원본!$BA$8:$BA$1007,"포함"))</f>
        <v/>
      </c>
      <c r="H127" s="34">
        <f>IF(OR($U127="",$E$7=0),"",E127/$E$7)</f>
        <v/>
      </c>
      <c r="I127" s="33">
        <f>IF(OR($U127="",0&gt;=설정!$B$12),"",SUMIFS(매입원본!$AT$8:$AT$1007,매입원본!$AX$8:$AX$1007,INDEX($R$8:$R$207,$U127),매입원본!$BA$8:$BA$1007,"포함",매입원본!$AS$8:$AS$1007,"&gt;="&amp;EDATE(설정!$B$10,0),매입원본!$AS$8:$AS$1007,"&lt;="&amp;EOMONTH(설정!$B$10,0)))</f>
        <v/>
      </c>
      <c r="J127" s="33">
        <f>IF(OR($U127="",1&gt;=설정!$B$12),"",SUMIFS(매입원본!$AT$8:$AT$1007,매입원본!$AX$8:$AX$1007,INDEX($R$8:$R$207,$U127),매입원본!$BA$8:$BA$1007,"포함",매입원본!$AS$8:$AS$1007,"&gt;="&amp;EDATE(설정!$B$10,1),매입원본!$AS$8:$AS$1007,"&lt;="&amp;EOMONTH(설정!$B$10,1)))</f>
        <v/>
      </c>
      <c r="K127" s="33">
        <f>IF(OR($U127="",2&gt;=설정!$B$12),"",SUMIFS(매입원본!$AT$8:$AT$1007,매입원본!$AX$8:$AX$1007,INDEX($R$8:$R$207,$U127),매입원본!$BA$8:$BA$1007,"포함",매입원본!$AS$8:$AS$1007,"&gt;="&amp;EDATE(설정!$B$10,2),매입원본!$AS$8:$AS$1007,"&lt;="&amp;EOMONTH(설정!$B$10,2)))</f>
        <v/>
      </c>
      <c r="L127" s="33">
        <f>IF(OR($U127="",3&gt;=설정!$B$12),"",SUMIFS(매입원본!$AT$8:$AT$1007,매입원본!$AX$8:$AX$1007,INDEX($R$8:$R$207,$U127),매입원본!$BA$8:$BA$1007,"포함",매입원본!$AS$8:$AS$1007,"&gt;="&amp;EDATE(설정!$B$10,3),매입원본!$AS$8:$AS$1007,"&lt;="&amp;EOMONTH(설정!$B$10,3)))</f>
        <v/>
      </c>
      <c r="M127" s="33">
        <f>IF(OR($U127="",4&gt;=설정!$B$12),"",SUMIFS(매입원본!$AT$8:$AT$1007,매입원본!$AX$8:$AX$1007,INDEX($R$8:$R$207,$U127),매입원본!$BA$8:$BA$1007,"포함",매입원본!$AS$8:$AS$1007,"&gt;="&amp;EDATE(설정!$B$10,4),매입원본!$AS$8:$AS$1007,"&lt;="&amp;EOMONTH(설정!$B$10,4)))</f>
        <v/>
      </c>
      <c r="N127" s="33">
        <f>IF(OR($U127="",5&gt;=설정!$B$12),"",SUMIFS(매입원본!$AT$8:$AT$1007,매입원본!$AX$8:$AX$1007,INDEX($R$8:$R$207,$U127),매입원본!$BA$8:$BA$1007,"포함",매입원본!$AS$8:$AS$1007,"&gt;="&amp;EDATE(설정!$B$10,5),매입원본!$AS$8:$AS$1007,"&lt;="&amp;EOMONTH(설정!$B$10,5)))</f>
        <v/>
      </c>
      <c r="Q127" s="35" t="n">
        <v>120</v>
      </c>
      <c r="R127" s="35">
        <f>IFERROR(INDEX(매입원본!$AX$8:$AX$1007,MATCH($Q127,매입원본!$BD$8:$BD$1007,0)),"")</f>
        <v/>
      </c>
      <c r="S127" s="35">
        <f>IF($R127="","",SUMIFS(매입원본!$AT$8:$AT$1007,매입원본!$AX$8:$AX$1007,$R127,매입원본!$BA$8:$BA$1007,"포함"))</f>
        <v/>
      </c>
      <c r="T127" s="35">
        <f>IF($R127="","",$S127-$Q127/100000)</f>
        <v/>
      </c>
      <c r="U127" s="35">
        <f>IFERROR(MATCH(LARGE($T$8:$T$207,120),$T$8:$T$207,0),"")</f>
        <v/>
      </c>
    </row>
    <row r="128">
      <c r="A128" s="32">
        <f>IF($U128="","",121)</f>
        <v/>
      </c>
      <c r="B128" s="10">
        <f>IF($U128="","",IFERROR(INDEX(매입원본!$AZ$8:$AZ$1007,MATCH($U128,매입원본!$BD$8:$BD$1007,0)),""))</f>
        <v/>
      </c>
      <c r="C128" s="10">
        <f>IF($U128="","",IFERROR(INDEX(매입원본!$AY$8:$AY$1007,MATCH($U128,매입원본!$BD$8:$BD$1007,0)),""))</f>
        <v/>
      </c>
      <c r="D128" s="33">
        <f>IF($U128="","",COUNTIFS(매입원본!$AX$8:$AX$1007,INDEX($R$8:$R$207,$U128),매입원본!$BA$8:$BA$1007,"포함"))</f>
        <v/>
      </c>
      <c r="E128" s="33">
        <f>IF($U128="","",SUMIFS(매입원본!$AT$8:$AT$1007,매입원본!$AX$8:$AX$1007,INDEX($R$8:$R$207,$U128),매입원본!$BA$8:$BA$1007,"포함"))</f>
        <v/>
      </c>
      <c r="F128" s="33">
        <f>IF($U128="","",SUMIFS(매입원본!$AU$8:$AU$1007,매입원본!$AX$8:$AX$1007,INDEX($R$8:$R$207,$U128),매입원본!$BA$8:$BA$1007,"포함"))</f>
        <v/>
      </c>
      <c r="G128" s="33">
        <f>IF($U128="","",SUMIFS(매입원본!$AV$8:$AV$1007,매입원본!$AX$8:$AX$1007,INDEX($R$8:$R$207,$U128),매입원본!$BA$8:$BA$1007,"포함"))</f>
        <v/>
      </c>
      <c r="H128" s="34">
        <f>IF(OR($U128="",$E$7=0),"",E128/$E$7)</f>
        <v/>
      </c>
      <c r="I128" s="33">
        <f>IF(OR($U128="",0&gt;=설정!$B$12),"",SUMIFS(매입원본!$AT$8:$AT$1007,매입원본!$AX$8:$AX$1007,INDEX($R$8:$R$207,$U128),매입원본!$BA$8:$BA$1007,"포함",매입원본!$AS$8:$AS$1007,"&gt;="&amp;EDATE(설정!$B$10,0),매입원본!$AS$8:$AS$1007,"&lt;="&amp;EOMONTH(설정!$B$10,0)))</f>
        <v/>
      </c>
      <c r="J128" s="33">
        <f>IF(OR($U128="",1&gt;=설정!$B$12),"",SUMIFS(매입원본!$AT$8:$AT$1007,매입원본!$AX$8:$AX$1007,INDEX($R$8:$R$207,$U128),매입원본!$BA$8:$BA$1007,"포함",매입원본!$AS$8:$AS$1007,"&gt;="&amp;EDATE(설정!$B$10,1),매입원본!$AS$8:$AS$1007,"&lt;="&amp;EOMONTH(설정!$B$10,1)))</f>
        <v/>
      </c>
      <c r="K128" s="33">
        <f>IF(OR($U128="",2&gt;=설정!$B$12),"",SUMIFS(매입원본!$AT$8:$AT$1007,매입원본!$AX$8:$AX$1007,INDEX($R$8:$R$207,$U128),매입원본!$BA$8:$BA$1007,"포함",매입원본!$AS$8:$AS$1007,"&gt;="&amp;EDATE(설정!$B$10,2),매입원본!$AS$8:$AS$1007,"&lt;="&amp;EOMONTH(설정!$B$10,2)))</f>
        <v/>
      </c>
      <c r="L128" s="33">
        <f>IF(OR($U128="",3&gt;=설정!$B$12),"",SUMIFS(매입원본!$AT$8:$AT$1007,매입원본!$AX$8:$AX$1007,INDEX($R$8:$R$207,$U128),매입원본!$BA$8:$BA$1007,"포함",매입원본!$AS$8:$AS$1007,"&gt;="&amp;EDATE(설정!$B$10,3),매입원본!$AS$8:$AS$1007,"&lt;="&amp;EOMONTH(설정!$B$10,3)))</f>
        <v/>
      </c>
      <c r="M128" s="33">
        <f>IF(OR($U128="",4&gt;=설정!$B$12),"",SUMIFS(매입원본!$AT$8:$AT$1007,매입원본!$AX$8:$AX$1007,INDEX($R$8:$R$207,$U128),매입원본!$BA$8:$BA$1007,"포함",매입원본!$AS$8:$AS$1007,"&gt;="&amp;EDATE(설정!$B$10,4),매입원본!$AS$8:$AS$1007,"&lt;="&amp;EOMONTH(설정!$B$10,4)))</f>
        <v/>
      </c>
      <c r="N128" s="33">
        <f>IF(OR($U128="",5&gt;=설정!$B$12),"",SUMIFS(매입원본!$AT$8:$AT$1007,매입원본!$AX$8:$AX$1007,INDEX($R$8:$R$207,$U128),매입원본!$BA$8:$BA$1007,"포함",매입원본!$AS$8:$AS$1007,"&gt;="&amp;EDATE(설정!$B$10,5),매입원본!$AS$8:$AS$1007,"&lt;="&amp;EOMONTH(설정!$B$10,5)))</f>
        <v/>
      </c>
      <c r="Q128" s="35" t="n">
        <v>121</v>
      </c>
      <c r="R128" s="35">
        <f>IFERROR(INDEX(매입원본!$AX$8:$AX$1007,MATCH($Q128,매입원본!$BD$8:$BD$1007,0)),"")</f>
        <v/>
      </c>
      <c r="S128" s="35">
        <f>IF($R128="","",SUMIFS(매입원본!$AT$8:$AT$1007,매입원본!$AX$8:$AX$1007,$R128,매입원본!$BA$8:$BA$1007,"포함"))</f>
        <v/>
      </c>
      <c r="T128" s="35">
        <f>IF($R128="","",$S128-$Q128/100000)</f>
        <v/>
      </c>
      <c r="U128" s="35">
        <f>IFERROR(MATCH(LARGE($T$8:$T$207,121),$T$8:$T$207,0),"")</f>
        <v/>
      </c>
    </row>
    <row r="129">
      <c r="A129" s="32">
        <f>IF($U129="","",122)</f>
        <v/>
      </c>
      <c r="B129" s="10">
        <f>IF($U129="","",IFERROR(INDEX(매입원본!$AZ$8:$AZ$1007,MATCH($U129,매입원본!$BD$8:$BD$1007,0)),""))</f>
        <v/>
      </c>
      <c r="C129" s="10">
        <f>IF($U129="","",IFERROR(INDEX(매입원본!$AY$8:$AY$1007,MATCH($U129,매입원본!$BD$8:$BD$1007,0)),""))</f>
        <v/>
      </c>
      <c r="D129" s="33">
        <f>IF($U129="","",COUNTIFS(매입원본!$AX$8:$AX$1007,INDEX($R$8:$R$207,$U129),매입원본!$BA$8:$BA$1007,"포함"))</f>
        <v/>
      </c>
      <c r="E129" s="33">
        <f>IF($U129="","",SUMIFS(매입원본!$AT$8:$AT$1007,매입원본!$AX$8:$AX$1007,INDEX($R$8:$R$207,$U129),매입원본!$BA$8:$BA$1007,"포함"))</f>
        <v/>
      </c>
      <c r="F129" s="33">
        <f>IF($U129="","",SUMIFS(매입원본!$AU$8:$AU$1007,매입원본!$AX$8:$AX$1007,INDEX($R$8:$R$207,$U129),매입원본!$BA$8:$BA$1007,"포함"))</f>
        <v/>
      </c>
      <c r="G129" s="33">
        <f>IF($U129="","",SUMIFS(매입원본!$AV$8:$AV$1007,매입원본!$AX$8:$AX$1007,INDEX($R$8:$R$207,$U129),매입원본!$BA$8:$BA$1007,"포함"))</f>
        <v/>
      </c>
      <c r="H129" s="34">
        <f>IF(OR($U129="",$E$7=0),"",E129/$E$7)</f>
        <v/>
      </c>
      <c r="I129" s="33">
        <f>IF(OR($U129="",0&gt;=설정!$B$12),"",SUMIFS(매입원본!$AT$8:$AT$1007,매입원본!$AX$8:$AX$1007,INDEX($R$8:$R$207,$U129),매입원본!$BA$8:$BA$1007,"포함",매입원본!$AS$8:$AS$1007,"&gt;="&amp;EDATE(설정!$B$10,0),매입원본!$AS$8:$AS$1007,"&lt;="&amp;EOMONTH(설정!$B$10,0)))</f>
        <v/>
      </c>
      <c r="J129" s="33">
        <f>IF(OR($U129="",1&gt;=설정!$B$12),"",SUMIFS(매입원본!$AT$8:$AT$1007,매입원본!$AX$8:$AX$1007,INDEX($R$8:$R$207,$U129),매입원본!$BA$8:$BA$1007,"포함",매입원본!$AS$8:$AS$1007,"&gt;="&amp;EDATE(설정!$B$10,1),매입원본!$AS$8:$AS$1007,"&lt;="&amp;EOMONTH(설정!$B$10,1)))</f>
        <v/>
      </c>
      <c r="K129" s="33">
        <f>IF(OR($U129="",2&gt;=설정!$B$12),"",SUMIFS(매입원본!$AT$8:$AT$1007,매입원본!$AX$8:$AX$1007,INDEX($R$8:$R$207,$U129),매입원본!$BA$8:$BA$1007,"포함",매입원본!$AS$8:$AS$1007,"&gt;="&amp;EDATE(설정!$B$10,2),매입원본!$AS$8:$AS$1007,"&lt;="&amp;EOMONTH(설정!$B$10,2)))</f>
        <v/>
      </c>
      <c r="L129" s="33">
        <f>IF(OR($U129="",3&gt;=설정!$B$12),"",SUMIFS(매입원본!$AT$8:$AT$1007,매입원본!$AX$8:$AX$1007,INDEX($R$8:$R$207,$U129),매입원본!$BA$8:$BA$1007,"포함",매입원본!$AS$8:$AS$1007,"&gt;="&amp;EDATE(설정!$B$10,3),매입원본!$AS$8:$AS$1007,"&lt;="&amp;EOMONTH(설정!$B$10,3)))</f>
        <v/>
      </c>
      <c r="M129" s="33">
        <f>IF(OR($U129="",4&gt;=설정!$B$12),"",SUMIFS(매입원본!$AT$8:$AT$1007,매입원본!$AX$8:$AX$1007,INDEX($R$8:$R$207,$U129),매입원본!$BA$8:$BA$1007,"포함",매입원본!$AS$8:$AS$1007,"&gt;="&amp;EDATE(설정!$B$10,4),매입원본!$AS$8:$AS$1007,"&lt;="&amp;EOMONTH(설정!$B$10,4)))</f>
        <v/>
      </c>
      <c r="N129" s="33">
        <f>IF(OR($U129="",5&gt;=설정!$B$12),"",SUMIFS(매입원본!$AT$8:$AT$1007,매입원본!$AX$8:$AX$1007,INDEX($R$8:$R$207,$U129),매입원본!$BA$8:$BA$1007,"포함",매입원본!$AS$8:$AS$1007,"&gt;="&amp;EDATE(설정!$B$10,5),매입원본!$AS$8:$AS$1007,"&lt;="&amp;EOMONTH(설정!$B$10,5)))</f>
        <v/>
      </c>
      <c r="Q129" s="35" t="n">
        <v>122</v>
      </c>
      <c r="R129" s="35">
        <f>IFERROR(INDEX(매입원본!$AX$8:$AX$1007,MATCH($Q129,매입원본!$BD$8:$BD$1007,0)),"")</f>
        <v/>
      </c>
      <c r="S129" s="35">
        <f>IF($R129="","",SUMIFS(매입원본!$AT$8:$AT$1007,매입원본!$AX$8:$AX$1007,$R129,매입원본!$BA$8:$BA$1007,"포함"))</f>
        <v/>
      </c>
      <c r="T129" s="35">
        <f>IF($R129="","",$S129-$Q129/100000)</f>
        <v/>
      </c>
      <c r="U129" s="35">
        <f>IFERROR(MATCH(LARGE($T$8:$T$207,122),$T$8:$T$207,0),"")</f>
        <v/>
      </c>
    </row>
    <row r="130">
      <c r="A130" s="32">
        <f>IF($U130="","",123)</f>
        <v/>
      </c>
      <c r="B130" s="10">
        <f>IF($U130="","",IFERROR(INDEX(매입원본!$AZ$8:$AZ$1007,MATCH($U130,매입원본!$BD$8:$BD$1007,0)),""))</f>
        <v/>
      </c>
      <c r="C130" s="10">
        <f>IF($U130="","",IFERROR(INDEX(매입원본!$AY$8:$AY$1007,MATCH($U130,매입원본!$BD$8:$BD$1007,0)),""))</f>
        <v/>
      </c>
      <c r="D130" s="33">
        <f>IF($U130="","",COUNTIFS(매입원본!$AX$8:$AX$1007,INDEX($R$8:$R$207,$U130),매입원본!$BA$8:$BA$1007,"포함"))</f>
        <v/>
      </c>
      <c r="E130" s="33">
        <f>IF($U130="","",SUMIFS(매입원본!$AT$8:$AT$1007,매입원본!$AX$8:$AX$1007,INDEX($R$8:$R$207,$U130),매입원본!$BA$8:$BA$1007,"포함"))</f>
        <v/>
      </c>
      <c r="F130" s="33">
        <f>IF($U130="","",SUMIFS(매입원본!$AU$8:$AU$1007,매입원본!$AX$8:$AX$1007,INDEX($R$8:$R$207,$U130),매입원본!$BA$8:$BA$1007,"포함"))</f>
        <v/>
      </c>
      <c r="G130" s="33">
        <f>IF($U130="","",SUMIFS(매입원본!$AV$8:$AV$1007,매입원본!$AX$8:$AX$1007,INDEX($R$8:$R$207,$U130),매입원본!$BA$8:$BA$1007,"포함"))</f>
        <v/>
      </c>
      <c r="H130" s="34">
        <f>IF(OR($U130="",$E$7=0),"",E130/$E$7)</f>
        <v/>
      </c>
      <c r="I130" s="33">
        <f>IF(OR($U130="",0&gt;=설정!$B$12),"",SUMIFS(매입원본!$AT$8:$AT$1007,매입원본!$AX$8:$AX$1007,INDEX($R$8:$R$207,$U130),매입원본!$BA$8:$BA$1007,"포함",매입원본!$AS$8:$AS$1007,"&gt;="&amp;EDATE(설정!$B$10,0),매입원본!$AS$8:$AS$1007,"&lt;="&amp;EOMONTH(설정!$B$10,0)))</f>
        <v/>
      </c>
      <c r="J130" s="33">
        <f>IF(OR($U130="",1&gt;=설정!$B$12),"",SUMIFS(매입원본!$AT$8:$AT$1007,매입원본!$AX$8:$AX$1007,INDEX($R$8:$R$207,$U130),매입원본!$BA$8:$BA$1007,"포함",매입원본!$AS$8:$AS$1007,"&gt;="&amp;EDATE(설정!$B$10,1),매입원본!$AS$8:$AS$1007,"&lt;="&amp;EOMONTH(설정!$B$10,1)))</f>
        <v/>
      </c>
      <c r="K130" s="33">
        <f>IF(OR($U130="",2&gt;=설정!$B$12),"",SUMIFS(매입원본!$AT$8:$AT$1007,매입원본!$AX$8:$AX$1007,INDEX($R$8:$R$207,$U130),매입원본!$BA$8:$BA$1007,"포함",매입원본!$AS$8:$AS$1007,"&gt;="&amp;EDATE(설정!$B$10,2),매입원본!$AS$8:$AS$1007,"&lt;="&amp;EOMONTH(설정!$B$10,2)))</f>
        <v/>
      </c>
      <c r="L130" s="33">
        <f>IF(OR($U130="",3&gt;=설정!$B$12),"",SUMIFS(매입원본!$AT$8:$AT$1007,매입원본!$AX$8:$AX$1007,INDEX($R$8:$R$207,$U130),매입원본!$BA$8:$BA$1007,"포함",매입원본!$AS$8:$AS$1007,"&gt;="&amp;EDATE(설정!$B$10,3),매입원본!$AS$8:$AS$1007,"&lt;="&amp;EOMONTH(설정!$B$10,3)))</f>
        <v/>
      </c>
      <c r="M130" s="33">
        <f>IF(OR($U130="",4&gt;=설정!$B$12),"",SUMIFS(매입원본!$AT$8:$AT$1007,매입원본!$AX$8:$AX$1007,INDEX($R$8:$R$207,$U130),매입원본!$BA$8:$BA$1007,"포함",매입원본!$AS$8:$AS$1007,"&gt;="&amp;EDATE(설정!$B$10,4),매입원본!$AS$8:$AS$1007,"&lt;="&amp;EOMONTH(설정!$B$10,4)))</f>
        <v/>
      </c>
      <c r="N130" s="33">
        <f>IF(OR($U130="",5&gt;=설정!$B$12),"",SUMIFS(매입원본!$AT$8:$AT$1007,매입원본!$AX$8:$AX$1007,INDEX($R$8:$R$207,$U130),매입원본!$BA$8:$BA$1007,"포함",매입원본!$AS$8:$AS$1007,"&gt;="&amp;EDATE(설정!$B$10,5),매입원본!$AS$8:$AS$1007,"&lt;="&amp;EOMONTH(설정!$B$10,5)))</f>
        <v/>
      </c>
      <c r="Q130" s="35" t="n">
        <v>123</v>
      </c>
      <c r="R130" s="35">
        <f>IFERROR(INDEX(매입원본!$AX$8:$AX$1007,MATCH($Q130,매입원본!$BD$8:$BD$1007,0)),"")</f>
        <v/>
      </c>
      <c r="S130" s="35">
        <f>IF($R130="","",SUMIFS(매입원본!$AT$8:$AT$1007,매입원본!$AX$8:$AX$1007,$R130,매입원본!$BA$8:$BA$1007,"포함"))</f>
        <v/>
      </c>
      <c r="T130" s="35">
        <f>IF($R130="","",$S130-$Q130/100000)</f>
        <v/>
      </c>
      <c r="U130" s="35">
        <f>IFERROR(MATCH(LARGE($T$8:$T$207,123),$T$8:$T$207,0),"")</f>
        <v/>
      </c>
    </row>
    <row r="131">
      <c r="A131" s="32">
        <f>IF($U131="","",124)</f>
        <v/>
      </c>
      <c r="B131" s="10">
        <f>IF($U131="","",IFERROR(INDEX(매입원본!$AZ$8:$AZ$1007,MATCH($U131,매입원본!$BD$8:$BD$1007,0)),""))</f>
        <v/>
      </c>
      <c r="C131" s="10">
        <f>IF($U131="","",IFERROR(INDEX(매입원본!$AY$8:$AY$1007,MATCH($U131,매입원본!$BD$8:$BD$1007,0)),""))</f>
        <v/>
      </c>
      <c r="D131" s="33">
        <f>IF($U131="","",COUNTIFS(매입원본!$AX$8:$AX$1007,INDEX($R$8:$R$207,$U131),매입원본!$BA$8:$BA$1007,"포함"))</f>
        <v/>
      </c>
      <c r="E131" s="33">
        <f>IF($U131="","",SUMIFS(매입원본!$AT$8:$AT$1007,매입원본!$AX$8:$AX$1007,INDEX($R$8:$R$207,$U131),매입원본!$BA$8:$BA$1007,"포함"))</f>
        <v/>
      </c>
      <c r="F131" s="33">
        <f>IF($U131="","",SUMIFS(매입원본!$AU$8:$AU$1007,매입원본!$AX$8:$AX$1007,INDEX($R$8:$R$207,$U131),매입원본!$BA$8:$BA$1007,"포함"))</f>
        <v/>
      </c>
      <c r="G131" s="33">
        <f>IF($U131="","",SUMIFS(매입원본!$AV$8:$AV$1007,매입원본!$AX$8:$AX$1007,INDEX($R$8:$R$207,$U131),매입원본!$BA$8:$BA$1007,"포함"))</f>
        <v/>
      </c>
      <c r="H131" s="34">
        <f>IF(OR($U131="",$E$7=0),"",E131/$E$7)</f>
        <v/>
      </c>
      <c r="I131" s="33">
        <f>IF(OR($U131="",0&gt;=설정!$B$12),"",SUMIFS(매입원본!$AT$8:$AT$1007,매입원본!$AX$8:$AX$1007,INDEX($R$8:$R$207,$U131),매입원본!$BA$8:$BA$1007,"포함",매입원본!$AS$8:$AS$1007,"&gt;="&amp;EDATE(설정!$B$10,0),매입원본!$AS$8:$AS$1007,"&lt;="&amp;EOMONTH(설정!$B$10,0)))</f>
        <v/>
      </c>
      <c r="J131" s="33">
        <f>IF(OR($U131="",1&gt;=설정!$B$12),"",SUMIFS(매입원본!$AT$8:$AT$1007,매입원본!$AX$8:$AX$1007,INDEX($R$8:$R$207,$U131),매입원본!$BA$8:$BA$1007,"포함",매입원본!$AS$8:$AS$1007,"&gt;="&amp;EDATE(설정!$B$10,1),매입원본!$AS$8:$AS$1007,"&lt;="&amp;EOMONTH(설정!$B$10,1)))</f>
        <v/>
      </c>
      <c r="K131" s="33">
        <f>IF(OR($U131="",2&gt;=설정!$B$12),"",SUMIFS(매입원본!$AT$8:$AT$1007,매입원본!$AX$8:$AX$1007,INDEX($R$8:$R$207,$U131),매입원본!$BA$8:$BA$1007,"포함",매입원본!$AS$8:$AS$1007,"&gt;="&amp;EDATE(설정!$B$10,2),매입원본!$AS$8:$AS$1007,"&lt;="&amp;EOMONTH(설정!$B$10,2)))</f>
        <v/>
      </c>
      <c r="L131" s="33">
        <f>IF(OR($U131="",3&gt;=설정!$B$12),"",SUMIFS(매입원본!$AT$8:$AT$1007,매입원본!$AX$8:$AX$1007,INDEX($R$8:$R$207,$U131),매입원본!$BA$8:$BA$1007,"포함",매입원본!$AS$8:$AS$1007,"&gt;="&amp;EDATE(설정!$B$10,3),매입원본!$AS$8:$AS$1007,"&lt;="&amp;EOMONTH(설정!$B$10,3)))</f>
        <v/>
      </c>
      <c r="M131" s="33">
        <f>IF(OR($U131="",4&gt;=설정!$B$12),"",SUMIFS(매입원본!$AT$8:$AT$1007,매입원본!$AX$8:$AX$1007,INDEX($R$8:$R$207,$U131),매입원본!$BA$8:$BA$1007,"포함",매입원본!$AS$8:$AS$1007,"&gt;="&amp;EDATE(설정!$B$10,4),매입원본!$AS$8:$AS$1007,"&lt;="&amp;EOMONTH(설정!$B$10,4)))</f>
        <v/>
      </c>
      <c r="N131" s="33">
        <f>IF(OR($U131="",5&gt;=설정!$B$12),"",SUMIFS(매입원본!$AT$8:$AT$1007,매입원본!$AX$8:$AX$1007,INDEX($R$8:$R$207,$U131),매입원본!$BA$8:$BA$1007,"포함",매입원본!$AS$8:$AS$1007,"&gt;="&amp;EDATE(설정!$B$10,5),매입원본!$AS$8:$AS$1007,"&lt;="&amp;EOMONTH(설정!$B$10,5)))</f>
        <v/>
      </c>
      <c r="Q131" s="35" t="n">
        <v>124</v>
      </c>
      <c r="R131" s="35">
        <f>IFERROR(INDEX(매입원본!$AX$8:$AX$1007,MATCH($Q131,매입원본!$BD$8:$BD$1007,0)),"")</f>
        <v/>
      </c>
      <c r="S131" s="35">
        <f>IF($R131="","",SUMIFS(매입원본!$AT$8:$AT$1007,매입원본!$AX$8:$AX$1007,$R131,매입원본!$BA$8:$BA$1007,"포함"))</f>
        <v/>
      </c>
      <c r="T131" s="35">
        <f>IF($R131="","",$S131-$Q131/100000)</f>
        <v/>
      </c>
      <c r="U131" s="35">
        <f>IFERROR(MATCH(LARGE($T$8:$T$207,124),$T$8:$T$207,0),"")</f>
        <v/>
      </c>
    </row>
    <row r="132">
      <c r="A132" s="32">
        <f>IF($U132="","",125)</f>
        <v/>
      </c>
      <c r="B132" s="10">
        <f>IF($U132="","",IFERROR(INDEX(매입원본!$AZ$8:$AZ$1007,MATCH($U132,매입원본!$BD$8:$BD$1007,0)),""))</f>
        <v/>
      </c>
      <c r="C132" s="10">
        <f>IF($U132="","",IFERROR(INDEX(매입원본!$AY$8:$AY$1007,MATCH($U132,매입원본!$BD$8:$BD$1007,0)),""))</f>
        <v/>
      </c>
      <c r="D132" s="33">
        <f>IF($U132="","",COUNTIFS(매입원본!$AX$8:$AX$1007,INDEX($R$8:$R$207,$U132),매입원본!$BA$8:$BA$1007,"포함"))</f>
        <v/>
      </c>
      <c r="E132" s="33">
        <f>IF($U132="","",SUMIFS(매입원본!$AT$8:$AT$1007,매입원본!$AX$8:$AX$1007,INDEX($R$8:$R$207,$U132),매입원본!$BA$8:$BA$1007,"포함"))</f>
        <v/>
      </c>
      <c r="F132" s="33">
        <f>IF($U132="","",SUMIFS(매입원본!$AU$8:$AU$1007,매입원본!$AX$8:$AX$1007,INDEX($R$8:$R$207,$U132),매입원본!$BA$8:$BA$1007,"포함"))</f>
        <v/>
      </c>
      <c r="G132" s="33">
        <f>IF($U132="","",SUMIFS(매입원본!$AV$8:$AV$1007,매입원본!$AX$8:$AX$1007,INDEX($R$8:$R$207,$U132),매입원본!$BA$8:$BA$1007,"포함"))</f>
        <v/>
      </c>
      <c r="H132" s="34">
        <f>IF(OR($U132="",$E$7=0),"",E132/$E$7)</f>
        <v/>
      </c>
      <c r="I132" s="33">
        <f>IF(OR($U132="",0&gt;=설정!$B$12),"",SUMIFS(매입원본!$AT$8:$AT$1007,매입원본!$AX$8:$AX$1007,INDEX($R$8:$R$207,$U132),매입원본!$BA$8:$BA$1007,"포함",매입원본!$AS$8:$AS$1007,"&gt;="&amp;EDATE(설정!$B$10,0),매입원본!$AS$8:$AS$1007,"&lt;="&amp;EOMONTH(설정!$B$10,0)))</f>
        <v/>
      </c>
      <c r="J132" s="33">
        <f>IF(OR($U132="",1&gt;=설정!$B$12),"",SUMIFS(매입원본!$AT$8:$AT$1007,매입원본!$AX$8:$AX$1007,INDEX($R$8:$R$207,$U132),매입원본!$BA$8:$BA$1007,"포함",매입원본!$AS$8:$AS$1007,"&gt;="&amp;EDATE(설정!$B$10,1),매입원본!$AS$8:$AS$1007,"&lt;="&amp;EOMONTH(설정!$B$10,1)))</f>
        <v/>
      </c>
      <c r="K132" s="33">
        <f>IF(OR($U132="",2&gt;=설정!$B$12),"",SUMIFS(매입원본!$AT$8:$AT$1007,매입원본!$AX$8:$AX$1007,INDEX($R$8:$R$207,$U132),매입원본!$BA$8:$BA$1007,"포함",매입원본!$AS$8:$AS$1007,"&gt;="&amp;EDATE(설정!$B$10,2),매입원본!$AS$8:$AS$1007,"&lt;="&amp;EOMONTH(설정!$B$10,2)))</f>
        <v/>
      </c>
      <c r="L132" s="33">
        <f>IF(OR($U132="",3&gt;=설정!$B$12),"",SUMIFS(매입원본!$AT$8:$AT$1007,매입원본!$AX$8:$AX$1007,INDEX($R$8:$R$207,$U132),매입원본!$BA$8:$BA$1007,"포함",매입원본!$AS$8:$AS$1007,"&gt;="&amp;EDATE(설정!$B$10,3),매입원본!$AS$8:$AS$1007,"&lt;="&amp;EOMONTH(설정!$B$10,3)))</f>
        <v/>
      </c>
      <c r="M132" s="33">
        <f>IF(OR($U132="",4&gt;=설정!$B$12),"",SUMIFS(매입원본!$AT$8:$AT$1007,매입원본!$AX$8:$AX$1007,INDEX($R$8:$R$207,$U132),매입원본!$BA$8:$BA$1007,"포함",매입원본!$AS$8:$AS$1007,"&gt;="&amp;EDATE(설정!$B$10,4),매입원본!$AS$8:$AS$1007,"&lt;="&amp;EOMONTH(설정!$B$10,4)))</f>
        <v/>
      </c>
      <c r="N132" s="33">
        <f>IF(OR($U132="",5&gt;=설정!$B$12),"",SUMIFS(매입원본!$AT$8:$AT$1007,매입원본!$AX$8:$AX$1007,INDEX($R$8:$R$207,$U132),매입원본!$BA$8:$BA$1007,"포함",매입원본!$AS$8:$AS$1007,"&gt;="&amp;EDATE(설정!$B$10,5),매입원본!$AS$8:$AS$1007,"&lt;="&amp;EOMONTH(설정!$B$10,5)))</f>
        <v/>
      </c>
      <c r="Q132" s="35" t="n">
        <v>125</v>
      </c>
      <c r="R132" s="35">
        <f>IFERROR(INDEX(매입원본!$AX$8:$AX$1007,MATCH($Q132,매입원본!$BD$8:$BD$1007,0)),"")</f>
        <v/>
      </c>
      <c r="S132" s="35">
        <f>IF($R132="","",SUMIFS(매입원본!$AT$8:$AT$1007,매입원본!$AX$8:$AX$1007,$R132,매입원본!$BA$8:$BA$1007,"포함"))</f>
        <v/>
      </c>
      <c r="T132" s="35">
        <f>IF($R132="","",$S132-$Q132/100000)</f>
        <v/>
      </c>
      <c r="U132" s="35">
        <f>IFERROR(MATCH(LARGE($T$8:$T$207,125),$T$8:$T$207,0),"")</f>
        <v/>
      </c>
    </row>
    <row r="133">
      <c r="A133" s="32">
        <f>IF($U133="","",126)</f>
        <v/>
      </c>
      <c r="B133" s="10">
        <f>IF($U133="","",IFERROR(INDEX(매입원본!$AZ$8:$AZ$1007,MATCH($U133,매입원본!$BD$8:$BD$1007,0)),""))</f>
        <v/>
      </c>
      <c r="C133" s="10">
        <f>IF($U133="","",IFERROR(INDEX(매입원본!$AY$8:$AY$1007,MATCH($U133,매입원본!$BD$8:$BD$1007,0)),""))</f>
        <v/>
      </c>
      <c r="D133" s="33">
        <f>IF($U133="","",COUNTIFS(매입원본!$AX$8:$AX$1007,INDEX($R$8:$R$207,$U133),매입원본!$BA$8:$BA$1007,"포함"))</f>
        <v/>
      </c>
      <c r="E133" s="33">
        <f>IF($U133="","",SUMIFS(매입원본!$AT$8:$AT$1007,매입원본!$AX$8:$AX$1007,INDEX($R$8:$R$207,$U133),매입원본!$BA$8:$BA$1007,"포함"))</f>
        <v/>
      </c>
      <c r="F133" s="33">
        <f>IF($U133="","",SUMIFS(매입원본!$AU$8:$AU$1007,매입원본!$AX$8:$AX$1007,INDEX($R$8:$R$207,$U133),매입원본!$BA$8:$BA$1007,"포함"))</f>
        <v/>
      </c>
      <c r="G133" s="33">
        <f>IF($U133="","",SUMIFS(매입원본!$AV$8:$AV$1007,매입원본!$AX$8:$AX$1007,INDEX($R$8:$R$207,$U133),매입원본!$BA$8:$BA$1007,"포함"))</f>
        <v/>
      </c>
      <c r="H133" s="34">
        <f>IF(OR($U133="",$E$7=0),"",E133/$E$7)</f>
        <v/>
      </c>
      <c r="I133" s="33">
        <f>IF(OR($U133="",0&gt;=설정!$B$12),"",SUMIFS(매입원본!$AT$8:$AT$1007,매입원본!$AX$8:$AX$1007,INDEX($R$8:$R$207,$U133),매입원본!$BA$8:$BA$1007,"포함",매입원본!$AS$8:$AS$1007,"&gt;="&amp;EDATE(설정!$B$10,0),매입원본!$AS$8:$AS$1007,"&lt;="&amp;EOMONTH(설정!$B$10,0)))</f>
        <v/>
      </c>
      <c r="J133" s="33">
        <f>IF(OR($U133="",1&gt;=설정!$B$12),"",SUMIFS(매입원본!$AT$8:$AT$1007,매입원본!$AX$8:$AX$1007,INDEX($R$8:$R$207,$U133),매입원본!$BA$8:$BA$1007,"포함",매입원본!$AS$8:$AS$1007,"&gt;="&amp;EDATE(설정!$B$10,1),매입원본!$AS$8:$AS$1007,"&lt;="&amp;EOMONTH(설정!$B$10,1)))</f>
        <v/>
      </c>
      <c r="K133" s="33">
        <f>IF(OR($U133="",2&gt;=설정!$B$12),"",SUMIFS(매입원본!$AT$8:$AT$1007,매입원본!$AX$8:$AX$1007,INDEX($R$8:$R$207,$U133),매입원본!$BA$8:$BA$1007,"포함",매입원본!$AS$8:$AS$1007,"&gt;="&amp;EDATE(설정!$B$10,2),매입원본!$AS$8:$AS$1007,"&lt;="&amp;EOMONTH(설정!$B$10,2)))</f>
        <v/>
      </c>
      <c r="L133" s="33">
        <f>IF(OR($U133="",3&gt;=설정!$B$12),"",SUMIFS(매입원본!$AT$8:$AT$1007,매입원본!$AX$8:$AX$1007,INDEX($R$8:$R$207,$U133),매입원본!$BA$8:$BA$1007,"포함",매입원본!$AS$8:$AS$1007,"&gt;="&amp;EDATE(설정!$B$10,3),매입원본!$AS$8:$AS$1007,"&lt;="&amp;EOMONTH(설정!$B$10,3)))</f>
        <v/>
      </c>
      <c r="M133" s="33">
        <f>IF(OR($U133="",4&gt;=설정!$B$12),"",SUMIFS(매입원본!$AT$8:$AT$1007,매입원본!$AX$8:$AX$1007,INDEX($R$8:$R$207,$U133),매입원본!$BA$8:$BA$1007,"포함",매입원본!$AS$8:$AS$1007,"&gt;="&amp;EDATE(설정!$B$10,4),매입원본!$AS$8:$AS$1007,"&lt;="&amp;EOMONTH(설정!$B$10,4)))</f>
        <v/>
      </c>
      <c r="N133" s="33">
        <f>IF(OR($U133="",5&gt;=설정!$B$12),"",SUMIFS(매입원본!$AT$8:$AT$1007,매입원본!$AX$8:$AX$1007,INDEX($R$8:$R$207,$U133),매입원본!$BA$8:$BA$1007,"포함",매입원본!$AS$8:$AS$1007,"&gt;="&amp;EDATE(설정!$B$10,5),매입원본!$AS$8:$AS$1007,"&lt;="&amp;EOMONTH(설정!$B$10,5)))</f>
        <v/>
      </c>
      <c r="Q133" s="35" t="n">
        <v>126</v>
      </c>
      <c r="R133" s="35">
        <f>IFERROR(INDEX(매입원본!$AX$8:$AX$1007,MATCH($Q133,매입원본!$BD$8:$BD$1007,0)),"")</f>
        <v/>
      </c>
      <c r="S133" s="35">
        <f>IF($R133="","",SUMIFS(매입원본!$AT$8:$AT$1007,매입원본!$AX$8:$AX$1007,$R133,매입원본!$BA$8:$BA$1007,"포함"))</f>
        <v/>
      </c>
      <c r="T133" s="35">
        <f>IF($R133="","",$S133-$Q133/100000)</f>
        <v/>
      </c>
      <c r="U133" s="35">
        <f>IFERROR(MATCH(LARGE($T$8:$T$207,126),$T$8:$T$207,0),"")</f>
        <v/>
      </c>
    </row>
    <row r="134">
      <c r="A134" s="32">
        <f>IF($U134="","",127)</f>
        <v/>
      </c>
      <c r="B134" s="10">
        <f>IF($U134="","",IFERROR(INDEX(매입원본!$AZ$8:$AZ$1007,MATCH($U134,매입원본!$BD$8:$BD$1007,0)),""))</f>
        <v/>
      </c>
      <c r="C134" s="10">
        <f>IF($U134="","",IFERROR(INDEX(매입원본!$AY$8:$AY$1007,MATCH($U134,매입원본!$BD$8:$BD$1007,0)),""))</f>
        <v/>
      </c>
      <c r="D134" s="33">
        <f>IF($U134="","",COUNTIFS(매입원본!$AX$8:$AX$1007,INDEX($R$8:$R$207,$U134),매입원본!$BA$8:$BA$1007,"포함"))</f>
        <v/>
      </c>
      <c r="E134" s="33">
        <f>IF($U134="","",SUMIFS(매입원본!$AT$8:$AT$1007,매입원본!$AX$8:$AX$1007,INDEX($R$8:$R$207,$U134),매입원본!$BA$8:$BA$1007,"포함"))</f>
        <v/>
      </c>
      <c r="F134" s="33">
        <f>IF($U134="","",SUMIFS(매입원본!$AU$8:$AU$1007,매입원본!$AX$8:$AX$1007,INDEX($R$8:$R$207,$U134),매입원본!$BA$8:$BA$1007,"포함"))</f>
        <v/>
      </c>
      <c r="G134" s="33">
        <f>IF($U134="","",SUMIFS(매입원본!$AV$8:$AV$1007,매입원본!$AX$8:$AX$1007,INDEX($R$8:$R$207,$U134),매입원본!$BA$8:$BA$1007,"포함"))</f>
        <v/>
      </c>
      <c r="H134" s="34">
        <f>IF(OR($U134="",$E$7=0),"",E134/$E$7)</f>
        <v/>
      </c>
      <c r="I134" s="33">
        <f>IF(OR($U134="",0&gt;=설정!$B$12),"",SUMIFS(매입원본!$AT$8:$AT$1007,매입원본!$AX$8:$AX$1007,INDEX($R$8:$R$207,$U134),매입원본!$BA$8:$BA$1007,"포함",매입원본!$AS$8:$AS$1007,"&gt;="&amp;EDATE(설정!$B$10,0),매입원본!$AS$8:$AS$1007,"&lt;="&amp;EOMONTH(설정!$B$10,0)))</f>
        <v/>
      </c>
      <c r="J134" s="33">
        <f>IF(OR($U134="",1&gt;=설정!$B$12),"",SUMIFS(매입원본!$AT$8:$AT$1007,매입원본!$AX$8:$AX$1007,INDEX($R$8:$R$207,$U134),매입원본!$BA$8:$BA$1007,"포함",매입원본!$AS$8:$AS$1007,"&gt;="&amp;EDATE(설정!$B$10,1),매입원본!$AS$8:$AS$1007,"&lt;="&amp;EOMONTH(설정!$B$10,1)))</f>
        <v/>
      </c>
      <c r="K134" s="33">
        <f>IF(OR($U134="",2&gt;=설정!$B$12),"",SUMIFS(매입원본!$AT$8:$AT$1007,매입원본!$AX$8:$AX$1007,INDEX($R$8:$R$207,$U134),매입원본!$BA$8:$BA$1007,"포함",매입원본!$AS$8:$AS$1007,"&gt;="&amp;EDATE(설정!$B$10,2),매입원본!$AS$8:$AS$1007,"&lt;="&amp;EOMONTH(설정!$B$10,2)))</f>
        <v/>
      </c>
      <c r="L134" s="33">
        <f>IF(OR($U134="",3&gt;=설정!$B$12),"",SUMIFS(매입원본!$AT$8:$AT$1007,매입원본!$AX$8:$AX$1007,INDEX($R$8:$R$207,$U134),매입원본!$BA$8:$BA$1007,"포함",매입원본!$AS$8:$AS$1007,"&gt;="&amp;EDATE(설정!$B$10,3),매입원본!$AS$8:$AS$1007,"&lt;="&amp;EOMONTH(설정!$B$10,3)))</f>
        <v/>
      </c>
      <c r="M134" s="33">
        <f>IF(OR($U134="",4&gt;=설정!$B$12),"",SUMIFS(매입원본!$AT$8:$AT$1007,매입원본!$AX$8:$AX$1007,INDEX($R$8:$R$207,$U134),매입원본!$BA$8:$BA$1007,"포함",매입원본!$AS$8:$AS$1007,"&gt;="&amp;EDATE(설정!$B$10,4),매입원본!$AS$8:$AS$1007,"&lt;="&amp;EOMONTH(설정!$B$10,4)))</f>
        <v/>
      </c>
      <c r="N134" s="33">
        <f>IF(OR($U134="",5&gt;=설정!$B$12),"",SUMIFS(매입원본!$AT$8:$AT$1007,매입원본!$AX$8:$AX$1007,INDEX($R$8:$R$207,$U134),매입원본!$BA$8:$BA$1007,"포함",매입원본!$AS$8:$AS$1007,"&gt;="&amp;EDATE(설정!$B$10,5),매입원본!$AS$8:$AS$1007,"&lt;="&amp;EOMONTH(설정!$B$10,5)))</f>
        <v/>
      </c>
      <c r="Q134" s="35" t="n">
        <v>127</v>
      </c>
      <c r="R134" s="35">
        <f>IFERROR(INDEX(매입원본!$AX$8:$AX$1007,MATCH($Q134,매입원본!$BD$8:$BD$1007,0)),"")</f>
        <v/>
      </c>
      <c r="S134" s="35">
        <f>IF($R134="","",SUMIFS(매입원본!$AT$8:$AT$1007,매입원본!$AX$8:$AX$1007,$R134,매입원본!$BA$8:$BA$1007,"포함"))</f>
        <v/>
      </c>
      <c r="T134" s="35">
        <f>IF($R134="","",$S134-$Q134/100000)</f>
        <v/>
      </c>
      <c r="U134" s="35">
        <f>IFERROR(MATCH(LARGE($T$8:$T$207,127),$T$8:$T$207,0),"")</f>
        <v/>
      </c>
    </row>
    <row r="135">
      <c r="A135" s="32">
        <f>IF($U135="","",128)</f>
        <v/>
      </c>
      <c r="B135" s="10">
        <f>IF($U135="","",IFERROR(INDEX(매입원본!$AZ$8:$AZ$1007,MATCH($U135,매입원본!$BD$8:$BD$1007,0)),""))</f>
        <v/>
      </c>
      <c r="C135" s="10">
        <f>IF($U135="","",IFERROR(INDEX(매입원본!$AY$8:$AY$1007,MATCH($U135,매입원본!$BD$8:$BD$1007,0)),""))</f>
        <v/>
      </c>
      <c r="D135" s="33">
        <f>IF($U135="","",COUNTIFS(매입원본!$AX$8:$AX$1007,INDEX($R$8:$R$207,$U135),매입원본!$BA$8:$BA$1007,"포함"))</f>
        <v/>
      </c>
      <c r="E135" s="33">
        <f>IF($U135="","",SUMIFS(매입원본!$AT$8:$AT$1007,매입원본!$AX$8:$AX$1007,INDEX($R$8:$R$207,$U135),매입원본!$BA$8:$BA$1007,"포함"))</f>
        <v/>
      </c>
      <c r="F135" s="33">
        <f>IF($U135="","",SUMIFS(매입원본!$AU$8:$AU$1007,매입원본!$AX$8:$AX$1007,INDEX($R$8:$R$207,$U135),매입원본!$BA$8:$BA$1007,"포함"))</f>
        <v/>
      </c>
      <c r="G135" s="33">
        <f>IF($U135="","",SUMIFS(매입원본!$AV$8:$AV$1007,매입원본!$AX$8:$AX$1007,INDEX($R$8:$R$207,$U135),매입원본!$BA$8:$BA$1007,"포함"))</f>
        <v/>
      </c>
      <c r="H135" s="34">
        <f>IF(OR($U135="",$E$7=0),"",E135/$E$7)</f>
        <v/>
      </c>
      <c r="I135" s="33">
        <f>IF(OR($U135="",0&gt;=설정!$B$12),"",SUMIFS(매입원본!$AT$8:$AT$1007,매입원본!$AX$8:$AX$1007,INDEX($R$8:$R$207,$U135),매입원본!$BA$8:$BA$1007,"포함",매입원본!$AS$8:$AS$1007,"&gt;="&amp;EDATE(설정!$B$10,0),매입원본!$AS$8:$AS$1007,"&lt;="&amp;EOMONTH(설정!$B$10,0)))</f>
        <v/>
      </c>
      <c r="J135" s="33">
        <f>IF(OR($U135="",1&gt;=설정!$B$12),"",SUMIFS(매입원본!$AT$8:$AT$1007,매입원본!$AX$8:$AX$1007,INDEX($R$8:$R$207,$U135),매입원본!$BA$8:$BA$1007,"포함",매입원본!$AS$8:$AS$1007,"&gt;="&amp;EDATE(설정!$B$10,1),매입원본!$AS$8:$AS$1007,"&lt;="&amp;EOMONTH(설정!$B$10,1)))</f>
        <v/>
      </c>
      <c r="K135" s="33">
        <f>IF(OR($U135="",2&gt;=설정!$B$12),"",SUMIFS(매입원본!$AT$8:$AT$1007,매입원본!$AX$8:$AX$1007,INDEX($R$8:$R$207,$U135),매입원본!$BA$8:$BA$1007,"포함",매입원본!$AS$8:$AS$1007,"&gt;="&amp;EDATE(설정!$B$10,2),매입원본!$AS$8:$AS$1007,"&lt;="&amp;EOMONTH(설정!$B$10,2)))</f>
        <v/>
      </c>
      <c r="L135" s="33">
        <f>IF(OR($U135="",3&gt;=설정!$B$12),"",SUMIFS(매입원본!$AT$8:$AT$1007,매입원본!$AX$8:$AX$1007,INDEX($R$8:$R$207,$U135),매입원본!$BA$8:$BA$1007,"포함",매입원본!$AS$8:$AS$1007,"&gt;="&amp;EDATE(설정!$B$10,3),매입원본!$AS$8:$AS$1007,"&lt;="&amp;EOMONTH(설정!$B$10,3)))</f>
        <v/>
      </c>
      <c r="M135" s="33">
        <f>IF(OR($U135="",4&gt;=설정!$B$12),"",SUMIFS(매입원본!$AT$8:$AT$1007,매입원본!$AX$8:$AX$1007,INDEX($R$8:$R$207,$U135),매입원본!$BA$8:$BA$1007,"포함",매입원본!$AS$8:$AS$1007,"&gt;="&amp;EDATE(설정!$B$10,4),매입원본!$AS$8:$AS$1007,"&lt;="&amp;EOMONTH(설정!$B$10,4)))</f>
        <v/>
      </c>
      <c r="N135" s="33">
        <f>IF(OR($U135="",5&gt;=설정!$B$12),"",SUMIFS(매입원본!$AT$8:$AT$1007,매입원본!$AX$8:$AX$1007,INDEX($R$8:$R$207,$U135),매입원본!$BA$8:$BA$1007,"포함",매입원본!$AS$8:$AS$1007,"&gt;="&amp;EDATE(설정!$B$10,5),매입원본!$AS$8:$AS$1007,"&lt;="&amp;EOMONTH(설정!$B$10,5)))</f>
        <v/>
      </c>
      <c r="Q135" s="35" t="n">
        <v>128</v>
      </c>
      <c r="R135" s="35">
        <f>IFERROR(INDEX(매입원본!$AX$8:$AX$1007,MATCH($Q135,매입원본!$BD$8:$BD$1007,0)),"")</f>
        <v/>
      </c>
      <c r="S135" s="35">
        <f>IF($R135="","",SUMIFS(매입원본!$AT$8:$AT$1007,매입원본!$AX$8:$AX$1007,$R135,매입원본!$BA$8:$BA$1007,"포함"))</f>
        <v/>
      </c>
      <c r="T135" s="35">
        <f>IF($R135="","",$S135-$Q135/100000)</f>
        <v/>
      </c>
      <c r="U135" s="35">
        <f>IFERROR(MATCH(LARGE($T$8:$T$207,128),$T$8:$T$207,0),"")</f>
        <v/>
      </c>
    </row>
    <row r="136">
      <c r="A136" s="32">
        <f>IF($U136="","",129)</f>
        <v/>
      </c>
      <c r="B136" s="10">
        <f>IF($U136="","",IFERROR(INDEX(매입원본!$AZ$8:$AZ$1007,MATCH($U136,매입원본!$BD$8:$BD$1007,0)),""))</f>
        <v/>
      </c>
      <c r="C136" s="10">
        <f>IF($U136="","",IFERROR(INDEX(매입원본!$AY$8:$AY$1007,MATCH($U136,매입원본!$BD$8:$BD$1007,0)),""))</f>
        <v/>
      </c>
      <c r="D136" s="33">
        <f>IF($U136="","",COUNTIFS(매입원본!$AX$8:$AX$1007,INDEX($R$8:$R$207,$U136),매입원본!$BA$8:$BA$1007,"포함"))</f>
        <v/>
      </c>
      <c r="E136" s="33">
        <f>IF($U136="","",SUMIFS(매입원본!$AT$8:$AT$1007,매입원본!$AX$8:$AX$1007,INDEX($R$8:$R$207,$U136),매입원본!$BA$8:$BA$1007,"포함"))</f>
        <v/>
      </c>
      <c r="F136" s="33">
        <f>IF($U136="","",SUMIFS(매입원본!$AU$8:$AU$1007,매입원본!$AX$8:$AX$1007,INDEX($R$8:$R$207,$U136),매입원본!$BA$8:$BA$1007,"포함"))</f>
        <v/>
      </c>
      <c r="G136" s="33">
        <f>IF($U136="","",SUMIFS(매입원본!$AV$8:$AV$1007,매입원본!$AX$8:$AX$1007,INDEX($R$8:$R$207,$U136),매입원본!$BA$8:$BA$1007,"포함"))</f>
        <v/>
      </c>
      <c r="H136" s="34">
        <f>IF(OR($U136="",$E$7=0),"",E136/$E$7)</f>
        <v/>
      </c>
      <c r="I136" s="33">
        <f>IF(OR($U136="",0&gt;=설정!$B$12),"",SUMIFS(매입원본!$AT$8:$AT$1007,매입원본!$AX$8:$AX$1007,INDEX($R$8:$R$207,$U136),매입원본!$BA$8:$BA$1007,"포함",매입원본!$AS$8:$AS$1007,"&gt;="&amp;EDATE(설정!$B$10,0),매입원본!$AS$8:$AS$1007,"&lt;="&amp;EOMONTH(설정!$B$10,0)))</f>
        <v/>
      </c>
      <c r="J136" s="33">
        <f>IF(OR($U136="",1&gt;=설정!$B$12),"",SUMIFS(매입원본!$AT$8:$AT$1007,매입원본!$AX$8:$AX$1007,INDEX($R$8:$R$207,$U136),매입원본!$BA$8:$BA$1007,"포함",매입원본!$AS$8:$AS$1007,"&gt;="&amp;EDATE(설정!$B$10,1),매입원본!$AS$8:$AS$1007,"&lt;="&amp;EOMONTH(설정!$B$10,1)))</f>
        <v/>
      </c>
      <c r="K136" s="33">
        <f>IF(OR($U136="",2&gt;=설정!$B$12),"",SUMIFS(매입원본!$AT$8:$AT$1007,매입원본!$AX$8:$AX$1007,INDEX($R$8:$R$207,$U136),매입원본!$BA$8:$BA$1007,"포함",매입원본!$AS$8:$AS$1007,"&gt;="&amp;EDATE(설정!$B$10,2),매입원본!$AS$8:$AS$1007,"&lt;="&amp;EOMONTH(설정!$B$10,2)))</f>
        <v/>
      </c>
      <c r="L136" s="33">
        <f>IF(OR($U136="",3&gt;=설정!$B$12),"",SUMIFS(매입원본!$AT$8:$AT$1007,매입원본!$AX$8:$AX$1007,INDEX($R$8:$R$207,$U136),매입원본!$BA$8:$BA$1007,"포함",매입원본!$AS$8:$AS$1007,"&gt;="&amp;EDATE(설정!$B$10,3),매입원본!$AS$8:$AS$1007,"&lt;="&amp;EOMONTH(설정!$B$10,3)))</f>
        <v/>
      </c>
      <c r="M136" s="33">
        <f>IF(OR($U136="",4&gt;=설정!$B$12),"",SUMIFS(매입원본!$AT$8:$AT$1007,매입원본!$AX$8:$AX$1007,INDEX($R$8:$R$207,$U136),매입원본!$BA$8:$BA$1007,"포함",매입원본!$AS$8:$AS$1007,"&gt;="&amp;EDATE(설정!$B$10,4),매입원본!$AS$8:$AS$1007,"&lt;="&amp;EOMONTH(설정!$B$10,4)))</f>
        <v/>
      </c>
      <c r="N136" s="33">
        <f>IF(OR($U136="",5&gt;=설정!$B$12),"",SUMIFS(매입원본!$AT$8:$AT$1007,매입원본!$AX$8:$AX$1007,INDEX($R$8:$R$207,$U136),매입원본!$BA$8:$BA$1007,"포함",매입원본!$AS$8:$AS$1007,"&gt;="&amp;EDATE(설정!$B$10,5),매입원본!$AS$8:$AS$1007,"&lt;="&amp;EOMONTH(설정!$B$10,5)))</f>
        <v/>
      </c>
      <c r="Q136" s="35" t="n">
        <v>129</v>
      </c>
      <c r="R136" s="35">
        <f>IFERROR(INDEX(매입원본!$AX$8:$AX$1007,MATCH($Q136,매입원본!$BD$8:$BD$1007,0)),"")</f>
        <v/>
      </c>
      <c r="S136" s="35">
        <f>IF($R136="","",SUMIFS(매입원본!$AT$8:$AT$1007,매입원본!$AX$8:$AX$1007,$R136,매입원본!$BA$8:$BA$1007,"포함"))</f>
        <v/>
      </c>
      <c r="T136" s="35">
        <f>IF($R136="","",$S136-$Q136/100000)</f>
        <v/>
      </c>
      <c r="U136" s="35">
        <f>IFERROR(MATCH(LARGE($T$8:$T$207,129),$T$8:$T$207,0),"")</f>
        <v/>
      </c>
    </row>
    <row r="137">
      <c r="A137" s="32">
        <f>IF($U137="","",130)</f>
        <v/>
      </c>
      <c r="B137" s="10">
        <f>IF($U137="","",IFERROR(INDEX(매입원본!$AZ$8:$AZ$1007,MATCH($U137,매입원본!$BD$8:$BD$1007,0)),""))</f>
        <v/>
      </c>
      <c r="C137" s="10">
        <f>IF($U137="","",IFERROR(INDEX(매입원본!$AY$8:$AY$1007,MATCH($U137,매입원본!$BD$8:$BD$1007,0)),""))</f>
        <v/>
      </c>
      <c r="D137" s="33">
        <f>IF($U137="","",COUNTIFS(매입원본!$AX$8:$AX$1007,INDEX($R$8:$R$207,$U137),매입원본!$BA$8:$BA$1007,"포함"))</f>
        <v/>
      </c>
      <c r="E137" s="33">
        <f>IF($U137="","",SUMIFS(매입원본!$AT$8:$AT$1007,매입원본!$AX$8:$AX$1007,INDEX($R$8:$R$207,$U137),매입원본!$BA$8:$BA$1007,"포함"))</f>
        <v/>
      </c>
      <c r="F137" s="33">
        <f>IF($U137="","",SUMIFS(매입원본!$AU$8:$AU$1007,매입원본!$AX$8:$AX$1007,INDEX($R$8:$R$207,$U137),매입원본!$BA$8:$BA$1007,"포함"))</f>
        <v/>
      </c>
      <c r="G137" s="33">
        <f>IF($U137="","",SUMIFS(매입원본!$AV$8:$AV$1007,매입원본!$AX$8:$AX$1007,INDEX($R$8:$R$207,$U137),매입원본!$BA$8:$BA$1007,"포함"))</f>
        <v/>
      </c>
      <c r="H137" s="34">
        <f>IF(OR($U137="",$E$7=0),"",E137/$E$7)</f>
        <v/>
      </c>
      <c r="I137" s="33">
        <f>IF(OR($U137="",0&gt;=설정!$B$12),"",SUMIFS(매입원본!$AT$8:$AT$1007,매입원본!$AX$8:$AX$1007,INDEX($R$8:$R$207,$U137),매입원본!$BA$8:$BA$1007,"포함",매입원본!$AS$8:$AS$1007,"&gt;="&amp;EDATE(설정!$B$10,0),매입원본!$AS$8:$AS$1007,"&lt;="&amp;EOMONTH(설정!$B$10,0)))</f>
        <v/>
      </c>
      <c r="J137" s="33">
        <f>IF(OR($U137="",1&gt;=설정!$B$12),"",SUMIFS(매입원본!$AT$8:$AT$1007,매입원본!$AX$8:$AX$1007,INDEX($R$8:$R$207,$U137),매입원본!$BA$8:$BA$1007,"포함",매입원본!$AS$8:$AS$1007,"&gt;="&amp;EDATE(설정!$B$10,1),매입원본!$AS$8:$AS$1007,"&lt;="&amp;EOMONTH(설정!$B$10,1)))</f>
        <v/>
      </c>
      <c r="K137" s="33">
        <f>IF(OR($U137="",2&gt;=설정!$B$12),"",SUMIFS(매입원본!$AT$8:$AT$1007,매입원본!$AX$8:$AX$1007,INDEX($R$8:$R$207,$U137),매입원본!$BA$8:$BA$1007,"포함",매입원본!$AS$8:$AS$1007,"&gt;="&amp;EDATE(설정!$B$10,2),매입원본!$AS$8:$AS$1007,"&lt;="&amp;EOMONTH(설정!$B$10,2)))</f>
        <v/>
      </c>
      <c r="L137" s="33">
        <f>IF(OR($U137="",3&gt;=설정!$B$12),"",SUMIFS(매입원본!$AT$8:$AT$1007,매입원본!$AX$8:$AX$1007,INDEX($R$8:$R$207,$U137),매입원본!$BA$8:$BA$1007,"포함",매입원본!$AS$8:$AS$1007,"&gt;="&amp;EDATE(설정!$B$10,3),매입원본!$AS$8:$AS$1007,"&lt;="&amp;EOMONTH(설정!$B$10,3)))</f>
        <v/>
      </c>
      <c r="M137" s="33">
        <f>IF(OR($U137="",4&gt;=설정!$B$12),"",SUMIFS(매입원본!$AT$8:$AT$1007,매입원본!$AX$8:$AX$1007,INDEX($R$8:$R$207,$U137),매입원본!$BA$8:$BA$1007,"포함",매입원본!$AS$8:$AS$1007,"&gt;="&amp;EDATE(설정!$B$10,4),매입원본!$AS$8:$AS$1007,"&lt;="&amp;EOMONTH(설정!$B$10,4)))</f>
        <v/>
      </c>
      <c r="N137" s="33">
        <f>IF(OR($U137="",5&gt;=설정!$B$12),"",SUMIFS(매입원본!$AT$8:$AT$1007,매입원본!$AX$8:$AX$1007,INDEX($R$8:$R$207,$U137),매입원본!$BA$8:$BA$1007,"포함",매입원본!$AS$8:$AS$1007,"&gt;="&amp;EDATE(설정!$B$10,5),매입원본!$AS$8:$AS$1007,"&lt;="&amp;EOMONTH(설정!$B$10,5)))</f>
        <v/>
      </c>
      <c r="Q137" s="35" t="n">
        <v>130</v>
      </c>
      <c r="R137" s="35">
        <f>IFERROR(INDEX(매입원본!$AX$8:$AX$1007,MATCH($Q137,매입원본!$BD$8:$BD$1007,0)),"")</f>
        <v/>
      </c>
      <c r="S137" s="35">
        <f>IF($R137="","",SUMIFS(매입원본!$AT$8:$AT$1007,매입원본!$AX$8:$AX$1007,$R137,매입원본!$BA$8:$BA$1007,"포함"))</f>
        <v/>
      </c>
      <c r="T137" s="35">
        <f>IF($R137="","",$S137-$Q137/100000)</f>
        <v/>
      </c>
      <c r="U137" s="35">
        <f>IFERROR(MATCH(LARGE($T$8:$T$207,130),$T$8:$T$207,0),"")</f>
        <v/>
      </c>
    </row>
    <row r="138">
      <c r="A138" s="32">
        <f>IF($U138="","",131)</f>
        <v/>
      </c>
      <c r="B138" s="10">
        <f>IF($U138="","",IFERROR(INDEX(매입원본!$AZ$8:$AZ$1007,MATCH($U138,매입원본!$BD$8:$BD$1007,0)),""))</f>
        <v/>
      </c>
      <c r="C138" s="10">
        <f>IF($U138="","",IFERROR(INDEX(매입원본!$AY$8:$AY$1007,MATCH($U138,매입원본!$BD$8:$BD$1007,0)),""))</f>
        <v/>
      </c>
      <c r="D138" s="33">
        <f>IF($U138="","",COUNTIFS(매입원본!$AX$8:$AX$1007,INDEX($R$8:$R$207,$U138),매입원본!$BA$8:$BA$1007,"포함"))</f>
        <v/>
      </c>
      <c r="E138" s="33">
        <f>IF($U138="","",SUMIFS(매입원본!$AT$8:$AT$1007,매입원본!$AX$8:$AX$1007,INDEX($R$8:$R$207,$U138),매입원본!$BA$8:$BA$1007,"포함"))</f>
        <v/>
      </c>
      <c r="F138" s="33">
        <f>IF($U138="","",SUMIFS(매입원본!$AU$8:$AU$1007,매입원본!$AX$8:$AX$1007,INDEX($R$8:$R$207,$U138),매입원본!$BA$8:$BA$1007,"포함"))</f>
        <v/>
      </c>
      <c r="G138" s="33">
        <f>IF($U138="","",SUMIFS(매입원본!$AV$8:$AV$1007,매입원본!$AX$8:$AX$1007,INDEX($R$8:$R$207,$U138),매입원본!$BA$8:$BA$1007,"포함"))</f>
        <v/>
      </c>
      <c r="H138" s="34">
        <f>IF(OR($U138="",$E$7=0),"",E138/$E$7)</f>
        <v/>
      </c>
      <c r="I138" s="33">
        <f>IF(OR($U138="",0&gt;=설정!$B$12),"",SUMIFS(매입원본!$AT$8:$AT$1007,매입원본!$AX$8:$AX$1007,INDEX($R$8:$R$207,$U138),매입원본!$BA$8:$BA$1007,"포함",매입원본!$AS$8:$AS$1007,"&gt;="&amp;EDATE(설정!$B$10,0),매입원본!$AS$8:$AS$1007,"&lt;="&amp;EOMONTH(설정!$B$10,0)))</f>
        <v/>
      </c>
      <c r="J138" s="33">
        <f>IF(OR($U138="",1&gt;=설정!$B$12),"",SUMIFS(매입원본!$AT$8:$AT$1007,매입원본!$AX$8:$AX$1007,INDEX($R$8:$R$207,$U138),매입원본!$BA$8:$BA$1007,"포함",매입원본!$AS$8:$AS$1007,"&gt;="&amp;EDATE(설정!$B$10,1),매입원본!$AS$8:$AS$1007,"&lt;="&amp;EOMONTH(설정!$B$10,1)))</f>
        <v/>
      </c>
      <c r="K138" s="33">
        <f>IF(OR($U138="",2&gt;=설정!$B$12),"",SUMIFS(매입원본!$AT$8:$AT$1007,매입원본!$AX$8:$AX$1007,INDEX($R$8:$R$207,$U138),매입원본!$BA$8:$BA$1007,"포함",매입원본!$AS$8:$AS$1007,"&gt;="&amp;EDATE(설정!$B$10,2),매입원본!$AS$8:$AS$1007,"&lt;="&amp;EOMONTH(설정!$B$10,2)))</f>
        <v/>
      </c>
      <c r="L138" s="33">
        <f>IF(OR($U138="",3&gt;=설정!$B$12),"",SUMIFS(매입원본!$AT$8:$AT$1007,매입원본!$AX$8:$AX$1007,INDEX($R$8:$R$207,$U138),매입원본!$BA$8:$BA$1007,"포함",매입원본!$AS$8:$AS$1007,"&gt;="&amp;EDATE(설정!$B$10,3),매입원본!$AS$8:$AS$1007,"&lt;="&amp;EOMONTH(설정!$B$10,3)))</f>
        <v/>
      </c>
      <c r="M138" s="33">
        <f>IF(OR($U138="",4&gt;=설정!$B$12),"",SUMIFS(매입원본!$AT$8:$AT$1007,매입원본!$AX$8:$AX$1007,INDEX($R$8:$R$207,$U138),매입원본!$BA$8:$BA$1007,"포함",매입원본!$AS$8:$AS$1007,"&gt;="&amp;EDATE(설정!$B$10,4),매입원본!$AS$8:$AS$1007,"&lt;="&amp;EOMONTH(설정!$B$10,4)))</f>
        <v/>
      </c>
      <c r="N138" s="33">
        <f>IF(OR($U138="",5&gt;=설정!$B$12),"",SUMIFS(매입원본!$AT$8:$AT$1007,매입원본!$AX$8:$AX$1007,INDEX($R$8:$R$207,$U138),매입원본!$BA$8:$BA$1007,"포함",매입원본!$AS$8:$AS$1007,"&gt;="&amp;EDATE(설정!$B$10,5),매입원본!$AS$8:$AS$1007,"&lt;="&amp;EOMONTH(설정!$B$10,5)))</f>
        <v/>
      </c>
      <c r="Q138" s="35" t="n">
        <v>131</v>
      </c>
      <c r="R138" s="35">
        <f>IFERROR(INDEX(매입원본!$AX$8:$AX$1007,MATCH($Q138,매입원본!$BD$8:$BD$1007,0)),"")</f>
        <v/>
      </c>
      <c r="S138" s="35">
        <f>IF($R138="","",SUMIFS(매입원본!$AT$8:$AT$1007,매입원본!$AX$8:$AX$1007,$R138,매입원본!$BA$8:$BA$1007,"포함"))</f>
        <v/>
      </c>
      <c r="T138" s="35">
        <f>IF($R138="","",$S138-$Q138/100000)</f>
        <v/>
      </c>
      <c r="U138" s="35">
        <f>IFERROR(MATCH(LARGE($T$8:$T$207,131),$T$8:$T$207,0),"")</f>
        <v/>
      </c>
    </row>
    <row r="139">
      <c r="A139" s="32">
        <f>IF($U139="","",132)</f>
        <v/>
      </c>
      <c r="B139" s="10">
        <f>IF($U139="","",IFERROR(INDEX(매입원본!$AZ$8:$AZ$1007,MATCH($U139,매입원본!$BD$8:$BD$1007,0)),""))</f>
        <v/>
      </c>
      <c r="C139" s="10">
        <f>IF($U139="","",IFERROR(INDEX(매입원본!$AY$8:$AY$1007,MATCH($U139,매입원본!$BD$8:$BD$1007,0)),""))</f>
        <v/>
      </c>
      <c r="D139" s="33">
        <f>IF($U139="","",COUNTIFS(매입원본!$AX$8:$AX$1007,INDEX($R$8:$R$207,$U139),매입원본!$BA$8:$BA$1007,"포함"))</f>
        <v/>
      </c>
      <c r="E139" s="33">
        <f>IF($U139="","",SUMIFS(매입원본!$AT$8:$AT$1007,매입원본!$AX$8:$AX$1007,INDEX($R$8:$R$207,$U139),매입원본!$BA$8:$BA$1007,"포함"))</f>
        <v/>
      </c>
      <c r="F139" s="33">
        <f>IF($U139="","",SUMIFS(매입원본!$AU$8:$AU$1007,매입원본!$AX$8:$AX$1007,INDEX($R$8:$R$207,$U139),매입원본!$BA$8:$BA$1007,"포함"))</f>
        <v/>
      </c>
      <c r="G139" s="33">
        <f>IF($U139="","",SUMIFS(매입원본!$AV$8:$AV$1007,매입원본!$AX$8:$AX$1007,INDEX($R$8:$R$207,$U139),매입원본!$BA$8:$BA$1007,"포함"))</f>
        <v/>
      </c>
      <c r="H139" s="34">
        <f>IF(OR($U139="",$E$7=0),"",E139/$E$7)</f>
        <v/>
      </c>
      <c r="I139" s="33">
        <f>IF(OR($U139="",0&gt;=설정!$B$12),"",SUMIFS(매입원본!$AT$8:$AT$1007,매입원본!$AX$8:$AX$1007,INDEX($R$8:$R$207,$U139),매입원본!$BA$8:$BA$1007,"포함",매입원본!$AS$8:$AS$1007,"&gt;="&amp;EDATE(설정!$B$10,0),매입원본!$AS$8:$AS$1007,"&lt;="&amp;EOMONTH(설정!$B$10,0)))</f>
        <v/>
      </c>
      <c r="J139" s="33">
        <f>IF(OR($U139="",1&gt;=설정!$B$12),"",SUMIFS(매입원본!$AT$8:$AT$1007,매입원본!$AX$8:$AX$1007,INDEX($R$8:$R$207,$U139),매입원본!$BA$8:$BA$1007,"포함",매입원본!$AS$8:$AS$1007,"&gt;="&amp;EDATE(설정!$B$10,1),매입원본!$AS$8:$AS$1007,"&lt;="&amp;EOMONTH(설정!$B$10,1)))</f>
        <v/>
      </c>
      <c r="K139" s="33">
        <f>IF(OR($U139="",2&gt;=설정!$B$12),"",SUMIFS(매입원본!$AT$8:$AT$1007,매입원본!$AX$8:$AX$1007,INDEX($R$8:$R$207,$U139),매입원본!$BA$8:$BA$1007,"포함",매입원본!$AS$8:$AS$1007,"&gt;="&amp;EDATE(설정!$B$10,2),매입원본!$AS$8:$AS$1007,"&lt;="&amp;EOMONTH(설정!$B$10,2)))</f>
        <v/>
      </c>
      <c r="L139" s="33">
        <f>IF(OR($U139="",3&gt;=설정!$B$12),"",SUMIFS(매입원본!$AT$8:$AT$1007,매입원본!$AX$8:$AX$1007,INDEX($R$8:$R$207,$U139),매입원본!$BA$8:$BA$1007,"포함",매입원본!$AS$8:$AS$1007,"&gt;="&amp;EDATE(설정!$B$10,3),매입원본!$AS$8:$AS$1007,"&lt;="&amp;EOMONTH(설정!$B$10,3)))</f>
        <v/>
      </c>
      <c r="M139" s="33">
        <f>IF(OR($U139="",4&gt;=설정!$B$12),"",SUMIFS(매입원본!$AT$8:$AT$1007,매입원본!$AX$8:$AX$1007,INDEX($R$8:$R$207,$U139),매입원본!$BA$8:$BA$1007,"포함",매입원본!$AS$8:$AS$1007,"&gt;="&amp;EDATE(설정!$B$10,4),매입원본!$AS$8:$AS$1007,"&lt;="&amp;EOMONTH(설정!$B$10,4)))</f>
        <v/>
      </c>
      <c r="N139" s="33">
        <f>IF(OR($U139="",5&gt;=설정!$B$12),"",SUMIFS(매입원본!$AT$8:$AT$1007,매입원본!$AX$8:$AX$1007,INDEX($R$8:$R$207,$U139),매입원본!$BA$8:$BA$1007,"포함",매입원본!$AS$8:$AS$1007,"&gt;="&amp;EDATE(설정!$B$10,5),매입원본!$AS$8:$AS$1007,"&lt;="&amp;EOMONTH(설정!$B$10,5)))</f>
        <v/>
      </c>
      <c r="Q139" s="35" t="n">
        <v>132</v>
      </c>
      <c r="R139" s="35">
        <f>IFERROR(INDEX(매입원본!$AX$8:$AX$1007,MATCH($Q139,매입원본!$BD$8:$BD$1007,0)),"")</f>
        <v/>
      </c>
      <c r="S139" s="35">
        <f>IF($R139="","",SUMIFS(매입원본!$AT$8:$AT$1007,매입원본!$AX$8:$AX$1007,$R139,매입원본!$BA$8:$BA$1007,"포함"))</f>
        <v/>
      </c>
      <c r="T139" s="35">
        <f>IF($R139="","",$S139-$Q139/100000)</f>
        <v/>
      </c>
      <c r="U139" s="35">
        <f>IFERROR(MATCH(LARGE($T$8:$T$207,132),$T$8:$T$207,0),"")</f>
        <v/>
      </c>
    </row>
    <row r="140">
      <c r="A140" s="32">
        <f>IF($U140="","",133)</f>
        <v/>
      </c>
      <c r="B140" s="10">
        <f>IF($U140="","",IFERROR(INDEX(매입원본!$AZ$8:$AZ$1007,MATCH($U140,매입원본!$BD$8:$BD$1007,0)),""))</f>
        <v/>
      </c>
      <c r="C140" s="10">
        <f>IF($U140="","",IFERROR(INDEX(매입원본!$AY$8:$AY$1007,MATCH($U140,매입원본!$BD$8:$BD$1007,0)),""))</f>
        <v/>
      </c>
      <c r="D140" s="33">
        <f>IF($U140="","",COUNTIFS(매입원본!$AX$8:$AX$1007,INDEX($R$8:$R$207,$U140),매입원본!$BA$8:$BA$1007,"포함"))</f>
        <v/>
      </c>
      <c r="E140" s="33">
        <f>IF($U140="","",SUMIFS(매입원본!$AT$8:$AT$1007,매입원본!$AX$8:$AX$1007,INDEX($R$8:$R$207,$U140),매입원본!$BA$8:$BA$1007,"포함"))</f>
        <v/>
      </c>
      <c r="F140" s="33">
        <f>IF($U140="","",SUMIFS(매입원본!$AU$8:$AU$1007,매입원본!$AX$8:$AX$1007,INDEX($R$8:$R$207,$U140),매입원본!$BA$8:$BA$1007,"포함"))</f>
        <v/>
      </c>
      <c r="G140" s="33">
        <f>IF($U140="","",SUMIFS(매입원본!$AV$8:$AV$1007,매입원본!$AX$8:$AX$1007,INDEX($R$8:$R$207,$U140),매입원본!$BA$8:$BA$1007,"포함"))</f>
        <v/>
      </c>
      <c r="H140" s="34">
        <f>IF(OR($U140="",$E$7=0),"",E140/$E$7)</f>
        <v/>
      </c>
      <c r="I140" s="33">
        <f>IF(OR($U140="",0&gt;=설정!$B$12),"",SUMIFS(매입원본!$AT$8:$AT$1007,매입원본!$AX$8:$AX$1007,INDEX($R$8:$R$207,$U140),매입원본!$BA$8:$BA$1007,"포함",매입원본!$AS$8:$AS$1007,"&gt;="&amp;EDATE(설정!$B$10,0),매입원본!$AS$8:$AS$1007,"&lt;="&amp;EOMONTH(설정!$B$10,0)))</f>
        <v/>
      </c>
      <c r="J140" s="33">
        <f>IF(OR($U140="",1&gt;=설정!$B$12),"",SUMIFS(매입원본!$AT$8:$AT$1007,매입원본!$AX$8:$AX$1007,INDEX($R$8:$R$207,$U140),매입원본!$BA$8:$BA$1007,"포함",매입원본!$AS$8:$AS$1007,"&gt;="&amp;EDATE(설정!$B$10,1),매입원본!$AS$8:$AS$1007,"&lt;="&amp;EOMONTH(설정!$B$10,1)))</f>
        <v/>
      </c>
      <c r="K140" s="33">
        <f>IF(OR($U140="",2&gt;=설정!$B$12),"",SUMIFS(매입원본!$AT$8:$AT$1007,매입원본!$AX$8:$AX$1007,INDEX($R$8:$R$207,$U140),매입원본!$BA$8:$BA$1007,"포함",매입원본!$AS$8:$AS$1007,"&gt;="&amp;EDATE(설정!$B$10,2),매입원본!$AS$8:$AS$1007,"&lt;="&amp;EOMONTH(설정!$B$10,2)))</f>
        <v/>
      </c>
      <c r="L140" s="33">
        <f>IF(OR($U140="",3&gt;=설정!$B$12),"",SUMIFS(매입원본!$AT$8:$AT$1007,매입원본!$AX$8:$AX$1007,INDEX($R$8:$R$207,$U140),매입원본!$BA$8:$BA$1007,"포함",매입원본!$AS$8:$AS$1007,"&gt;="&amp;EDATE(설정!$B$10,3),매입원본!$AS$8:$AS$1007,"&lt;="&amp;EOMONTH(설정!$B$10,3)))</f>
        <v/>
      </c>
      <c r="M140" s="33">
        <f>IF(OR($U140="",4&gt;=설정!$B$12),"",SUMIFS(매입원본!$AT$8:$AT$1007,매입원본!$AX$8:$AX$1007,INDEX($R$8:$R$207,$U140),매입원본!$BA$8:$BA$1007,"포함",매입원본!$AS$8:$AS$1007,"&gt;="&amp;EDATE(설정!$B$10,4),매입원본!$AS$8:$AS$1007,"&lt;="&amp;EOMONTH(설정!$B$10,4)))</f>
        <v/>
      </c>
      <c r="N140" s="33">
        <f>IF(OR($U140="",5&gt;=설정!$B$12),"",SUMIFS(매입원본!$AT$8:$AT$1007,매입원본!$AX$8:$AX$1007,INDEX($R$8:$R$207,$U140),매입원본!$BA$8:$BA$1007,"포함",매입원본!$AS$8:$AS$1007,"&gt;="&amp;EDATE(설정!$B$10,5),매입원본!$AS$8:$AS$1007,"&lt;="&amp;EOMONTH(설정!$B$10,5)))</f>
        <v/>
      </c>
      <c r="Q140" s="35" t="n">
        <v>133</v>
      </c>
      <c r="R140" s="35">
        <f>IFERROR(INDEX(매입원본!$AX$8:$AX$1007,MATCH($Q140,매입원본!$BD$8:$BD$1007,0)),"")</f>
        <v/>
      </c>
      <c r="S140" s="35">
        <f>IF($R140="","",SUMIFS(매입원본!$AT$8:$AT$1007,매입원본!$AX$8:$AX$1007,$R140,매입원본!$BA$8:$BA$1007,"포함"))</f>
        <v/>
      </c>
      <c r="T140" s="35">
        <f>IF($R140="","",$S140-$Q140/100000)</f>
        <v/>
      </c>
      <c r="U140" s="35">
        <f>IFERROR(MATCH(LARGE($T$8:$T$207,133),$T$8:$T$207,0),"")</f>
        <v/>
      </c>
    </row>
    <row r="141">
      <c r="A141" s="32">
        <f>IF($U141="","",134)</f>
        <v/>
      </c>
      <c r="B141" s="10">
        <f>IF($U141="","",IFERROR(INDEX(매입원본!$AZ$8:$AZ$1007,MATCH($U141,매입원본!$BD$8:$BD$1007,0)),""))</f>
        <v/>
      </c>
      <c r="C141" s="10">
        <f>IF($U141="","",IFERROR(INDEX(매입원본!$AY$8:$AY$1007,MATCH($U141,매입원본!$BD$8:$BD$1007,0)),""))</f>
        <v/>
      </c>
      <c r="D141" s="33">
        <f>IF($U141="","",COUNTIFS(매입원본!$AX$8:$AX$1007,INDEX($R$8:$R$207,$U141),매입원본!$BA$8:$BA$1007,"포함"))</f>
        <v/>
      </c>
      <c r="E141" s="33">
        <f>IF($U141="","",SUMIFS(매입원본!$AT$8:$AT$1007,매입원본!$AX$8:$AX$1007,INDEX($R$8:$R$207,$U141),매입원본!$BA$8:$BA$1007,"포함"))</f>
        <v/>
      </c>
      <c r="F141" s="33">
        <f>IF($U141="","",SUMIFS(매입원본!$AU$8:$AU$1007,매입원본!$AX$8:$AX$1007,INDEX($R$8:$R$207,$U141),매입원본!$BA$8:$BA$1007,"포함"))</f>
        <v/>
      </c>
      <c r="G141" s="33">
        <f>IF($U141="","",SUMIFS(매입원본!$AV$8:$AV$1007,매입원본!$AX$8:$AX$1007,INDEX($R$8:$R$207,$U141),매입원본!$BA$8:$BA$1007,"포함"))</f>
        <v/>
      </c>
      <c r="H141" s="34">
        <f>IF(OR($U141="",$E$7=0),"",E141/$E$7)</f>
        <v/>
      </c>
      <c r="I141" s="33">
        <f>IF(OR($U141="",0&gt;=설정!$B$12),"",SUMIFS(매입원본!$AT$8:$AT$1007,매입원본!$AX$8:$AX$1007,INDEX($R$8:$R$207,$U141),매입원본!$BA$8:$BA$1007,"포함",매입원본!$AS$8:$AS$1007,"&gt;="&amp;EDATE(설정!$B$10,0),매입원본!$AS$8:$AS$1007,"&lt;="&amp;EOMONTH(설정!$B$10,0)))</f>
        <v/>
      </c>
      <c r="J141" s="33">
        <f>IF(OR($U141="",1&gt;=설정!$B$12),"",SUMIFS(매입원본!$AT$8:$AT$1007,매입원본!$AX$8:$AX$1007,INDEX($R$8:$R$207,$U141),매입원본!$BA$8:$BA$1007,"포함",매입원본!$AS$8:$AS$1007,"&gt;="&amp;EDATE(설정!$B$10,1),매입원본!$AS$8:$AS$1007,"&lt;="&amp;EOMONTH(설정!$B$10,1)))</f>
        <v/>
      </c>
      <c r="K141" s="33">
        <f>IF(OR($U141="",2&gt;=설정!$B$12),"",SUMIFS(매입원본!$AT$8:$AT$1007,매입원본!$AX$8:$AX$1007,INDEX($R$8:$R$207,$U141),매입원본!$BA$8:$BA$1007,"포함",매입원본!$AS$8:$AS$1007,"&gt;="&amp;EDATE(설정!$B$10,2),매입원본!$AS$8:$AS$1007,"&lt;="&amp;EOMONTH(설정!$B$10,2)))</f>
        <v/>
      </c>
      <c r="L141" s="33">
        <f>IF(OR($U141="",3&gt;=설정!$B$12),"",SUMIFS(매입원본!$AT$8:$AT$1007,매입원본!$AX$8:$AX$1007,INDEX($R$8:$R$207,$U141),매입원본!$BA$8:$BA$1007,"포함",매입원본!$AS$8:$AS$1007,"&gt;="&amp;EDATE(설정!$B$10,3),매입원본!$AS$8:$AS$1007,"&lt;="&amp;EOMONTH(설정!$B$10,3)))</f>
        <v/>
      </c>
      <c r="M141" s="33">
        <f>IF(OR($U141="",4&gt;=설정!$B$12),"",SUMIFS(매입원본!$AT$8:$AT$1007,매입원본!$AX$8:$AX$1007,INDEX($R$8:$R$207,$U141),매입원본!$BA$8:$BA$1007,"포함",매입원본!$AS$8:$AS$1007,"&gt;="&amp;EDATE(설정!$B$10,4),매입원본!$AS$8:$AS$1007,"&lt;="&amp;EOMONTH(설정!$B$10,4)))</f>
        <v/>
      </c>
      <c r="N141" s="33">
        <f>IF(OR($U141="",5&gt;=설정!$B$12),"",SUMIFS(매입원본!$AT$8:$AT$1007,매입원본!$AX$8:$AX$1007,INDEX($R$8:$R$207,$U141),매입원본!$BA$8:$BA$1007,"포함",매입원본!$AS$8:$AS$1007,"&gt;="&amp;EDATE(설정!$B$10,5),매입원본!$AS$8:$AS$1007,"&lt;="&amp;EOMONTH(설정!$B$10,5)))</f>
        <v/>
      </c>
      <c r="Q141" s="35" t="n">
        <v>134</v>
      </c>
      <c r="R141" s="35">
        <f>IFERROR(INDEX(매입원본!$AX$8:$AX$1007,MATCH($Q141,매입원본!$BD$8:$BD$1007,0)),"")</f>
        <v/>
      </c>
      <c r="S141" s="35">
        <f>IF($R141="","",SUMIFS(매입원본!$AT$8:$AT$1007,매입원본!$AX$8:$AX$1007,$R141,매입원본!$BA$8:$BA$1007,"포함"))</f>
        <v/>
      </c>
      <c r="T141" s="35">
        <f>IF($R141="","",$S141-$Q141/100000)</f>
        <v/>
      </c>
      <c r="U141" s="35">
        <f>IFERROR(MATCH(LARGE($T$8:$T$207,134),$T$8:$T$207,0),"")</f>
        <v/>
      </c>
    </row>
    <row r="142">
      <c r="A142" s="32">
        <f>IF($U142="","",135)</f>
        <v/>
      </c>
      <c r="B142" s="10">
        <f>IF($U142="","",IFERROR(INDEX(매입원본!$AZ$8:$AZ$1007,MATCH($U142,매입원본!$BD$8:$BD$1007,0)),""))</f>
        <v/>
      </c>
      <c r="C142" s="10">
        <f>IF($U142="","",IFERROR(INDEX(매입원본!$AY$8:$AY$1007,MATCH($U142,매입원본!$BD$8:$BD$1007,0)),""))</f>
        <v/>
      </c>
      <c r="D142" s="33">
        <f>IF($U142="","",COUNTIFS(매입원본!$AX$8:$AX$1007,INDEX($R$8:$R$207,$U142),매입원본!$BA$8:$BA$1007,"포함"))</f>
        <v/>
      </c>
      <c r="E142" s="33">
        <f>IF($U142="","",SUMIFS(매입원본!$AT$8:$AT$1007,매입원본!$AX$8:$AX$1007,INDEX($R$8:$R$207,$U142),매입원본!$BA$8:$BA$1007,"포함"))</f>
        <v/>
      </c>
      <c r="F142" s="33">
        <f>IF($U142="","",SUMIFS(매입원본!$AU$8:$AU$1007,매입원본!$AX$8:$AX$1007,INDEX($R$8:$R$207,$U142),매입원본!$BA$8:$BA$1007,"포함"))</f>
        <v/>
      </c>
      <c r="G142" s="33">
        <f>IF($U142="","",SUMIFS(매입원본!$AV$8:$AV$1007,매입원본!$AX$8:$AX$1007,INDEX($R$8:$R$207,$U142),매입원본!$BA$8:$BA$1007,"포함"))</f>
        <v/>
      </c>
      <c r="H142" s="34">
        <f>IF(OR($U142="",$E$7=0),"",E142/$E$7)</f>
        <v/>
      </c>
      <c r="I142" s="33">
        <f>IF(OR($U142="",0&gt;=설정!$B$12),"",SUMIFS(매입원본!$AT$8:$AT$1007,매입원본!$AX$8:$AX$1007,INDEX($R$8:$R$207,$U142),매입원본!$BA$8:$BA$1007,"포함",매입원본!$AS$8:$AS$1007,"&gt;="&amp;EDATE(설정!$B$10,0),매입원본!$AS$8:$AS$1007,"&lt;="&amp;EOMONTH(설정!$B$10,0)))</f>
        <v/>
      </c>
      <c r="J142" s="33">
        <f>IF(OR($U142="",1&gt;=설정!$B$12),"",SUMIFS(매입원본!$AT$8:$AT$1007,매입원본!$AX$8:$AX$1007,INDEX($R$8:$R$207,$U142),매입원본!$BA$8:$BA$1007,"포함",매입원본!$AS$8:$AS$1007,"&gt;="&amp;EDATE(설정!$B$10,1),매입원본!$AS$8:$AS$1007,"&lt;="&amp;EOMONTH(설정!$B$10,1)))</f>
        <v/>
      </c>
      <c r="K142" s="33">
        <f>IF(OR($U142="",2&gt;=설정!$B$12),"",SUMIFS(매입원본!$AT$8:$AT$1007,매입원본!$AX$8:$AX$1007,INDEX($R$8:$R$207,$U142),매입원본!$BA$8:$BA$1007,"포함",매입원본!$AS$8:$AS$1007,"&gt;="&amp;EDATE(설정!$B$10,2),매입원본!$AS$8:$AS$1007,"&lt;="&amp;EOMONTH(설정!$B$10,2)))</f>
        <v/>
      </c>
      <c r="L142" s="33">
        <f>IF(OR($U142="",3&gt;=설정!$B$12),"",SUMIFS(매입원본!$AT$8:$AT$1007,매입원본!$AX$8:$AX$1007,INDEX($R$8:$R$207,$U142),매입원본!$BA$8:$BA$1007,"포함",매입원본!$AS$8:$AS$1007,"&gt;="&amp;EDATE(설정!$B$10,3),매입원본!$AS$8:$AS$1007,"&lt;="&amp;EOMONTH(설정!$B$10,3)))</f>
        <v/>
      </c>
      <c r="M142" s="33">
        <f>IF(OR($U142="",4&gt;=설정!$B$12),"",SUMIFS(매입원본!$AT$8:$AT$1007,매입원본!$AX$8:$AX$1007,INDEX($R$8:$R$207,$U142),매입원본!$BA$8:$BA$1007,"포함",매입원본!$AS$8:$AS$1007,"&gt;="&amp;EDATE(설정!$B$10,4),매입원본!$AS$8:$AS$1007,"&lt;="&amp;EOMONTH(설정!$B$10,4)))</f>
        <v/>
      </c>
      <c r="N142" s="33">
        <f>IF(OR($U142="",5&gt;=설정!$B$12),"",SUMIFS(매입원본!$AT$8:$AT$1007,매입원본!$AX$8:$AX$1007,INDEX($R$8:$R$207,$U142),매입원본!$BA$8:$BA$1007,"포함",매입원본!$AS$8:$AS$1007,"&gt;="&amp;EDATE(설정!$B$10,5),매입원본!$AS$8:$AS$1007,"&lt;="&amp;EOMONTH(설정!$B$10,5)))</f>
        <v/>
      </c>
      <c r="Q142" s="35" t="n">
        <v>135</v>
      </c>
      <c r="R142" s="35">
        <f>IFERROR(INDEX(매입원본!$AX$8:$AX$1007,MATCH($Q142,매입원본!$BD$8:$BD$1007,0)),"")</f>
        <v/>
      </c>
      <c r="S142" s="35">
        <f>IF($R142="","",SUMIFS(매입원본!$AT$8:$AT$1007,매입원본!$AX$8:$AX$1007,$R142,매입원본!$BA$8:$BA$1007,"포함"))</f>
        <v/>
      </c>
      <c r="T142" s="35">
        <f>IF($R142="","",$S142-$Q142/100000)</f>
        <v/>
      </c>
      <c r="U142" s="35">
        <f>IFERROR(MATCH(LARGE($T$8:$T$207,135),$T$8:$T$207,0),"")</f>
        <v/>
      </c>
    </row>
    <row r="143">
      <c r="A143" s="32">
        <f>IF($U143="","",136)</f>
        <v/>
      </c>
      <c r="B143" s="10">
        <f>IF($U143="","",IFERROR(INDEX(매입원본!$AZ$8:$AZ$1007,MATCH($U143,매입원본!$BD$8:$BD$1007,0)),""))</f>
        <v/>
      </c>
      <c r="C143" s="10">
        <f>IF($U143="","",IFERROR(INDEX(매입원본!$AY$8:$AY$1007,MATCH($U143,매입원본!$BD$8:$BD$1007,0)),""))</f>
        <v/>
      </c>
      <c r="D143" s="33">
        <f>IF($U143="","",COUNTIFS(매입원본!$AX$8:$AX$1007,INDEX($R$8:$R$207,$U143),매입원본!$BA$8:$BA$1007,"포함"))</f>
        <v/>
      </c>
      <c r="E143" s="33">
        <f>IF($U143="","",SUMIFS(매입원본!$AT$8:$AT$1007,매입원본!$AX$8:$AX$1007,INDEX($R$8:$R$207,$U143),매입원본!$BA$8:$BA$1007,"포함"))</f>
        <v/>
      </c>
      <c r="F143" s="33">
        <f>IF($U143="","",SUMIFS(매입원본!$AU$8:$AU$1007,매입원본!$AX$8:$AX$1007,INDEX($R$8:$R$207,$U143),매입원본!$BA$8:$BA$1007,"포함"))</f>
        <v/>
      </c>
      <c r="G143" s="33">
        <f>IF($U143="","",SUMIFS(매입원본!$AV$8:$AV$1007,매입원본!$AX$8:$AX$1007,INDEX($R$8:$R$207,$U143),매입원본!$BA$8:$BA$1007,"포함"))</f>
        <v/>
      </c>
      <c r="H143" s="34">
        <f>IF(OR($U143="",$E$7=0),"",E143/$E$7)</f>
        <v/>
      </c>
      <c r="I143" s="33">
        <f>IF(OR($U143="",0&gt;=설정!$B$12),"",SUMIFS(매입원본!$AT$8:$AT$1007,매입원본!$AX$8:$AX$1007,INDEX($R$8:$R$207,$U143),매입원본!$BA$8:$BA$1007,"포함",매입원본!$AS$8:$AS$1007,"&gt;="&amp;EDATE(설정!$B$10,0),매입원본!$AS$8:$AS$1007,"&lt;="&amp;EOMONTH(설정!$B$10,0)))</f>
        <v/>
      </c>
      <c r="J143" s="33">
        <f>IF(OR($U143="",1&gt;=설정!$B$12),"",SUMIFS(매입원본!$AT$8:$AT$1007,매입원본!$AX$8:$AX$1007,INDEX($R$8:$R$207,$U143),매입원본!$BA$8:$BA$1007,"포함",매입원본!$AS$8:$AS$1007,"&gt;="&amp;EDATE(설정!$B$10,1),매입원본!$AS$8:$AS$1007,"&lt;="&amp;EOMONTH(설정!$B$10,1)))</f>
        <v/>
      </c>
      <c r="K143" s="33">
        <f>IF(OR($U143="",2&gt;=설정!$B$12),"",SUMIFS(매입원본!$AT$8:$AT$1007,매입원본!$AX$8:$AX$1007,INDEX($R$8:$R$207,$U143),매입원본!$BA$8:$BA$1007,"포함",매입원본!$AS$8:$AS$1007,"&gt;="&amp;EDATE(설정!$B$10,2),매입원본!$AS$8:$AS$1007,"&lt;="&amp;EOMONTH(설정!$B$10,2)))</f>
        <v/>
      </c>
      <c r="L143" s="33">
        <f>IF(OR($U143="",3&gt;=설정!$B$12),"",SUMIFS(매입원본!$AT$8:$AT$1007,매입원본!$AX$8:$AX$1007,INDEX($R$8:$R$207,$U143),매입원본!$BA$8:$BA$1007,"포함",매입원본!$AS$8:$AS$1007,"&gt;="&amp;EDATE(설정!$B$10,3),매입원본!$AS$8:$AS$1007,"&lt;="&amp;EOMONTH(설정!$B$10,3)))</f>
        <v/>
      </c>
      <c r="M143" s="33">
        <f>IF(OR($U143="",4&gt;=설정!$B$12),"",SUMIFS(매입원본!$AT$8:$AT$1007,매입원본!$AX$8:$AX$1007,INDEX($R$8:$R$207,$U143),매입원본!$BA$8:$BA$1007,"포함",매입원본!$AS$8:$AS$1007,"&gt;="&amp;EDATE(설정!$B$10,4),매입원본!$AS$8:$AS$1007,"&lt;="&amp;EOMONTH(설정!$B$10,4)))</f>
        <v/>
      </c>
      <c r="N143" s="33">
        <f>IF(OR($U143="",5&gt;=설정!$B$12),"",SUMIFS(매입원본!$AT$8:$AT$1007,매입원본!$AX$8:$AX$1007,INDEX($R$8:$R$207,$U143),매입원본!$BA$8:$BA$1007,"포함",매입원본!$AS$8:$AS$1007,"&gt;="&amp;EDATE(설정!$B$10,5),매입원본!$AS$8:$AS$1007,"&lt;="&amp;EOMONTH(설정!$B$10,5)))</f>
        <v/>
      </c>
      <c r="Q143" s="35" t="n">
        <v>136</v>
      </c>
      <c r="R143" s="35">
        <f>IFERROR(INDEX(매입원본!$AX$8:$AX$1007,MATCH($Q143,매입원본!$BD$8:$BD$1007,0)),"")</f>
        <v/>
      </c>
      <c r="S143" s="35">
        <f>IF($R143="","",SUMIFS(매입원본!$AT$8:$AT$1007,매입원본!$AX$8:$AX$1007,$R143,매입원본!$BA$8:$BA$1007,"포함"))</f>
        <v/>
      </c>
      <c r="T143" s="35">
        <f>IF($R143="","",$S143-$Q143/100000)</f>
        <v/>
      </c>
      <c r="U143" s="35">
        <f>IFERROR(MATCH(LARGE($T$8:$T$207,136),$T$8:$T$207,0),"")</f>
        <v/>
      </c>
    </row>
    <row r="144">
      <c r="A144" s="32">
        <f>IF($U144="","",137)</f>
        <v/>
      </c>
      <c r="B144" s="10">
        <f>IF($U144="","",IFERROR(INDEX(매입원본!$AZ$8:$AZ$1007,MATCH($U144,매입원본!$BD$8:$BD$1007,0)),""))</f>
        <v/>
      </c>
      <c r="C144" s="10">
        <f>IF($U144="","",IFERROR(INDEX(매입원본!$AY$8:$AY$1007,MATCH($U144,매입원본!$BD$8:$BD$1007,0)),""))</f>
        <v/>
      </c>
      <c r="D144" s="33">
        <f>IF($U144="","",COUNTIFS(매입원본!$AX$8:$AX$1007,INDEX($R$8:$R$207,$U144),매입원본!$BA$8:$BA$1007,"포함"))</f>
        <v/>
      </c>
      <c r="E144" s="33">
        <f>IF($U144="","",SUMIFS(매입원본!$AT$8:$AT$1007,매입원본!$AX$8:$AX$1007,INDEX($R$8:$R$207,$U144),매입원본!$BA$8:$BA$1007,"포함"))</f>
        <v/>
      </c>
      <c r="F144" s="33">
        <f>IF($U144="","",SUMIFS(매입원본!$AU$8:$AU$1007,매입원본!$AX$8:$AX$1007,INDEX($R$8:$R$207,$U144),매입원본!$BA$8:$BA$1007,"포함"))</f>
        <v/>
      </c>
      <c r="G144" s="33">
        <f>IF($U144="","",SUMIFS(매입원본!$AV$8:$AV$1007,매입원본!$AX$8:$AX$1007,INDEX($R$8:$R$207,$U144),매입원본!$BA$8:$BA$1007,"포함"))</f>
        <v/>
      </c>
      <c r="H144" s="34">
        <f>IF(OR($U144="",$E$7=0),"",E144/$E$7)</f>
        <v/>
      </c>
      <c r="I144" s="33">
        <f>IF(OR($U144="",0&gt;=설정!$B$12),"",SUMIFS(매입원본!$AT$8:$AT$1007,매입원본!$AX$8:$AX$1007,INDEX($R$8:$R$207,$U144),매입원본!$BA$8:$BA$1007,"포함",매입원본!$AS$8:$AS$1007,"&gt;="&amp;EDATE(설정!$B$10,0),매입원본!$AS$8:$AS$1007,"&lt;="&amp;EOMONTH(설정!$B$10,0)))</f>
        <v/>
      </c>
      <c r="J144" s="33">
        <f>IF(OR($U144="",1&gt;=설정!$B$12),"",SUMIFS(매입원본!$AT$8:$AT$1007,매입원본!$AX$8:$AX$1007,INDEX($R$8:$R$207,$U144),매입원본!$BA$8:$BA$1007,"포함",매입원본!$AS$8:$AS$1007,"&gt;="&amp;EDATE(설정!$B$10,1),매입원본!$AS$8:$AS$1007,"&lt;="&amp;EOMONTH(설정!$B$10,1)))</f>
        <v/>
      </c>
      <c r="K144" s="33">
        <f>IF(OR($U144="",2&gt;=설정!$B$12),"",SUMIFS(매입원본!$AT$8:$AT$1007,매입원본!$AX$8:$AX$1007,INDEX($R$8:$R$207,$U144),매입원본!$BA$8:$BA$1007,"포함",매입원본!$AS$8:$AS$1007,"&gt;="&amp;EDATE(설정!$B$10,2),매입원본!$AS$8:$AS$1007,"&lt;="&amp;EOMONTH(설정!$B$10,2)))</f>
        <v/>
      </c>
      <c r="L144" s="33">
        <f>IF(OR($U144="",3&gt;=설정!$B$12),"",SUMIFS(매입원본!$AT$8:$AT$1007,매입원본!$AX$8:$AX$1007,INDEX($R$8:$R$207,$U144),매입원본!$BA$8:$BA$1007,"포함",매입원본!$AS$8:$AS$1007,"&gt;="&amp;EDATE(설정!$B$10,3),매입원본!$AS$8:$AS$1007,"&lt;="&amp;EOMONTH(설정!$B$10,3)))</f>
        <v/>
      </c>
      <c r="M144" s="33">
        <f>IF(OR($U144="",4&gt;=설정!$B$12),"",SUMIFS(매입원본!$AT$8:$AT$1007,매입원본!$AX$8:$AX$1007,INDEX($R$8:$R$207,$U144),매입원본!$BA$8:$BA$1007,"포함",매입원본!$AS$8:$AS$1007,"&gt;="&amp;EDATE(설정!$B$10,4),매입원본!$AS$8:$AS$1007,"&lt;="&amp;EOMONTH(설정!$B$10,4)))</f>
        <v/>
      </c>
      <c r="N144" s="33">
        <f>IF(OR($U144="",5&gt;=설정!$B$12),"",SUMIFS(매입원본!$AT$8:$AT$1007,매입원본!$AX$8:$AX$1007,INDEX($R$8:$R$207,$U144),매입원본!$BA$8:$BA$1007,"포함",매입원본!$AS$8:$AS$1007,"&gt;="&amp;EDATE(설정!$B$10,5),매입원본!$AS$8:$AS$1007,"&lt;="&amp;EOMONTH(설정!$B$10,5)))</f>
        <v/>
      </c>
      <c r="Q144" s="35" t="n">
        <v>137</v>
      </c>
      <c r="R144" s="35">
        <f>IFERROR(INDEX(매입원본!$AX$8:$AX$1007,MATCH($Q144,매입원본!$BD$8:$BD$1007,0)),"")</f>
        <v/>
      </c>
      <c r="S144" s="35">
        <f>IF($R144="","",SUMIFS(매입원본!$AT$8:$AT$1007,매입원본!$AX$8:$AX$1007,$R144,매입원본!$BA$8:$BA$1007,"포함"))</f>
        <v/>
      </c>
      <c r="T144" s="35">
        <f>IF($R144="","",$S144-$Q144/100000)</f>
        <v/>
      </c>
      <c r="U144" s="35">
        <f>IFERROR(MATCH(LARGE($T$8:$T$207,137),$T$8:$T$207,0),"")</f>
        <v/>
      </c>
    </row>
    <row r="145">
      <c r="A145" s="32">
        <f>IF($U145="","",138)</f>
        <v/>
      </c>
      <c r="B145" s="10">
        <f>IF($U145="","",IFERROR(INDEX(매입원본!$AZ$8:$AZ$1007,MATCH($U145,매입원본!$BD$8:$BD$1007,0)),""))</f>
        <v/>
      </c>
      <c r="C145" s="10">
        <f>IF($U145="","",IFERROR(INDEX(매입원본!$AY$8:$AY$1007,MATCH($U145,매입원본!$BD$8:$BD$1007,0)),""))</f>
        <v/>
      </c>
      <c r="D145" s="33">
        <f>IF($U145="","",COUNTIFS(매입원본!$AX$8:$AX$1007,INDEX($R$8:$R$207,$U145),매입원본!$BA$8:$BA$1007,"포함"))</f>
        <v/>
      </c>
      <c r="E145" s="33">
        <f>IF($U145="","",SUMIFS(매입원본!$AT$8:$AT$1007,매입원본!$AX$8:$AX$1007,INDEX($R$8:$R$207,$U145),매입원본!$BA$8:$BA$1007,"포함"))</f>
        <v/>
      </c>
      <c r="F145" s="33">
        <f>IF($U145="","",SUMIFS(매입원본!$AU$8:$AU$1007,매입원본!$AX$8:$AX$1007,INDEX($R$8:$R$207,$U145),매입원본!$BA$8:$BA$1007,"포함"))</f>
        <v/>
      </c>
      <c r="G145" s="33">
        <f>IF($U145="","",SUMIFS(매입원본!$AV$8:$AV$1007,매입원본!$AX$8:$AX$1007,INDEX($R$8:$R$207,$U145),매입원본!$BA$8:$BA$1007,"포함"))</f>
        <v/>
      </c>
      <c r="H145" s="34">
        <f>IF(OR($U145="",$E$7=0),"",E145/$E$7)</f>
        <v/>
      </c>
      <c r="I145" s="33">
        <f>IF(OR($U145="",0&gt;=설정!$B$12),"",SUMIFS(매입원본!$AT$8:$AT$1007,매입원본!$AX$8:$AX$1007,INDEX($R$8:$R$207,$U145),매입원본!$BA$8:$BA$1007,"포함",매입원본!$AS$8:$AS$1007,"&gt;="&amp;EDATE(설정!$B$10,0),매입원본!$AS$8:$AS$1007,"&lt;="&amp;EOMONTH(설정!$B$10,0)))</f>
        <v/>
      </c>
      <c r="J145" s="33">
        <f>IF(OR($U145="",1&gt;=설정!$B$12),"",SUMIFS(매입원본!$AT$8:$AT$1007,매입원본!$AX$8:$AX$1007,INDEX($R$8:$R$207,$U145),매입원본!$BA$8:$BA$1007,"포함",매입원본!$AS$8:$AS$1007,"&gt;="&amp;EDATE(설정!$B$10,1),매입원본!$AS$8:$AS$1007,"&lt;="&amp;EOMONTH(설정!$B$10,1)))</f>
        <v/>
      </c>
      <c r="K145" s="33">
        <f>IF(OR($U145="",2&gt;=설정!$B$12),"",SUMIFS(매입원본!$AT$8:$AT$1007,매입원본!$AX$8:$AX$1007,INDEX($R$8:$R$207,$U145),매입원본!$BA$8:$BA$1007,"포함",매입원본!$AS$8:$AS$1007,"&gt;="&amp;EDATE(설정!$B$10,2),매입원본!$AS$8:$AS$1007,"&lt;="&amp;EOMONTH(설정!$B$10,2)))</f>
        <v/>
      </c>
      <c r="L145" s="33">
        <f>IF(OR($U145="",3&gt;=설정!$B$12),"",SUMIFS(매입원본!$AT$8:$AT$1007,매입원본!$AX$8:$AX$1007,INDEX($R$8:$R$207,$U145),매입원본!$BA$8:$BA$1007,"포함",매입원본!$AS$8:$AS$1007,"&gt;="&amp;EDATE(설정!$B$10,3),매입원본!$AS$8:$AS$1007,"&lt;="&amp;EOMONTH(설정!$B$10,3)))</f>
        <v/>
      </c>
      <c r="M145" s="33">
        <f>IF(OR($U145="",4&gt;=설정!$B$12),"",SUMIFS(매입원본!$AT$8:$AT$1007,매입원본!$AX$8:$AX$1007,INDEX($R$8:$R$207,$U145),매입원본!$BA$8:$BA$1007,"포함",매입원본!$AS$8:$AS$1007,"&gt;="&amp;EDATE(설정!$B$10,4),매입원본!$AS$8:$AS$1007,"&lt;="&amp;EOMONTH(설정!$B$10,4)))</f>
        <v/>
      </c>
      <c r="N145" s="33">
        <f>IF(OR($U145="",5&gt;=설정!$B$12),"",SUMIFS(매입원본!$AT$8:$AT$1007,매입원본!$AX$8:$AX$1007,INDEX($R$8:$R$207,$U145),매입원본!$BA$8:$BA$1007,"포함",매입원본!$AS$8:$AS$1007,"&gt;="&amp;EDATE(설정!$B$10,5),매입원본!$AS$8:$AS$1007,"&lt;="&amp;EOMONTH(설정!$B$10,5)))</f>
        <v/>
      </c>
      <c r="Q145" s="35" t="n">
        <v>138</v>
      </c>
      <c r="R145" s="35">
        <f>IFERROR(INDEX(매입원본!$AX$8:$AX$1007,MATCH($Q145,매입원본!$BD$8:$BD$1007,0)),"")</f>
        <v/>
      </c>
      <c r="S145" s="35">
        <f>IF($R145="","",SUMIFS(매입원본!$AT$8:$AT$1007,매입원본!$AX$8:$AX$1007,$R145,매입원본!$BA$8:$BA$1007,"포함"))</f>
        <v/>
      </c>
      <c r="T145" s="35">
        <f>IF($R145="","",$S145-$Q145/100000)</f>
        <v/>
      </c>
      <c r="U145" s="35">
        <f>IFERROR(MATCH(LARGE($T$8:$T$207,138),$T$8:$T$207,0),"")</f>
        <v/>
      </c>
    </row>
    <row r="146">
      <c r="A146" s="32">
        <f>IF($U146="","",139)</f>
        <v/>
      </c>
      <c r="B146" s="10">
        <f>IF($U146="","",IFERROR(INDEX(매입원본!$AZ$8:$AZ$1007,MATCH($U146,매입원본!$BD$8:$BD$1007,0)),""))</f>
        <v/>
      </c>
      <c r="C146" s="10">
        <f>IF($U146="","",IFERROR(INDEX(매입원본!$AY$8:$AY$1007,MATCH($U146,매입원본!$BD$8:$BD$1007,0)),""))</f>
        <v/>
      </c>
      <c r="D146" s="33">
        <f>IF($U146="","",COUNTIFS(매입원본!$AX$8:$AX$1007,INDEX($R$8:$R$207,$U146),매입원본!$BA$8:$BA$1007,"포함"))</f>
        <v/>
      </c>
      <c r="E146" s="33">
        <f>IF($U146="","",SUMIFS(매입원본!$AT$8:$AT$1007,매입원본!$AX$8:$AX$1007,INDEX($R$8:$R$207,$U146),매입원본!$BA$8:$BA$1007,"포함"))</f>
        <v/>
      </c>
      <c r="F146" s="33">
        <f>IF($U146="","",SUMIFS(매입원본!$AU$8:$AU$1007,매입원본!$AX$8:$AX$1007,INDEX($R$8:$R$207,$U146),매입원본!$BA$8:$BA$1007,"포함"))</f>
        <v/>
      </c>
      <c r="G146" s="33">
        <f>IF($U146="","",SUMIFS(매입원본!$AV$8:$AV$1007,매입원본!$AX$8:$AX$1007,INDEX($R$8:$R$207,$U146),매입원본!$BA$8:$BA$1007,"포함"))</f>
        <v/>
      </c>
      <c r="H146" s="34">
        <f>IF(OR($U146="",$E$7=0),"",E146/$E$7)</f>
        <v/>
      </c>
      <c r="I146" s="33">
        <f>IF(OR($U146="",0&gt;=설정!$B$12),"",SUMIFS(매입원본!$AT$8:$AT$1007,매입원본!$AX$8:$AX$1007,INDEX($R$8:$R$207,$U146),매입원본!$BA$8:$BA$1007,"포함",매입원본!$AS$8:$AS$1007,"&gt;="&amp;EDATE(설정!$B$10,0),매입원본!$AS$8:$AS$1007,"&lt;="&amp;EOMONTH(설정!$B$10,0)))</f>
        <v/>
      </c>
      <c r="J146" s="33">
        <f>IF(OR($U146="",1&gt;=설정!$B$12),"",SUMIFS(매입원본!$AT$8:$AT$1007,매입원본!$AX$8:$AX$1007,INDEX($R$8:$R$207,$U146),매입원본!$BA$8:$BA$1007,"포함",매입원본!$AS$8:$AS$1007,"&gt;="&amp;EDATE(설정!$B$10,1),매입원본!$AS$8:$AS$1007,"&lt;="&amp;EOMONTH(설정!$B$10,1)))</f>
        <v/>
      </c>
      <c r="K146" s="33">
        <f>IF(OR($U146="",2&gt;=설정!$B$12),"",SUMIFS(매입원본!$AT$8:$AT$1007,매입원본!$AX$8:$AX$1007,INDEX($R$8:$R$207,$U146),매입원본!$BA$8:$BA$1007,"포함",매입원본!$AS$8:$AS$1007,"&gt;="&amp;EDATE(설정!$B$10,2),매입원본!$AS$8:$AS$1007,"&lt;="&amp;EOMONTH(설정!$B$10,2)))</f>
        <v/>
      </c>
      <c r="L146" s="33">
        <f>IF(OR($U146="",3&gt;=설정!$B$12),"",SUMIFS(매입원본!$AT$8:$AT$1007,매입원본!$AX$8:$AX$1007,INDEX($R$8:$R$207,$U146),매입원본!$BA$8:$BA$1007,"포함",매입원본!$AS$8:$AS$1007,"&gt;="&amp;EDATE(설정!$B$10,3),매입원본!$AS$8:$AS$1007,"&lt;="&amp;EOMONTH(설정!$B$10,3)))</f>
        <v/>
      </c>
      <c r="M146" s="33">
        <f>IF(OR($U146="",4&gt;=설정!$B$12),"",SUMIFS(매입원본!$AT$8:$AT$1007,매입원본!$AX$8:$AX$1007,INDEX($R$8:$R$207,$U146),매입원본!$BA$8:$BA$1007,"포함",매입원본!$AS$8:$AS$1007,"&gt;="&amp;EDATE(설정!$B$10,4),매입원본!$AS$8:$AS$1007,"&lt;="&amp;EOMONTH(설정!$B$10,4)))</f>
        <v/>
      </c>
      <c r="N146" s="33">
        <f>IF(OR($U146="",5&gt;=설정!$B$12),"",SUMIFS(매입원본!$AT$8:$AT$1007,매입원본!$AX$8:$AX$1007,INDEX($R$8:$R$207,$U146),매입원본!$BA$8:$BA$1007,"포함",매입원본!$AS$8:$AS$1007,"&gt;="&amp;EDATE(설정!$B$10,5),매입원본!$AS$8:$AS$1007,"&lt;="&amp;EOMONTH(설정!$B$10,5)))</f>
        <v/>
      </c>
      <c r="Q146" s="35" t="n">
        <v>139</v>
      </c>
      <c r="R146" s="35">
        <f>IFERROR(INDEX(매입원본!$AX$8:$AX$1007,MATCH($Q146,매입원본!$BD$8:$BD$1007,0)),"")</f>
        <v/>
      </c>
      <c r="S146" s="35">
        <f>IF($R146="","",SUMIFS(매입원본!$AT$8:$AT$1007,매입원본!$AX$8:$AX$1007,$R146,매입원본!$BA$8:$BA$1007,"포함"))</f>
        <v/>
      </c>
      <c r="T146" s="35">
        <f>IF($R146="","",$S146-$Q146/100000)</f>
        <v/>
      </c>
      <c r="U146" s="35">
        <f>IFERROR(MATCH(LARGE($T$8:$T$207,139),$T$8:$T$207,0),"")</f>
        <v/>
      </c>
    </row>
    <row r="147">
      <c r="A147" s="32">
        <f>IF($U147="","",140)</f>
        <v/>
      </c>
      <c r="B147" s="10">
        <f>IF($U147="","",IFERROR(INDEX(매입원본!$AZ$8:$AZ$1007,MATCH($U147,매입원본!$BD$8:$BD$1007,0)),""))</f>
        <v/>
      </c>
      <c r="C147" s="10">
        <f>IF($U147="","",IFERROR(INDEX(매입원본!$AY$8:$AY$1007,MATCH($U147,매입원본!$BD$8:$BD$1007,0)),""))</f>
        <v/>
      </c>
      <c r="D147" s="33">
        <f>IF($U147="","",COUNTIFS(매입원본!$AX$8:$AX$1007,INDEX($R$8:$R$207,$U147),매입원본!$BA$8:$BA$1007,"포함"))</f>
        <v/>
      </c>
      <c r="E147" s="33">
        <f>IF($U147="","",SUMIFS(매입원본!$AT$8:$AT$1007,매입원본!$AX$8:$AX$1007,INDEX($R$8:$R$207,$U147),매입원본!$BA$8:$BA$1007,"포함"))</f>
        <v/>
      </c>
      <c r="F147" s="33">
        <f>IF($U147="","",SUMIFS(매입원본!$AU$8:$AU$1007,매입원본!$AX$8:$AX$1007,INDEX($R$8:$R$207,$U147),매입원본!$BA$8:$BA$1007,"포함"))</f>
        <v/>
      </c>
      <c r="G147" s="33">
        <f>IF($U147="","",SUMIFS(매입원본!$AV$8:$AV$1007,매입원본!$AX$8:$AX$1007,INDEX($R$8:$R$207,$U147),매입원본!$BA$8:$BA$1007,"포함"))</f>
        <v/>
      </c>
      <c r="H147" s="34">
        <f>IF(OR($U147="",$E$7=0),"",E147/$E$7)</f>
        <v/>
      </c>
      <c r="I147" s="33">
        <f>IF(OR($U147="",0&gt;=설정!$B$12),"",SUMIFS(매입원본!$AT$8:$AT$1007,매입원본!$AX$8:$AX$1007,INDEX($R$8:$R$207,$U147),매입원본!$BA$8:$BA$1007,"포함",매입원본!$AS$8:$AS$1007,"&gt;="&amp;EDATE(설정!$B$10,0),매입원본!$AS$8:$AS$1007,"&lt;="&amp;EOMONTH(설정!$B$10,0)))</f>
        <v/>
      </c>
      <c r="J147" s="33">
        <f>IF(OR($U147="",1&gt;=설정!$B$12),"",SUMIFS(매입원본!$AT$8:$AT$1007,매입원본!$AX$8:$AX$1007,INDEX($R$8:$R$207,$U147),매입원본!$BA$8:$BA$1007,"포함",매입원본!$AS$8:$AS$1007,"&gt;="&amp;EDATE(설정!$B$10,1),매입원본!$AS$8:$AS$1007,"&lt;="&amp;EOMONTH(설정!$B$10,1)))</f>
        <v/>
      </c>
      <c r="K147" s="33">
        <f>IF(OR($U147="",2&gt;=설정!$B$12),"",SUMIFS(매입원본!$AT$8:$AT$1007,매입원본!$AX$8:$AX$1007,INDEX($R$8:$R$207,$U147),매입원본!$BA$8:$BA$1007,"포함",매입원본!$AS$8:$AS$1007,"&gt;="&amp;EDATE(설정!$B$10,2),매입원본!$AS$8:$AS$1007,"&lt;="&amp;EOMONTH(설정!$B$10,2)))</f>
        <v/>
      </c>
      <c r="L147" s="33">
        <f>IF(OR($U147="",3&gt;=설정!$B$12),"",SUMIFS(매입원본!$AT$8:$AT$1007,매입원본!$AX$8:$AX$1007,INDEX($R$8:$R$207,$U147),매입원본!$BA$8:$BA$1007,"포함",매입원본!$AS$8:$AS$1007,"&gt;="&amp;EDATE(설정!$B$10,3),매입원본!$AS$8:$AS$1007,"&lt;="&amp;EOMONTH(설정!$B$10,3)))</f>
        <v/>
      </c>
      <c r="M147" s="33">
        <f>IF(OR($U147="",4&gt;=설정!$B$12),"",SUMIFS(매입원본!$AT$8:$AT$1007,매입원본!$AX$8:$AX$1007,INDEX($R$8:$R$207,$U147),매입원본!$BA$8:$BA$1007,"포함",매입원본!$AS$8:$AS$1007,"&gt;="&amp;EDATE(설정!$B$10,4),매입원본!$AS$8:$AS$1007,"&lt;="&amp;EOMONTH(설정!$B$10,4)))</f>
        <v/>
      </c>
      <c r="N147" s="33">
        <f>IF(OR($U147="",5&gt;=설정!$B$12),"",SUMIFS(매입원본!$AT$8:$AT$1007,매입원본!$AX$8:$AX$1007,INDEX($R$8:$R$207,$U147),매입원본!$BA$8:$BA$1007,"포함",매입원본!$AS$8:$AS$1007,"&gt;="&amp;EDATE(설정!$B$10,5),매입원본!$AS$8:$AS$1007,"&lt;="&amp;EOMONTH(설정!$B$10,5)))</f>
        <v/>
      </c>
      <c r="Q147" s="35" t="n">
        <v>140</v>
      </c>
      <c r="R147" s="35">
        <f>IFERROR(INDEX(매입원본!$AX$8:$AX$1007,MATCH($Q147,매입원본!$BD$8:$BD$1007,0)),"")</f>
        <v/>
      </c>
      <c r="S147" s="35">
        <f>IF($R147="","",SUMIFS(매입원본!$AT$8:$AT$1007,매입원본!$AX$8:$AX$1007,$R147,매입원본!$BA$8:$BA$1007,"포함"))</f>
        <v/>
      </c>
      <c r="T147" s="35">
        <f>IF($R147="","",$S147-$Q147/100000)</f>
        <v/>
      </c>
      <c r="U147" s="35">
        <f>IFERROR(MATCH(LARGE($T$8:$T$207,140),$T$8:$T$207,0),"")</f>
        <v/>
      </c>
    </row>
    <row r="148">
      <c r="A148" s="32">
        <f>IF($U148="","",141)</f>
        <v/>
      </c>
      <c r="B148" s="10">
        <f>IF($U148="","",IFERROR(INDEX(매입원본!$AZ$8:$AZ$1007,MATCH($U148,매입원본!$BD$8:$BD$1007,0)),""))</f>
        <v/>
      </c>
      <c r="C148" s="10">
        <f>IF($U148="","",IFERROR(INDEX(매입원본!$AY$8:$AY$1007,MATCH($U148,매입원본!$BD$8:$BD$1007,0)),""))</f>
        <v/>
      </c>
      <c r="D148" s="33">
        <f>IF($U148="","",COUNTIFS(매입원본!$AX$8:$AX$1007,INDEX($R$8:$R$207,$U148),매입원본!$BA$8:$BA$1007,"포함"))</f>
        <v/>
      </c>
      <c r="E148" s="33">
        <f>IF($U148="","",SUMIFS(매입원본!$AT$8:$AT$1007,매입원본!$AX$8:$AX$1007,INDEX($R$8:$R$207,$U148),매입원본!$BA$8:$BA$1007,"포함"))</f>
        <v/>
      </c>
      <c r="F148" s="33">
        <f>IF($U148="","",SUMIFS(매입원본!$AU$8:$AU$1007,매입원본!$AX$8:$AX$1007,INDEX($R$8:$R$207,$U148),매입원본!$BA$8:$BA$1007,"포함"))</f>
        <v/>
      </c>
      <c r="G148" s="33">
        <f>IF($U148="","",SUMIFS(매입원본!$AV$8:$AV$1007,매입원본!$AX$8:$AX$1007,INDEX($R$8:$R$207,$U148),매입원본!$BA$8:$BA$1007,"포함"))</f>
        <v/>
      </c>
      <c r="H148" s="34">
        <f>IF(OR($U148="",$E$7=0),"",E148/$E$7)</f>
        <v/>
      </c>
      <c r="I148" s="33">
        <f>IF(OR($U148="",0&gt;=설정!$B$12),"",SUMIFS(매입원본!$AT$8:$AT$1007,매입원본!$AX$8:$AX$1007,INDEX($R$8:$R$207,$U148),매입원본!$BA$8:$BA$1007,"포함",매입원본!$AS$8:$AS$1007,"&gt;="&amp;EDATE(설정!$B$10,0),매입원본!$AS$8:$AS$1007,"&lt;="&amp;EOMONTH(설정!$B$10,0)))</f>
        <v/>
      </c>
      <c r="J148" s="33">
        <f>IF(OR($U148="",1&gt;=설정!$B$12),"",SUMIFS(매입원본!$AT$8:$AT$1007,매입원본!$AX$8:$AX$1007,INDEX($R$8:$R$207,$U148),매입원본!$BA$8:$BA$1007,"포함",매입원본!$AS$8:$AS$1007,"&gt;="&amp;EDATE(설정!$B$10,1),매입원본!$AS$8:$AS$1007,"&lt;="&amp;EOMONTH(설정!$B$10,1)))</f>
        <v/>
      </c>
      <c r="K148" s="33">
        <f>IF(OR($U148="",2&gt;=설정!$B$12),"",SUMIFS(매입원본!$AT$8:$AT$1007,매입원본!$AX$8:$AX$1007,INDEX($R$8:$R$207,$U148),매입원본!$BA$8:$BA$1007,"포함",매입원본!$AS$8:$AS$1007,"&gt;="&amp;EDATE(설정!$B$10,2),매입원본!$AS$8:$AS$1007,"&lt;="&amp;EOMONTH(설정!$B$10,2)))</f>
        <v/>
      </c>
      <c r="L148" s="33">
        <f>IF(OR($U148="",3&gt;=설정!$B$12),"",SUMIFS(매입원본!$AT$8:$AT$1007,매입원본!$AX$8:$AX$1007,INDEX($R$8:$R$207,$U148),매입원본!$BA$8:$BA$1007,"포함",매입원본!$AS$8:$AS$1007,"&gt;="&amp;EDATE(설정!$B$10,3),매입원본!$AS$8:$AS$1007,"&lt;="&amp;EOMONTH(설정!$B$10,3)))</f>
        <v/>
      </c>
      <c r="M148" s="33">
        <f>IF(OR($U148="",4&gt;=설정!$B$12),"",SUMIFS(매입원본!$AT$8:$AT$1007,매입원본!$AX$8:$AX$1007,INDEX($R$8:$R$207,$U148),매입원본!$BA$8:$BA$1007,"포함",매입원본!$AS$8:$AS$1007,"&gt;="&amp;EDATE(설정!$B$10,4),매입원본!$AS$8:$AS$1007,"&lt;="&amp;EOMONTH(설정!$B$10,4)))</f>
        <v/>
      </c>
      <c r="N148" s="33">
        <f>IF(OR($U148="",5&gt;=설정!$B$12),"",SUMIFS(매입원본!$AT$8:$AT$1007,매입원본!$AX$8:$AX$1007,INDEX($R$8:$R$207,$U148),매입원본!$BA$8:$BA$1007,"포함",매입원본!$AS$8:$AS$1007,"&gt;="&amp;EDATE(설정!$B$10,5),매입원본!$AS$8:$AS$1007,"&lt;="&amp;EOMONTH(설정!$B$10,5)))</f>
        <v/>
      </c>
      <c r="Q148" s="35" t="n">
        <v>141</v>
      </c>
      <c r="R148" s="35">
        <f>IFERROR(INDEX(매입원본!$AX$8:$AX$1007,MATCH($Q148,매입원본!$BD$8:$BD$1007,0)),"")</f>
        <v/>
      </c>
      <c r="S148" s="35">
        <f>IF($R148="","",SUMIFS(매입원본!$AT$8:$AT$1007,매입원본!$AX$8:$AX$1007,$R148,매입원본!$BA$8:$BA$1007,"포함"))</f>
        <v/>
      </c>
      <c r="T148" s="35">
        <f>IF($R148="","",$S148-$Q148/100000)</f>
        <v/>
      </c>
      <c r="U148" s="35">
        <f>IFERROR(MATCH(LARGE($T$8:$T$207,141),$T$8:$T$207,0),"")</f>
        <v/>
      </c>
    </row>
    <row r="149">
      <c r="A149" s="32">
        <f>IF($U149="","",142)</f>
        <v/>
      </c>
      <c r="B149" s="10">
        <f>IF($U149="","",IFERROR(INDEX(매입원본!$AZ$8:$AZ$1007,MATCH($U149,매입원본!$BD$8:$BD$1007,0)),""))</f>
        <v/>
      </c>
      <c r="C149" s="10">
        <f>IF($U149="","",IFERROR(INDEX(매입원본!$AY$8:$AY$1007,MATCH($U149,매입원본!$BD$8:$BD$1007,0)),""))</f>
        <v/>
      </c>
      <c r="D149" s="33">
        <f>IF($U149="","",COUNTIFS(매입원본!$AX$8:$AX$1007,INDEX($R$8:$R$207,$U149),매입원본!$BA$8:$BA$1007,"포함"))</f>
        <v/>
      </c>
      <c r="E149" s="33">
        <f>IF($U149="","",SUMIFS(매입원본!$AT$8:$AT$1007,매입원본!$AX$8:$AX$1007,INDEX($R$8:$R$207,$U149),매입원본!$BA$8:$BA$1007,"포함"))</f>
        <v/>
      </c>
      <c r="F149" s="33">
        <f>IF($U149="","",SUMIFS(매입원본!$AU$8:$AU$1007,매입원본!$AX$8:$AX$1007,INDEX($R$8:$R$207,$U149),매입원본!$BA$8:$BA$1007,"포함"))</f>
        <v/>
      </c>
      <c r="G149" s="33">
        <f>IF($U149="","",SUMIFS(매입원본!$AV$8:$AV$1007,매입원본!$AX$8:$AX$1007,INDEX($R$8:$R$207,$U149),매입원본!$BA$8:$BA$1007,"포함"))</f>
        <v/>
      </c>
      <c r="H149" s="34">
        <f>IF(OR($U149="",$E$7=0),"",E149/$E$7)</f>
        <v/>
      </c>
      <c r="I149" s="33">
        <f>IF(OR($U149="",0&gt;=설정!$B$12),"",SUMIFS(매입원본!$AT$8:$AT$1007,매입원본!$AX$8:$AX$1007,INDEX($R$8:$R$207,$U149),매입원본!$BA$8:$BA$1007,"포함",매입원본!$AS$8:$AS$1007,"&gt;="&amp;EDATE(설정!$B$10,0),매입원본!$AS$8:$AS$1007,"&lt;="&amp;EOMONTH(설정!$B$10,0)))</f>
        <v/>
      </c>
      <c r="J149" s="33">
        <f>IF(OR($U149="",1&gt;=설정!$B$12),"",SUMIFS(매입원본!$AT$8:$AT$1007,매입원본!$AX$8:$AX$1007,INDEX($R$8:$R$207,$U149),매입원본!$BA$8:$BA$1007,"포함",매입원본!$AS$8:$AS$1007,"&gt;="&amp;EDATE(설정!$B$10,1),매입원본!$AS$8:$AS$1007,"&lt;="&amp;EOMONTH(설정!$B$10,1)))</f>
        <v/>
      </c>
      <c r="K149" s="33">
        <f>IF(OR($U149="",2&gt;=설정!$B$12),"",SUMIFS(매입원본!$AT$8:$AT$1007,매입원본!$AX$8:$AX$1007,INDEX($R$8:$R$207,$U149),매입원본!$BA$8:$BA$1007,"포함",매입원본!$AS$8:$AS$1007,"&gt;="&amp;EDATE(설정!$B$10,2),매입원본!$AS$8:$AS$1007,"&lt;="&amp;EOMONTH(설정!$B$10,2)))</f>
        <v/>
      </c>
      <c r="L149" s="33">
        <f>IF(OR($U149="",3&gt;=설정!$B$12),"",SUMIFS(매입원본!$AT$8:$AT$1007,매입원본!$AX$8:$AX$1007,INDEX($R$8:$R$207,$U149),매입원본!$BA$8:$BA$1007,"포함",매입원본!$AS$8:$AS$1007,"&gt;="&amp;EDATE(설정!$B$10,3),매입원본!$AS$8:$AS$1007,"&lt;="&amp;EOMONTH(설정!$B$10,3)))</f>
        <v/>
      </c>
      <c r="M149" s="33">
        <f>IF(OR($U149="",4&gt;=설정!$B$12),"",SUMIFS(매입원본!$AT$8:$AT$1007,매입원본!$AX$8:$AX$1007,INDEX($R$8:$R$207,$U149),매입원본!$BA$8:$BA$1007,"포함",매입원본!$AS$8:$AS$1007,"&gt;="&amp;EDATE(설정!$B$10,4),매입원본!$AS$8:$AS$1007,"&lt;="&amp;EOMONTH(설정!$B$10,4)))</f>
        <v/>
      </c>
      <c r="N149" s="33">
        <f>IF(OR($U149="",5&gt;=설정!$B$12),"",SUMIFS(매입원본!$AT$8:$AT$1007,매입원본!$AX$8:$AX$1007,INDEX($R$8:$R$207,$U149),매입원본!$BA$8:$BA$1007,"포함",매입원본!$AS$8:$AS$1007,"&gt;="&amp;EDATE(설정!$B$10,5),매입원본!$AS$8:$AS$1007,"&lt;="&amp;EOMONTH(설정!$B$10,5)))</f>
        <v/>
      </c>
      <c r="Q149" s="35" t="n">
        <v>142</v>
      </c>
      <c r="R149" s="35">
        <f>IFERROR(INDEX(매입원본!$AX$8:$AX$1007,MATCH($Q149,매입원본!$BD$8:$BD$1007,0)),"")</f>
        <v/>
      </c>
      <c r="S149" s="35">
        <f>IF($R149="","",SUMIFS(매입원본!$AT$8:$AT$1007,매입원본!$AX$8:$AX$1007,$R149,매입원본!$BA$8:$BA$1007,"포함"))</f>
        <v/>
      </c>
      <c r="T149" s="35">
        <f>IF($R149="","",$S149-$Q149/100000)</f>
        <v/>
      </c>
      <c r="U149" s="35">
        <f>IFERROR(MATCH(LARGE($T$8:$T$207,142),$T$8:$T$207,0),"")</f>
        <v/>
      </c>
    </row>
    <row r="150">
      <c r="A150" s="32">
        <f>IF($U150="","",143)</f>
        <v/>
      </c>
      <c r="B150" s="10">
        <f>IF($U150="","",IFERROR(INDEX(매입원본!$AZ$8:$AZ$1007,MATCH($U150,매입원본!$BD$8:$BD$1007,0)),""))</f>
        <v/>
      </c>
      <c r="C150" s="10">
        <f>IF($U150="","",IFERROR(INDEX(매입원본!$AY$8:$AY$1007,MATCH($U150,매입원본!$BD$8:$BD$1007,0)),""))</f>
        <v/>
      </c>
      <c r="D150" s="33">
        <f>IF($U150="","",COUNTIFS(매입원본!$AX$8:$AX$1007,INDEX($R$8:$R$207,$U150),매입원본!$BA$8:$BA$1007,"포함"))</f>
        <v/>
      </c>
      <c r="E150" s="33">
        <f>IF($U150="","",SUMIFS(매입원본!$AT$8:$AT$1007,매입원본!$AX$8:$AX$1007,INDEX($R$8:$R$207,$U150),매입원본!$BA$8:$BA$1007,"포함"))</f>
        <v/>
      </c>
      <c r="F150" s="33">
        <f>IF($U150="","",SUMIFS(매입원본!$AU$8:$AU$1007,매입원본!$AX$8:$AX$1007,INDEX($R$8:$R$207,$U150),매입원본!$BA$8:$BA$1007,"포함"))</f>
        <v/>
      </c>
      <c r="G150" s="33">
        <f>IF($U150="","",SUMIFS(매입원본!$AV$8:$AV$1007,매입원본!$AX$8:$AX$1007,INDEX($R$8:$R$207,$U150),매입원본!$BA$8:$BA$1007,"포함"))</f>
        <v/>
      </c>
      <c r="H150" s="34">
        <f>IF(OR($U150="",$E$7=0),"",E150/$E$7)</f>
        <v/>
      </c>
      <c r="I150" s="33">
        <f>IF(OR($U150="",0&gt;=설정!$B$12),"",SUMIFS(매입원본!$AT$8:$AT$1007,매입원본!$AX$8:$AX$1007,INDEX($R$8:$R$207,$U150),매입원본!$BA$8:$BA$1007,"포함",매입원본!$AS$8:$AS$1007,"&gt;="&amp;EDATE(설정!$B$10,0),매입원본!$AS$8:$AS$1007,"&lt;="&amp;EOMONTH(설정!$B$10,0)))</f>
        <v/>
      </c>
      <c r="J150" s="33">
        <f>IF(OR($U150="",1&gt;=설정!$B$12),"",SUMIFS(매입원본!$AT$8:$AT$1007,매입원본!$AX$8:$AX$1007,INDEX($R$8:$R$207,$U150),매입원본!$BA$8:$BA$1007,"포함",매입원본!$AS$8:$AS$1007,"&gt;="&amp;EDATE(설정!$B$10,1),매입원본!$AS$8:$AS$1007,"&lt;="&amp;EOMONTH(설정!$B$10,1)))</f>
        <v/>
      </c>
      <c r="K150" s="33">
        <f>IF(OR($U150="",2&gt;=설정!$B$12),"",SUMIFS(매입원본!$AT$8:$AT$1007,매입원본!$AX$8:$AX$1007,INDEX($R$8:$R$207,$U150),매입원본!$BA$8:$BA$1007,"포함",매입원본!$AS$8:$AS$1007,"&gt;="&amp;EDATE(설정!$B$10,2),매입원본!$AS$8:$AS$1007,"&lt;="&amp;EOMONTH(설정!$B$10,2)))</f>
        <v/>
      </c>
      <c r="L150" s="33">
        <f>IF(OR($U150="",3&gt;=설정!$B$12),"",SUMIFS(매입원본!$AT$8:$AT$1007,매입원본!$AX$8:$AX$1007,INDEX($R$8:$R$207,$U150),매입원본!$BA$8:$BA$1007,"포함",매입원본!$AS$8:$AS$1007,"&gt;="&amp;EDATE(설정!$B$10,3),매입원본!$AS$8:$AS$1007,"&lt;="&amp;EOMONTH(설정!$B$10,3)))</f>
        <v/>
      </c>
      <c r="M150" s="33">
        <f>IF(OR($U150="",4&gt;=설정!$B$12),"",SUMIFS(매입원본!$AT$8:$AT$1007,매입원본!$AX$8:$AX$1007,INDEX($R$8:$R$207,$U150),매입원본!$BA$8:$BA$1007,"포함",매입원본!$AS$8:$AS$1007,"&gt;="&amp;EDATE(설정!$B$10,4),매입원본!$AS$8:$AS$1007,"&lt;="&amp;EOMONTH(설정!$B$10,4)))</f>
        <v/>
      </c>
      <c r="N150" s="33">
        <f>IF(OR($U150="",5&gt;=설정!$B$12),"",SUMIFS(매입원본!$AT$8:$AT$1007,매입원본!$AX$8:$AX$1007,INDEX($R$8:$R$207,$U150),매입원본!$BA$8:$BA$1007,"포함",매입원본!$AS$8:$AS$1007,"&gt;="&amp;EDATE(설정!$B$10,5),매입원본!$AS$8:$AS$1007,"&lt;="&amp;EOMONTH(설정!$B$10,5)))</f>
        <v/>
      </c>
      <c r="Q150" s="35" t="n">
        <v>143</v>
      </c>
      <c r="R150" s="35">
        <f>IFERROR(INDEX(매입원본!$AX$8:$AX$1007,MATCH($Q150,매입원본!$BD$8:$BD$1007,0)),"")</f>
        <v/>
      </c>
      <c r="S150" s="35">
        <f>IF($R150="","",SUMIFS(매입원본!$AT$8:$AT$1007,매입원본!$AX$8:$AX$1007,$R150,매입원본!$BA$8:$BA$1007,"포함"))</f>
        <v/>
      </c>
      <c r="T150" s="35">
        <f>IF($R150="","",$S150-$Q150/100000)</f>
        <v/>
      </c>
      <c r="U150" s="35">
        <f>IFERROR(MATCH(LARGE($T$8:$T$207,143),$T$8:$T$207,0),"")</f>
        <v/>
      </c>
    </row>
    <row r="151">
      <c r="A151" s="32">
        <f>IF($U151="","",144)</f>
        <v/>
      </c>
      <c r="B151" s="10">
        <f>IF($U151="","",IFERROR(INDEX(매입원본!$AZ$8:$AZ$1007,MATCH($U151,매입원본!$BD$8:$BD$1007,0)),""))</f>
        <v/>
      </c>
      <c r="C151" s="10">
        <f>IF($U151="","",IFERROR(INDEX(매입원본!$AY$8:$AY$1007,MATCH($U151,매입원본!$BD$8:$BD$1007,0)),""))</f>
        <v/>
      </c>
      <c r="D151" s="33">
        <f>IF($U151="","",COUNTIFS(매입원본!$AX$8:$AX$1007,INDEX($R$8:$R$207,$U151),매입원본!$BA$8:$BA$1007,"포함"))</f>
        <v/>
      </c>
      <c r="E151" s="33">
        <f>IF($U151="","",SUMIFS(매입원본!$AT$8:$AT$1007,매입원본!$AX$8:$AX$1007,INDEX($R$8:$R$207,$U151),매입원본!$BA$8:$BA$1007,"포함"))</f>
        <v/>
      </c>
      <c r="F151" s="33">
        <f>IF($U151="","",SUMIFS(매입원본!$AU$8:$AU$1007,매입원본!$AX$8:$AX$1007,INDEX($R$8:$R$207,$U151),매입원본!$BA$8:$BA$1007,"포함"))</f>
        <v/>
      </c>
      <c r="G151" s="33">
        <f>IF($U151="","",SUMIFS(매입원본!$AV$8:$AV$1007,매입원본!$AX$8:$AX$1007,INDEX($R$8:$R$207,$U151),매입원본!$BA$8:$BA$1007,"포함"))</f>
        <v/>
      </c>
      <c r="H151" s="34">
        <f>IF(OR($U151="",$E$7=0),"",E151/$E$7)</f>
        <v/>
      </c>
      <c r="I151" s="33">
        <f>IF(OR($U151="",0&gt;=설정!$B$12),"",SUMIFS(매입원본!$AT$8:$AT$1007,매입원본!$AX$8:$AX$1007,INDEX($R$8:$R$207,$U151),매입원본!$BA$8:$BA$1007,"포함",매입원본!$AS$8:$AS$1007,"&gt;="&amp;EDATE(설정!$B$10,0),매입원본!$AS$8:$AS$1007,"&lt;="&amp;EOMONTH(설정!$B$10,0)))</f>
        <v/>
      </c>
      <c r="J151" s="33">
        <f>IF(OR($U151="",1&gt;=설정!$B$12),"",SUMIFS(매입원본!$AT$8:$AT$1007,매입원본!$AX$8:$AX$1007,INDEX($R$8:$R$207,$U151),매입원본!$BA$8:$BA$1007,"포함",매입원본!$AS$8:$AS$1007,"&gt;="&amp;EDATE(설정!$B$10,1),매입원본!$AS$8:$AS$1007,"&lt;="&amp;EOMONTH(설정!$B$10,1)))</f>
        <v/>
      </c>
      <c r="K151" s="33">
        <f>IF(OR($U151="",2&gt;=설정!$B$12),"",SUMIFS(매입원본!$AT$8:$AT$1007,매입원본!$AX$8:$AX$1007,INDEX($R$8:$R$207,$U151),매입원본!$BA$8:$BA$1007,"포함",매입원본!$AS$8:$AS$1007,"&gt;="&amp;EDATE(설정!$B$10,2),매입원본!$AS$8:$AS$1007,"&lt;="&amp;EOMONTH(설정!$B$10,2)))</f>
        <v/>
      </c>
      <c r="L151" s="33">
        <f>IF(OR($U151="",3&gt;=설정!$B$12),"",SUMIFS(매입원본!$AT$8:$AT$1007,매입원본!$AX$8:$AX$1007,INDEX($R$8:$R$207,$U151),매입원본!$BA$8:$BA$1007,"포함",매입원본!$AS$8:$AS$1007,"&gt;="&amp;EDATE(설정!$B$10,3),매입원본!$AS$8:$AS$1007,"&lt;="&amp;EOMONTH(설정!$B$10,3)))</f>
        <v/>
      </c>
      <c r="M151" s="33">
        <f>IF(OR($U151="",4&gt;=설정!$B$12),"",SUMIFS(매입원본!$AT$8:$AT$1007,매입원본!$AX$8:$AX$1007,INDEX($R$8:$R$207,$U151),매입원본!$BA$8:$BA$1007,"포함",매입원본!$AS$8:$AS$1007,"&gt;="&amp;EDATE(설정!$B$10,4),매입원본!$AS$8:$AS$1007,"&lt;="&amp;EOMONTH(설정!$B$10,4)))</f>
        <v/>
      </c>
      <c r="N151" s="33">
        <f>IF(OR($U151="",5&gt;=설정!$B$12),"",SUMIFS(매입원본!$AT$8:$AT$1007,매입원본!$AX$8:$AX$1007,INDEX($R$8:$R$207,$U151),매입원본!$BA$8:$BA$1007,"포함",매입원본!$AS$8:$AS$1007,"&gt;="&amp;EDATE(설정!$B$10,5),매입원본!$AS$8:$AS$1007,"&lt;="&amp;EOMONTH(설정!$B$10,5)))</f>
        <v/>
      </c>
      <c r="Q151" s="35" t="n">
        <v>144</v>
      </c>
      <c r="R151" s="35">
        <f>IFERROR(INDEX(매입원본!$AX$8:$AX$1007,MATCH($Q151,매입원본!$BD$8:$BD$1007,0)),"")</f>
        <v/>
      </c>
      <c r="S151" s="35">
        <f>IF($R151="","",SUMIFS(매입원본!$AT$8:$AT$1007,매입원본!$AX$8:$AX$1007,$R151,매입원본!$BA$8:$BA$1007,"포함"))</f>
        <v/>
      </c>
      <c r="T151" s="35">
        <f>IF($R151="","",$S151-$Q151/100000)</f>
        <v/>
      </c>
      <c r="U151" s="35">
        <f>IFERROR(MATCH(LARGE($T$8:$T$207,144),$T$8:$T$207,0),"")</f>
        <v/>
      </c>
    </row>
    <row r="152">
      <c r="A152" s="32">
        <f>IF($U152="","",145)</f>
        <v/>
      </c>
      <c r="B152" s="10">
        <f>IF($U152="","",IFERROR(INDEX(매입원본!$AZ$8:$AZ$1007,MATCH($U152,매입원본!$BD$8:$BD$1007,0)),""))</f>
        <v/>
      </c>
      <c r="C152" s="10">
        <f>IF($U152="","",IFERROR(INDEX(매입원본!$AY$8:$AY$1007,MATCH($U152,매입원본!$BD$8:$BD$1007,0)),""))</f>
        <v/>
      </c>
      <c r="D152" s="33">
        <f>IF($U152="","",COUNTIFS(매입원본!$AX$8:$AX$1007,INDEX($R$8:$R$207,$U152),매입원본!$BA$8:$BA$1007,"포함"))</f>
        <v/>
      </c>
      <c r="E152" s="33">
        <f>IF($U152="","",SUMIFS(매입원본!$AT$8:$AT$1007,매입원본!$AX$8:$AX$1007,INDEX($R$8:$R$207,$U152),매입원본!$BA$8:$BA$1007,"포함"))</f>
        <v/>
      </c>
      <c r="F152" s="33">
        <f>IF($U152="","",SUMIFS(매입원본!$AU$8:$AU$1007,매입원본!$AX$8:$AX$1007,INDEX($R$8:$R$207,$U152),매입원본!$BA$8:$BA$1007,"포함"))</f>
        <v/>
      </c>
      <c r="G152" s="33">
        <f>IF($U152="","",SUMIFS(매입원본!$AV$8:$AV$1007,매입원본!$AX$8:$AX$1007,INDEX($R$8:$R$207,$U152),매입원본!$BA$8:$BA$1007,"포함"))</f>
        <v/>
      </c>
      <c r="H152" s="34">
        <f>IF(OR($U152="",$E$7=0),"",E152/$E$7)</f>
        <v/>
      </c>
      <c r="I152" s="33">
        <f>IF(OR($U152="",0&gt;=설정!$B$12),"",SUMIFS(매입원본!$AT$8:$AT$1007,매입원본!$AX$8:$AX$1007,INDEX($R$8:$R$207,$U152),매입원본!$BA$8:$BA$1007,"포함",매입원본!$AS$8:$AS$1007,"&gt;="&amp;EDATE(설정!$B$10,0),매입원본!$AS$8:$AS$1007,"&lt;="&amp;EOMONTH(설정!$B$10,0)))</f>
        <v/>
      </c>
      <c r="J152" s="33">
        <f>IF(OR($U152="",1&gt;=설정!$B$12),"",SUMIFS(매입원본!$AT$8:$AT$1007,매입원본!$AX$8:$AX$1007,INDEX($R$8:$R$207,$U152),매입원본!$BA$8:$BA$1007,"포함",매입원본!$AS$8:$AS$1007,"&gt;="&amp;EDATE(설정!$B$10,1),매입원본!$AS$8:$AS$1007,"&lt;="&amp;EOMONTH(설정!$B$10,1)))</f>
        <v/>
      </c>
      <c r="K152" s="33">
        <f>IF(OR($U152="",2&gt;=설정!$B$12),"",SUMIFS(매입원본!$AT$8:$AT$1007,매입원본!$AX$8:$AX$1007,INDEX($R$8:$R$207,$U152),매입원본!$BA$8:$BA$1007,"포함",매입원본!$AS$8:$AS$1007,"&gt;="&amp;EDATE(설정!$B$10,2),매입원본!$AS$8:$AS$1007,"&lt;="&amp;EOMONTH(설정!$B$10,2)))</f>
        <v/>
      </c>
      <c r="L152" s="33">
        <f>IF(OR($U152="",3&gt;=설정!$B$12),"",SUMIFS(매입원본!$AT$8:$AT$1007,매입원본!$AX$8:$AX$1007,INDEX($R$8:$R$207,$U152),매입원본!$BA$8:$BA$1007,"포함",매입원본!$AS$8:$AS$1007,"&gt;="&amp;EDATE(설정!$B$10,3),매입원본!$AS$8:$AS$1007,"&lt;="&amp;EOMONTH(설정!$B$10,3)))</f>
        <v/>
      </c>
      <c r="M152" s="33">
        <f>IF(OR($U152="",4&gt;=설정!$B$12),"",SUMIFS(매입원본!$AT$8:$AT$1007,매입원본!$AX$8:$AX$1007,INDEX($R$8:$R$207,$U152),매입원본!$BA$8:$BA$1007,"포함",매입원본!$AS$8:$AS$1007,"&gt;="&amp;EDATE(설정!$B$10,4),매입원본!$AS$8:$AS$1007,"&lt;="&amp;EOMONTH(설정!$B$10,4)))</f>
        <v/>
      </c>
      <c r="N152" s="33">
        <f>IF(OR($U152="",5&gt;=설정!$B$12),"",SUMIFS(매입원본!$AT$8:$AT$1007,매입원본!$AX$8:$AX$1007,INDEX($R$8:$R$207,$U152),매입원본!$BA$8:$BA$1007,"포함",매입원본!$AS$8:$AS$1007,"&gt;="&amp;EDATE(설정!$B$10,5),매입원본!$AS$8:$AS$1007,"&lt;="&amp;EOMONTH(설정!$B$10,5)))</f>
        <v/>
      </c>
      <c r="Q152" s="35" t="n">
        <v>145</v>
      </c>
      <c r="R152" s="35">
        <f>IFERROR(INDEX(매입원본!$AX$8:$AX$1007,MATCH($Q152,매입원본!$BD$8:$BD$1007,0)),"")</f>
        <v/>
      </c>
      <c r="S152" s="35">
        <f>IF($R152="","",SUMIFS(매입원본!$AT$8:$AT$1007,매입원본!$AX$8:$AX$1007,$R152,매입원본!$BA$8:$BA$1007,"포함"))</f>
        <v/>
      </c>
      <c r="T152" s="35">
        <f>IF($R152="","",$S152-$Q152/100000)</f>
        <v/>
      </c>
      <c r="U152" s="35">
        <f>IFERROR(MATCH(LARGE($T$8:$T$207,145),$T$8:$T$207,0),"")</f>
        <v/>
      </c>
    </row>
    <row r="153">
      <c r="A153" s="32">
        <f>IF($U153="","",146)</f>
        <v/>
      </c>
      <c r="B153" s="10">
        <f>IF($U153="","",IFERROR(INDEX(매입원본!$AZ$8:$AZ$1007,MATCH($U153,매입원본!$BD$8:$BD$1007,0)),""))</f>
        <v/>
      </c>
      <c r="C153" s="10">
        <f>IF($U153="","",IFERROR(INDEX(매입원본!$AY$8:$AY$1007,MATCH($U153,매입원본!$BD$8:$BD$1007,0)),""))</f>
        <v/>
      </c>
      <c r="D153" s="33">
        <f>IF($U153="","",COUNTIFS(매입원본!$AX$8:$AX$1007,INDEX($R$8:$R$207,$U153),매입원본!$BA$8:$BA$1007,"포함"))</f>
        <v/>
      </c>
      <c r="E153" s="33">
        <f>IF($U153="","",SUMIFS(매입원본!$AT$8:$AT$1007,매입원본!$AX$8:$AX$1007,INDEX($R$8:$R$207,$U153),매입원본!$BA$8:$BA$1007,"포함"))</f>
        <v/>
      </c>
      <c r="F153" s="33">
        <f>IF($U153="","",SUMIFS(매입원본!$AU$8:$AU$1007,매입원본!$AX$8:$AX$1007,INDEX($R$8:$R$207,$U153),매입원본!$BA$8:$BA$1007,"포함"))</f>
        <v/>
      </c>
      <c r="G153" s="33">
        <f>IF($U153="","",SUMIFS(매입원본!$AV$8:$AV$1007,매입원본!$AX$8:$AX$1007,INDEX($R$8:$R$207,$U153),매입원본!$BA$8:$BA$1007,"포함"))</f>
        <v/>
      </c>
      <c r="H153" s="34">
        <f>IF(OR($U153="",$E$7=0),"",E153/$E$7)</f>
        <v/>
      </c>
      <c r="I153" s="33">
        <f>IF(OR($U153="",0&gt;=설정!$B$12),"",SUMIFS(매입원본!$AT$8:$AT$1007,매입원본!$AX$8:$AX$1007,INDEX($R$8:$R$207,$U153),매입원본!$BA$8:$BA$1007,"포함",매입원본!$AS$8:$AS$1007,"&gt;="&amp;EDATE(설정!$B$10,0),매입원본!$AS$8:$AS$1007,"&lt;="&amp;EOMONTH(설정!$B$10,0)))</f>
        <v/>
      </c>
      <c r="J153" s="33">
        <f>IF(OR($U153="",1&gt;=설정!$B$12),"",SUMIFS(매입원본!$AT$8:$AT$1007,매입원본!$AX$8:$AX$1007,INDEX($R$8:$R$207,$U153),매입원본!$BA$8:$BA$1007,"포함",매입원본!$AS$8:$AS$1007,"&gt;="&amp;EDATE(설정!$B$10,1),매입원본!$AS$8:$AS$1007,"&lt;="&amp;EOMONTH(설정!$B$10,1)))</f>
        <v/>
      </c>
      <c r="K153" s="33">
        <f>IF(OR($U153="",2&gt;=설정!$B$12),"",SUMIFS(매입원본!$AT$8:$AT$1007,매입원본!$AX$8:$AX$1007,INDEX($R$8:$R$207,$U153),매입원본!$BA$8:$BA$1007,"포함",매입원본!$AS$8:$AS$1007,"&gt;="&amp;EDATE(설정!$B$10,2),매입원본!$AS$8:$AS$1007,"&lt;="&amp;EOMONTH(설정!$B$10,2)))</f>
        <v/>
      </c>
      <c r="L153" s="33">
        <f>IF(OR($U153="",3&gt;=설정!$B$12),"",SUMIFS(매입원본!$AT$8:$AT$1007,매입원본!$AX$8:$AX$1007,INDEX($R$8:$R$207,$U153),매입원본!$BA$8:$BA$1007,"포함",매입원본!$AS$8:$AS$1007,"&gt;="&amp;EDATE(설정!$B$10,3),매입원본!$AS$8:$AS$1007,"&lt;="&amp;EOMONTH(설정!$B$10,3)))</f>
        <v/>
      </c>
      <c r="M153" s="33">
        <f>IF(OR($U153="",4&gt;=설정!$B$12),"",SUMIFS(매입원본!$AT$8:$AT$1007,매입원본!$AX$8:$AX$1007,INDEX($R$8:$R$207,$U153),매입원본!$BA$8:$BA$1007,"포함",매입원본!$AS$8:$AS$1007,"&gt;="&amp;EDATE(설정!$B$10,4),매입원본!$AS$8:$AS$1007,"&lt;="&amp;EOMONTH(설정!$B$10,4)))</f>
        <v/>
      </c>
      <c r="N153" s="33">
        <f>IF(OR($U153="",5&gt;=설정!$B$12),"",SUMIFS(매입원본!$AT$8:$AT$1007,매입원본!$AX$8:$AX$1007,INDEX($R$8:$R$207,$U153),매입원본!$BA$8:$BA$1007,"포함",매입원본!$AS$8:$AS$1007,"&gt;="&amp;EDATE(설정!$B$10,5),매입원본!$AS$8:$AS$1007,"&lt;="&amp;EOMONTH(설정!$B$10,5)))</f>
        <v/>
      </c>
      <c r="Q153" s="35" t="n">
        <v>146</v>
      </c>
      <c r="R153" s="35">
        <f>IFERROR(INDEX(매입원본!$AX$8:$AX$1007,MATCH($Q153,매입원본!$BD$8:$BD$1007,0)),"")</f>
        <v/>
      </c>
      <c r="S153" s="35">
        <f>IF($R153="","",SUMIFS(매입원본!$AT$8:$AT$1007,매입원본!$AX$8:$AX$1007,$R153,매입원본!$BA$8:$BA$1007,"포함"))</f>
        <v/>
      </c>
      <c r="T153" s="35">
        <f>IF($R153="","",$S153-$Q153/100000)</f>
        <v/>
      </c>
      <c r="U153" s="35">
        <f>IFERROR(MATCH(LARGE($T$8:$T$207,146),$T$8:$T$207,0),"")</f>
        <v/>
      </c>
    </row>
    <row r="154">
      <c r="A154" s="32">
        <f>IF($U154="","",147)</f>
        <v/>
      </c>
      <c r="B154" s="10">
        <f>IF($U154="","",IFERROR(INDEX(매입원본!$AZ$8:$AZ$1007,MATCH($U154,매입원본!$BD$8:$BD$1007,0)),""))</f>
        <v/>
      </c>
      <c r="C154" s="10">
        <f>IF($U154="","",IFERROR(INDEX(매입원본!$AY$8:$AY$1007,MATCH($U154,매입원본!$BD$8:$BD$1007,0)),""))</f>
        <v/>
      </c>
      <c r="D154" s="33">
        <f>IF($U154="","",COUNTIFS(매입원본!$AX$8:$AX$1007,INDEX($R$8:$R$207,$U154),매입원본!$BA$8:$BA$1007,"포함"))</f>
        <v/>
      </c>
      <c r="E154" s="33">
        <f>IF($U154="","",SUMIFS(매입원본!$AT$8:$AT$1007,매입원본!$AX$8:$AX$1007,INDEX($R$8:$R$207,$U154),매입원본!$BA$8:$BA$1007,"포함"))</f>
        <v/>
      </c>
      <c r="F154" s="33">
        <f>IF($U154="","",SUMIFS(매입원본!$AU$8:$AU$1007,매입원본!$AX$8:$AX$1007,INDEX($R$8:$R$207,$U154),매입원본!$BA$8:$BA$1007,"포함"))</f>
        <v/>
      </c>
      <c r="G154" s="33">
        <f>IF($U154="","",SUMIFS(매입원본!$AV$8:$AV$1007,매입원본!$AX$8:$AX$1007,INDEX($R$8:$R$207,$U154),매입원본!$BA$8:$BA$1007,"포함"))</f>
        <v/>
      </c>
      <c r="H154" s="34">
        <f>IF(OR($U154="",$E$7=0),"",E154/$E$7)</f>
        <v/>
      </c>
      <c r="I154" s="33">
        <f>IF(OR($U154="",0&gt;=설정!$B$12),"",SUMIFS(매입원본!$AT$8:$AT$1007,매입원본!$AX$8:$AX$1007,INDEX($R$8:$R$207,$U154),매입원본!$BA$8:$BA$1007,"포함",매입원본!$AS$8:$AS$1007,"&gt;="&amp;EDATE(설정!$B$10,0),매입원본!$AS$8:$AS$1007,"&lt;="&amp;EOMONTH(설정!$B$10,0)))</f>
        <v/>
      </c>
      <c r="J154" s="33">
        <f>IF(OR($U154="",1&gt;=설정!$B$12),"",SUMIFS(매입원본!$AT$8:$AT$1007,매입원본!$AX$8:$AX$1007,INDEX($R$8:$R$207,$U154),매입원본!$BA$8:$BA$1007,"포함",매입원본!$AS$8:$AS$1007,"&gt;="&amp;EDATE(설정!$B$10,1),매입원본!$AS$8:$AS$1007,"&lt;="&amp;EOMONTH(설정!$B$10,1)))</f>
        <v/>
      </c>
      <c r="K154" s="33">
        <f>IF(OR($U154="",2&gt;=설정!$B$12),"",SUMIFS(매입원본!$AT$8:$AT$1007,매입원본!$AX$8:$AX$1007,INDEX($R$8:$R$207,$U154),매입원본!$BA$8:$BA$1007,"포함",매입원본!$AS$8:$AS$1007,"&gt;="&amp;EDATE(설정!$B$10,2),매입원본!$AS$8:$AS$1007,"&lt;="&amp;EOMONTH(설정!$B$10,2)))</f>
        <v/>
      </c>
      <c r="L154" s="33">
        <f>IF(OR($U154="",3&gt;=설정!$B$12),"",SUMIFS(매입원본!$AT$8:$AT$1007,매입원본!$AX$8:$AX$1007,INDEX($R$8:$R$207,$U154),매입원본!$BA$8:$BA$1007,"포함",매입원본!$AS$8:$AS$1007,"&gt;="&amp;EDATE(설정!$B$10,3),매입원본!$AS$8:$AS$1007,"&lt;="&amp;EOMONTH(설정!$B$10,3)))</f>
        <v/>
      </c>
      <c r="M154" s="33">
        <f>IF(OR($U154="",4&gt;=설정!$B$12),"",SUMIFS(매입원본!$AT$8:$AT$1007,매입원본!$AX$8:$AX$1007,INDEX($R$8:$R$207,$U154),매입원본!$BA$8:$BA$1007,"포함",매입원본!$AS$8:$AS$1007,"&gt;="&amp;EDATE(설정!$B$10,4),매입원본!$AS$8:$AS$1007,"&lt;="&amp;EOMONTH(설정!$B$10,4)))</f>
        <v/>
      </c>
      <c r="N154" s="33">
        <f>IF(OR($U154="",5&gt;=설정!$B$12),"",SUMIFS(매입원본!$AT$8:$AT$1007,매입원본!$AX$8:$AX$1007,INDEX($R$8:$R$207,$U154),매입원본!$BA$8:$BA$1007,"포함",매입원본!$AS$8:$AS$1007,"&gt;="&amp;EDATE(설정!$B$10,5),매입원본!$AS$8:$AS$1007,"&lt;="&amp;EOMONTH(설정!$B$10,5)))</f>
        <v/>
      </c>
      <c r="Q154" s="35" t="n">
        <v>147</v>
      </c>
      <c r="R154" s="35">
        <f>IFERROR(INDEX(매입원본!$AX$8:$AX$1007,MATCH($Q154,매입원본!$BD$8:$BD$1007,0)),"")</f>
        <v/>
      </c>
      <c r="S154" s="35">
        <f>IF($R154="","",SUMIFS(매입원본!$AT$8:$AT$1007,매입원본!$AX$8:$AX$1007,$R154,매입원본!$BA$8:$BA$1007,"포함"))</f>
        <v/>
      </c>
      <c r="T154" s="35">
        <f>IF($R154="","",$S154-$Q154/100000)</f>
        <v/>
      </c>
      <c r="U154" s="35">
        <f>IFERROR(MATCH(LARGE($T$8:$T$207,147),$T$8:$T$207,0),"")</f>
        <v/>
      </c>
    </row>
    <row r="155">
      <c r="A155" s="32">
        <f>IF($U155="","",148)</f>
        <v/>
      </c>
      <c r="B155" s="10">
        <f>IF($U155="","",IFERROR(INDEX(매입원본!$AZ$8:$AZ$1007,MATCH($U155,매입원본!$BD$8:$BD$1007,0)),""))</f>
        <v/>
      </c>
      <c r="C155" s="10">
        <f>IF($U155="","",IFERROR(INDEX(매입원본!$AY$8:$AY$1007,MATCH($U155,매입원본!$BD$8:$BD$1007,0)),""))</f>
        <v/>
      </c>
      <c r="D155" s="33">
        <f>IF($U155="","",COUNTIFS(매입원본!$AX$8:$AX$1007,INDEX($R$8:$R$207,$U155),매입원본!$BA$8:$BA$1007,"포함"))</f>
        <v/>
      </c>
      <c r="E155" s="33">
        <f>IF($U155="","",SUMIFS(매입원본!$AT$8:$AT$1007,매입원본!$AX$8:$AX$1007,INDEX($R$8:$R$207,$U155),매입원본!$BA$8:$BA$1007,"포함"))</f>
        <v/>
      </c>
      <c r="F155" s="33">
        <f>IF($U155="","",SUMIFS(매입원본!$AU$8:$AU$1007,매입원본!$AX$8:$AX$1007,INDEX($R$8:$R$207,$U155),매입원본!$BA$8:$BA$1007,"포함"))</f>
        <v/>
      </c>
      <c r="G155" s="33">
        <f>IF($U155="","",SUMIFS(매입원본!$AV$8:$AV$1007,매입원본!$AX$8:$AX$1007,INDEX($R$8:$R$207,$U155),매입원본!$BA$8:$BA$1007,"포함"))</f>
        <v/>
      </c>
      <c r="H155" s="34">
        <f>IF(OR($U155="",$E$7=0),"",E155/$E$7)</f>
        <v/>
      </c>
      <c r="I155" s="33">
        <f>IF(OR($U155="",0&gt;=설정!$B$12),"",SUMIFS(매입원본!$AT$8:$AT$1007,매입원본!$AX$8:$AX$1007,INDEX($R$8:$R$207,$U155),매입원본!$BA$8:$BA$1007,"포함",매입원본!$AS$8:$AS$1007,"&gt;="&amp;EDATE(설정!$B$10,0),매입원본!$AS$8:$AS$1007,"&lt;="&amp;EOMONTH(설정!$B$10,0)))</f>
        <v/>
      </c>
      <c r="J155" s="33">
        <f>IF(OR($U155="",1&gt;=설정!$B$12),"",SUMIFS(매입원본!$AT$8:$AT$1007,매입원본!$AX$8:$AX$1007,INDEX($R$8:$R$207,$U155),매입원본!$BA$8:$BA$1007,"포함",매입원본!$AS$8:$AS$1007,"&gt;="&amp;EDATE(설정!$B$10,1),매입원본!$AS$8:$AS$1007,"&lt;="&amp;EOMONTH(설정!$B$10,1)))</f>
        <v/>
      </c>
      <c r="K155" s="33">
        <f>IF(OR($U155="",2&gt;=설정!$B$12),"",SUMIFS(매입원본!$AT$8:$AT$1007,매입원본!$AX$8:$AX$1007,INDEX($R$8:$R$207,$U155),매입원본!$BA$8:$BA$1007,"포함",매입원본!$AS$8:$AS$1007,"&gt;="&amp;EDATE(설정!$B$10,2),매입원본!$AS$8:$AS$1007,"&lt;="&amp;EOMONTH(설정!$B$10,2)))</f>
        <v/>
      </c>
      <c r="L155" s="33">
        <f>IF(OR($U155="",3&gt;=설정!$B$12),"",SUMIFS(매입원본!$AT$8:$AT$1007,매입원본!$AX$8:$AX$1007,INDEX($R$8:$R$207,$U155),매입원본!$BA$8:$BA$1007,"포함",매입원본!$AS$8:$AS$1007,"&gt;="&amp;EDATE(설정!$B$10,3),매입원본!$AS$8:$AS$1007,"&lt;="&amp;EOMONTH(설정!$B$10,3)))</f>
        <v/>
      </c>
      <c r="M155" s="33">
        <f>IF(OR($U155="",4&gt;=설정!$B$12),"",SUMIFS(매입원본!$AT$8:$AT$1007,매입원본!$AX$8:$AX$1007,INDEX($R$8:$R$207,$U155),매입원본!$BA$8:$BA$1007,"포함",매입원본!$AS$8:$AS$1007,"&gt;="&amp;EDATE(설정!$B$10,4),매입원본!$AS$8:$AS$1007,"&lt;="&amp;EOMONTH(설정!$B$10,4)))</f>
        <v/>
      </c>
      <c r="N155" s="33">
        <f>IF(OR($U155="",5&gt;=설정!$B$12),"",SUMIFS(매입원본!$AT$8:$AT$1007,매입원본!$AX$8:$AX$1007,INDEX($R$8:$R$207,$U155),매입원본!$BA$8:$BA$1007,"포함",매입원본!$AS$8:$AS$1007,"&gt;="&amp;EDATE(설정!$B$10,5),매입원본!$AS$8:$AS$1007,"&lt;="&amp;EOMONTH(설정!$B$10,5)))</f>
        <v/>
      </c>
      <c r="Q155" s="35" t="n">
        <v>148</v>
      </c>
      <c r="R155" s="35">
        <f>IFERROR(INDEX(매입원본!$AX$8:$AX$1007,MATCH($Q155,매입원본!$BD$8:$BD$1007,0)),"")</f>
        <v/>
      </c>
      <c r="S155" s="35">
        <f>IF($R155="","",SUMIFS(매입원본!$AT$8:$AT$1007,매입원본!$AX$8:$AX$1007,$R155,매입원본!$BA$8:$BA$1007,"포함"))</f>
        <v/>
      </c>
      <c r="T155" s="35">
        <f>IF($R155="","",$S155-$Q155/100000)</f>
        <v/>
      </c>
      <c r="U155" s="35">
        <f>IFERROR(MATCH(LARGE($T$8:$T$207,148),$T$8:$T$207,0),"")</f>
        <v/>
      </c>
    </row>
    <row r="156">
      <c r="A156" s="32">
        <f>IF($U156="","",149)</f>
        <v/>
      </c>
      <c r="B156" s="10">
        <f>IF($U156="","",IFERROR(INDEX(매입원본!$AZ$8:$AZ$1007,MATCH($U156,매입원본!$BD$8:$BD$1007,0)),""))</f>
        <v/>
      </c>
      <c r="C156" s="10">
        <f>IF($U156="","",IFERROR(INDEX(매입원본!$AY$8:$AY$1007,MATCH($U156,매입원본!$BD$8:$BD$1007,0)),""))</f>
        <v/>
      </c>
      <c r="D156" s="33">
        <f>IF($U156="","",COUNTIFS(매입원본!$AX$8:$AX$1007,INDEX($R$8:$R$207,$U156),매입원본!$BA$8:$BA$1007,"포함"))</f>
        <v/>
      </c>
      <c r="E156" s="33">
        <f>IF($U156="","",SUMIFS(매입원본!$AT$8:$AT$1007,매입원본!$AX$8:$AX$1007,INDEX($R$8:$R$207,$U156),매입원본!$BA$8:$BA$1007,"포함"))</f>
        <v/>
      </c>
      <c r="F156" s="33">
        <f>IF($U156="","",SUMIFS(매입원본!$AU$8:$AU$1007,매입원본!$AX$8:$AX$1007,INDEX($R$8:$R$207,$U156),매입원본!$BA$8:$BA$1007,"포함"))</f>
        <v/>
      </c>
      <c r="G156" s="33">
        <f>IF($U156="","",SUMIFS(매입원본!$AV$8:$AV$1007,매입원본!$AX$8:$AX$1007,INDEX($R$8:$R$207,$U156),매입원본!$BA$8:$BA$1007,"포함"))</f>
        <v/>
      </c>
      <c r="H156" s="34">
        <f>IF(OR($U156="",$E$7=0),"",E156/$E$7)</f>
        <v/>
      </c>
      <c r="I156" s="33">
        <f>IF(OR($U156="",0&gt;=설정!$B$12),"",SUMIFS(매입원본!$AT$8:$AT$1007,매입원본!$AX$8:$AX$1007,INDEX($R$8:$R$207,$U156),매입원본!$BA$8:$BA$1007,"포함",매입원본!$AS$8:$AS$1007,"&gt;="&amp;EDATE(설정!$B$10,0),매입원본!$AS$8:$AS$1007,"&lt;="&amp;EOMONTH(설정!$B$10,0)))</f>
        <v/>
      </c>
      <c r="J156" s="33">
        <f>IF(OR($U156="",1&gt;=설정!$B$12),"",SUMIFS(매입원본!$AT$8:$AT$1007,매입원본!$AX$8:$AX$1007,INDEX($R$8:$R$207,$U156),매입원본!$BA$8:$BA$1007,"포함",매입원본!$AS$8:$AS$1007,"&gt;="&amp;EDATE(설정!$B$10,1),매입원본!$AS$8:$AS$1007,"&lt;="&amp;EOMONTH(설정!$B$10,1)))</f>
        <v/>
      </c>
      <c r="K156" s="33">
        <f>IF(OR($U156="",2&gt;=설정!$B$12),"",SUMIFS(매입원본!$AT$8:$AT$1007,매입원본!$AX$8:$AX$1007,INDEX($R$8:$R$207,$U156),매입원본!$BA$8:$BA$1007,"포함",매입원본!$AS$8:$AS$1007,"&gt;="&amp;EDATE(설정!$B$10,2),매입원본!$AS$8:$AS$1007,"&lt;="&amp;EOMONTH(설정!$B$10,2)))</f>
        <v/>
      </c>
      <c r="L156" s="33">
        <f>IF(OR($U156="",3&gt;=설정!$B$12),"",SUMIFS(매입원본!$AT$8:$AT$1007,매입원본!$AX$8:$AX$1007,INDEX($R$8:$R$207,$U156),매입원본!$BA$8:$BA$1007,"포함",매입원본!$AS$8:$AS$1007,"&gt;="&amp;EDATE(설정!$B$10,3),매입원본!$AS$8:$AS$1007,"&lt;="&amp;EOMONTH(설정!$B$10,3)))</f>
        <v/>
      </c>
      <c r="M156" s="33">
        <f>IF(OR($U156="",4&gt;=설정!$B$12),"",SUMIFS(매입원본!$AT$8:$AT$1007,매입원본!$AX$8:$AX$1007,INDEX($R$8:$R$207,$U156),매입원본!$BA$8:$BA$1007,"포함",매입원본!$AS$8:$AS$1007,"&gt;="&amp;EDATE(설정!$B$10,4),매입원본!$AS$8:$AS$1007,"&lt;="&amp;EOMONTH(설정!$B$10,4)))</f>
        <v/>
      </c>
      <c r="N156" s="33">
        <f>IF(OR($U156="",5&gt;=설정!$B$12),"",SUMIFS(매입원본!$AT$8:$AT$1007,매입원본!$AX$8:$AX$1007,INDEX($R$8:$R$207,$U156),매입원본!$BA$8:$BA$1007,"포함",매입원본!$AS$8:$AS$1007,"&gt;="&amp;EDATE(설정!$B$10,5),매입원본!$AS$8:$AS$1007,"&lt;="&amp;EOMONTH(설정!$B$10,5)))</f>
        <v/>
      </c>
      <c r="Q156" s="35" t="n">
        <v>149</v>
      </c>
      <c r="R156" s="35">
        <f>IFERROR(INDEX(매입원본!$AX$8:$AX$1007,MATCH($Q156,매입원본!$BD$8:$BD$1007,0)),"")</f>
        <v/>
      </c>
      <c r="S156" s="35">
        <f>IF($R156="","",SUMIFS(매입원본!$AT$8:$AT$1007,매입원본!$AX$8:$AX$1007,$R156,매입원본!$BA$8:$BA$1007,"포함"))</f>
        <v/>
      </c>
      <c r="T156" s="35">
        <f>IF($R156="","",$S156-$Q156/100000)</f>
        <v/>
      </c>
      <c r="U156" s="35">
        <f>IFERROR(MATCH(LARGE($T$8:$T$207,149),$T$8:$T$207,0),"")</f>
        <v/>
      </c>
    </row>
    <row r="157">
      <c r="A157" s="32">
        <f>IF($U157="","",150)</f>
        <v/>
      </c>
      <c r="B157" s="10">
        <f>IF($U157="","",IFERROR(INDEX(매입원본!$AZ$8:$AZ$1007,MATCH($U157,매입원본!$BD$8:$BD$1007,0)),""))</f>
        <v/>
      </c>
      <c r="C157" s="10">
        <f>IF($U157="","",IFERROR(INDEX(매입원본!$AY$8:$AY$1007,MATCH($U157,매입원본!$BD$8:$BD$1007,0)),""))</f>
        <v/>
      </c>
      <c r="D157" s="33">
        <f>IF($U157="","",COUNTIFS(매입원본!$AX$8:$AX$1007,INDEX($R$8:$R$207,$U157),매입원본!$BA$8:$BA$1007,"포함"))</f>
        <v/>
      </c>
      <c r="E157" s="33">
        <f>IF($U157="","",SUMIFS(매입원본!$AT$8:$AT$1007,매입원본!$AX$8:$AX$1007,INDEX($R$8:$R$207,$U157),매입원본!$BA$8:$BA$1007,"포함"))</f>
        <v/>
      </c>
      <c r="F157" s="33">
        <f>IF($U157="","",SUMIFS(매입원본!$AU$8:$AU$1007,매입원본!$AX$8:$AX$1007,INDEX($R$8:$R$207,$U157),매입원본!$BA$8:$BA$1007,"포함"))</f>
        <v/>
      </c>
      <c r="G157" s="33">
        <f>IF($U157="","",SUMIFS(매입원본!$AV$8:$AV$1007,매입원본!$AX$8:$AX$1007,INDEX($R$8:$R$207,$U157),매입원본!$BA$8:$BA$1007,"포함"))</f>
        <v/>
      </c>
      <c r="H157" s="34">
        <f>IF(OR($U157="",$E$7=0),"",E157/$E$7)</f>
        <v/>
      </c>
      <c r="I157" s="33">
        <f>IF(OR($U157="",0&gt;=설정!$B$12),"",SUMIFS(매입원본!$AT$8:$AT$1007,매입원본!$AX$8:$AX$1007,INDEX($R$8:$R$207,$U157),매입원본!$BA$8:$BA$1007,"포함",매입원본!$AS$8:$AS$1007,"&gt;="&amp;EDATE(설정!$B$10,0),매입원본!$AS$8:$AS$1007,"&lt;="&amp;EOMONTH(설정!$B$10,0)))</f>
        <v/>
      </c>
      <c r="J157" s="33">
        <f>IF(OR($U157="",1&gt;=설정!$B$12),"",SUMIFS(매입원본!$AT$8:$AT$1007,매입원본!$AX$8:$AX$1007,INDEX($R$8:$R$207,$U157),매입원본!$BA$8:$BA$1007,"포함",매입원본!$AS$8:$AS$1007,"&gt;="&amp;EDATE(설정!$B$10,1),매입원본!$AS$8:$AS$1007,"&lt;="&amp;EOMONTH(설정!$B$10,1)))</f>
        <v/>
      </c>
      <c r="K157" s="33">
        <f>IF(OR($U157="",2&gt;=설정!$B$12),"",SUMIFS(매입원본!$AT$8:$AT$1007,매입원본!$AX$8:$AX$1007,INDEX($R$8:$R$207,$U157),매입원본!$BA$8:$BA$1007,"포함",매입원본!$AS$8:$AS$1007,"&gt;="&amp;EDATE(설정!$B$10,2),매입원본!$AS$8:$AS$1007,"&lt;="&amp;EOMONTH(설정!$B$10,2)))</f>
        <v/>
      </c>
      <c r="L157" s="33">
        <f>IF(OR($U157="",3&gt;=설정!$B$12),"",SUMIFS(매입원본!$AT$8:$AT$1007,매입원본!$AX$8:$AX$1007,INDEX($R$8:$R$207,$U157),매입원본!$BA$8:$BA$1007,"포함",매입원본!$AS$8:$AS$1007,"&gt;="&amp;EDATE(설정!$B$10,3),매입원본!$AS$8:$AS$1007,"&lt;="&amp;EOMONTH(설정!$B$10,3)))</f>
        <v/>
      </c>
      <c r="M157" s="33">
        <f>IF(OR($U157="",4&gt;=설정!$B$12),"",SUMIFS(매입원본!$AT$8:$AT$1007,매입원본!$AX$8:$AX$1007,INDEX($R$8:$R$207,$U157),매입원본!$BA$8:$BA$1007,"포함",매입원본!$AS$8:$AS$1007,"&gt;="&amp;EDATE(설정!$B$10,4),매입원본!$AS$8:$AS$1007,"&lt;="&amp;EOMONTH(설정!$B$10,4)))</f>
        <v/>
      </c>
      <c r="N157" s="33">
        <f>IF(OR($U157="",5&gt;=설정!$B$12),"",SUMIFS(매입원본!$AT$8:$AT$1007,매입원본!$AX$8:$AX$1007,INDEX($R$8:$R$207,$U157),매입원본!$BA$8:$BA$1007,"포함",매입원본!$AS$8:$AS$1007,"&gt;="&amp;EDATE(설정!$B$10,5),매입원본!$AS$8:$AS$1007,"&lt;="&amp;EOMONTH(설정!$B$10,5)))</f>
        <v/>
      </c>
      <c r="Q157" s="35" t="n">
        <v>150</v>
      </c>
      <c r="R157" s="35">
        <f>IFERROR(INDEX(매입원본!$AX$8:$AX$1007,MATCH($Q157,매입원본!$BD$8:$BD$1007,0)),"")</f>
        <v/>
      </c>
      <c r="S157" s="35">
        <f>IF($R157="","",SUMIFS(매입원본!$AT$8:$AT$1007,매입원본!$AX$8:$AX$1007,$R157,매입원본!$BA$8:$BA$1007,"포함"))</f>
        <v/>
      </c>
      <c r="T157" s="35">
        <f>IF($R157="","",$S157-$Q157/100000)</f>
        <v/>
      </c>
      <c r="U157" s="35">
        <f>IFERROR(MATCH(LARGE($T$8:$T$207,150),$T$8:$T$207,0),"")</f>
        <v/>
      </c>
    </row>
    <row r="158">
      <c r="A158" s="32">
        <f>IF($U158="","",151)</f>
        <v/>
      </c>
      <c r="B158" s="10">
        <f>IF($U158="","",IFERROR(INDEX(매입원본!$AZ$8:$AZ$1007,MATCH($U158,매입원본!$BD$8:$BD$1007,0)),""))</f>
        <v/>
      </c>
      <c r="C158" s="10">
        <f>IF($U158="","",IFERROR(INDEX(매입원본!$AY$8:$AY$1007,MATCH($U158,매입원본!$BD$8:$BD$1007,0)),""))</f>
        <v/>
      </c>
      <c r="D158" s="33">
        <f>IF($U158="","",COUNTIFS(매입원본!$AX$8:$AX$1007,INDEX($R$8:$R$207,$U158),매입원본!$BA$8:$BA$1007,"포함"))</f>
        <v/>
      </c>
      <c r="E158" s="33">
        <f>IF($U158="","",SUMIFS(매입원본!$AT$8:$AT$1007,매입원본!$AX$8:$AX$1007,INDEX($R$8:$R$207,$U158),매입원본!$BA$8:$BA$1007,"포함"))</f>
        <v/>
      </c>
      <c r="F158" s="33">
        <f>IF($U158="","",SUMIFS(매입원본!$AU$8:$AU$1007,매입원본!$AX$8:$AX$1007,INDEX($R$8:$R$207,$U158),매입원본!$BA$8:$BA$1007,"포함"))</f>
        <v/>
      </c>
      <c r="G158" s="33">
        <f>IF($U158="","",SUMIFS(매입원본!$AV$8:$AV$1007,매입원본!$AX$8:$AX$1007,INDEX($R$8:$R$207,$U158),매입원본!$BA$8:$BA$1007,"포함"))</f>
        <v/>
      </c>
      <c r="H158" s="34">
        <f>IF(OR($U158="",$E$7=0),"",E158/$E$7)</f>
        <v/>
      </c>
      <c r="I158" s="33">
        <f>IF(OR($U158="",0&gt;=설정!$B$12),"",SUMIFS(매입원본!$AT$8:$AT$1007,매입원본!$AX$8:$AX$1007,INDEX($R$8:$R$207,$U158),매입원본!$BA$8:$BA$1007,"포함",매입원본!$AS$8:$AS$1007,"&gt;="&amp;EDATE(설정!$B$10,0),매입원본!$AS$8:$AS$1007,"&lt;="&amp;EOMONTH(설정!$B$10,0)))</f>
        <v/>
      </c>
      <c r="J158" s="33">
        <f>IF(OR($U158="",1&gt;=설정!$B$12),"",SUMIFS(매입원본!$AT$8:$AT$1007,매입원본!$AX$8:$AX$1007,INDEX($R$8:$R$207,$U158),매입원본!$BA$8:$BA$1007,"포함",매입원본!$AS$8:$AS$1007,"&gt;="&amp;EDATE(설정!$B$10,1),매입원본!$AS$8:$AS$1007,"&lt;="&amp;EOMONTH(설정!$B$10,1)))</f>
        <v/>
      </c>
      <c r="K158" s="33">
        <f>IF(OR($U158="",2&gt;=설정!$B$12),"",SUMIFS(매입원본!$AT$8:$AT$1007,매입원본!$AX$8:$AX$1007,INDEX($R$8:$R$207,$U158),매입원본!$BA$8:$BA$1007,"포함",매입원본!$AS$8:$AS$1007,"&gt;="&amp;EDATE(설정!$B$10,2),매입원본!$AS$8:$AS$1007,"&lt;="&amp;EOMONTH(설정!$B$10,2)))</f>
        <v/>
      </c>
      <c r="L158" s="33">
        <f>IF(OR($U158="",3&gt;=설정!$B$12),"",SUMIFS(매입원본!$AT$8:$AT$1007,매입원본!$AX$8:$AX$1007,INDEX($R$8:$R$207,$U158),매입원본!$BA$8:$BA$1007,"포함",매입원본!$AS$8:$AS$1007,"&gt;="&amp;EDATE(설정!$B$10,3),매입원본!$AS$8:$AS$1007,"&lt;="&amp;EOMONTH(설정!$B$10,3)))</f>
        <v/>
      </c>
      <c r="M158" s="33">
        <f>IF(OR($U158="",4&gt;=설정!$B$12),"",SUMIFS(매입원본!$AT$8:$AT$1007,매입원본!$AX$8:$AX$1007,INDEX($R$8:$R$207,$U158),매입원본!$BA$8:$BA$1007,"포함",매입원본!$AS$8:$AS$1007,"&gt;="&amp;EDATE(설정!$B$10,4),매입원본!$AS$8:$AS$1007,"&lt;="&amp;EOMONTH(설정!$B$10,4)))</f>
        <v/>
      </c>
      <c r="N158" s="33">
        <f>IF(OR($U158="",5&gt;=설정!$B$12),"",SUMIFS(매입원본!$AT$8:$AT$1007,매입원본!$AX$8:$AX$1007,INDEX($R$8:$R$207,$U158),매입원본!$BA$8:$BA$1007,"포함",매입원본!$AS$8:$AS$1007,"&gt;="&amp;EDATE(설정!$B$10,5),매입원본!$AS$8:$AS$1007,"&lt;="&amp;EOMONTH(설정!$B$10,5)))</f>
        <v/>
      </c>
      <c r="Q158" s="35" t="n">
        <v>151</v>
      </c>
      <c r="R158" s="35">
        <f>IFERROR(INDEX(매입원본!$AX$8:$AX$1007,MATCH($Q158,매입원본!$BD$8:$BD$1007,0)),"")</f>
        <v/>
      </c>
      <c r="S158" s="35">
        <f>IF($R158="","",SUMIFS(매입원본!$AT$8:$AT$1007,매입원본!$AX$8:$AX$1007,$R158,매입원본!$BA$8:$BA$1007,"포함"))</f>
        <v/>
      </c>
      <c r="T158" s="35">
        <f>IF($R158="","",$S158-$Q158/100000)</f>
        <v/>
      </c>
      <c r="U158" s="35">
        <f>IFERROR(MATCH(LARGE($T$8:$T$207,151),$T$8:$T$207,0),"")</f>
        <v/>
      </c>
    </row>
    <row r="159">
      <c r="A159" s="32">
        <f>IF($U159="","",152)</f>
        <v/>
      </c>
      <c r="B159" s="10">
        <f>IF($U159="","",IFERROR(INDEX(매입원본!$AZ$8:$AZ$1007,MATCH($U159,매입원본!$BD$8:$BD$1007,0)),""))</f>
        <v/>
      </c>
      <c r="C159" s="10">
        <f>IF($U159="","",IFERROR(INDEX(매입원본!$AY$8:$AY$1007,MATCH($U159,매입원본!$BD$8:$BD$1007,0)),""))</f>
        <v/>
      </c>
      <c r="D159" s="33">
        <f>IF($U159="","",COUNTIFS(매입원본!$AX$8:$AX$1007,INDEX($R$8:$R$207,$U159),매입원본!$BA$8:$BA$1007,"포함"))</f>
        <v/>
      </c>
      <c r="E159" s="33">
        <f>IF($U159="","",SUMIFS(매입원본!$AT$8:$AT$1007,매입원본!$AX$8:$AX$1007,INDEX($R$8:$R$207,$U159),매입원본!$BA$8:$BA$1007,"포함"))</f>
        <v/>
      </c>
      <c r="F159" s="33">
        <f>IF($U159="","",SUMIFS(매입원본!$AU$8:$AU$1007,매입원본!$AX$8:$AX$1007,INDEX($R$8:$R$207,$U159),매입원본!$BA$8:$BA$1007,"포함"))</f>
        <v/>
      </c>
      <c r="G159" s="33">
        <f>IF($U159="","",SUMIFS(매입원본!$AV$8:$AV$1007,매입원본!$AX$8:$AX$1007,INDEX($R$8:$R$207,$U159),매입원본!$BA$8:$BA$1007,"포함"))</f>
        <v/>
      </c>
      <c r="H159" s="34">
        <f>IF(OR($U159="",$E$7=0),"",E159/$E$7)</f>
        <v/>
      </c>
      <c r="I159" s="33">
        <f>IF(OR($U159="",0&gt;=설정!$B$12),"",SUMIFS(매입원본!$AT$8:$AT$1007,매입원본!$AX$8:$AX$1007,INDEX($R$8:$R$207,$U159),매입원본!$BA$8:$BA$1007,"포함",매입원본!$AS$8:$AS$1007,"&gt;="&amp;EDATE(설정!$B$10,0),매입원본!$AS$8:$AS$1007,"&lt;="&amp;EOMONTH(설정!$B$10,0)))</f>
        <v/>
      </c>
      <c r="J159" s="33">
        <f>IF(OR($U159="",1&gt;=설정!$B$12),"",SUMIFS(매입원본!$AT$8:$AT$1007,매입원본!$AX$8:$AX$1007,INDEX($R$8:$R$207,$U159),매입원본!$BA$8:$BA$1007,"포함",매입원본!$AS$8:$AS$1007,"&gt;="&amp;EDATE(설정!$B$10,1),매입원본!$AS$8:$AS$1007,"&lt;="&amp;EOMONTH(설정!$B$10,1)))</f>
        <v/>
      </c>
      <c r="K159" s="33">
        <f>IF(OR($U159="",2&gt;=설정!$B$12),"",SUMIFS(매입원본!$AT$8:$AT$1007,매입원본!$AX$8:$AX$1007,INDEX($R$8:$R$207,$U159),매입원본!$BA$8:$BA$1007,"포함",매입원본!$AS$8:$AS$1007,"&gt;="&amp;EDATE(설정!$B$10,2),매입원본!$AS$8:$AS$1007,"&lt;="&amp;EOMONTH(설정!$B$10,2)))</f>
        <v/>
      </c>
      <c r="L159" s="33">
        <f>IF(OR($U159="",3&gt;=설정!$B$12),"",SUMIFS(매입원본!$AT$8:$AT$1007,매입원본!$AX$8:$AX$1007,INDEX($R$8:$R$207,$U159),매입원본!$BA$8:$BA$1007,"포함",매입원본!$AS$8:$AS$1007,"&gt;="&amp;EDATE(설정!$B$10,3),매입원본!$AS$8:$AS$1007,"&lt;="&amp;EOMONTH(설정!$B$10,3)))</f>
        <v/>
      </c>
      <c r="M159" s="33">
        <f>IF(OR($U159="",4&gt;=설정!$B$12),"",SUMIFS(매입원본!$AT$8:$AT$1007,매입원본!$AX$8:$AX$1007,INDEX($R$8:$R$207,$U159),매입원본!$BA$8:$BA$1007,"포함",매입원본!$AS$8:$AS$1007,"&gt;="&amp;EDATE(설정!$B$10,4),매입원본!$AS$8:$AS$1007,"&lt;="&amp;EOMONTH(설정!$B$10,4)))</f>
        <v/>
      </c>
      <c r="N159" s="33">
        <f>IF(OR($U159="",5&gt;=설정!$B$12),"",SUMIFS(매입원본!$AT$8:$AT$1007,매입원본!$AX$8:$AX$1007,INDEX($R$8:$R$207,$U159),매입원본!$BA$8:$BA$1007,"포함",매입원본!$AS$8:$AS$1007,"&gt;="&amp;EDATE(설정!$B$10,5),매입원본!$AS$8:$AS$1007,"&lt;="&amp;EOMONTH(설정!$B$10,5)))</f>
        <v/>
      </c>
      <c r="Q159" s="35" t="n">
        <v>152</v>
      </c>
      <c r="R159" s="35">
        <f>IFERROR(INDEX(매입원본!$AX$8:$AX$1007,MATCH($Q159,매입원본!$BD$8:$BD$1007,0)),"")</f>
        <v/>
      </c>
      <c r="S159" s="35">
        <f>IF($R159="","",SUMIFS(매입원본!$AT$8:$AT$1007,매입원본!$AX$8:$AX$1007,$R159,매입원본!$BA$8:$BA$1007,"포함"))</f>
        <v/>
      </c>
      <c r="T159" s="35">
        <f>IF($R159="","",$S159-$Q159/100000)</f>
        <v/>
      </c>
      <c r="U159" s="35">
        <f>IFERROR(MATCH(LARGE($T$8:$T$207,152),$T$8:$T$207,0),"")</f>
        <v/>
      </c>
    </row>
    <row r="160">
      <c r="A160" s="32">
        <f>IF($U160="","",153)</f>
        <v/>
      </c>
      <c r="B160" s="10">
        <f>IF($U160="","",IFERROR(INDEX(매입원본!$AZ$8:$AZ$1007,MATCH($U160,매입원본!$BD$8:$BD$1007,0)),""))</f>
        <v/>
      </c>
      <c r="C160" s="10">
        <f>IF($U160="","",IFERROR(INDEX(매입원본!$AY$8:$AY$1007,MATCH($U160,매입원본!$BD$8:$BD$1007,0)),""))</f>
        <v/>
      </c>
      <c r="D160" s="33">
        <f>IF($U160="","",COUNTIFS(매입원본!$AX$8:$AX$1007,INDEX($R$8:$R$207,$U160),매입원본!$BA$8:$BA$1007,"포함"))</f>
        <v/>
      </c>
      <c r="E160" s="33">
        <f>IF($U160="","",SUMIFS(매입원본!$AT$8:$AT$1007,매입원본!$AX$8:$AX$1007,INDEX($R$8:$R$207,$U160),매입원본!$BA$8:$BA$1007,"포함"))</f>
        <v/>
      </c>
      <c r="F160" s="33">
        <f>IF($U160="","",SUMIFS(매입원본!$AU$8:$AU$1007,매입원본!$AX$8:$AX$1007,INDEX($R$8:$R$207,$U160),매입원본!$BA$8:$BA$1007,"포함"))</f>
        <v/>
      </c>
      <c r="G160" s="33">
        <f>IF($U160="","",SUMIFS(매입원본!$AV$8:$AV$1007,매입원본!$AX$8:$AX$1007,INDEX($R$8:$R$207,$U160),매입원본!$BA$8:$BA$1007,"포함"))</f>
        <v/>
      </c>
      <c r="H160" s="34">
        <f>IF(OR($U160="",$E$7=0),"",E160/$E$7)</f>
        <v/>
      </c>
      <c r="I160" s="33">
        <f>IF(OR($U160="",0&gt;=설정!$B$12),"",SUMIFS(매입원본!$AT$8:$AT$1007,매입원본!$AX$8:$AX$1007,INDEX($R$8:$R$207,$U160),매입원본!$BA$8:$BA$1007,"포함",매입원본!$AS$8:$AS$1007,"&gt;="&amp;EDATE(설정!$B$10,0),매입원본!$AS$8:$AS$1007,"&lt;="&amp;EOMONTH(설정!$B$10,0)))</f>
        <v/>
      </c>
      <c r="J160" s="33">
        <f>IF(OR($U160="",1&gt;=설정!$B$12),"",SUMIFS(매입원본!$AT$8:$AT$1007,매입원본!$AX$8:$AX$1007,INDEX($R$8:$R$207,$U160),매입원본!$BA$8:$BA$1007,"포함",매입원본!$AS$8:$AS$1007,"&gt;="&amp;EDATE(설정!$B$10,1),매입원본!$AS$8:$AS$1007,"&lt;="&amp;EOMONTH(설정!$B$10,1)))</f>
        <v/>
      </c>
      <c r="K160" s="33">
        <f>IF(OR($U160="",2&gt;=설정!$B$12),"",SUMIFS(매입원본!$AT$8:$AT$1007,매입원본!$AX$8:$AX$1007,INDEX($R$8:$R$207,$U160),매입원본!$BA$8:$BA$1007,"포함",매입원본!$AS$8:$AS$1007,"&gt;="&amp;EDATE(설정!$B$10,2),매입원본!$AS$8:$AS$1007,"&lt;="&amp;EOMONTH(설정!$B$10,2)))</f>
        <v/>
      </c>
      <c r="L160" s="33">
        <f>IF(OR($U160="",3&gt;=설정!$B$12),"",SUMIFS(매입원본!$AT$8:$AT$1007,매입원본!$AX$8:$AX$1007,INDEX($R$8:$R$207,$U160),매입원본!$BA$8:$BA$1007,"포함",매입원본!$AS$8:$AS$1007,"&gt;="&amp;EDATE(설정!$B$10,3),매입원본!$AS$8:$AS$1007,"&lt;="&amp;EOMONTH(설정!$B$10,3)))</f>
        <v/>
      </c>
      <c r="M160" s="33">
        <f>IF(OR($U160="",4&gt;=설정!$B$12),"",SUMIFS(매입원본!$AT$8:$AT$1007,매입원본!$AX$8:$AX$1007,INDEX($R$8:$R$207,$U160),매입원본!$BA$8:$BA$1007,"포함",매입원본!$AS$8:$AS$1007,"&gt;="&amp;EDATE(설정!$B$10,4),매입원본!$AS$8:$AS$1007,"&lt;="&amp;EOMONTH(설정!$B$10,4)))</f>
        <v/>
      </c>
      <c r="N160" s="33">
        <f>IF(OR($U160="",5&gt;=설정!$B$12),"",SUMIFS(매입원본!$AT$8:$AT$1007,매입원본!$AX$8:$AX$1007,INDEX($R$8:$R$207,$U160),매입원본!$BA$8:$BA$1007,"포함",매입원본!$AS$8:$AS$1007,"&gt;="&amp;EDATE(설정!$B$10,5),매입원본!$AS$8:$AS$1007,"&lt;="&amp;EOMONTH(설정!$B$10,5)))</f>
        <v/>
      </c>
      <c r="Q160" s="35" t="n">
        <v>153</v>
      </c>
      <c r="R160" s="35">
        <f>IFERROR(INDEX(매입원본!$AX$8:$AX$1007,MATCH($Q160,매입원본!$BD$8:$BD$1007,0)),"")</f>
        <v/>
      </c>
      <c r="S160" s="35">
        <f>IF($R160="","",SUMIFS(매입원본!$AT$8:$AT$1007,매입원본!$AX$8:$AX$1007,$R160,매입원본!$BA$8:$BA$1007,"포함"))</f>
        <v/>
      </c>
      <c r="T160" s="35">
        <f>IF($R160="","",$S160-$Q160/100000)</f>
        <v/>
      </c>
      <c r="U160" s="35">
        <f>IFERROR(MATCH(LARGE($T$8:$T$207,153),$T$8:$T$207,0),"")</f>
        <v/>
      </c>
    </row>
    <row r="161">
      <c r="A161" s="32">
        <f>IF($U161="","",154)</f>
        <v/>
      </c>
      <c r="B161" s="10">
        <f>IF($U161="","",IFERROR(INDEX(매입원본!$AZ$8:$AZ$1007,MATCH($U161,매입원본!$BD$8:$BD$1007,0)),""))</f>
        <v/>
      </c>
      <c r="C161" s="10">
        <f>IF($U161="","",IFERROR(INDEX(매입원본!$AY$8:$AY$1007,MATCH($U161,매입원본!$BD$8:$BD$1007,0)),""))</f>
        <v/>
      </c>
      <c r="D161" s="33">
        <f>IF($U161="","",COUNTIFS(매입원본!$AX$8:$AX$1007,INDEX($R$8:$R$207,$U161),매입원본!$BA$8:$BA$1007,"포함"))</f>
        <v/>
      </c>
      <c r="E161" s="33">
        <f>IF($U161="","",SUMIFS(매입원본!$AT$8:$AT$1007,매입원본!$AX$8:$AX$1007,INDEX($R$8:$R$207,$U161),매입원본!$BA$8:$BA$1007,"포함"))</f>
        <v/>
      </c>
      <c r="F161" s="33">
        <f>IF($U161="","",SUMIFS(매입원본!$AU$8:$AU$1007,매입원본!$AX$8:$AX$1007,INDEX($R$8:$R$207,$U161),매입원본!$BA$8:$BA$1007,"포함"))</f>
        <v/>
      </c>
      <c r="G161" s="33">
        <f>IF($U161="","",SUMIFS(매입원본!$AV$8:$AV$1007,매입원본!$AX$8:$AX$1007,INDEX($R$8:$R$207,$U161),매입원본!$BA$8:$BA$1007,"포함"))</f>
        <v/>
      </c>
      <c r="H161" s="34">
        <f>IF(OR($U161="",$E$7=0),"",E161/$E$7)</f>
        <v/>
      </c>
      <c r="I161" s="33">
        <f>IF(OR($U161="",0&gt;=설정!$B$12),"",SUMIFS(매입원본!$AT$8:$AT$1007,매입원본!$AX$8:$AX$1007,INDEX($R$8:$R$207,$U161),매입원본!$BA$8:$BA$1007,"포함",매입원본!$AS$8:$AS$1007,"&gt;="&amp;EDATE(설정!$B$10,0),매입원본!$AS$8:$AS$1007,"&lt;="&amp;EOMONTH(설정!$B$10,0)))</f>
        <v/>
      </c>
      <c r="J161" s="33">
        <f>IF(OR($U161="",1&gt;=설정!$B$12),"",SUMIFS(매입원본!$AT$8:$AT$1007,매입원본!$AX$8:$AX$1007,INDEX($R$8:$R$207,$U161),매입원본!$BA$8:$BA$1007,"포함",매입원본!$AS$8:$AS$1007,"&gt;="&amp;EDATE(설정!$B$10,1),매입원본!$AS$8:$AS$1007,"&lt;="&amp;EOMONTH(설정!$B$10,1)))</f>
        <v/>
      </c>
      <c r="K161" s="33">
        <f>IF(OR($U161="",2&gt;=설정!$B$12),"",SUMIFS(매입원본!$AT$8:$AT$1007,매입원본!$AX$8:$AX$1007,INDEX($R$8:$R$207,$U161),매입원본!$BA$8:$BA$1007,"포함",매입원본!$AS$8:$AS$1007,"&gt;="&amp;EDATE(설정!$B$10,2),매입원본!$AS$8:$AS$1007,"&lt;="&amp;EOMONTH(설정!$B$10,2)))</f>
        <v/>
      </c>
      <c r="L161" s="33">
        <f>IF(OR($U161="",3&gt;=설정!$B$12),"",SUMIFS(매입원본!$AT$8:$AT$1007,매입원본!$AX$8:$AX$1007,INDEX($R$8:$R$207,$U161),매입원본!$BA$8:$BA$1007,"포함",매입원본!$AS$8:$AS$1007,"&gt;="&amp;EDATE(설정!$B$10,3),매입원본!$AS$8:$AS$1007,"&lt;="&amp;EOMONTH(설정!$B$10,3)))</f>
        <v/>
      </c>
      <c r="M161" s="33">
        <f>IF(OR($U161="",4&gt;=설정!$B$12),"",SUMIFS(매입원본!$AT$8:$AT$1007,매입원본!$AX$8:$AX$1007,INDEX($R$8:$R$207,$U161),매입원본!$BA$8:$BA$1007,"포함",매입원본!$AS$8:$AS$1007,"&gt;="&amp;EDATE(설정!$B$10,4),매입원본!$AS$8:$AS$1007,"&lt;="&amp;EOMONTH(설정!$B$10,4)))</f>
        <v/>
      </c>
      <c r="N161" s="33">
        <f>IF(OR($U161="",5&gt;=설정!$B$12),"",SUMIFS(매입원본!$AT$8:$AT$1007,매입원본!$AX$8:$AX$1007,INDEX($R$8:$R$207,$U161),매입원본!$BA$8:$BA$1007,"포함",매입원본!$AS$8:$AS$1007,"&gt;="&amp;EDATE(설정!$B$10,5),매입원본!$AS$8:$AS$1007,"&lt;="&amp;EOMONTH(설정!$B$10,5)))</f>
        <v/>
      </c>
      <c r="Q161" s="35" t="n">
        <v>154</v>
      </c>
      <c r="R161" s="35">
        <f>IFERROR(INDEX(매입원본!$AX$8:$AX$1007,MATCH($Q161,매입원본!$BD$8:$BD$1007,0)),"")</f>
        <v/>
      </c>
      <c r="S161" s="35">
        <f>IF($R161="","",SUMIFS(매입원본!$AT$8:$AT$1007,매입원본!$AX$8:$AX$1007,$R161,매입원본!$BA$8:$BA$1007,"포함"))</f>
        <v/>
      </c>
      <c r="T161" s="35">
        <f>IF($R161="","",$S161-$Q161/100000)</f>
        <v/>
      </c>
      <c r="U161" s="35">
        <f>IFERROR(MATCH(LARGE($T$8:$T$207,154),$T$8:$T$207,0),"")</f>
        <v/>
      </c>
    </row>
    <row r="162">
      <c r="A162" s="32">
        <f>IF($U162="","",155)</f>
        <v/>
      </c>
      <c r="B162" s="10">
        <f>IF($U162="","",IFERROR(INDEX(매입원본!$AZ$8:$AZ$1007,MATCH($U162,매입원본!$BD$8:$BD$1007,0)),""))</f>
        <v/>
      </c>
      <c r="C162" s="10">
        <f>IF($U162="","",IFERROR(INDEX(매입원본!$AY$8:$AY$1007,MATCH($U162,매입원본!$BD$8:$BD$1007,0)),""))</f>
        <v/>
      </c>
      <c r="D162" s="33">
        <f>IF($U162="","",COUNTIFS(매입원본!$AX$8:$AX$1007,INDEX($R$8:$R$207,$U162),매입원본!$BA$8:$BA$1007,"포함"))</f>
        <v/>
      </c>
      <c r="E162" s="33">
        <f>IF($U162="","",SUMIFS(매입원본!$AT$8:$AT$1007,매입원본!$AX$8:$AX$1007,INDEX($R$8:$R$207,$U162),매입원본!$BA$8:$BA$1007,"포함"))</f>
        <v/>
      </c>
      <c r="F162" s="33">
        <f>IF($U162="","",SUMIFS(매입원본!$AU$8:$AU$1007,매입원본!$AX$8:$AX$1007,INDEX($R$8:$R$207,$U162),매입원본!$BA$8:$BA$1007,"포함"))</f>
        <v/>
      </c>
      <c r="G162" s="33">
        <f>IF($U162="","",SUMIFS(매입원본!$AV$8:$AV$1007,매입원본!$AX$8:$AX$1007,INDEX($R$8:$R$207,$U162),매입원본!$BA$8:$BA$1007,"포함"))</f>
        <v/>
      </c>
      <c r="H162" s="34">
        <f>IF(OR($U162="",$E$7=0),"",E162/$E$7)</f>
        <v/>
      </c>
      <c r="I162" s="33">
        <f>IF(OR($U162="",0&gt;=설정!$B$12),"",SUMIFS(매입원본!$AT$8:$AT$1007,매입원본!$AX$8:$AX$1007,INDEX($R$8:$R$207,$U162),매입원본!$BA$8:$BA$1007,"포함",매입원본!$AS$8:$AS$1007,"&gt;="&amp;EDATE(설정!$B$10,0),매입원본!$AS$8:$AS$1007,"&lt;="&amp;EOMONTH(설정!$B$10,0)))</f>
        <v/>
      </c>
      <c r="J162" s="33">
        <f>IF(OR($U162="",1&gt;=설정!$B$12),"",SUMIFS(매입원본!$AT$8:$AT$1007,매입원본!$AX$8:$AX$1007,INDEX($R$8:$R$207,$U162),매입원본!$BA$8:$BA$1007,"포함",매입원본!$AS$8:$AS$1007,"&gt;="&amp;EDATE(설정!$B$10,1),매입원본!$AS$8:$AS$1007,"&lt;="&amp;EOMONTH(설정!$B$10,1)))</f>
        <v/>
      </c>
      <c r="K162" s="33">
        <f>IF(OR($U162="",2&gt;=설정!$B$12),"",SUMIFS(매입원본!$AT$8:$AT$1007,매입원본!$AX$8:$AX$1007,INDEX($R$8:$R$207,$U162),매입원본!$BA$8:$BA$1007,"포함",매입원본!$AS$8:$AS$1007,"&gt;="&amp;EDATE(설정!$B$10,2),매입원본!$AS$8:$AS$1007,"&lt;="&amp;EOMONTH(설정!$B$10,2)))</f>
        <v/>
      </c>
      <c r="L162" s="33">
        <f>IF(OR($U162="",3&gt;=설정!$B$12),"",SUMIFS(매입원본!$AT$8:$AT$1007,매입원본!$AX$8:$AX$1007,INDEX($R$8:$R$207,$U162),매입원본!$BA$8:$BA$1007,"포함",매입원본!$AS$8:$AS$1007,"&gt;="&amp;EDATE(설정!$B$10,3),매입원본!$AS$8:$AS$1007,"&lt;="&amp;EOMONTH(설정!$B$10,3)))</f>
        <v/>
      </c>
      <c r="M162" s="33">
        <f>IF(OR($U162="",4&gt;=설정!$B$12),"",SUMIFS(매입원본!$AT$8:$AT$1007,매입원본!$AX$8:$AX$1007,INDEX($R$8:$R$207,$U162),매입원본!$BA$8:$BA$1007,"포함",매입원본!$AS$8:$AS$1007,"&gt;="&amp;EDATE(설정!$B$10,4),매입원본!$AS$8:$AS$1007,"&lt;="&amp;EOMONTH(설정!$B$10,4)))</f>
        <v/>
      </c>
      <c r="N162" s="33">
        <f>IF(OR($U162="",5&gt;=설정!$B$12),"",SUMIFS(매입원본!$AT$8:$AT$1007,매입원본!$AX$8:$AX$1007,INDEX($R$8:$R$207,$U162),매입원본!$BA$8:$BA$1007,"포함",매입원본!$AS$8:$AS$1007,"&gt;="&amp;EDATE(설정!$B$10,5),매입원본!$AS$8:$AS$1007,"&lt;="&amp;EOMONTH(설정!$B$10,5)))</f>
        <v/>
      </c>
      <c r="Q162" s="35" t="n">
        <v>155</v>
      </c>
      <c r="R162" s="35">
        <f>IFERROR(INDEX(매입원본!$AX$8:$AX$1007,MATCH($Q162,매입원본!$BD$8:$BD$1007,0)),"")</f>
        <v/>
      </c>
      <c r="S162" s="35">
        <f>IF($R162="","",SUMIFS(매입원본!$AT$8:$AT$1007,매입원본!$AX$8:$AX$1007,$R162,매입원본!$BA$8:$BA$1007,"포함"))</f>
        <v/>
      </c>
      <c r="T162" s="35">
        <f>IF($R162="","",$S162-$Q162/100000)</f>
        <v/>
      </c>
      <c r="U162" s="35">
        <f>IFERROR(MATCH(LARGE($T$8:$T$207,155),$T$8:$T$207,0),"")</f>
        <v/>
      </c>
    </row>
    <row r="163">
      <c r="A163" s="32">
        <f>IF($U163="","",156)</f>
        <v/>
      </c>
      <c r="B163" s="10">
        <f>IF($U163="","",IFERROR(INDEX(매입원본!$AZ$8:$AZ$1007,MATCH($U163,매입원본!$BD$8:$BD$1007,0)),""))</f>
        <v/>
      </c>
      <c r="C163" s="10">
        <f>IF($U163="","",IFERROR(INDEX(매입원본!$AY$8:$AY$1007,MATCH($U163,매입원본!$BD$8:$BD$1007,0)),""))</f>
        <v/>
      </c>
      <c r="D163" s="33">
        <f>IF($U163="","",COUNTIFS(매입원본!$AX$8:$AX$1007,INDEX($R$8:$R$207,$U163),매입원본!$BA$8:$BA$1007,"포함"))</f>
        <v/>
      </c>
      <c r="E163" s="33">
        <f>IF($U163="","",SUMIFS(매입원본!$AT$8:$AT$1007,매입원본!$AX$8:$AX$1007,INDEX($R$8:$R$207,$U163),매입원본!$BA$8:$BA$1007,"포함"))</f>
        <v/>
      </c>
      <c r="F163" s="33">
        <f>IF($U163="","",SUMIFS(매입원본!$AU$8:$AU$1007,매입원본!$AX$8:$AX$1007,INDEX($R$8:$R$207,$U163),매입원본!$BA$8:$BA$1007,"포함"))</f>
        <v/>
      </c>
      <c r="G163" s="33">
        <f>IF($U163="","",SUMIFS(매입원본!$AV$8:$AV$1007,매입원본!$AX$8:$AX$1007,INDEX($R$8:$R$207,$U163),매입원본!$BA$8:$BA$1007,"포함"))</f>
        <v/>
      </c>
      <c r="H163" s="34">
        <f>IF(OR($U163="",$E$7=0),"",E163/$E$7)</f>
        <v/>
      </c>
      <c r="I163" s="33">
        <f>IF(OR($U163="",0&gt;=설정!$B$12),"",SUMIFS(매입원본!$AT$8:$AT$1007,매입원본!$AX$8:$AX$1007,INDEX($R$8:$R$207,$U163),매입원본!$BA$8:$BA$1007,"포함",매입원본!$AS$8:$AS$1007,"&gt;="&amp;EDATE(설정!$B$10,0),매입원본!$AS$8:$AS$1007,"&lt;="&amp;EOMONTH(설정!$B$10,0)))</f>
        <v/>
      </c>
      <c r="J163" s="33">
        <f>IF(OR($U163="",1&gt;=설정!$B$12),"",SUMIFS(매입원본!$AT$8:$AT$1007,매입원본!$AX$8:$AX$1007,INDEX($R$8:$R$207,$U163),매입원본!$BA$8:$BA$1007,"포함",매입원본!$AS$8:$AS$1007,"&gt;="&amp;EDATE(설정!$B$10,1),매입원본!$AS$8:$AS$1007,"&lt;="&amp;EOMONTH(설정!$B$10,1)))</f>
        <v/>
      </c>
      <c r="K163" s="33">
        <f>IF(OR($U163="",2&gt;=설정!$B$12),"",SUMIFS(매입원본!$AT$8:$AT$1007,매입원본!$AX$8:$AX$1007,INDEX($R$8:$R$207,$U163),매입원본!$BA$8:$BA$1007,"포함",매입원본!$AS$8:$AS$1007,"&gt;="&amp;EDATE(설정!$B$10,2),매입원본!$AS$8:$AS$1007,"&lt;="&amp;EOMONTH(설정!$B$10,2)))</f>
        <v/>
      </c>
      <c r="L163" s="33">
        <f>IF(OR($U163="",3&gt;=설정!$B$12),"",SUMIFS(매입원본!$AT$8:$AT$1007,매입원본!$AX$8:$AX$1007,INDEX($R$8:$R$207,$U163),매입원본!$BA$8:$BA$1007,"포함",매입원본!$AS$8:$AS$1007,"&gt;="&amp;EDATE(설정!$B$10,3),매입원본!$AS$8:$AS$1007,"&lt;="&amp;EOMONTH(설정!$B$10,3)))</f>
        <v/>
      </c>
      <c r="M163" s="33">
        <f>IF(OR($U163="",4&gt;=설정!$B$12),"",SUMIFS(매입원본!$AT$8:$AT$1007,매입원본!$AX$8:$AX$1007,INDEX($R$8:$R$207,$U163),매입원본!$BA$8:$BA$1007,"포함",매입원본!$AS$8:$AS$1007,"&gt;="&amp;EDATE(설정!$B$10,4),매입원본!$AS$8:$AS$1007,"&lt;="&amp;EOMONTH(설정!$B$10,4)))</f>
        <v/>
      </c>
      <c r="N163" s="33">
        <f>IF(OR($U163="",5&gt;=설정!$B$12),"",SUMIFS(매입원본!$AT$8:$AT$1007,매입원본!$AX$8:$AX$1007,INDEX($R$8:$R$207,$U163),매입원본!$BA$8:$BA$1007,"포함",매입원본!$AS$8:$AS$1007,"&gt;="&amp;EDATE(설정!$B$10,5),매입원본!$AS$8:$AS$1007,"&lt;="&amp;EOMONTH(설정!$B$10,5)))</f>
        <v/>
      </c>
      <c r="Q163" s="35" t="n">
        <v>156</v>
      </c>
      <c r="R163" s="35">
        <f>IFERROR(INDEX(매입원본!$AX$8:$AX$1007,MATCH($Q163,매입원본!$BD$8:$BD$1007,0)),"")</f>
        <v/>
      </c>
      <c r="S163" s="35">
        <f>IF($R163="","",SUMIFS(매입원본!$AT$8:$AT$1007,매입원본!$AX$8:$AX$1007,$R163,매입원본!$BA$8:$BA$1007,"포함"))</f>
        <v/>
      </c>
      <c r="T163" s="35">
        <f>IF($R163="","",$S163-$Q163/100000)</f>
        <v/>
      </c>
      <c r="U163" s="35">
        <f>IFERROR(MATCH(LARGE($T$8:$T$207,156),$T$8:$T$207,0),"")</f>
        <v/>
      </c>
    </row>
    <row r="164">
      <c r="A164" s="32">
        <f>IF($U164="","",157)</f>
        <v/>
      </c>
      <c r="B164" s="10">
        <f>IF($U164="","",IFERROR(INDEX(매입원본!$AZ$8:$AZ$1007,MATCH($U164,매입원본!$BD$8:$BD$1007,0)),""))</f>
        <v/>
      </c>
      <c r="C164" s="10">
        <f>IF($U164="","",IFERROR(INDEX(매입원본!$AY$8:$AY$1007,MATCH($U164,매입원본!$BD$8:$BD$1007,0)),""))</f>
        <v/>
      </c>
      <c r="D164" s="33">
        <f>IF($U164="","",COUNTIFS(매입원본!$AX$8:$AX$1007,INDEX($R$8:$R$207,$U164),매입원본!$BA$8:$BA$1007,"포함"))</f>
        <v/>
      </c>
      <c r="E164" s="33">
        <f>IF($U164="","",SUMIFS(매입원본!$AT$8:$AT$1007,매입원본!$AX$8:$AX$1007,INDEX($R$8:$R$207,$U164),매입원본!$BA$8:$BA$1007,"포함"))</f>
        <v/>
      </c>
      <c r="F164" s="33">
        <f>IF($U164="","",SUMIFS(매입원본!$AU$8:$AU$1007,매입원본!$AX$8:$AX$1007,INDEX($R$8:$R$207,$U164),매입원본!$BA$8:$BA$1007,"포함"))</f>
        <v/>
      </c>
      <c r="G164" s="33">
        <f>IF($U164="","",SUMIFS(매입원본!$AV$8:$AV$1007,매입원본!$AX$8:$AX$1007,INDEX($R$8:$R$207,$U164),매입원본!$BA$8:$BA$1007,"포함"))</f>
        <v/>
      </c>
      <c r="H164" s="34">
        <f>IF(OR($U164="",$E$7=0),"",E164/$E$7)</f>
        <v/>
      </c>
      <c r="I164" s="33">
        <f>IF(OR($U164="",0&gt;=설정!$B$12),"",SUMIFS(매입원본!$AT$8:$AT$1007,매입원본!$AX$8:$AX$1007,INDEX($R$8:$R$207,$U164),매입원본!$BA$8:$BA$1007,"포함",매입원본!$AS$8:$AS$1007,"&gt;="&amp;EDATE(설정!$B$10,0),매입원본!$AS$8:$AS$1007,"&lt;="&amp;EOMONTH(설정!$B$10,0)))</f>
        <v/>
      </c>
      <c r="J164" s="33">
        <f>IF(OR($U164="",1&gt;=설정!$B$12),"",SUMIFS(매입원본!$AT$8:$AT$1007,매입원본!$AX$8:$AX$1007,INDEX($R$8:$R$207,$U164),매입원본!$BA$8:$BA$1007,"포함",매입원본!$AS$8:$AS$1007,"&gt;="&amp;EDATE(설정!$B$10,1),매입원본!$AS$8:$AS$1007,"&lt;="&amp;EOMONTH(설정!$B$10,1)))</f>
        <v/>
      </c>
      <c r="K164" s="33">
        <f>IF(OR($U164="",2&gt;=설정!$B$12),"",SUMIFS(매입원본!$AT$8:$AT$1007,매입원본!$AX$8:$AX$1007,INDEX($R$8:$R$207,$U164),매입원본!$BA$8:$BA$1007,"포함",매입원본!$AS$8:$AS$1007,"&gt;="&amp;EDATE(설정!$B$10,2),매입원본!$AS$8:$AS$1007,"&lt;="&amp;EOMONTH(설정!$B$10,2)))</f>
        <v/>
      </c>
      <c r="L164" s="33">
        <f>IF(OR($U164="",3&gt;=설정!$B$12),"",SUMIFS(매입원본!$AT$8:$AT$1007,매입원본!$AX$8:$AX$1007,INDEX($R$8:$R$207,$U164),매입원본!$BA$8:$BA$1007,"포함",매입원본!$AS$8:$AS$1007,"&gt;="&amp;EDATE(설정!$B$10,3),매입원본!$AS$8:$AS$1007,"&lt;="&amp;EOMONTH(설정!$B$10,3)))</f>
        <v/>
      </c>
      <c r="M164" s="33">
        <f>IF(OR($U164="",4&gt;=설정!$B$12),"",SUMIFS(매입원본!$AT$8:$AT$1007,매입원본!$AX$8:$AX$1007,INDEX($R$8:$R$207,$U164),매입원본!$BA$8:$BA$1007,"포함",매입원본!$AS$8:$AS$1007,"&gt;="&amp;EDATE(설정!$B$10,4),매입원본!$AS$8:$AS$1007,"&lt;="&amp;EOMONTH(설정!$B$10,4)))</f>
        <v/>
      </c>
      <c r="N164" s="33">
        <f>IF(OR($U164="",5&gt;=설정!$B$12),"",SUMIFS(매입원본!$AT$8:$AT$1007,매입원본!$AX$8:$AX$1007,INDEX($R$8:$R$207,$U164),매입원본!$BA$8:$BA$1007,"포함",매입원본!$AS$8:$AS$1007,"&gt;="&amp;EDATE(설정!$B$10,5),매입원본!$AS$8:$AS$1007,"&lt;="&amp;EOMONTH(설정!$B$10,5)))</f>
        <v/>
      </c>
      <c r="Q164" s="35" t="n">
        <v>157</v>
      </c>
      <c r="R164" s="35">
        <f>IFERROR(INDEX(매입원본!$AX$8:$AX$1007,MATCH($Q164,매입원본!$BD$8:$BD$1007,0)),"")</f>
        <v/>
      </c>
      <c r="S164" s="35">
        <f>IF($R164="","",SUMIFS(매입원본!$AT$8:$AT$1007,매입원본!$AX$8:$AX$1007,$R164,매입원본!$BA$8:$BA$1007,"포함"))</f>
        <v/>
      </c>
      <c r="T164" s="35">
        <f>IF($R164="","",$S164-$Q164/100000)</f>
        <v/>
      </c>
      <c r="U164" s="35">
        <f>IFERROR(MATCH(LARGE($T$8:$T$207,157),$T$8:$T$207,0),"")</f>
        <v/>
      </c>
    </row>
    <row r="165">
      <c r="A165" s="32">
        <f>IF($U165="","",158)</f>
        <v/>
      </c>
      <c r="B165" s="10">
        <f>IF($U165="","",IFERROR(INDEX(매입원본!$AZ$8:$AZ$1007,MATCH($U165,매입원본!$BD$8:$BD$1007,0)),""))</f>
        <v/>
      </c>
      <c r="C165" s="10">
        <f>IF($U165="","",IFERROR(INDEX(매입원본!$AY$8:$AY$1007,MATCH($U165,매입원본!$BD$8:$BD$1007,0)),""))</f>
        <v/>
      </c>
      <c r="D165" s="33">
        <f>IF($U165="","",COUNTIFS(매입원본!$AX$8:$AX$1007,INDEX($R$8:$R$207,$U165),매입원본!$BA$8:$BA$1007,"포함"))</f>
        <v/>
      </c>
      <c r="E165" s="33">
        <f>IF($U165="","",SUMIFS(매입원본!$AT$8:$AT$1007,매입원본!$AX$8:$AX$1007,INDEX($R$8:$R$207,$U165),매입원본!$BA$8:$BA$1007,"포함"))</f>
        <v/>
      </c>
      <c r="F165" s="33">
        <f>IF($U165="","",SUMIFS(매입원본!$AU$8:$AU$1007,매입원본!$AX$8:$AX$1007,INDEX($R$8:$R$207,$U165),매입원본!$BA$8:$BA$1007,"포함"))</f>
        <v/>
      </c>
      <c r="G165" s="33">
        <f>IF($U165="","",SUMIFS(매입원본!$AV$8:$AV$1007,매입원본!$AX$8:$AX$1007,INDEX($R$8:$R$207,$U165),매입원본!$BA$8:$BA$1007,"포함"))</f>
        <v/>
      </c>
      <c r="H165" s="34">
        <f>IF(OR($U165="",$E$7=0),"",E165/$E$7)</f>
        <v/>
      </c>
      <c r="I165" s="33">
        <f>IF(OR($U165="",0&gt;=설정!$B$12),"",SUMIFS(매입원본!$AT$8:$AT$1007,매입원본!$AX$8:$AX$1007,INDEX($R$8:$R$207,$U165),매입원본!$BA$8:$BA$1007,"포함",매입원본!$AS$8:$AS$1007,"&gt;="&amp;EDATE(설정!$B$10,0),매입원본!$AS$8:$AS$1007,"&lt;="&amp;EOMONTH(설정!$B$10,0)))</f>
        <v/>
      </c>
      <c r="J165" s="33">
        <f>IF(OR($U165="",1&gt;=설정!$B$12),"",SUMIFS(매입원본!$AT$8:$AT$1007,매입원본!$AX$8:$AX$1007,INDEX($R$8:$R$207,$U165),매입원본!$BA$8:$BA$1007,"포함",매입원본!$AS$8:$AS$1007,"&gt;="&amp;EDATE(설정!$B$10,1),매입원본!$AS$8:$AS$1007,"&lt;="&amp;EOMONTH(설정!$B$10,1)))</f>
        <v/>
      </c>
      <c r="K165" s="33">
        <f>IF(OR($U165="",2&gt;=설정!$B$12),"",SUMIFS(매입원본!$AT$8:$AT$1007,매입원본!$AX$8:$AX$1007,INDEX($R$8:$R$207,$U165),매입원본!$BA$8:$BA$1007,"포함",매입원본!$AS$8:$AS$1007,"&gt;="&amp;EDATE(설정!$B$10,2),매입원본!$AS$8:$AS$1007,"&lt;="&amp;EOMONTH(설정!$B$10,2)))</f>
        <v/>
      </c>
      <c r="L165" s="33">
        <f>IF(OR($U165="",3&gt;=설정!$B$12),"",SUMIFS(매입원본!$AT$8:$AT$1007,매입원본!$AX$8:$AX$1007,INDEX($R$8:$R$207,$U165),매입원본!$BA$8:$BA$1007,"포함",매입원본!$AS$8:$AS$1007,"&gt;="&amp;EDATE(설정!$B$10,3),매입원본!$AS$8:$AS$1007,"&lt;="&amp;EOMONTH(설정!$B$10,3)))</f>
        <v/>
      </c>
      <c r="M165" s="33">
        <f>IF(OR($U165="",4&gt;=설정!$B$12),"",SUMIFS(매입원본!$AT$8:$AT$1007,매입원본!$AX$8:$AX$1007,INDEX($R$8:$R$207,$U165),매입원본!$BA$8:$BA$1007,"포함",매입원본!$AS$8:$AS$1007,"&gt;="&amp;EDATE(설정!$B$10,4),매입원본!$AS$8:$AS$1007,"&lt;="&amp;EOMONTH(설정!$B$10,4)))</f>
        <v/>
      </c>
      <c r="N165" s="33">
        <f>IF(OR($U165="",5&gt;=설정!$B$12),"",SUMIFS(매입원본!$AT$8:$AT$1007,매입원본!$AX$8:$AX$1007,INDEX($R$8:$R$207,$U165),매입원본!$BA$8:$BA$1007,"포함",매입원본!$AS$8:$AS$1007,"&gt;="&amp;EDATE(설정!$B$10,5),매입원본!$AS$8:$AS$1007,"&lt;="&amp;EOMONTH(설정!$B$10,5)))</f>
        <v/>
      </c>
      <c r="Q165" s="35" t="n">
        <v>158</v>
      </c>
      <c r="R165" s="35">
        <f>IFERROR(INDEX(매입원본!$AX$8:$AX$1007,MATCH($Q165,매입원본!$BD$8:$BD$1007,0)),"")</f>
        <v/>
      </c>
      <c r="S165" s="35">
        <f>IF($R165="","",SUMIFS(매입원본!$AT$8:$AT$1007,매입원본!$AX$8:$AX$1007,$R165,매입원본!$BA$8:$BA$1007,"포함"))</f>
        <v/>
      </c>
      <c r="T165" s="35">
        <f>IF($R165="","",$S165-$Q165/100000)</f>
        <v/>
      </c>
      <c r="U165" s="35">
        <f>IFERROR(MATCH(LARGE($T$8:$T$207,158),$T$8:$T$207,0),"")</f>
        <v/>
      </c>
    </row>
    <row r="166">
      <c r="A166" s="32">
        <f>IF($U166="","",159)</f>
        <v/>
      </c>
      <c r="B166" s="10">
        <f>IF($U166="","",IFERROR(INDEX(매입원본!$AZ$8:$AZ$1007,MATCH($U166,매입원본!$BD$8:$BD$1007,0)),""))</f>
        <v/>
      </c>
      <c r="C166" s="10">
        <f>IF($U166="","",IFERROR(INDEX(매입원본!$AY$8:$AY$1007,MATCH($U166,매입원본!$BD$8:$BD$1007,0)),""))</f>
        <v/>
      </c>
      <c r="D166" s="33">
        <f>IF($U166="","",COUNTIFS(매입원본!$AX$8:$AX$1007,INDEX($R$8:$R$207,$U166),매입원본!$BA$8:$BA$1007,"포함"))</f>
        <v/>
      </c>
      <c r="E166" s="33">
        <f>IF($U166="","",SUMIFS(매입원본!$AT$8:$AT$1007,매입원본!$AX$8:$AX$1007,INDEX($R$8:$R$207,$U166),매입원본!$BA$8:$BA$1007,"포함"))</f>
        <v/>
      </c>
      <c r="F166" s="33">
        <f>IF($U166="","",SUMIFS(매입원본!$AU$8:$AU$1007,매입원본!$AX$8:$AX$1007,INDEX($R$8:$R$207,$U166),매입원본!$BA$8:$BA$1007,"포함"))</f>
        <v/>
      </c>
      <c r="G166" s="33">
        <f>IF($U166="","",SUMIFS(매입원본!$AV$8:$AV$1007,매입원본!$AX$8:$AX$1007,INDEX($R$8:$R$207,$U166),매입원본!$BA$8:$BA$1007,"포함"))</f>
        <v/>
      </c>
      <c r="H166" s="34">
        <f>IF(OR($U166="",$E$7=0),"",E166/$E$7)</f>
        <v/>
      </c>
      <c r="I166" s="33">
        <f>IF(OR($U166="",0&gt;=설정!$B$12),"",SUMIFS(매입원본!$AT$8:$AT$1007,매입원본!$AX$8:$AX$1007,INDEX($R$8:$R$207,$U166),매입원본!$BA$8:$BA$1007,"포함",매입원본!$AS$8:$AS$1007,"&gt;="&amp;EDATE(설정!$B$10,0),매입원본!$AS$8:$AS$1007,"&lt;="&amp;EOMONTH(설정!$B$10,0)))</f>
        <v/>
      </c>
      <c r="J166" s="33">
        <f>IF(OR($U166="",1&gt;=설정!$B$12),"",SUMIFS(매입원본!$AT$8:$AT$1007,매입원본!$AX$8:$AX$1007,INDEX($R$8:$R$207,$U166),매입원본!$BA$8:$BA$1007,"포함",매입원본!$AS$8:$AS$1007,"&gt;="&amp;EDATE(설정!$B$10,1),매입원본!$AS$8:$AS$1007,"&lt;="&amp;EOMONTH(설정!$B$10,1)))</f>
        <v/>
      </c>
      <c r="K166" s="33">
        <f>IF(OR($U166="",2&gt;=설정!$B$12),"",SUMIFS(매입원본!$AT$8:$AT$1007,매입원본!$AX$8:$AX$1007,INDEX($R$8:$R$207,$U166),매입원본!$BA$8:$BA$1007,"포함",매입원본!$AS$8:$AS$1007,"&gt;="&amp;EDATE(설정!$B$10,2),매입원본!$AS$8:$AS$1007,"&lt;="&amp;EOMONTH(설정!$B$10,2)))</f>
        <v/>
      </c>
      <c r="L166" s="33">
        <f>IF(OR($U166="",3&gt;=설정!$B$12),"",SUMIFS(매입원본!$AT$8:$AT$1007,매입원본!$AX$8:$AX$1007,INDEX($R$8:$R$207,$U166),매입원본!$BA$8:$BA$1007,"포함",매입원본!$AS$8:$AS$1007,"&gt;="&amp;EDATE(설정!$B$10,3),매입원본!$AS$8:$AS$1007,"&lt;="&amp;EOMONTH(설정!$B$10,3)))</f>
        <v/>
      </c>
      <c r="M166" s="33">
        <f>IF(OR($U166="",4&gt;=설정!$B$12),"",SUMIFS(매입원본!$AT$8:$AT$1007,매입원본!$AX$8:$AX$1007,INDEX($R$8:$R$207,$U166),매입원본!$BA$8:$BA$1007,"포함",매입원본!$AS$8:$AS$1007,"&gt;="&amp;EDATE(설정!$B$10,4),매입원본!$AS$8:$AS$1007,"&lt;="&amp;EOMONTH(설정!$B$10,4)))</f>
        <v/>
      </c>
      <c r="N166" s="33">
        <f>IF(OR($U166="",5&gt;=설정!$B$12),"",SUMIFS(매입원본!$AT$8:$AT$1007,매입원본!$AX$8:$AX$1007,INDEX($R$8:$R$207,$U166),매입원본!$BA$8:$BA$1007,"포함",매입원본!$AS$8:$AS$1007,"&gt;="&amp;EDATE(설정!$B$10,5),매입원본!$AS$8:$AS$1007,"&lt;="&amp;EOMONTH(설정!$B$10,5)))</f>
        <v/>
      </c>
      <c r="Q166" s="35" t="n">
        <v>159</v>
      </c>
      <c r="R166" s="35">
        <f>IFERROR(INDEX(매입원본!$AX$8:$AX$1007,MATCH($Q166,매입원본!$BD$8:$BD$1007,0)),"")</f>
        <v/>
      </c>
      <c r="S166" s="35">
        <f>IF($R166="","",SUMIFS(매입원본!$AT$8:$AT$1007,매입원본!$AX$8:$AX$1007,$R166,매입원본!$BA$8:$BA$1007,"포함"))</f>
        <v/>
      </c>
      <c r="T166" s="35">
        <f>IF($R166="","",$S166-$Q166/100000)</f>
        <v/>
      </c>
      <c r="U166" s="35">
        <f>IFERROR(MATCH(LARGE($T$8:$T$207,159),$T$8:$T$207,0),"")</f>
        <v/>
      </c>
    </row>
    <row r="167">
      <c r="A167" s="32">
        <f>IF($U167="","",160)</f>
        <v/>
      </c>
      <c r="B167" s="10">
        <f>IF($U167="","",IFERROR(INDEX(매입원본!$AZ$8:$AZ$1007,MATCH($U167,매입원본!$BD$8:$BD$1007,0)),""))</f>
        <v/>
      </c>
      <c r="C167" s="10">
        <f>IF($U167="","",IFERROR(INDEX(매입원본!$AY$8:$AY$1007,MATCH($U167,매입원본!$BD$8:$BD$1007,0)),""))</f>
        <v/>
      </c>
      <c r="D167" s="33">
        <f>IF($U167="","",COUNTIFS(매입원본!$AX$8:$AX$1007,INDEX($R$8:$R$207,$U167),매입원본!$BA$8:$BA$1007,"포함"))</f>
        <v/>
      </c>
      <c r="E167" s="33">
        <f>IF($U167="","",SUMIFS(매입원본!$AT$8:$AT$1007,매입원본!$AX$8:$AX$1007,INDEX($R$8:$R$207,$U167),매입원본!$BA$8:$BA$1007,"포함"))</f>
        <v/>
      </c>
      <c r="F167" s="33">
        <f>IF($U167="","",SUMIFS(매입원본!$AU$8:$AU$1007,매입원본!$AX$8:$AX$1007,INDEX($R$8:$R$207,$U167),매입원본!$BA$8:$BA$1007,"포함"))</f>
        <v/>
      </c>
      <c r="G167" s="33">
        <f>IF($U167="","",SUMIFS(매입원본!$AV$8:$AV$1007,매입원본!$AX$8:$AX$1007,INDEX($R$8:$R$207,$U167),매입원본!$BA$8:$BA$1007,"포함"))</f>
        <v/>
      </c>
      <c r="H167" s="34">
        <f>IF(OR($U167="",$E$7=0),"",E167/$E$7)</f>
        <v/>
      </c>
      <c r="I167" s="33">
        <f>IF(OR($U167="",0&gt;=설정!$B$12),"",SUMIFS(매입원본!$AT$8:$AT$1007,매입원본!$AX$8:$AX$1007,INDEX($R$8:$R$207,$U167),매입원본!$BA$8:$BA$1007,"포함",매입원본!$AS$8:$AS$1007,"&gt;="&amp;EDATE(설정!$B$10,0),매입원본!$AS$8:$AS$1007,"&lt;="&amp;EOMONTH(설정!$B$10,0)))</f>
        <v/>
      </c>
      <c r="J167" s="33">
        <f>IF(OR($U167="",1&gt;=설정!$B$12),"",SUMIFS(매입원본!$AT$8:$AT$1007,매입원본!$AX$8:$AX$1007,INDEX($R$8:$R$207,$U167),매입원본!$BA$8:$BA$1007,"포함",매입원본!$AS$8:$AS$1007,"&gt;="&amp;EDATE(설정!$B$10,1),매입원본!$AS$8:$AS$1007,"&lt;="&amp;EOMONTH(설정!$B$10,1)))</f>
        <v/>
      </c>
      <c r="K167" s="33">
        <f>IF(OR($U167="",2&gt;=설정!$B$12),"",SUMIFS(매입원본!$AT$8:$AT$1007,매입원본!$AX$8:$AX$1007,INDEX($R$8:$R$207,$U167),매입원본!$BA$8:$BA$1007,"포함",매입원본!$AS$8:$AS$1007,"&gt;="&amp;EDATE(설정!$B$10,2),매입원본!$AS$8:$AS$1007,"&lt;="&amp;EOMONTH(설정!$B$10,2)))</f>
        <v/>
      </c>
      <c r="L167" s="33">
        <f>IF(OR($U167="",3&gt;=설정!$B$12),"",SUMIFS(매입원본!$AT$8:$AT$1007,매입원본!$AX$8:$AX$1007,INDEX($R$8:$R$207,$U167),매입원본!$BA$8:$BA$1007,"포함",매입원본!$AS$8:$AS$1007,"&gt;="&amp;EDATE(설정!$B$10,3),매입원본!$AS$8:$AS$1007,"&lt;="&amp;EOMONTH(설정!$B$10,3)))</f>
        <v/>
      </c>
      <c r="M167" s="33">
        <f>IF(OR($U167="",4&gt;=설정!$B$12),"",SUMIFS(매입원본!$AT$8:$AT$1007,매입원본!$AX$8:$AX$1007,INDEX($R$8:$R$207,$U167),매입원본!$BA$8:$BA$1007,"포함",매입원본!$AS$8:$AS$1007,"&gt;="&amp;EDATE(설정!$B$10,4),매입원본!$AS$8:$AS$1007,"&lt;="&amp;EOMONTH(설정!$B$10,4)))</f>
        <v/>
      </c>
      <c r="N167" s="33">
        <f>IF(OR($U167="",5&gt;=설정!$B$12),"",SUMIFS(매입원본!$AT$8:$AT$1007,매입원본!$AX$8:$AX$1007,INDEX($R$8:$R$207,$U167),매입원본!$BA$8:$BA$1007,"포함",매입원본!$AS$8:$AS$1007,"&gt;="&amp;EDATE(설정!$B$10,5),매입원본!$AS$8:$AS$1007,"&lt;="&amp;EOMONTH(설정!$B$10,5)))</f>
        <v/>
      </c>
      <c r="Q167" s="35" t="n">
        <v>160</v>
      </c>
      <c r="R167" s="35">
        <f>IFERROR(INDEX(매입원본!$AX$8:$AX$1007,MATCH($Q167,매입원본!$BD$8:$BD$1007,0)),"")</f>
        <v/>
      </c>
      <c r="S167" s="35">
        <f>IF($R167="","",SUMIFS(매입원본!$AT$8:$AT$1007,매입원본!$AX$8:$AX$1007,$R167,매입원본!$BA$8:$BA$1007,"포함"))</f>
        <v/>
      </c>
      <c r="T167" s="35">
        <f>IF($R167="","",$S167-$Q167/100000)</f>
        <v/>
      </c>
      <c r="U167" s="35">
        <f>IFERROR(MATCH(LARGE($T$8:$T$207,160),$T$8:$T$207,0),"")</f>
        <v/>
      </c>
    </row>
    <row r="168">
      <c r="A168" s="32">
        <f>IF($U168="","",161)</f>
        <v/>
      </c>
      <c r="B168" s="10">
        <f>IF($U168="","",IFERROR(INDEX(매입원본!$AZ$8:$AZ$1007,MATCH($U168,매입원본!$BD$8:$BD$1007,0)),""))</f>
        <v/>
      </c>
      <c r="C168" s="10">
        <f>IF($U168="","",IFERROR(INDEX(매입원본!$AY$8:$AY$1007,MATCH($U168,매입원본!$BD$8:$BD$1007,0)),""))</f>
        <v/>
      </c>
      <c r="D168" s="33">
        <f>IF($U168="","",COUNTIFS(매입원본!$AX$8:$AX$1007,INDEX($R$8:$R$207,$U168),매입원본!$BA$8:$BA$1007,"포함"))</f>
        <v/>
      </c>
      <c r="E168" s="33">
        <f>IF($U168="","",SUMIFS(매입원본!$AT$8:$AT$1007,매입원본!$AX$8:$AX$1007,INDEX($R$8:$R$207,$U168),매입원본!$BA$8:$BA$1007,"포함"))</f>
        <v/>
      </c>
      <c r="F168" s="33">
        <f>IF($U168="","",SUMIFS(매입원본!$AU$8:$AU$1007,매입원본!$AX$8:$AX$1007,INDEX($R$8:$R$207,$U168),매입원본!$BA$8:$BA$1007,"포함"))</f>
        <v/>
      </c>
      <c r="G168" s="33">
        <f>IF($U168="","",SUMIFS(매입원본!$AV$8:$AV$1007,매입원본!$AX$8:$AX$1007,INDEX($R$8:$R$207,$U168),매입원본!$BA$8:$BA$1007,"포함"))</f>
        <v/>
      </c>
      <c r="H168" s="34">
        <f>IF(OR($U168="",$E$7=0),"",E168/$E$7)</f>
        <v/>
      </c>
      <c r="I168" s="33">
        <f>IF(OR($U168="",0&gt;=설정!$B$12),"",SUMIFS(매입원본!$AT$8:$AT$1007,매입원본!$AX$8:$AX$1007,INDEX($R$8:$R$207,$U168),매입원본!$BA$8:$BA$1007,"포함",매입원본!$AS$8:$AS$1007,"&gt;="&amp;EDATE(설정!$B$10,0),매입원본!$AS$8:$AS$1007,"&lt;="&amp;EOMONTH(설정!$B$10,0)))</f>
        <v/>
      </c>
      <c r="J168" s="33">
        <f>IF(OR($U168="",1&gt;=설정!$B$12),"",SUMIFS(매입원본!$AT$8:$AT$1007,매입원본!$AX$8:$AX$1007,INDEX($R$8:$R$207,$U168),매입원본!$BA$8:$BA$1007,"포함",매입원본!$AS$8:$AS$1007,"&gt;="&amp;EDATE(설정!$B$10,1),매입원본!$AS$8:$AS$1007,"&lt;="&amp;EOMONTH(설정!$B$10,1)))</f>
        <v/>
      </c>
      <c r="K168" s="33">
        <f>IF(OR($U168="",2&gt;=설정!$B$12),"",SUMIFS(매입원본!$AT$8:$AT$1007,매입원본!$AX$8:$AX$1007,INDEX($R$8:$R$207,$U168),매입원본!$BA$8:$BA$1007,"포함",매입원본!$AS$8:$AS$1007,"&gt;="&amp;EDATE(설정!$B$10,2),매입원본!$AS$8:$AS$1007,"&lt;="&amp;EOMONTH(설정!$B$10,2)))</f>
        <v/>
      </c>
      <c r="L168" s="33">
        <f>IF(OR($U168="",3&gt;=설정!$B$12),"",SUMIFS(매입원본!$AT$8:$AT$1007,매입원본!$AX$8:$AX$1007,INDEX($R$8:$R$207,$U168),매입원본!$BA$8:$BA$1007,"포함",매입원본!$AS$8:$AS$1007,"&gt;="&amp;EDATE(설정!$B$10,3),매입원본!$AS$8:$AS$1007,"&lt;="&amp;EOMONTH(설정!$B$10,3)))</f>
        <v/>
      </c>
      <c r="M168" s="33">
        <f>IF(OR($U168="",4&gt;=설정!$B$12),"",SUMIFS(매입원본!$AT$8:$AT$1007,매입원본!$AX$8:$AX$1007,INDEX($R$8:$R$207,$U168),매입원본!$BA$8:$BA$1007,"포함",매입원본!$AS$8:$AS$1007,"&gt;="&amp;EDATE(설정!$B$10,4),매입원본!$AS$8:$AS$1007,"&lt;="&amp;EOMONTH(설정!$B$10,4)))</f>
        <v/>
      </c>
      <c r="N168" s="33">
        <f>IF(OR($U168="",5&gt;=설정!$B$12),"",SUMIFS(매입원본!$AT$8:$AT$1007,매입원본!$AX$8:$AX$1007,INDEX($R$8:$R$207,$U168),매입원본!$BA$8:$BA$1007,"포함",매입원본!$AS$8:$AS$1007,"&gt;="&amp;EDATE(설정!$B$10,5),매입원본!$AS$8:$AS$1007,"&lt;="&amp;EOMONTH(설정!$B$10,5)))</f>
        <v/>
      </c>
      <c r="Q168" s="35" t="n">
        <v>161</v>
      </c>
      <c r="R168" s="35">
        <f>IFERROR(INDEX(매입원본!$AX$8:$AX$1007,MATCH($Q168,매입원본!$BD$8:$BD$1007,0)),"")</f>
        <v/>
      </c>
      <c r="S168" s="35">
        <f>IF($R168="","",SUMIFS(매입원본!$AT$8:$AT$1007,매입원본!$AX$8:$AX$1007,$R168,매입원본!$BA$8:$BA$1007,"포함"))</f>
        <v/>
      </c>
      <c r="T168" s="35">
        <f>IF($R168="","",$S168-$Q168/100000)</f>
        <v/>
      </c>
      <c r="U168" s="35">
        <f>IFERROR(MATCH(LARGE($T$8:$T$207,161),$T$8:$T$207,0),"")</f>
        <v/>
      </c>
    </row>
    <row r="169">
      <c r="A169" s="32">
        <f>IF($U169="","",162)</f>
        <v/>
      </c>
      <c r="B169" s="10">
        <f>IF($U169="","",IFERROR(INDEX(매입원본!$AZ$8:$AZ$1007,MATCH($U169,매입원본!$BD$8:$BD$1007,0)),""))</f>
        <v/>
      </c>
      <c r="C169" s="10">
        <f>IF($U169="","",IFERROR(INDEX(매입원본!$AY$8:$AY$1007,MATCH($U169,매입원본!$BD$8:$BD$1007,0)),""))</f>
        <v/>
      </c>
      <c r="D169" s="33">
        <f>IF($U169="","",COUNTIFS(매입원본!$AX$8:$AX$1007,INDEX($R$8:$R$207,$U169),매입원본!$BA$8:$BA$1007,"포함"))</f>
        <v/>
      </c>
      <c r="E169" s="33">
        <f>IF($U169="","",SUMIFS(매입원본!$AT$8:$AT$1007,매입원본!$AX$8:$AX$1007,INDEX($R$8:$R$207,$U169),매입원본!$BA$8:$BA$1007,"포함"))</f>
        <v/>
      </c>
      <c r="F169" s="33">
        <f>IF($U169="","",SUMIFS(매입원본!$AU$8:$AU$1007,매입원본!$AX$8:$AX$1007,INDEX($R$8:$R$207,$U169),매입원본!$BA$8:$BA$1007,"포함"))</f>
        <v/>
      </c>
      <c r="G169" s="33">
        <f>IF($U169="","",SUMIFS(매입원본!$AV$8:$AV$1007,매입원본!$AX$8:$AX$1007,INDEX($R$8:$R$207,$U169),매입원본!$BA$8:$BA$1007,"포함"))</f>
        <v/>
      </c>
      <c r="H169" s="34">
        <f>IF(OR($U169="",$E$7=0),"",E169/$E$7)</f>
        <v/>
      </c>
      <c r="I169" s="33">
        <f>IF(OR($U169="",0&gt;=설정!$B$12),"",SUMIFS(매입원본!$AT$8:$AT$1007,매입원본!$AX$8:$AX$1007,INDEX($R$8:$R$207,$U169),매입원본!$BA$8:$BA$1007,"포함",매입원본!$AS$8:$AS$1007,"&gt;="&amp;EDATE(설정!$B$10,0),매입원본!$AS$8:$AS$1007,"&lt;="&amp;EOMONTH(설정!$B$10,0)))</f>
        <v/>
      </c>
      <c r="J169" s="33">
        <f>IF(OR($U169="",1&gt;=설정!$B$12),"",SUMIFS(매입원본!$AT$8:$AT$1007,매입원본!$AX$8:$AX$1007,INDEX($R$8:$R$207,$U169),매입원본!$BA$8:$BA$1007,"포함",매입원본!$AS$8:$AS$1007,"&gt;="&amp;EDATE(설정!$B$10,1),매입원본!$AS$8:$AS$1007,"&lt;="&amp;EOMONTH(설정!$B$10,1)))</f>
        <v/>
      </c>
      <c r="K169" s="33">
        <f>IF(OR($U169="",2&gt;=설정!$B$12),"",SUMIFS(매입원본!$AT$8:$AT$1007,매입원본!$AX$8:$AX$1007,INDEX($R$8:$R$207,$U169),매입원본!$BA$8:$BA$1007,"포함",매입원본!$AS$8:$AS$1007,"&gt;="&amp;EDATE(설정!$B$10,2),매입원본!$AS$8:$AS$1007,"&lt;="&amp;EOMONTH(설정!$B$10,2)))</f>
        <v/>
      </c>
      <c r="L169" s="33">
        <f>IF(OR($U169="",3&gt;=설정!$B$12),"",SUMIFS(매입원본!$AT$8:$AT$1007,매입원본!$AX$8:$AX$1007,INDEX($R$8:$R$207,$U169),매입원본!$BA$8:$BA$1007,"포함",매입원본!$AS$8:$AS$1007,"&gt;="&amp;EDATE(설정!$B$10,3),매입원본!$AS$8:$AS$1007,"&lt;="&amp;EOMONTH(설정!$B$10,3)))</f>
        <v/>
      </c>
      <c r="M169" s="33">
        <f>IF(OR($U169="",4&gt;=설정!$B$12),"",SUMIFS(매입원본!$AT$8:$AT$1007,매입원본!$AX$8:$AX$1007,INDEX($R$8:$R$207,$U169),매입원본!$BA$8:$BA$1007,"포함",매입원본!$AS$8:$AS$1007,"&gt;="&amp;EDATE(설정!$B$10,4),매입원본!$AS$8:$AS$1007,"&lt;="&amp;EOMONTH(설정!$B$10,4)))</f>
        <v/>
      </c>
      <c r="N169" s="33">
        <f>IF(OR($U169="",5&gt;=설정!$B$12),"",SUMIFS(매입원본!$AT$8:$AT$1007,매입원본!$AX$8:$AX$1007,INDEX($R$8:$R$207,$U169),매입원본!$BA$8:$BA$1007,"포함",매입원본!$AS$8:$AS$1007,"&gt;="&amp;EDATE(설정!$B$10,5),매입원본!$AS$8:$AS$1007,"&lt;="&amp;EOMONTH(설정!$B$10,5)))</f>
        <v/>
      </c>
      <c r="Q169" s="35" t="n">
        <v>162</v>
      </c>
      <c r="R169" s="35">
        <f>IFERROR(INDEX(매입원본!$AX$8:$AX$1007,MATCH($Q169,매입원본!$BD$8:$BD$1007,0)),"")</f>
        <v/>
      </c>
      <c r="S169" s="35">
        <f>IF($R169="","",SUMIFS(매입원본!$AT$8:$AT$1007,매입원본!$AX$8:$AX$1007,$R169,매입원본!$BA$8:$BA$1007,"포함"))</f>
        <v/>
      </c>
      <c r="T169" s="35">
        <f>IF($R169="","",$S169-$Q169/100000)</f>
        <v/>
      </c>
      <c r="U169" s="35">
        <f>IFERROR(MATCH(LARGE($T$8:$T$207,162),$T$8:$T$207,0),"")</f>
        <v/>
      </c>
    </row>
    <row r="170">
      <c r="A170" s="32">
        <f>IF($U170="","",163)</f>
        <v/>
      </c>
      <c r="B170" s="10">
        <f>IF($U170="","",IFERROR(INDEX(매입원본!$AZ$8:$AZ$1007,MATCH($U170,매입원본!$BD$8:$BD$1007,0)),""))</f>
        <v/>
      </c>
      <c r="C170" s="10">
        <f>IF($U170="","",IFERROR(INDEX(매입원본!$AY$8:$AY$1007,MATCH($U170,매입원본!$BD$8:$BD$1007,0)),""))</f>
        <v/>
      </c>
      <c r="D170" s="33">
        <f>IF($U170="","",COUNTIFS(매입원본!$AX$8:$AX$1007,INDEX($R$8:$R$207,$U170),매입원본!$BA$8:$BA$1007,"포함"))</f>
        <v/>
      </c>
      <c r="E170" s="33">
        <f>IF($U170="","",SUMIFS(매입원본!$AT$8:$AT$1007,매입원본!$AX$8:$AX$1007,INDEX($R$8:$R$207,$U170),매입원본!$BA$8:$BA$1007,"포함"))</f>
        <v/>
      </c>
      <c r="F170" s="33">
        <f>IF($U170="","",SUMIFS(매입원본!$AU$8:$AU$1007,매입원본!$AX$8:$AX$1007,INDEX($R$8:$R$207,$U170),매입원본!$BA$8:$BA$1007,"포함"))</f>
        <v/>
      </c>
      <c r="G170" s="33">
        <f>IF($U170="","",SUMIFS(매입원본!$AV$8:$AV$1007,매입원본!$AX$8:$AX$1007,INDEX($R$8:$R$207,$U170),매입원본!$BA$8:$BA$1007,"포함"))</f>
        <v/>
      </c>
      <c r="H170" s="34">
        <f>IF(OR($U170="",$E$7=0),"",E170/$E$7)</f>
        <v/>
      </c>
      <c r="I170" s="33">
        <f>IF(OR($U170="",0&gt;=설정!$B$12),"",SUMIFS(매입원본!$AT$8:$AT$1007,매입원본!$AX$8:$AX$1007,INDEX($R$8:$R$207,$U170),매입원본!$BA$8:$BA$1007,"포함",매입원본!$AS$8:$AS$1007,"&gt;="&amp;EDATE(설정!$B$10,0),매입원본!$AS$8:$AS$1007,"&lt;="&amp;EOMONTH(설정!$B$10,0)))</f>
        <v/>
      </c>
      <c r="J170" s="33">
        <f>IF(OR($U170="",1&gt;=설정!$B$12),"",SUMIFS(매입원본!$AT$8:$AT$1007,매입원본!$AX$8:$AX$1007,INDEX($R$8:$R$207,$U170),매입원본!$BA$8:$BA$1007,"포함",매입원본!$AS$8:$AS$1007,"&gt;="&amp;EDATE(설정!$B$10,1),매입원본!$AS$8:$AS$1007,"&lt;="&amp;EOMONTH(설정!$B$10,1)))</f>
        <v/>
      </c>
      <c r="K170" s="33">
        <f>IF(OR($U170="",2&gt;=설정!$B$12),"",SUMIFS(매입원본!$AT$8:$AT$1007,매입원본!$AX$8:$AX$1007,INDEX($R$8:$R$207,$U170),매입원본!$BA$8:$BA$1007,"포함",매입원본!$AS$8:$AS$1007,"&gt;="&amp;EDATE(설정!$B$10,2),매입원본!$AS$8:$AS$1007,"&lt;="&amp;EOMONTH(설정!$B$10,2)))</f>
        <v/>
      </c>
      <c r="L170" s="33">
        <f>IF(OR($U170="",3&gt;=설정!$B$12),"",SUMIFS(매입원본!$AT$8:$AT$1007,매입원본!$AX$8:$AX$1007,INDEX($R$8:$R$207,$U170),매입원본!$BA$8:$BA$1007,"포함",매입원본!$AS$8:$AS$1007,"&gt;="&amp;EDATE(설정!$B$10,3),매입원본!$AS$8:$AS$1007,"&lt;="&amp;EOMONTH(설정!$B$10,3)))</f>
        <v/>
      </c>
      <c r="M170" s="33">
        <f>IF(OR($U170="",4&gt;=설정!$B$12),"",SUMIFS(매입원본!$AT$8:$AT$1007,매입원본!$AX$8:$AX$1007,INDEX($R$8:$R$207,$U170),매입원본!$BA$8:$BA$1007,"포함",매입원본!$AS$8:$AS$1007,"&gt;="&amp;EDATE(설정!$B$10,4),매입원본!$AS$8:$AS$1007,"&lt;="&amp;EOMONTH(설정!$B$10,4)))</f>
        <v/>
      </c>
      <c r="N170" s="33">
        <f>IF(OR($U170="",5&gt;=설정!$B$12),"",SUMIFS(매입원본!$AT$8:$AT$1007,매입원본!$AX$8:$AX$1007,INDEX($R$8:$R$207,$U170),매입원본!$BA$8:$BA$1007,"포함",매입원본!$AS$8:$AS$1007,"&gt;="&amp;EDATE(설정!$B$10,5),매입원본!$AS$8:$AS$1007,"&lt;="&amp;EOMONTH(설정!$B$10,5)))</f>
        <v/>
      </c>
      <c r="Q170" s="35" t="n">
        <v>163</v>
      </c>
      <c r="R170" s="35">
        <f>IFERROR(INDEX(매입원본!$AX$8:$AX$1007,MATCH($Q170,매입원본!$BD$8:$BD$1007,0)),"")</f>
        <v/>
      </c>
      <c r="S170" s="35">
        <f>IF($R170="","",SUMIFS(매입원본!$AT$8:$AT$1007,매입원본!$AX$8:$AX$1007,$R170,매입원본!$BA$8:$BA$1007,"포함"))</f>
        <v/>
      </c>
      <c r="T170" s="35">
        <f>IF($R170="","",$S170-$Q170/100000)</f>
        <v/>
      </c>
      <c r="U170" s="35">
        <f>IFERROR(MATCH(LARGE($T$8:$T$207,163),$T$8:$T$207,0),"")</f>
        <v/>
      </c>
    </row>
    <row r="171">
      <c r="A171" s="32">
        <f>IF($U171="","",164)</f>
        <v/>
      </c>
      <c r="B171" s="10">
        <f>IF($U171="","",IFERROR(INDEX(매입원본!$AZ$8:$AZ$1007,MATCH($U171,매입원본!$BD$8:$BD$1007,0)),""))</f>
        <v/>
      </c>
      <c r="C171" s="10">
        <f>IF($U171="","",IFERROR(INDEX(매입원본!$AY$8:$AY$1007,MATCH($U171,매입원본!$BD$8:$BD$1007,0)),""))</f>
        <v/>
      </c>
      <c r="D171" s="33">
        <f>IF($U171="","",COUNTIFS(매입원본!$AX$8:$AX$1007,INDEX($R$8:$R$207,$U171),매입원본!$BA$8:$BA$1007,"포함"))</f>
        <v/>
      </c>
      <c r="E171" s="33">
        <f>IF($U171="","",SUMIFS(매입원본!$AT$8:$AT$1007,매입원본!$AX$8:$AX$1007,INDEX($R$8:$R$207,$U171),매입원본!$BA$8:$BA$1007,"포함"))</f>
        <v/>
      </c>
      <c r="F171" s="33">
        <f>IF($U171="","",SUMIFS(매입원본!$AU$8:$AU$1007,매입원본!$AX$8:$AX$1007,INDEX($R$8:$R$207,$U171),매입원본!$BA$8:$BA$1007,"포함"))</f>
        <v/>
      </c>
      <c r="G171" s="33">
        <f>IF($U171="","",SUMIFS(매입원본!$AV$8:$AV$1007,매입원본!$AX$8:$AX$1007,INDEX($R$8:$R$207,$U171),매입원본!$BA$8:$BA$1007,"포함"))</f>
        <v/>
      </c>
      <c r="H171" s="34">
        <f>IF(OR($U171="",$E$7=0),"",E171/$E$7)</f>
        <v/>
      </c>
      <c r="I171" s="33">
        <f>IF(OR($U171="",0&gt;=설정!$B$12),"",SUMIFS(매입원본!$AT$8:$AT$1007,매입원본!$AX$8:$AX$1007,INDEX($R$8:$R$207,$U171),매입원본!$BA$8:$BA$1007,"포함",매입원본!$AS$8:$AS$1007,"&gt;="&amp;EDATE(설정!$B$10,0),매입원본!$AS$8:$AS$1007,"&lt;="&amp;EOMONTH(설정!$B$10,0)))</f>
        <v/>
      </c>
      <c r="J171" s="33">
        <f>IF(OR($U171="",1&gt;=설정!$B$12),"",SUMIFS(매입원본!$AT$8:$AT$1007,매입원본!$AX$8:$AX$1007,INDEX($R$8:$R$207,$U171),매입원본!$BA$8:$BA$1007,"포함",매입원본!$AS$8:$AS$1007,"&gt;="&amp;EDATE(설정!$B$10,1),매입원본!$AS$8:$AS$1007,"&lt;="&amp;EOMONTH(설정!$B$10,1)))</f>
        <v/>
      </c>
      <c r="K171" s="33">
        <f>IF(OR($U171="",2&gt;=설정!$B$12),"",SUMIFS(매입원본!$AT$8:$AT$1007,매입원본!$AX$8:$AX$1007,INDEX($R$8:$R$207,$U171),매입원본!$BA$8:$BA$1007,"포함",매입원본!$AS$8:$AS$1007,"&gt;="&amp;EDATE(설정!$B$10,2),매입원본!$AS$8:$AS$1007,"&lt;="&amp;EOMONTH(설정!$B$10,2)))</f>
        <v/>
      </c>
      <c r="L171" s="33">
        <f>IF(OR($U171="",3&gt;=설정!$B$12),"",SUMIFS(매입원본!$AT$8:$AT$1007,매입원본!$AX$8:$AX$1007,INDEX($R$8:$R$207,$U171),매입원본!$BA$8:$BA$1007,"포함",매입원본!$AS$8:$AS$1007,"&gt;="&amp;EDATE(설정!$B$10,3),매입원본!$AS$8:$AS$1007,"&lt;="&amp;EOMONTH(설정!$B$10,3)))</f>
        <v/>
      </c>
      <c r="M171" s="33">
        <f>IF(OR($U171="",4&gt;=설정!$B$12),"",SUMIFS(매입원본!$AT$8:$AT$1007,매입원본!$AX$8:$AX$1007,INDEX($R$8:$R$207,$U171),매입원본!$BA$8:$BA$1007,"포함",매입원본!$AS$8:$AS$1007,"&gt;="&amp;EDATE(설정!$B$10,4),매입원본!$AS$8:$AS$1007,"&lt;="&amp;EOMONTH(설정!$B$10,4)))</f>
        <v/>
      </c>
      <c r="N171" s="33">
        <f>IF(OR($U171="",5&gt;=설정!$B$12),"",SUMIFS(매입원본!$AT$8:$AT$1007,매입원본!$AX$8:$AX$1007,INDEX($R$8:$R$207,$U171),매입원본!$BA$8:$BA$1007,"포함",매입원본!$AS$8:$AS$1007,"&gt;="&amp;EDATE(설정!$B$10,5),매입원본!$AS$8:$AS$1007,"&lt;="&amp;EOMONTH(설정!$B$10,5)))</f>
        <v/>
      </c>
      <c r="Q171" s="35" t="n">
        <v>164</v>
      </c>
      <c r="R171" s="35">
        <f>IFERROR(INDEX(매입원본!$AX$8:$AX$1007,MATCH($Q171,매입원본!$BD$8:$BD$1007,0)),"")</f>
        <v/>
      </c>
      <c r="S171" s="35">
        <f>IF($R171="","",SUMIFS(매입원본!$AT$8:$AT$1007,매입원본!$AX$8:$AX$1007,$R171,매입원본!$BA$8:$BA$1007,"포함"))</f>
        <v/>
      </c>
      <c r="T171" s="35">
        <f>IF($R171="","",$S171-$Q171/100000)</f>
        <v/>
      </c>
      <c r="U171" s="35">
        <f>IFERROR(MATCH(LARGE($T$8:$T$207,164),$T$8:$T$207,0),"")</f>
        <v/>
      </c>
    </row>
    <row r="172">
      <c r="A172" s="32">
        <f>IF($U172="","",165)</f>
        <v/>
      </c>
      <c r="B172" s="10">
        <f>IF($U172="","",IFERROR(INDEX(매입원본!$AZ$8:$AZ$1007,MATCH($U172,매입원본!$BD$8:$BD$1007,0)),""))</f>
        <v/>
      </c>
      <c r="C172" s="10">
        <f>IF($U172="","",IFERROR(INDEX(매입원본!$AY$8:$AY$1007,MATCH($U172,매입원본!$BD$8:$BD$1007,0)),""))</f>
        <v/>
      </c>
      <c r="D172" s="33">
        <f>IF($U172="","",COUNTIFS(매입원본!$AX$8:$AX$1007,INDEX($R$8:$R$207,$U172),매입원본!$BA$8:$BA$1007,"포함"))</f>
        <v/>
      </c>
      <c r="E172" s="33">
        <f>IF($U172="","",SUMIFS(매입원본!$AT$8:$AT$1007,매입원본!$AX$8:$AX$1007,INDEX($R$8:$R$207,$U172),매입원본!$BA$8:$BA$1007,"포함"))</f>
        <v/>
      </c>
      <c r="F172" s="33">
        <f>IF($U172="","",SUMIFS(매입원본!$AU$8:$AU$1007,매입원본!$AX$8:$AX$1007,INDEX($R$8:$R$207,$U172),매입원본!$BA$8:$BA$1007,"포함"))</f>
        <v/>
      </c>
      <c r="G172" s="33">
        <f>IF($U172="","",SUMIFS(매입원본!$AV$8:$AV$1007,매입원본!$AX$8:$AX$1007,INDEX($R$8:$R$207,$U172),매입원본!$BA$8:$BA$1007,"포함"))</f>
        <v/>
      </c>
      <c r="H172" s="34">
        <f>IF(OR($U172="",$E$7=0),"",E172/$E$7)</f>
        <v/>
      </c>
      <c r="I172" s="33">
        <f>IF(OR($U172="",0&gt;=설정!$B$12),"",SUMIFS(매입원본!$AT$8:$AT$1007,매입원본!$AX$8:$AX$1007,INDEX($R$8:$R$207,$U172),매입원본!$BA$8:$BA$1007,"포함",매입원본!$AS$8:$AS$1007,"&gt;="&amp;EDATE(설정!$B$10,0),매입원본!$AS$8:$AS$1007,"&lt;="&amp;EOMONTH(설정!$B$10,0)))</f>
        <v/>
      </c>
      <c r="J172" s="33">
        <f>IF(OR($U172="",1&gt;=설정!$B$12),"",SUMIFS(매입원본!$AT$8:$AT$1007,매입원본!$AX$8:$AX$1007,INDEX($R$8:$R$207,$U172),매입원본!$BA$8:$BA$1007,"포함",매입원본!$AS$8:$AS$1007,"&gt;="&amp;EDATE(설정!$B$10,1),매입원본!$AS$8:$AS$1007,"&lt;="&amp;EOMONTH(설정!$B$10,1)))</f>
        <v/>
      </c>
      <c r="K172" s="33">
        <f>IF(OR($U172="",2&gt;=설정!$B$12),"",SUMIFS(매입원본!$AT$8:$AT$1007,매입원본!$AX$8:$AX$1007,INDEX($R$8:$R$207,$U172),매입원본!$BA$8:$BA$1007,"포함",매입원본!$AS$8:$AS$1007,"&gt;="&amp;EDATE(설정!$B$10,2),매입원본!$AS$8:$AS$1007,"&lt;="&amp;EOMONTH(설정!$B$10,2)))</f>
        <v/>
      </c>
      <c r="L172" s="33">
        <f>IF(OR($U172="",3&gt;=설정!$B$12),"",SUMIFS(매입원본!$AT$8:$AT$1007,매입원본!$AX$8:$AX$1007,INDEX($R$8:$R$207,$U172),매입원본!$BA$8:$BA$1007,"포함",매입원본!$AS$8:$AS$1007,"&gt;="&amp;EDATE(설정!$B$10,3),매입원본!$AS$8:$AS$1007,"&lt;="&amp;EOMONTH(설정!$B$10,3)))</f>
        <v/>
      </c>
      <c r="M172" s="33">
        <f>IF(OR($U172="",4&gt;=설정!$B$12),"",SUMIFS(매입원본!$AT$8:$AT$1007,매입원본!$AX$8:$AX$1007,INDEX($R$8:$R$207,$U172),매입원본!$BA$8:$BA$1007,"포함",매입원본!$AS$8:$AS$1007,"&gt;="&amp;EDATE(설정!$B$10,4),매입원본!$AS$8:$AS$1007,"&lt;="&amp;EOMONTH(설정!$B$10,4)))</f>
        <v/>
      </c>
      <c r="N172" s="33">
        <f>IF(OR($U172="",5&gt;=설정!$B$12),"",SUMIFS(매입원본!$AT$8:$AT$1007,매입원본!$AX$8:$AX$1007,INDEX($R$8:$R$207,$U172),매입원본!$BA$8:$BA$1007,"포함",매입원본!$AS$8:$AS$1007,"&gt;="&amp;EDATE(설정!$B$10,5),매입원본!$AS$8:$AS$1007,"&lt;="&amp;EOMONTH(설정!$B$10,5)))</f>
        <v/>
      </c>
      <c r="Q172" s="35" t="n">
        <v>165</v>
      </c>
      <c r="R172" s="35">
        <f>IFERROR(INDEX(매입원본!$AX$8:$AX$1007,MATCH($Q172,매입원본!$BD$8:$BD$1007,0)),"")</f>
        <v/>
      </c>
      <c r="S172" s="35">
        <f>IF($R172="","",SUMIFS(매입원본!$AT$8:$AT$1007,매입원본!$AX$8:$AX$1007,$R172,매입원본!$BA$8:$BA$1007,"포함"))</f>
        <v/>
      </c>
      <c r="T172" s="35">
        <f>IF($R172="","",$S172-$Q172/100000)</f>
        <v/>
      </c>
      <c r="U172" s="35">
        <f>IFERROR(MATCH(LARGE($T$8:$T$207,165),$T$8:$T$207,0),"")</f>
        <v/>
      </c>
    </row>
    <row r="173">
      <c r="A173" s="32">
        <f>IF($U173="","",166)</f>
        <v/>
      </c>
      <c r="B173" s="10">
        <f>IF($U173="","",IFERROR(INDEX(매입원본!$AZ$8:$AZ$1007,MATCH($U173,매입원본!$BD$8:$BD$1007,0)),""))</f>
        <v/>
      </c>
      <c r="C173" s="10">
        <f>IF($U173="","",IFERROR(INDEX(매입원본!$AY$8:$AY$1007,MATCH($U173,매입원본!$BD$8:$BD$1007,0)),""))</f>
        <v/>
      </c>
      <c r="D173" s="33">
        <f>IF($U173="","",COUNTIFS(매입원본!$AX$8:$AX$1007,INDEX($R$8:$R$207,$U173),매입원본!$BA$8:$BA$1007,"포함"))</f>
        <v/>
      </c>
      <c r="E173" s="33">
        <f>IF($U173="","",SUMIFS(매입원본!$AT$8:$AT$1007,매입원본!$AX$8:$AX$1007,INDEX($R$8:$R$207,$U173),매입원본!$BA$8:$BA$1007,"포함"))</f>
        <v/>
      </c>
      <c r="F173" s="33">
        <f>IF($U173="","",SUMIFS(매입원본!$AU$8:$AU$1007,매입원본!$AX$8:$AX$1007,INDEX($R$8:$R$207,$U173),매입원본!$BA$8:$BA$1007,"포함"))</f>
        <v/>
      </c>
      <c r="G173" s="33">
        <f>IF($U173="","",SUMIFS(매입원본!$AV$8:$AV$1007,매입원본!$AX$8:$AX$1007,INDEX($R$8:$R$207,$U173),매입원본!$BA$8:$BA$1007,"포함"))</f>
        <v/>
      </c>
      <c r="H173" s="34">
        <f>IF(OR($U173="",$E$7=0),"",E173/$E$7)</f>
        <v/>
      </c>
      <c r="I173" s="33">
        <f>IF(OR($U173="",0&gt;=설정!$B$12),"",SUMIFS(매입원본!$AT$8:$AT$1007,매입원본!$AX$8:$AX$1007,INDEX($R$8:$R$207,$U173),매입원본!$BA$8:$BA$1007,"포함",매입원본!$AS$8:$AS$1007,"&gt;="&amp;EDATE(설정!$B$10,0),매입원본!$AS$8:$AS$1007,"&lt;="&amp;EOMONTH(설정!$B$10,0)))</f>
        <v/>
      </c>
      <c r="J173" s="33">
        <f>IF(OR($U173="",1&gt;=설정!$B$12),"",SUMIFS(매입원본!$AT$8:$AT$1007,매입원본!$AX$8:$AX$1007,INDEX($R$8:$R$207,$U173),매입원본!$BA$8:$BA$1007,"포함",매입원본!$AS$8:$AS$1007,"&gt;="&amp;EDATE(설정!$B$10,1),매입원본!$AS$8:$AS$1007,"&lt;="&amp;EOMONTH(설정!$B$10,1)))</f>
        <v/>
      </c>
      <c r="K173" s="33">
        <f>IF(OR($U173="",2&gt;=설정!$B$12),"",SUMIFS(매입원본!$AT$8:$AT$1007,매입원본!$AX$8:$AX$1007,INDEX($R$8:$R$207,$U173),매입원본!$BA$8:$BA$1007,"포함",매입원본!$AS$8:$AS$1007,"&gt;="&amp;EDATE(설정!$B$10,2),매입원본!$AS$8:$AS$1007,"&lt;="&amp;EOMONTH(설정!$B$10,2)))</f>
        <v/>
      </c>
      <c r="L173" s="33">
        <f>IF(OR($U173="",3&gt;=설정!$B$12),"",SUMIFS(매입원본!$AT$8:$AT$1007,매입원본!$AX$8:$AX$1007,INDEX($R$8:$R$207,$U173),매입원본!$BA$8:$BA$1007,"포함",매입원본!$AS$8:$AS$1007,"&gt;="&amp;EDATE(설정!$B$10,3),매입원본!$AS$8:$AS$1007,"&lt;="&amp;EOMONTH(설정!$B$10,3)))</f>
        <v/>
      </c>
      <c r="M173" s="33">
        <f>IF(OR($U173="",4&gt;=설정!$B$12),"",SUMIFS(매입원본!$AT$8:$AT$1007,매입원본!$AX$8:$AX$1007,INDEX($R$8:$R$207,$U173),매입원본!$BA$8:$BA$1007,"포함",매입원본!$AS$8:$AS$1007,"&gt;="&amp;EDATE(설정!$B$10,4),매입원본!$AS$8:$AS$1007,"&lt;="&amp;EOMONTH(설정!$B$10,4)))</f>
        <v/>
      </c>
      <c r="N173" s="33">
        <f>IF(OR($U173="",5&gt;=설정!$B$12),"",SUMIFS(매입원본!$AT$8:$AT$1007,매입원본!$AX$8:$AX$1007,INDEX($R$8:$R$207,$U173),매입원본!$BA$8:$BA$1007,"포함",매입원본!$AS$8:$AS$1007,"&gt;="&amp;EDATE(설정!$B$10,5),매입원본!$AS$8:$AS$1007,"&lt;="&amp;EOMONTH(설정!$B$10,5)))</f>
        <v/>
      </c>
      <c r="Q173" s="35" t="n">
        <v>166</v>
      </c>
      <c r="R173" s="35">
        <f>IFERROR(INDEX(매입원본!$AX$8:$AX$1007,MATCH($Q173,매입원본!$BD$8:$BD$1007,0)),"")</f>
        <v/>
      </c>
      <c r="S173" s="35">
        <f>IF($R173="","",SUMIFS(매입원본!$AT$8:$AT$1007,매입원본!$AX$8:$AX$1007,$R173,매입원본!$BA$8:$BA$1007,"포함"))</f>
        <v/>
      </c>
      <c r="T173" s="35">
        <f>IF($R173="","",$S173-$Q173/100000)</f>
        <v/>
      </c>
      <c r="U173" s="35">
        <f>IFERROR(MATCH(LARGE($T$8:$T$207,166),$T$8:$T$207,0),"")</f>
        <v/>
      </c>
    </row>
    <row r="174">
      <c r="A174" s="32">
        <f>IF($U174="","",167)</f>
        <v/>
      </c>
      <c r="B174" s="10">
        <f>IF($U174="","",IFERROR(INDEX(매입원본!$AZ$8:$AZ$1007,MATCH($U174,매입원본!$BD$8:$BD$1007,0)),""))</f>
        <v/>
      </c>
      <c r="C174" s="10">
        <f>IF($U174="","",IFERROR(INDEX(매입원본!$AY$8:$AY$1007,MATCH($U174,매입원본!$BD$8:$BD$1007,0)),""))</f>
        <v/>
      </c>
      <c r="D174" s="33">
        <f>IF($U174="","",COUNTIFS(매입원본!$AX$8:$AX$1007,INDEX($R$8:$R$207,$U174),매입원본!$BA$8:$BA$1007,"포함"))</f>
        <v/>
      </c>
      <c r="E174" s="33">
        <f>IF($U174="","",SUMIFS(매입원본!$AT$8:$AT$1007,매입원본!$AX$8:$AX$1007,INDEX($R$8:$R$207,$U174),매입원본!$BA$8:$BA$1007,"포함"))</f>
        <v/>
      </c>
      <c r="F174" s="33">
        <f>IF($U174="","",SUMIFS(매입원본!$AU$8:$AU$1007,매입원본!$AX$8:$AX$1007,INDEX($R$8:$R$207,$U174),매입원본!$BA$8:$BA$1007,"포함"))</f>
        <v/>
      </c>
      <c r="G174" s="33">
        <f>IF($U174="","",SUMIFS(매입원본!$AV$8:$AV$1007,매입원본!$AX$8:$AX$1007,INDEX($R$8:$R$207,$U174),매입원본!$BA$8:$BA$1007,"포함"))</f>
        <v/>
      </c>
      <c r="H174" s="34">
        <f>IF(OR($U174="",$E$7=0),"",E174/$E$7)</f>
        <v/>
      </c>
      <c r="I174" s="33">
        <f>IF(OR($U174="",0&gt;=설정!$B$12),"",SUMIFS(매입원본!$AT$8:$AT$1007,매입원본!$AX$8:$AX$1007,INDEX($R$8:$R$207,$U174),매입원본!$BA$8:$BA$1007,"포함",매입원본!$AS$8:$AS$1007,"&gt;="&amp;EDATE(설정!$B$10,0),매입원본!$AS$8:$AS$1007,"&lt;="&amp;EOMONTH(설정!$B$10,0)))</f>
        <v/>
      </c>
      <c r="J174" s="33">
        <f>IF(OR($U174="",1&gt;=설정!$B$12),"",SUMIFS(매입원본!$AT$8:$AT$1007,매입원본!$AX$8:$AX$1007,INDEX($R$8:$R$207,$U174),매입원본!$BA$8:$BA$1007,"포함",매입원본!$AS$8:$AS$1007,"&gt;="&amp;EDATE(설정!$B$10,1),매입원본!$AS$8:$AS$1007,"&lt;="&amp;EOMONTH(설정!$B$10,1)))</f>
        <v/>
      </c>
      <c r="K174" s="33">
        <f>IF(OR($U174="",2&gt;=설정!$B$12),"",SUMIFS(매입원본!$AT$8:$AT$1007,매입원본!$AX$8:$AX$1007,INDEX($R$8:$R$207,$U174),매입원본!$BA$8:$BA$1007,"포함",매입원본!$AS$8:$AS$1007,"&gt;="&amp;EDATE(설정!$B$10,2),매입원본!$AS$8:$AS$1007,"&lt;="&amp;EOMONTH(설정!$B$10,2)))</f>
        <v/>
      </c>
      <c r="L174" s="33">
        <f>IF(OR($U174="",3&gt;=설정!$B$12),"",SUMIFS(매입원본!$AT$8:$AT$1007,매입원본!$AX$8:$AX$1007,INDEX($R$8:$R$207,$U174),매입원본!$BA$8:$BA$1007,"포함",매입원본!$AS$8:$AS$1007,"&gt;="&amp;EDATE(설정!$B$10,3),매입원본!$AS$8:$AS$1007,"&lt;="&amp;EOMONTH(설정!$B$10,3)))</f>
        <v/>
      </c>
      <c r="M174" s="33">
        <f>IF(OR($U174="",4&gt;=설정!$B$12),"",SUMIFS(매입원본!$AT$8:$AT$1007,매입원본!$AX$8:$AX$1007,INDEX($R$8:$R$207,$U174),매입원본!$BA$8:$BA$1007,"포함",매입원본!$AS$8:$AS$1007,"&gt;="&amp;EDATE(설정!$B$10,4),매입원본!$AS$8:$AS$1007,"&lt;="&amp;EOMONTH(설정!$B$10,4)))</f>
        <v/>
      </c>
      <c r="N174" s="33">
        <f>IF(OR($U174="",5&gt;=설정!$B$12),"",SUMIFS(매입원본!$AT$8:$AT$1007,매입원본!$AX$8:$AX$1007,INDEX($R$8:$R$207,$U174),매입원본!$BA$8:$BA$1007,"포함",매입원본!$AS$8:$AS$1007,"&gt;="&amp;EDATE(설정!$B$10,5),매입원본!$AS$8:$AS$1007,"&lt;="&amp;EOMONTH(설정!$B$10,5)))</f>
        <v/>
      </c>
      <c r="Q174" s="35" t="n">
        <v>167</v>
      </c>
      <c r="R174" s="35">
        <f>IFERROR(INDEX(매입원본!$AX$8:$AX$1007,MATCH($Q174,매입원본!$BD$8:$BD$1007,0)),"")</f>
        <v/>
      </c>
      <c r="S174" s="35">
        <f>IF($R174="","",SUMIFS(매입원본!$AT$8:$AT$1007,매입원본!$AX$8:$AX$1007,$R174,매입원본!$BA$8:$BA$1007,"포함"))</f>
        <v/>
      </c>
      <c r="T174" s="35">
        <f>IF($R174="","",$S174-$Q174/100000)</f>
        <v/>
      </c>
      <c r="U174" s="35">
        <f>IFERROR(MATCH(LARGE($T$8:$T$207,167),$T$8:$T$207,0),"")</f>
        <v/>
      </c>
    </row>
    <row r="175">
      <c r="A175" s="32">
        <f>IF($U175="","",168)</f>
        <v/>
      </c>
      <c r="B175" s="10">
        <f>IF($U175="","",IFERROR(INDEX(매입원본!$AZ$8:$AZ$1007,MATCH($U175,매입원본!$BD$8:$BD$1007,0)),""))</f>
        <v/>
      </c>
      <c r="C175" s="10">
        <f>IF($U175="","",IFERROR(INDEX(매입원본!$AY$8:$AY$1007,MATCH($U175,매입원본!$BD$8:$BD$1007,0)),""))</f>
        <v/>
      </c>
      <c r="D175" s="33">
        <f>IF($U175="","",COUNTIFS(매입원본!$AX$8:$AX$1007,INDEX($R$8:$R$207,$U175),매입원본!$BA$8:$BA$1007,"포함"))</f>
        <v/>
      </c>
      <c r="E175" s="33">
        <f>IF($U175="","",SUMIFS(매입원본!$AT$8:$AT$1007,매입원본!$AX$8:$AX$1007,INDEX($R$8:$R$207,$U175),매입원본!$BA$8:$BA$1007,"포함"))</f>
        <v/>
      </c>
      <c r="F175" s="33">
        <f>IF($U175="","",SUMIFS(매입원본!$AU$8:$AU$1007,매입원본!$AX$8:$AX$1007,INDEX($R$8:$R$207,$U175),매입원본!$BA$8:$BA$1007,"포함"))</f>
        <v/>
      </c>
      <c r="G175" s="33">
        <f>IF($U175="","",SUMIFS(매입원본!$AV$8:$AV$1007,매입원본!$AX$8:$AX$1007,INDEX($R$8:$R$207,$U175),매입원본!$BA$8:$BA$1007,"포함"))</f>
        <v/>
      </c>
      <c r="H175" s="34">
        <f>IF(OR($U175="",$E$7=0),"",E175/$E$7)</f>
        <v/>
      </c>
      <c r="I175" s="33">
        <f>IF(OR($U175="",0&gt;=설정!$B$12),"",SUMIFS(매입원본!$AT$8:$AT$1007,매입원본!$AX$8:$AX$1007,INDEX($R$8:$R$207,$U175),매입원본!$BA$8:$BA$1007,"포함",매입원본!$AS$8:$AS$1007,"&gt;="&amp;EDATE(설정!$B$10,0),매입원본!$AS$8:$AS$1007,"&lt;="&amp;EOMONTH(설정!$B$10,0)))</f>
        <v/>
      </c>
      <c r="J175" s="33">
        <f>IF(OR($U175="",1&gt;=설정!$B$12),"",SUMIFS(매입원본!$AT$8:$AT$1007,매입원본!$AX$8:$AX$1007,INDEX($R$8:$R$207,$U175),매입원본!$BA$8:$BA$1007,"포함",매입원본!$AS$8:$AS$1007,"&gt;="&amp;EDATE(설정!$B$10,1),매입원본!$AS$8:$AS$1007,"&lt;="&amp;EOMONTH(설정!$B$10,1)))</f>
        <v/>
      </c>
      <c r="K175" s="33">
        <f>IF(OR($U175="",2&gt;=설정!$B$12),"",SUMIFS(매입원본!$AT$8:$AT$1007,매입원본!$AX$8:$AX$1007,INDEX($R$8:$R$207,$U175),매입원본!$BA$8:$BA$1007,"포함",매입원본!$AS$8:$AS$1007,"&gt;="&amp;EDATE(설정!$B$10,2),매입원본!$AS$8:$AS$1007,"&lt;="&amp;EOMONTH(설정!$B$10,2)))</f>
        <v/>
      </c>
      <c r="L175" s="33">
        <f>IF(OR($U175="",3&gt;=설정!$B$12),"",SUMIFS(매입원본!$AT$8:$AT$1007,매입원본!$AX$8:$AX$1007,INDEX($R$8:$R$207,$U175),매입원본!$BA$8:$BA$1007,"포함",매입원본!$AS$8:$AS$1007,"&gt;="&amp;EDATE(설정!$B$10,3),매입원본!$AS$8:$AS$1007,"&lt;="&amp;EOMONTH(설정!$B$10,3)))</f>
        <v/>
      </c>
      <c r="M175" s="33">
        <f>IF(OR($U175="",4&gt;=설정!$B$12),"",SUMIFS(매입원본!$AT$8:$AT$1007,매입원본!$AX$8:$AX$1007,INDEX($R$8:$R$207,$U175),매입원본!$BA$8:$BA$1007,"포함",매입원본!$AS$8:$AS$1007,"&gt;="&amp;EDATE(설정!$B$10,4),매입원본!$AS$8:$AS$1007,"&lt;="&amp;EOMONTH(설정!$B$10,4)))</f>
        <v/>
      </c>
      <c r="N175" s="33">
        <f>IF(OR($U175="",5&gt;=설정!$B$12),"",SUMIFS(매입원본!$AT$8:$AT$1007,매입원본!$AX$8:$AX$1007,INDEX($R$8:$R$207,$U175),매입원본!$BA$8:$BA$1007,"포함",매입원본!$AS$8:$AS$1007,"&gt;="&amp;EDATE(설정!$B$10,5),매입원본!$AS$8:$AS$1007,"&lt;="&amp;EOMONTH(설정!$B$10,5)))</f>
        <v/>
      </c>
      <c r="Q175" s="35" t="n">
        <v>168</v>
      </c>
      <c r="R175" s="35">
        <f>IFERROR(INDEX(매입원본!$AX$8:$AX$1007,MATCH($Q175,매입원본!$BD$8:$BD$1007,0)),"")</f>
        <v/>
      </c>
      <c r="S175" s="35">
        <f>IF($R175="","",SUMIFS(매입원본!$AT$8:$AT$1007,매입원본!$AX$8:$AX$1007,$R175,매입원본!$BA$8:$BA$1007,"포함"))</f>
        <v/>
      </c>
      <c r="T175" s="35">
        <f>IF($R175="","",$S175-$Q175/100000)</f>
        <v/>
      </c>
      <c r="U175" s="35">
        <f>IFERROR(MATCH(LARGE($T$8:$T$207,168),$T$8:$T$207,0),"")</f>
        <v/>
      </c>
    </row>
    <row r="176">
      <c r="A176" s="32">
        <f>IF($U176="","",169)</f>
        <v/>
      </c>
      <c r="B176" s="10">
        <f>IF($U176="","",IFERROR(INDEX(매입원본!$AZ$8:$AZ$1007,MATCH($U176,매입원본!$BD$8:$BD$1007,0)),""))</f>
        <v/>
      </c>
      <c r="C176" s="10">
        <f>IF($U176="","",IFERROR(INDEX(매입원본!$AY$8:$AY$1007,MATCH($U176,매입원본!$BD$8:$BD$1007,0)),""))</f>
        <v/>
      </c>
      <c r="D176" s="33">
        <f>IF($U176="","",COUNTIFS(매입원본!$AX$8:$AX$1007,INDEX($R$8:$R$207,$U176),매입원본!$BA$8:$BA$1007,"포함"))</f>
        <v/>
      </c>
      <c r="E176" s="33">
        <f>IF($U176="","",SUMIFS(매입원본!$AT$8:$AT$1007,매입원본!$AX$8:$AX$1007,INDEX($R$8:$R$207,$U176),매입원본!$BA$8:$BA$1007,"포함"))</f>
        <v/>
      </c>
      <c r="F176" s="33">
        <f>IF($U176="","",SUMIFS(매입원본!$AU$8:$AU$1007,매입원본!$AX$8:$AX$1007,INDEX($R$8:$R$207,$U176),매입원본!$BA$8:$BA$1007,"포함"))</f>
        <v/>
      </c>
      <c r="G176" s="33">
        <f>IF($U176="","",SUMIFS(매입원본!$AV$8:$AV$1007,매입원본!$AX$8:$AX$1007,INDEX($R$8:$R$207,$U176),매입원본!$BA$8:$BA$1007,"포함"))</f>
        <v/>
      </c>
      <c r="H176" s="34">
        <f>IF(OR($U176="",$E$7=0),"",E176/$E$7)</f>
        <v/>
      </c>
      <c r="I176" s="33">
        <f>IF(OR($U176="",0&gt;=설정!$B$12),"",SUMIFS(매입원본!$AT$8:$AT$1007,매입원본!$AX$8:$AX$1007,INDEX($R$8:$R$207,$U176),매입원본!$BA$8:$BA$1007,"포함",매입원본!$AS$8:$AS$1007,"&gt;="&amp;EDATE(설정!$B$10,0),매입원본!$AS$8:$AS$1007,"&lt;="&amp;EOMONTH(설정!$B$10,0)))</f>
        <v/>
      </c>
      <c r="J176" s="33">
        <f>IF(OR($U176="",1&gt;=설정!$B$12),"",SUMIFS(매입원본!$AT$8:$AT$1007,매입원본!$AX$8:$AX$1007,INDEX($R$8:$R$207,$U176),매입원본!$BA$8:$BA$1007,"포함",매입원본!$AS$8:$AS$1007,"&gt;="&amp;EDATE(설정!$B$10,1),매입원본!$AS$8:$AS$1007,"&lt;="&amp;EOMONTH(설정!$B$10,1)))</f>
        <v/>
      </c>
      <c r="K176" s="33">
        <f>IF(OR($U176="",2&gt;=설정!$B$12),"",SUMIFS(매입원본!$AT$8:$AT$1007,매입원본!$AX$8:$AX$1007,INDEX($R$8:$R$207,$U176),매입원본!$BA$8:$BA$1007,"포함",매입원본!$AS$8:$AS$1007,"&gt;="&amp;EDATE(설정!$B$10,2),매입원본!$AS$8:$AS$1007,"&lt;="&amp;EOMONTH(설정!$B$10,2)))</f>
        <v/>
      </c>
      <c r="L176" s="33">
        <f>IF(OR($U176="",3&gt;=설정!$B$12),"",SUMIFS(매입원본!$AT$8:$AT$1007,매입원본!$AX$8:$AX$1007,INDEX($R$8:$R$207,$U176),매입원본!$BA$8:$BA$1007,"포함",매입원본!$AS$8:$AS$1007,"&gt;="&amp;EDATE(설정!$B$10,3),매입원본!$AS$8:$AS$1007,"&lt;="&amp;EOMONTH(설정!$B$10,3)))</f>
        <v/>
      </c>
      <c r="M176" s="33">
        <f>IF(OR($U176="",4&gt;=설정!$B$12),"",SUMIFS(매입원본!$AT$8:$AT$1007,매입원본!$AX$8:$AX$1007,INDEX($R$8:$R$207,$U176),매입원본!$BA$8:$BA$1007,"포함",매입원본!$AS$8:$AS$1007,"&gt;="&amp;EDATE(설정!$B$10,4),매입원본!$AS$8:$AS$1007,"&lt;="&amp;EOMONTH(설정!$B$10,4)))</f>
        <v/>
      </c>
      <c r="N176" s="33">
        <f>IF(OR($U176="",5&gt;=설정!$B$12),"",SUMIFS(매입원본!$AT$8:$AT$1007,매입원본!$AX$8:$AX$1007,INDEX($R$8:$R$207,$U176),매입원본!$BA$8:$BA$1007,"포함",매입원본!$AS$8:$AS$1007,"&gt;="&amp;EDATE(설정!$B$10,5),매입원본!$AS$8:$AS$1007,"&lt;="&amp;EOMONTH(설정!$B$10,5)))</f>
        <v/>
      </c>
      <c r="Q176" s="35" t="n">
        <v>169</v>
      </c>
      <c r="R176" s="35">
        <f>IFERROR(INDEX(매입원본!$AX$8:$AX$1007,MATCH($Q176,매입원본!$BD$8:$BD$1007,0)),"")</f>
        <v/>
      </c>
      <c r="S176" s="35">
        <f>IF($R176="","",SUMIFS(매입원본!$AT$8:$AT$1007,매입원본!$AX$8:$AX$1007,$R176,매입원본!$BA$8:$BA$1007,"포함"))</f>
        <v/>
      </c>
      <c r="T176" s="35">
        <f>IF($R176="","",$S176-$Q176/100000)</f>
        <v/>
      </c>
      <c r="U176" s="35">
        <f>IFERROR(MATCH(LARGE($T$8:$T$207,169),$T$8:$T$207,0),"")</f>
        <v/>
      </c>
    </row>
    <row r="177">
      <c r="A177" s="32">
        <f>IF($U177="","",170)</f>
        <v/>
      </c>
      <c r="B177" s="10">
        <f>IF($U177="","",IFERROR(INDEX(매입원본!$AZ$8:$AZ$1007,MATCH($U177,매입원본!$BD$8:$BD$1007,0)),""))</f>
        <v/>
      </c>
      <c r="C177" s="10">
        <f>IF($U177="","",IFERROR(INDEX(매입원본!$AY$8:$AY$1007,MATCH($U177,매입원본!$BD$8:$BD$1007,0)),""))</f>
        <v/>
      </c>
      <c r="D177" s="33">
        <f>IF($U177="","",COUNTIFS(매입원본!$AX$8:$AX$1007,INDEX($R$8:$R$207,$U177),매입원본!$BA$8:$BA$1007,"포함"))</f>
        <v/>
      </c>
      <c r="E177" s="33">
        <f>IF($U177="","",SUMIFS(매입원본!$AT$8:$AT$1007,매입원본!$AX$8:$AX$1007,INDEX($R$8:$R$207,$U177),매입원본!$BA$8:$BA$1007,"포함"))</f>
        <v/>
      </c>
      <c r="F177" s="33">
        <f>IF($U177="","",SUMIFS(매입원본!$AU$8:$AU$1007,매입원본!$AX$8:$AX$1007,INDEX($R$8:$R$207,$U177),매입원본!$BA$8:$BA$1007,"포함"))</f>
        <v/>
      </c>
      <c r="G177" s="33">
        <f>IF($U177="","",SUMIFS(매입원본!$AV$8:$AV$1007,매입원본!$AX$8:$AX$1007,INDEX($R$8:$R$207,$U177),매입원본!$BA$8:$BA$1007,"포함"))</f>
        <v/>
      </c>
      <c r="H177" s="34">
        <f>IF(OR($U177="",$E$7=0),"",E177/$E$7)</f>
        <v/>
      </c>
      <c r="I177" s="33">
        <f>IF(OR($U177="",0&gt;=설정!$B$12),"",SUMIFS(매입원본!$AT$8:$AT$1007,매입원본!$AX$8:$AX$1007,INDEX($R$8:$R$207,$U177),매입원본!$BA$8:$BA$1007,"포함",매입원본!$AS$8:$AS$1007,"&gt;="&amp;EDATE(설정!$B$10,0),매입원본!$AS$8:$AS$1007,"&lt;="&amp;EOMONTH(설정!$B$10,0)))</f>
        <v/>
      </c>
      <c r="J177" s="33">
        <f>IF(OR($U177="",1&gt;=설정!$B$12),"",SUMIFS(매입원본!$AT$8:$AT$1007,매입원본!$AX$8:$AX$1007,INDEX($R$8:$R$207,$U177),매입원본!$BA$8:$BA$1007,"포함",매입원본!$AS$8:$AS$1007,"&gt;="&amp;EDATE(설정!$B$10,1),매입원본!$AS$8:$AS$1007,"&lt;="&amp;EOMONTH(설정!$B$10,1)))</f>
        <v/>
      </c>
      <c r="K177" s="33">
        <f>IF(OR($U177="",2&gt;=설정!$B$12),"",SUMIFS(매입원본!$AT$8:$AT$1007,매입원본!$AX$8:$AX$1007,INDEX($R$8:$R$207,$U177),매입원본!$BA$8:$BA$1007,"포함",매입원본!$AS$8:$AS$1007,"&gt;="&amp;EDATE(설정!$B$10,2),매입원본!$AS$8:$AS$1007,"&lt;="&amp;EOMONTH(설정!$B$10,2)))</f>
        <v/>
      </c>
      <c r="L177" s="33">
        <f>IF(OR($U177="",3&gt;=설정!$B$12),"",SUMIFS(매입원본!$AT$8:$AT$1007,매입원본!$AX$8:$AX$1007,INDEX($R$8:$R$207,$U177),매입원본!$BA$8:$BA$1007,"포함",매입원본!$AS$8:$AS$1007,"&gt;="&amp;EDATE(설정!$B$10,3),매입원본!$AS$8:$AS$1007,"&lt;="&amp;EOMONTH(설정!$B$10,3)))</f>
        <v/>
      </c>
      <c r="M177" s="33">
        <f>IF(OR($U177="",4&gt;=설정!$B$12),"",SUMIFS(매입원본!$AT$8:$AT$1007,매입원본!$AX$8:$AX$1007,INDEX($R$8:$R$207,$U177),매입원본!$BA$8:$BA$1007,"포함",매입원본!$AS$8:$AS$1007,"&gt;="&amp;EDATE(설정!$B$10,4),매입원본!$AS$8:$AS$1007,"&lt;="&amp;EOMONTH(설정!$B$10,4)))</f>
        <v/>
      </c>
      <c r="N177" s="33">
        <f>IF(OR($U177="",5&gt;=설정!$B$12),"",SUMIFS(매입원본!$AT$8:$AT$1007,매입원본!$AX$8:$AX$1007,INDEX($R$8:$R$207,$U177),매입원본!$BA$8:$BA$1007,"포함",매입원본!$AS$8:$AS$1007,"&gt;="&amp;EDATE(설정!$B$10,5),매입원본!$AS$8:$AS$1007,"&lt;="&amp;EOMONTH(설정!$B$10,5)))</f>
        <v/>
      </c>
      <c r="Q177" s="35" t="n">
        <v>170</v>
      </c>
      <c r="R177" s="35">
        <f>IFERROR(INDEX(매입원본!$AX$8:$AX$1007,MATCH($Q177,매입원본!$BD$8:$BD$1007,0)),"")</f>
        <v/>
      </c>
      <c r="S177" s="35">
        <f>IF($R177="","",SUMIFS(매입원본!$AT$8:$AT$1007,매입원본!$AX$8:$AX$1007,$R177,매입원본!$BA$8:$BA$1007,"포함"))</f>
        <v/>
      </c>
      <c r="T177" s="35">
        <f>IF($R177="","",$S177-$Q177/100000)</f>
        <v/>
      </c>
      <c r="U177" s="35">
        <f>IFERROR(MATCH(LARGE($T$8:$T$207,170),$T$8:$T$207,0),"")</f>
        <v/>
      </c>
    </row>
    <row r="178">
      <c r="A178" s="32">
        <f>IF($U178="","",171)</f>
        <v/>
      </c>
      <c r="B178" s="10">
        <f>IF($U178="","",IFERROR(INDEX(매입원본!$AZ$8:$AZ$1007,MATCH($U178,매입원본!$BD$8:$BD$1007,0)),""))</f>
        <v/>
      </c>
      <c r="C178" s="10">
        <f>IF($U178="","",IFERROR(INDEX(매입원본!$AY$8:$AY$1007,MATCH($U178,매입원본!$BD$8:$BD$1007,0)),""))</f>
        <v/>
      </c>
      <c r="D178" s="33">
        <f>IF($U178="","",COUNTIFS(매입원본!$AX$8:$AX$1007,INDEX($R$8:$R$207,$U178),매입원본!$BA$8:$BA$1007,"포함"))</f>
        <v/>
      </c>
      <c r="E178" s="33">
        <f>IF($U178="","",SUMIFS(매입원본!$AT$8:$AT$1007,매입원본!$AX$8:$AX$1007,INDEX($R$8:$R$207,$U178),매입원본!$BA$8:$BA$1007,"포함"))</f>
        <v/>
      </c>
      <c r="F178" s="33">
        <f>IF($U178="","",SUMIFS(매입원본!$AU$8:$AU$1007,매입원본!$AX$8:$AX$1007,INDEX($R$8:$R$207,$U178),매입원본!$BA$8:$BA$1007,"포함"))</f>
        <v/>
      </c>
      <c r="G178" s="33">
        <f>IF($U178="","",SUMIFS(매입원본!$AV$8:$AV$1007,매입원본!$AX$8:$AX$1007,INDEX($R$8:$R$207,$U178),매입원본!$BA$8:$BA$1007,"포함"))</f>
        <v/>
      </c>
      <c r="H178" s="34">
        <f>IF(OR($U178="",$E$7=0),"",E178/$E$7)</f>
        <v/>
      </c>
      <c r="I178" s="33">
        <f>IF(OR($U178="",0&gt;=설정!$B$12),"",SUMIFS(매입원본!$AT$8:$AT$1007,매입원본!$AX$8:$AX$1007,INDEX($R$8:$R$207,$U178),매입원본!$BA$8:$BA$1007,"포함",매입원본!$AS$8:$AS$1007,"&gt;="&amp;EDATE(설정!$B$10,0),매입원본!$AS$8:$AS$1007,"&lt;="&amp;EOMONTH(설정!$B$10,0)))</f>
        <v/>
      </c>
      <c r="J178" s="33">
        <f>IF(OR($U178="",1&gt;=설정!$B$12),"",SUMIFS(매입원본!$AT$8:$AT$1007,매입원본!$AX$8:$AX$1007,INDEX($R$8:$R$207,$U178),매입원본!$BA$8:$BA$1007,"포함",매입원본!$AS$8:$AS$1007,"&gt;="&amp;EDATE(설정!$B$10,1),매입원본!$AS$8:$AS$1007,"&lt;="&amp;EOMONTH(설정!$B$10,1)))</f>
        <v/>
      </c>
      <c r="K178" s="33">
        <f>IF(OR($U178="",2&gt;=설정!$B$12),"",SUMIFS(매입원본!$AT$8:$AT$1007,매입원본!$AX$8:$AX$1007,INDEX($R$8:$R$207,$U178),매입원본!$BA$8:$BA$1007,"포함",매입원본!$AS$8:$AS$1007,"&gt;="&amp;EDATE(설정!$B$10,2),매입원본!$AS$8:$AS$1007,"&lt;="&amp;EOMONTH(설정!$B$10,2)))</f>
        <v/>
      </c>
      <c r="L178" s="33">
        <f>IF(OR($U178="",3&gt;=설정!$B$12),"",SUMIFS(매입원본!$AT$8:$AT$1007,매입원본!$AX$8:$AX$1007,INDEX($R$8:$R$207,$U178),매입원본!$BA$8:$BA$1007,"포함",매입원본!$AS$8:$AS$1007,"&gt;="&amp;EDATE(설정!$B$10,3),매입원본!$AS$8:$AS$1007,"&lt;="&amp;EOMONTH(설정!$B$10,3)))</f>
        <v/>
      </c>
      <c r="M178" s="33">
        <f>IF(OR($U178="",4&gt;=설정!$B$12),"",SUMIFS(매입원본!$AT$8:$AT$1007,매입원본!$AX$8:$AX$1007,INDEX($R$8:$R$207,$U178),매입원본!$BA$8:$BA$1007,"포함",매입원본!$AS$8:$AS$1007,"&gt;="&amp;EDATE(설정!$B$10,4),매입원본!$AS$8:$AS$1007,"&lt;="&amp;EOMONTH(설정!$B$10,4)))</f>
        <v/>
      </c>
      <c r="N178" s="33">
        <f>IF(OR($U178="",5&gt;=설정!$B$12),"",SUMIFS(매입원본!$AT$8:$AT$1007,매입원본!$AX$8:$AX$1007,INDEX($R$8:$R$207,$U178),매입원본!$BA$8:$BA$1007,"포함",매입원본!$AS$8:$AS$1007,"&gt;="&amp;EDATE(설정!$B$10,5),매입원본!$AS$8:$AS$1007,"&lt;="&amp;EOMONTH(설정!$B$10,5)))</f>
        <v/>
      </c>
      <c r="Q178" s="35" t="n">
        <v>171</v>
      </c>
      <c r="R178" s="35">
        <f>IFERROR(INDEX(매입원본!$AX$8:$AX$1007,MATCH($Q178,매입원본!$BD$8:$BD$1007,0)),"")</f>
        <v/>
      </c>
      <c r="S178" s="35">
        <f>IF($R178="","",SUMIFS(매입원본!$AT$8:$AT$1007,매입원본!$AX$8:$AX$1007,$R178,매입원본!$BA$8:$BA$1007,"포함"))</f>
        <v/>
      </c>
      <c r="T178" s="35">
        <f>IF($R178="","",$S178-$Q178/100000)</f>
        <v/>
      </c>
      <c r="U178" s="35">
        <f>IFERROR(MATCH(LARGE($T$8:$T$207,171),$T$8:$T$207,0),"")</f>
        <v/>
      </c>
    </row>
    <row r="179">
      <c r="A179" s="32">
        <f>IF($U179="","",172)</f>
        <v/>
      </c>
      <c r="B179" s="10">
        <f>IF($U179="","",IFERROR(INDEX(매입원본!$AZ$8:$AZ$1007,MATCH($U179,매입원본!$BD$8:$BD$1007,0)),""))</f>
        <v/>
      </c>
      <c r="C179" s="10">
        <f>IF($U179="","",IFERROR(INDEX(매입원본!$AY$8:$AY$1007,MATCH($U179,매입원본!$BD$8:$BD$1007,0)),""))</f>
        <v/>
      </c>
      <c r="D179" s="33">
        <f>IF($U179="","",COUNTIFS(매입원본!$AX$8:$AX$1007,INDEX($R$8:$R$207,$U179),매입원본!$BA$8:$BA$1007,"포함"))</f>
        <v/>
      </c>
      <c r="E179" s="33">
        <f>IF($U179="","",SUMIFS(매입원본!$AT$8:$AT$1007,매입원본!$AX$8:$AX$1007,INDEX($R$8:$R$207,$U179),매입원본!$BA$8:$BA$1007,"포함"))</f>
        <v/>
      </c>
      <c r="F179" s="33">
        <f>IF($U179="","",SUMIFS(매입원본!$AU$8:$AU$1007,매입원본!$AX$8:$AX$1007,INDEX($R$8:$R$207,$U179),매입원본!$BA$8:$BA$1007,"포함"))</f>
        <v/>
      </c>
      <c r="G179" s="33">
        <f>IF($U179="","",SUMIFS(매입원본!$AV$8:$AV$1007,매입원본!$AX$8:$AX$1007,INDEX($R$8:$R$207,$U179),매입원본!$BA$8:$BA$1007,"포함"))</f>
        <v/>
      </c>
      <c r="H179" s="34">
        <f>IF(OR($U179="",$E$7=0),"",E179/$E$7)</f>
        <v/>
      </c>
      <c r="I179" s="33">
        <f>IF(OR($U179="",0&gt;=설정!$B$12),"",SUMIFS(매입원본!$AT$8:$AT$1007,매입원본!$AX$8:$AX$1007,INDEX($R$8:$R$207,$U179),매입원본!$BA$8:$BA$1007,"포함",매입원본!$AS$8:$AS$1007,"&gt;="&amp;EDATE(설정!$B$10,0),매입원본!$AS$8:$AS$1007,"&lt;="&amp;EOMONTH(설정!$B$10,0)))</f>
        <v/>
      </c>
      <c r="J179" s="33">
        <f>IF(OR($U179="",1&gt;=설정!$B$12),"",SUMIFS(매입원본!$AT$8:$AT$1007,매입원본!$AX$8:$AX$1007,INDEX($R$8:$R$207,$U179),매입원본!$BA$8:$BA$1007,"포함",매입원본!$AS$8:$AS$1007,"&gt;="&amp;EDATE(설정!$B$10,1),매입원본!$AS$8:$AS$1007,"&lt;="&amp;EOMONTH(설정!$B$10,1)))</f>
        <v/>
      </c>
      <c r="K179" s="33">
        <f>IF(OR($U179="",2&gt;=설정!$B$12),"",SUMIFS(매입원본!$AT$8:$AT$1007,매입원본!$AX$8:$AX$1007,INDEX($R$8:$R$207,$U179),매입원본!$BA$8:$BA$1007,"포함",매입원본!$AS$8:$AS$1007,"&gt;="&amp;EDATE(설정!$B$10,2),매입원본!$AS$8:$AS$1007,"&lt;="&amp;EOMONTH(설정!$B$10,2)))</f>
        <v/>
      </c>
      <c r="L179" s="33">
        <f>IF(OR($U179="",3&gt;=설정!$B$12),"",SUMIFS(매입원본!$AT$8:$AT$1007,매입원본!$AX$8:$AX$1007,INDEX($R$8:$R$207,$U179),매입원본!$BA$8:$BA$1007,"포함",매입원본!$AS$8:$AS$1007,"&gt;="&amp;EDATE(설정!$B$10,3),매입원본!$AS$8:$AS$1007,"&lt;="&amp;EOMONTH(설정!$B$10,3)))</f>
        <v/>
      </c>
      <c r="M179" s="33">
        <f>IF(OR($U179="",4&gt;=설정!$B$12),"",SUMIFS(매입원본!$AT$8:$AT$1007,매입원본!$AX$8:$AX$1007,INDEX($R$8:$R$207,$U179),매입원본!$BA$8:$BA$1007,"포함",매입원본!$AS$8:$AS$1007,"&gt;="&amp;EDATE(설정!$B$10,4),매입원본!$AS$8:$AS$1007,"&lt;="&amp;EOMONTH(설정!$B$10,4)))</f>
        <v/>
      </c>
      <c r="N179" s="33">
        <f>IF(OR($U179="",5&gt;=설정!$B$12),"",SUMIFS(매입원본!$AT$8:$AT$1007,매입원본!$AX$8:$AX$1007,INDEX($R$8:$R$207,$U179),매입원본!$BA$8:$BA$1007,"포함",매입원본!$AS$8:$AS$1007,"&gt;="&amp;EDATE(설정!$B$10,5),매입원본!$AS$8:$AS$1007,"&lt;="&amp;EOMONTH(설정!$B$10,5)))</f>
        <v/>
      </c>
      <c r="Q179" s="35" t="n">
        <v>172</v>
      </c>
      <c r="R179" s="35">
        <f>IFERROR(INDEX(매입원본!$AX$8:$AX$1007,MATCH($Q179,매입원본!$BD$8:$BD$1007,0)),"")</f>
        <v/>
      </c>
      <c r="S179" s="35">
        <f>IF($R179="","",SUMIFS(매입원본!$AT$8:$AT$1007,매입원본!$AX$8:$AX$1007,$R179,매입원본!$BA$8:$BA$1007,"포함"))</f>
        <v/>
      </c>
      <c r="T179" s="35">
        <f>IF($R179="","",$S179-$Q179/100000)</f>
        <v/>
      </c>
      <c r="U179" s="35">
        <f>IFERROR(MATCH(LARGE($T$8:$T$207,172),$T$8:$T$207,0),"")</f>
        <v/>
      </c>
    </row>
    <row r="180">
      <c r="A180" s="32">
        <f>IF($U180="","",173)</f>
        <v/>
      </c>
      <c r="B180" s="10">
        <f>IF($U180="","",IFERROR(INDEX(매입원본!$AZ$8:$AZ$1007,MATCH($U180,매입원본!$BD$8:$BD$1007,0)),""))</f>
        <v/>
      </c>
      <c r="C180" s="10">
        <f>IF($U180="","",IFERROR(INDEX(매입원본!$AY$8:$AY$1007,MATCH($U180,매입원본!$BD$8:$BD$1007,0)),""))</f>
        <v/>
      </c>
      <c r="D180" s="33">
        <f>IF($U180="","",COUNTIFS(매입원본!$AX$8:$AX$1007,INDEX($R$8:$R$207,$U180),매입원본!$BA$8:$BA$1007,"포함"))</f>
        <v/>
      </c>
      <c r="E180" s="33">
        <f>IF($U180="","",SUMIFS(매입원본!$AT$8:$AT$1007,매입원본!$AX$8:$AX$1007,INDEX($R$8:$R$207,$U180),매입원본!$BA$8:$BA$1007,"포함"))</f>
        <v/>
      </c>
      <c r="F180" s="33">
        <f>IF($U180="","",SUMIFS(매입원본!$AU$8:$AU$1007,매입원본!$AX$8:$AX$1007,INDEX($R$8:$R$207,$U180),매입원본!$BA$8:$BA$1007,"포함"))</f>
        <v/>
      </c>
      <c r="G180" s="33">
        <f>IF($U180="","",SUMIFS(매입원본!$AV$8:$AV$1007,매입원본!$AX$8:$AX$1007,INDEX($R$8:$R$207,$U180),매입원본!$BA$8:$BA$1007,"포함"))</f>
        <v/>
      </c>
      <c r="H180" s="34">
        <f>IF(OR($U180="",$E$7=0),"",E180/$E$7)</f>
        <v/>
      </c>
      <c r="I180" s="33">
        <f>IF(OR($U180="",0&gt;=설정!$B$12),"",SUMIFS(매입원본!$AT$8:$AT$1007,매입원본!$AX$8:$AX$1007,INDEX($R$8:$R$207,$U180),매입원본!$BA$8:$BA$1007,"포함",매입원본!$AS$8:$AS$1007,"&gt;="&amp;EDATE(설정!$B$10,0),매입원본!$AS$8:$AS$1007,"&lt;="&amp;EOMONTH(설정!$B$10,0)))</f>
        <v/>
      </c>
      <c r="J180" s="33">
        <f>IF(OR($U180="",1&gt;=설정!$B$12),"",SUMIFS(매입원본!$AT$8:$AT$1007,매입원본!$AX$8:$AX$1007,INDEX($R$8:$R$207,$U180),매입원본!$BA$8:$BA$1007,"포함",매입원본!$AS$8:$AS$1007,"&gt;="&amp;EDATE(설정!$B$10,1),매입원본!$AS$8:$AS$1007,"&lt;="&amp;EOMONTH(설정!$B$10,1)))</f>
        <v/>
      </c>
      <c r="K180" s="33">
        <f>IF(OR($U180="",2&gt;=설정!$B$12),"",SUMIFS(매입원본!$AT$8:$AT$1007,매입원본!$AX$8:$AX$1007,INDEX($R$8:$R$207,$U180),매입원본!$BA$8:$BA$1007,"포함",매입원본!$AS$8:$AS$1007,"&gt;="&amp;EDATE(설정!$B$10,2),매입원본!$AS$8:$AS$1007,"&lt;="&amp;EOMONTH(설정!$B$10,2)))</f>
        <v/>
      </c>
      <c r="L180" s="33">
        <f>IF(OR($U180="",3&gt;=설정!$B$12),"",SUMIFS(매입원본!$AT$8:$AT$1007,매입원본!$AX$8:$AX$1007,INDEX($R$8:$R$207,$U180),매입원본!$BA$8:$BA$1007,"포함",매입원본!$AS$8:$AS$1007,"&gt;="&amp;EDATE(설정!$B$10,3),매입원본!$AS$8:$AS$1007,"&lt;="&amp;EOMONTH(설정!$B$10,3)))</f>
        <v/>
      </c>
      <c r="M180" s="33">
        <f>IF(OR($U180="",4&gt;=설정!$B$12),"",SUMIFS(매입원본!$AT$8:$AT$1007,매입원본!$AX$8:$AX$1007,INDEX($R$8:$R$207,$U180),매입원본!$BA$8:$BA$1007,"포함",매입원본!$AS$8:$AS$1007,"&gt;="&amp;EDATE(설정!$B$10,4),매입원본!$AS$8:$AS$1007,"&lt;="&amp;EOMONTH(설정!$B$10,4)))</f>
        <v/>
      </c>
      <c r="N180" s="33">
        <f>IF(OR($U180="",5&gt;=설정!$B$12),"",SUMIFS(매입원본!$AT$8:$AT$1007,매입원본!$AX$8:$AX$1007,INDEX($R$8:$R$207,$U180),매입원본!$BA$8:$BA$1007,"포함",매입원본!$AS$8:$AS$1007,"&gt;="&amp;EDATE(설정!$B$10,5),매입원본!$AS$8:$AS$1007,"&lt;="&amp;EOMONTH(설정!$B$10,5)))</f>
        <v/>
      </c>
      <c r="Q180" s="35" t="n">
        <v>173</v>
      </c>
      <c r="R180" s="35">
        <f>IFERROR(INDEX(매입원본!$AX$8:$AX$1007,MATCH($Q180,매입원본!$BD$8:$BD$1007,0)),"")</f>
        <v/>
      </c>
      <c r="S180" s="35">
        <f>IF($R180="","",SUMIFS(매입원본!$AT$8:$AT$1007,매입원본!$AX$8:$AX$1007,$R180,매입원본!$BA$8:$BA$1007,"포함"))</f>
        <v/>
      </c>
      <c r="T180" s="35">
        <f>IF($R180="","",$S180-$Q180/100000)</f>
        <v/>
      </c>
      <c r="U180" s="35">
        <f>IFERROR(MATCH(LARGE($T$8:$T$207,173),$T$8:$T$207,0),"")</f>
        <v/>
      </c>
    </row>
    <row r="181">
      <c r="A181" s="32">
        <f>IF($U181="","",174)</f>
        <v/>
      </c>
      <c r="B181" s="10">
        <f>IF($U181="","",IFERROR(INDEX(매입원본!$AZ$8:$AZ$1007,MATCH($U181,매입원본!$BD$8:$BD$1007,0)),""))</f>
        <v/>
      </c>
      <c r="C181" s="10">
        <f>IF($U181="","",IFERROR(INDEX(매입원본!$AY$8:$AY$1007,MATCH($U181,매입원본!$BD$8:$BD$1007,0)),""))</f>
        <v/>
      </c>
      <c r="D181" s="33">
        <f>IF($U181="","",COUNTIFS(매입원본!$AX$8:$AX$1007,INDEX($R$8:$R$207,$U181),매입원본!$BA$8:$BA$1007,"포함"))</f>
        <v/>
      </c>
      <c r="E181" s="33">
        <f>IF($U181="","",SUMIFS(매입원본!$AT$8:$AT$1007,매입원본!$AX$8:$AX$1007,INDEX($R$8:$R$207,$U181),매입원본!$BA$8:$BA$1007,"포함"))</f>
        <v/>
      </c>
      <c r="F181" s="33">
        <f>IF($U181="","",SUMIFS(매입원본!$AU$8:$AU$1007,매입원본!$AX$8:$AX$1007,INDEX($R$8:$R$207,$U181),매입원본!$BA$8:$BA$1007,"포함"))</f>
        <v/>
      </c>
      <c r="G181" s="33">
        <f>IF($U181="","",SUMIFS(매입원본!$AV$8:$AV$1007,매입원본!$AX$8:$AX$1007,INDEX($R$8:$R$207,$U181),매입원본!$BA$8:$BA$1007,"포함"))</f>
        <v/>
      </c>
      <c r="H181" s="34">
        <f>IF(OR($U181="",$E$7=0),"",E181/$E$7)</f>
        <v/>
      </c>
      <c r="I181" s="33">
        <f>IF(OR($U181="",0&gt;=설정!$B$12),"",SUMIFS(매입원본!$AT$8:$AT$1007,매입원본!$AX$8:$AX$1007,INDEX($R$8:$R$207,$U181),매입원본!$BA$8:$BA$1007,"포함",매입원본!$AS$8:$AS$1007,"&gt;="&amp;EDATE(설정!$B$10,0),매입원본!$AS$8:$AS$1007,"&lt;="&amp;EOMONTH(설정!$B$10,0)))</f>
        <v/>
      </c>
      <c r="J181" s="33">
        <f>IF(OR($U181="",1&gt;=설정!$B$12),"",SUMIFS(매입원본!$AT$8:$AT$1007,매입원본!$AX$8:$AX$1007,INDEX($R$8:$R$207,$U181),매입원본!$BA$8:$BA$1007,"포함",매입원본!$AS$8:$AS$1007,"&gt;="&amp;EDATE(설정!$B$10,1),매입원본!$AS$8:$AS$1007,"&lt;="&amp;EOMONTH(설정!$B$10,1)))</f>
        <v/>
      </c>
      <c r="K181" s="33">
        <f>IF(OR($U181="",2&gt;=설정!$B$12),"",SUMIFS(매입원본!$AT$8:$AT$1007,매입원본!$AX$8:$AX$1007,INDEX($R$8:$R$207,$U181),매입원본!$BA$8:$BA$1007,"포함",매입원본!$AS$8:$AS$1007,"&gt;="&amp;EDATE(설정!$B$10,2),매입원본!$AS$8:$AS$1007,"&lt;="&amp;EOMONTH(설정!$B$10,2)))</f>
        <v/>
      </c>
      <c r="L181" s="33">
        <f>IF(OR($U181="",3&gt;=설정!$B$12),"",SUMIFS(매입원본!$AT$8:$AT$1007,매입원본!$AX$8:$AX$1007,INDEX($R$8:$R$207,$U181),매입원본!$BA$8:$BA$1007,"포함",매입원본!$AS$8:$AS$1007,"&gt;="&amp;EDATE(설정!$B$10,3),매입원본!$AS$8:$AS$1007,"&lt;="&amp;EOMONTH(설정!$B$10,3)))</f>
        <v/>
      </c>
      <c r="M181" s="33">
        <f>IF(OR($U181="",4&gt;=설정!$B$12),"",SUMIFS(매입원본!$AT$8:$AT$1007,매입원본!$AX$8:$AX$1007,INDEX($R$8:$R$207,$U181),매입원본!$BA$8:$BA$1007,"포함",매입원본!$AS$8:$AS$1007,"&gt;="&amp;EDATE(설정!$B$10,4),매입원본!$AS$8:$AS$1007,"&lt;="&amp;EOMONTH(설정!$B$10,4)))</f>
        <v/>
      </c>
      <c r="N181" s="33">
        <f>IF(OR($U181="",5&gt;=설정!$B$12),"",SUMIFS(매입원본!$AT$8:$AT$1007,매입원본!$AX$8:$AX$1007,INDEX($R$8:$R$207,$U181),매입원본!$BA$8:$BA$1007,"포함",매입원본!$AS$8:$AS$1007,"&gt;="&amp;EDATE(설정!$B$10,5),매입원본!$AS$8:$AS$1007,"&lt;="&amp;EOMONTH(설정!$B$10,5)))</f>
        <v/>
      </c>
      <c r="Q181" s="35" t="n">
        <v>174</v>
      </c>
      <c r="R181" s="35">
        <f>IFERROR(INDEX(매입원본!$AX$8:$AX$1007,MATCH($Q181,매입원본!$BD$8:$BD$1007,0)),"")</f>
        <v/>
      </c>
      <c r="S181" s="35">
        <f>IF($R181="","",SUMIFS(매입원본!$AT$8:$AT$1007,매입원본!$AX$8:$AX$1007,$R181,매입원본!$BA$8:$BA$1007,"포함"))</f>
        <v/>
      </c>
      <c r="T181" s="35">
        <f>IF($R181="","",$S181-$Q181/100000)</f>
        <v/>
      </c>
      <c r="U181" s="35">
        <f>IFERROR(MATCH(LARGE($T$8:$T$207,174),$T$8:$T$207,0),"")</f>
        <v/>
      </c>
    </row>
    <row r="182">
      <c r="A182" s="32">
        <f>IF($U182="","",175)</f>
        <v/>
      </c>
      <c r="B182" s="10">
        <f>IF($U182="","",IFERROR(INDEX(매입원본!$AZ$8:$AZ$1007,MATCH($U182,매입원본!$BD$8:$BD$1007,0)),""))</f>
        <v/>
      </c>
      <c r="C182" s="10">
        <f>IF($U182="","",IFERROR(INDEX(매입원본!$AY$8:$AY$1007,MATCH($U182,매입원본!$BD$8:$BD$1007,0)),""))</f>
        <v/>
      </c>
      <c r="D182" s="33">
        <f>IF($U182="","",COUNTIFS(매입원본!$AX$8:$AX$1007,INDEX($R$8:$R$207,$U182),매입원본!$BA$8:$BA$1007,"포함"))</f>
        <v/>
      </c>
      <c r="E182" s="33">
        <f>IF($U182="","",SUMIFS(매입원본!$AT$8:$AT$1007,매입원본!$AX$8:$AX$1007,INDEX($R$8:$R$207,$U182),매입원본!$BA$8:$BA$1007,"포함"))</f>
        <v/>
      </c>
      <c r="F182" s="33">
        <f>IF($U182="","",SUMIFS(매입원본!$AU$8:$AU$1007,매입원본!$AX$8:$AX$1007,INDEX($R$8:$R$207,$U182),매입원본!$BA$8:$BA$1007,"포함"))</f>
        <v/>
      </c>
      <c r="G182" s="33">
        <f>IF($U182="","",SUMIFS(매입원본!$AV$8:$AV$1007,매입원본!$AX$8:$AX$1007,INDEX($R$8:$R$207,$U182),매입원본!$BA$8:$BA$1007,"포함"))</f>
        <v/>
      </c>
      <c r="H182" s="34">
        <f>IF(OR($U182="",$E$7=0),"",E182/$E$7)</f>
        <v/>
      </c>
      <c r="I182" s="33">
        <f>IF(OR($U182="",0&gt;=설정!$B$12),"",SUMIFS(매입원본!$AT$8:$AT$1007,매입원본!$AX$8:$AX$1007,INDEX($R$8:$R$207,$U182),매입원본!$BA$8:$BA$1007,"포함",매입원본!$AS$8:$AS$1007,"&gt;="&amp;EDATE(설정!$B$10,0),매입원본!$AS$8:$AS$1007,"&lt;="&amp;EOMONTH(설정!$B$10,0)))</f>
        <v/>
      </c>
      <c r="J182" s="33">
        <f>IF(OR($U182="",1&gt;=설정!$B$12),"",SUMIFS(매입원본!$AT$8:$AT$1007,매입원본!$AX$8:$AX$1007,INDEX($R$8:$R$207,$U182),매입원본!$BA$8:$BA$1007,"포함",매입원본!$AS$8:$AS$1007,"&gt;="&amp;EDATE(설정!$B$10,1),매입원본!$AS$8:$AS$1007,"&lt;="&amp;EOMONTH(설정!$B$10,1)))</f>
        <v/>
      </c>
      <c r="K182" s="33">
        <f>IF(OR($U182="",2&gt;=설정!$B$12),"",SUMIFS(매입원본!$AT$8:$AT$1007,매입원본!$AX$8:$AX$1007,INDEX($R$8:$R$207,$U182),매입원본!$BA$8:$BA$1007,"포함",매입원본!$AS$8:$AS$1007,"&gt;="&amp;EDATE(설정!$B$10,2),매입원본!$AS$8:$AS$1007,"&lt;="&amp;EOMONTH(설정!$B$10,2)))</f>
        <v/>
      </c>
      <c r="L182" s="33">
        <f>IF(OR($U182="",3&gt;=설정!$B$12),"",SUMIFS(매입원본!$AT$8:$AT$1007,매입원본!$AX$8:$AX$1007,INDEX($R$8:$R$207,$U182),매입원본!$BA$8:$BA$1007,"포함",매입원본!$AS$8:$AS$1007,"&gt;="&amp;EDATE(설정!$B$10,3),매입원본!$AS$8:$AS$1007,"&lt;="&amp;EOMONTH(설정!$B$10,3)))</f>
        <v/>
      </c>
      <c r="M182" s="33">
        <f>IF(OR($U182="",4&gt;=설정!$B$12),"",SUMIFS(매입원본!$AT$8:$AT$1007,매입원본!$AX$8:$AX$1007,INDEX($R$8:$R$207,$U182),매입원본!$BA$8:$BA$1007,"포함",매입원본!$AS$8:$AS$1007,"&gt;="&amp;EDATE(설정!$B$10,4),매입원본!$AS$8:$AS$1007,"&lt;="&amp;EOMONTH(설정!$B$10,4)))</f>
        <v/>
      </c>
      <c r="N182" s="33">
        <f>IF(OR($U182="",5&gt;=설정!$B$12),"",SUMIFS(매입원본!$AT$8:$AT$1007,매입원본!$AX$8:$AX$1007,INDEX($R$8:$R$207,$U182),매입원본!$BA$8:$BA$1007,"포함",매입원본!$AS$8:$AS$1007,"&gt;="&amp;EDATE(설정!$B$10,5),매입원본!$AS$8:$AS$1007,"&lt;="&amp;EOMONTH(설정!$B$10,5)))</f>
        <v/>
      </c>
      <c r="Q182" s="35" t="n">
        <v>175</v>
      </c>
      <c r="R182" s="35">
        <f>IFERROR(INDEX(매입원본!$AX$8:$AX$1007,MATCH($Q182,매입원본!$BD$8:$BD$1007,0)),"")</f>
        <v/>
      </c>
      <c r="S182" s="35">
        <f>IF($R182="","",SUMIFS(매입원본!$AT$8:$AT$1007,매입원본!$AX$8:$AX$1007,$R182,매입원본!$BA$8:$BA$1007,"포함"))</f>
        <v/>
      </c>
      <c r="T182" s="35">
        <f>IF($R182="","",$S182-$Q182/100000)</f>
        <v/>
      </c>
      <c r="U182" s="35">
        <f>IFERROR(MATCH(LARGE($T$8:$T$207,175),$T$8:$T$207,0),"")</f>
        <v/>
      </c>
    </row>
    <row r="183">
      <c r="A183" s="32">
        <f>IF($U183="","",176)</f>
        <v/>
      </c>
      <c r="B183" s="10">
        <f>IF($U183="","",IFERROR(INDEX(매입원본!$AZ$8:$AZ$1007,MATCH($U183,매입원본!$BD$8:$BD$1007,0)),""))</f>
        <v/>
      </c>
      <c r="C183" s="10">
        <f>IF($U183="","",IFERROR(INDEX(매입원본!$AY$8:$AY$1007,MATCH($U183,매입원본!$BD$8:$BD$1007,0)),""))</f>
        <v/>
      </c>
      <c r="D183" s="33">
        <f>IF($U183="","",COUNTIFS(매입원본!$AX$8:$AX$1007,INDEX($R$8:$R$207,$U183),매입원본!$BA$8:$BA$1007,"포함"))</f>
        <v/>
      </c>
      <c r="E183" s="33">
        <f>IF($U183="","",SUMIFS(매입원본!$AT$8:$AT$1007,매입원본!$AX$8:$AX$1007,INDEX($R$8:$R$207,$U183),매입원본!$BA$8:$BA$1007,"포함"))</f>
        <v/>
      </c>
      <c r="F183" s="33">
        <f>IF($U183="","",SUMIFS(매입원본!$AU$8:$AU$1007,매입원본!$AX$8:$AX$1007,INDEX($R$8:$R$207,$U183),매입원본!$BA$8:$BA$1007,"포함"))</f>
        <v/>
      </c>
      <c r="G183" s="33">
        <f>IF($U183="","",SUMIFS(매입원본!$AV$8:$AV$1007,매입원본!$AX$8:$AX$1007,INDEX($R$8:$R$207,$U183),매입원본!$BA$8:$BA$1007,"포함"))</f>
        <v/>
      </c>
      <c r="H183" s="34">
        <f>IF(OR($U183="",$E$7=0),"",E183/$E$7)</f>
        <v/>
      </c>
      <c r="I183" s="33">
        <f>IF(OR($U183="",0&gt;=설정!$B$12),"",SUMIFS(매입원본!$AT$8:$AT$1007,매입원본!$AX$8:$AX$1007,INDEX($R$8:$R$207,$U183),매입원본!$BA$8:$BA$1007,"포함",매입원본!$AS$8:$AS$1007,"&gt;="&amp;EDATE(설정!$B$10,0),매입원본!$AS$8:$AS$1007,"&lt;="&amp;EOMONTH(설정!$B$10,0)))</f>
        <v/>
      </c>
      <c r="J183" s="33">
        <f>IF(OR($U183="",1&gt;=설정!$B$12),"",SUMIFS(매입원본!$AT$8:$AT$1007,매입원본!$AX$8:$AX$1007,INDEX($R$8:$R$207,$U183),매입원본!$BA$8:$BA$1007,"포함",매입원본!$AS$8:$AS$1007,"&gt;="&amp;EDATE(설정!$B$10,1),매입원본!$AS$8:$AS$1007,"&lt;="&amp;EOMONTH(설정!$B$10,1)))</f>
        <v/>
      </c>
      <c r="K183" s="33">
        <f>IF(OR($U183="",2&gt;=설정!$B$12),"",SUMIFS(매입원본!$AT$8:$AT$1007,매입원본!$AX$8:$AX$1007,INDEX($R$8:$R$207,$U183),매입원본!$BA$8:$BA$1007,"포함",매입원본!$AS$8:$AS$1007,"&gt;="&amp;EDATE(설정!$B$10,2),매입원본!$AS$8:$AS$1007,"&lt;="&amp;EOMONTH(설정!$B$10,2)))</f>
        <v/>
      </c>
      <c r="L183" s="33">
        <f>IF(OR($U183="",3&gt;=설정!$B$12),"",SUMIFS(매입원본!$AT$8:$AT$1007,매입원본!$AX$8:$AX$1007,INDEX($R$8:$R$207,$U183),매입원본!$BA$8:$BA$1007,"포함",매입원본!$AS$8:$AS$1007,"&gt;="&amp;EDATE(설정!$B$10,3),매입원본!$AS$8:$AS$1007,"&lt;="&amp;EOMONTH(설정!$B$10,3)))</f>
        <v/>
      </c>
      <c r="M183" s="33">
        <f>IF(OR($U183="",4&gt;=설정!$B$12),"",SUMIFS(매입원본!$AT$8:$AT$1007,매입원본!$AX$8:$AX$1007,INDEX($R$8:$R$207,$U183),매입원본!$BA$8:$BA$1007,"포함",매입원본!$AS$8:$AS$1007,"&gt;="&amp;EDATE(설정!$B$10,4),매입원본!$AS$8:$AS$1007,"&lt;="&amp;EOMONTH(설정!$B$10,4)))</f>
        <v/>
      </c>
      <c r="N183" s="33">
        <f>IF(OR($U183="",5&gt;=설정!$B$12),"",SUMIFS(매입원본!$AT$8:$AT$1007,매입원본!$AX$8:$AX$1007,INDEX($R$8:$R$207,$U183),매입원본!$BA$8:$BA$1007,"포함",매입원본!$AS$8:$AS$1007,"&gt;="&amp;EDATE(설정!$B$10,5),매입원본!$AS$8:$AS$1007,"&lt;="&amp;EOMONTH(설정!$B$10,5)))</f>
        <v/>
      </c>
      <c r="Q183" s="35" t="n">
        <v>176</v>
      </c>
      <c r="R183" s="35">
        <f>IFERROR(INDEX(매입원본!$AX$8:$AX$1007,MATCH($Q183,매입원본!$BD$8:$BD$1007,0)),"")</f>
        <v/>
      </c>
      <c r="S183" s="35">
        <f>IF($R183="","",SUMIFS(매입원본!$AT$8:$AT$1007,매입원본!$AX$8:$AX$1007,$R183,매입원본!$BA$8:$BA$1007,"포함"))</f>
        <v/>
      </c>
      <c r="T183" s="35">
        <f>IF($R183="","",$S183-$Q183/100000)</f>
        <v/>
      </c>
      <c r="U183" s="35">
        <f>IFERROR(MATCH(LARGE($T$8:$T$207,176),$T$8:$T$207,0),"")</f>
        <v/>
      </c>
    </row>
    <row r="184">
      <c r="A184" s="32">
        <f>IF($U184="","",177)</f>
        <v/>
      </c>
      <c r="B184" s="10">
        <f>IF($U184="","",IFERROR(INDEX(매입원본!$AZ$8:$AZ$1007,MATCH($U184,매입원본!$BD$8:$BD$1007,0)),""))</f>
        <v/>
      </c>
      <c r="C184" s="10">
        <f>IF($U184="","",IFERROR(INDEX(매입원본!$AY$8:$AY$1007,MATCH($U184,매입원본!$BD$8:$BD$1007,0)),""))</f>
        <v/>
      </c>
      <c r="D184" s="33">
        <f>IF($U184="","",COUNTIFS(매입원본!$AX$8:$AX$1007,INDEX($R$8:$R$207,$U184),매입원본!$BA$8:$BA$1007,"포함"))</f>
        <v/>
      </c>
      <c r="E184" s="33">
        <f>IF($U184="","",SUMIFS(매입원본!$AT$8:$AT$1007,매입원본!$AX$8:$AX$1007,INDEX($R$8:$R$207,$U184),매입원본!$BA$8:$BA$1007,"포함"))</f>
        <v/>
      </c>
      <c r="F184" s="33">
        <f>IF($U184="","",SUMIFS(매입원본!$AU$8:$AU$1007,매입원본!$AX$8:$AX$1007,INDEX($R$8:$R$207,$U184),매입원본!$BA$8:$BA$1007,"포함"))</f>
        <v/>
      </c>
      <c r="G184" s="33">
        <f>IF($U184="","",SUMIFS(매입원본!$AV$8:$AV$1007,매입원본!$AX$8:$AX$1007,INDEX($R$8:$R$207,$U184),매입원본!$BA$8:$BA$1007,"포함"))</f>
        <v/>
      </c>
      <c r="H184" s="34">
        <f>IF(OR($U184="",$E$7=0),"",E184/$E$7)</f>
        <v/>
      </c>
      <c r="I184" s="33">
        <f>IF(OR($U184="",0&gt;=설정!$B$12),"",SUMIFS(매입원본!$AT$8:$AT$1007,매입원본!$AX$8:$AX$1007,INDEX($R$8:$R$207,$U184),매입원본!$BA$8:$BA$1007,"포함",매입원본!$AS$8:$AS$1007,"&gt;="&amp;EDATE(설정!$B$10,0),매입원본!$AS$8:$AS$1007,"&lt;="&amp;EOMONTH(설정!$B$10,0)))</f>
        <v/>
      </c>
      <c r="J184" s="33">
        <f>IF(OR($U184="",1&gt;=설정!$B$12),"",SUMIFS(매입원본!$AT$8:$AT$1007,매입원본!$AX$8:$AX$1007,INDEX($R$8:$R$207,$U184),매입원본!$BA$8:$BA$1007,"포함",매입원본!$AS$8:$AS$1007,"&gt;="&amp;EDATE(설정!$B$10,1),매입원본!$AS$8:$AS$1007,"&lt;="&amp;EOMONTH(설정!$B$10,1)))</f>
        <v/>
      </c>
      <c r="K184" s="33">
        <f>IF(OR($U184="",2&gt;=설정!$B$12),"",SUMIFS(매입원본!$AT$8:$AT$1007,매입원본!$AX$8:$AX$1007,INDEX($R$8:$R$207,$U184),매입원본!$BA$8:$BA$1007,"포함",매입원본!$AS$8:$AS$1007,"&gt;="&amp;EDATE(설정!$B$10,2),매입원본!$AS$8:$AS$1007,"&lt;="&amp;EOMONTH(설정!$B$10,2)))</f>
        <v/>
      </c>
      <c r="L184" s="33">
        <f>IF(OR($U184="",3&gt;=설정!$B$12),"",SUMIFS(매입원본!$AT$8:$AT$1007,매입원본!$AX$8:$AX$1007,INDEX($R$8:$R$207,$U184),매입원본!$BA$8:$BA$1007,"포함",매입원본!$AS$8:$AS$1007,"&gt;="&amp;EDATE(설정!$B$10,3),매입원본!$AS$8:$AS$1007,"&lt;="&amp;EOMONTH(설정!$B$10,3)))</f>
        <v/>
      </c>
      <c r="M184" s="33">
        <f>IF(OR($U184="",4&gt;=설정!$B$12),"",SUMIFS(매입원본!$AT$8:$AT$1007,매입원본!$AX$8:$AX$1007,INDEX($R$8:$R$207,$U184),매입원본!$BA$8:$BA$1007,"포함",매입원본!$AS$8:$AS$1007,"&gt;="&amp;EDATE(설정!$B$10,4),매입원본!$AS$8:$AS$1007,"&lt;="&amp;EOMONTH(설정!$B$10,4)))</f>
        <v/>
      </c>
      <c r="N184" s="33">
        <f>IF(OR($U184="",5&gt;=설정!$B$12),"",SUMIFS(매입원본!$AT$8:$AT$1007,매입원본!$AX$8:$AX$1007,INDEX($R$8:$R$207,$U184),매입원본!$BA$8:$BA$1007,"포함",매입원본!$AS$8:$AS$1007,"&gt;="&amp;EDATE(설정!$B$10,5),매입원본!$AS$8:$AS$1007,"&lt;="&amp;EOMONTH(설정!$B$10,5)))</f>
        <v/>
      </c>
      <c r="Q184" s="35" t="n">
        <v>177</v>
      </c>
      <c r="R184" s="35">
        <f>IFERROR(INDEX(매입원본!$AX$8:$AX$1007,MATCH($Q184,매입원본!$BD$8:$BD$1007,0)),"")</f>
        <v/>
      </c>
      <c r="S184" s="35">
        <f>IF($R184="","",SUMIFS(매입원본!$AT$8:$AT$1007,매입원본!$AX$8:$AX$1007,$R184,매입원본!$BA$8:$BA$1007,"포함"))</f>
        <v/>
      </c>
      <c r="T184" s="35">
        <f>IF($R184="","",$S184-$Q184/100000)</f>
        <v/>
      </c>
      <c r="U184" s="35">
        <f>IFERROR(MATCH(LARGE($T$8:$T$207,177),$T$8:$T$207,0),"")</f>
        <v/>
      </c>
    </row>
    <row r="185">
      <c r="A185" s="32">
        <f>IF($U185="","",178)</f>
        <v/>
      </c>
      <c r="B185" s="10">
        <f>IF($U185="","",IFERROR(INDEX(매입원본!$AZ$8:$AZ$1007,MATCH($U185,매입원본!$BD$8:$BD$1007,0)),""))</f>
        <v/>
      </c>
      <c r="C185" s="10">
        <f>IF($U185="","",IFERROR(INDEX(매입원본!$AY$8:$AY$1007,MATCH($U185,매입원본!$BD$8:$BD$1007,0)),""))</f>
        <v/>
      </c>
      <c r="D185" s="33">
        <f>IF($U185="","",COUNTIFS(매입원본!$AX$8:$AX$1007,INDEX($R$8:$R$207,$U185),매입원본!$BA$8:$BA$1007,"포함"))</f>
        <v/>
      </c>
      <c r="E185" s="33">
        <f>IF($U185="","",SUMIFS(매입원본!$AT$8:$AT$1007,매입원본!$AX$8:$AX$1007,INDEX($R$8:$R$207,$U185),매입원본!$BA$8:$BA$1007,"포함"))</f>
        <v/>
      </c>
      <c r="F185" s="33">
        <f>IF($U185="","",SUMIFS(매입원본!$AU$8:$AU$1007,매입원본!$AX$8:$AX$1007,INDEX($R$8:$R$207,$U185),매입원본!$BA$8:$BA$1007,"포함"))</f>
        <v/>
      </c>
      <c r="G185" s="33">
        <f>IF($U185="","",SUMIFS(매입원본!$AV$8:$AV$1007,매입원본!$AX$8:$AX$1007,INDEX($R$8:$R$207,$U185),매입원본!$BA$8:$BA$1007,"포함"))</f>
        <v/>
      </c>
      <c r="H185" s="34">
        <f>IF(OR($U185="",$E$7=0),"",E185/$E$7)</f>
        <v/>
      </c>
      <c r="I185" s="33">
        <f>IF(OR($U185="",0&gt;=설정!$B$12),"",SUMIFS(매입원본!$AT$8:$AT$1007,매입원본!$AX$8:$AX$1007,INDEX($R$8:$R$207,$U185),매입원본!$BA$8:$BA$1007,"포함",매입원본!$AS$8:$AS$1007,"&gt;="&amp;EDATE(설정!$B$10,0),매입원본!$AS$8:$AS$1007,"&lt;="&amp;EOMONTH(설정!$B$10,0)))</f>
        <v/>
      </c>
      <c r="J185" s="33">
        <f>IF(OR($U185="",1&gt;=설정!$B$12),"",SUMIFS(매입원본!$AT$8:$AT$1007,매입원본!$AX$8:$AX$1007,INDEX($R$8:$R$207,$U185),매입원본!$BA$8:$BA$1007,"포함",매입원본!$AS$8:$AS$1007,"&gt;="&amp;EDATE(설정!$B$10,1),매입원본!$AS$8:$AS$1007,"&lt;="&amp;EOMONTH(설정!$B$10,1)))</f>
        <v/>
      </c>
      <c r="K185" s="33">
        <f>IF(OR($U185="",2&gt;=설정!$B$12),"",SUMIFS(매입원본!$AT$8:$AT$1007,매입원본!$AX$8:$AX$1007,INDEX($R$8:$R$207,$U185),매입원본!$BA$8:$BA$1007,"포함",매입원본!$AS$8:$AS$1007,"&gt;="&amp;EDATE(설정!$B$10,2),매입원본!$AS$8:$AS$1007,"&lt;="&amp;EOMONTH(설정!$B$10,2)))</f>
        <v/>
      </c>
      <c r="L185" s="33">
        <f>IF(OR($U185="",3&gt;=설정!$B$12),"",SUMIFS(매입원본!$AT$8:$AT$1007,매입원본!$AX$8:$AX$1007,INDEX($R$8:$R$207,$U185),매입원본!$BA$8:$BA$1007,"포함",매입원본!$AS$8:$AS$1007,"&gt;="&amp;EDATE(설정!$B$10,3),매입원본!$AS$8:$AS$1007,"&lt;="&amp;EOMONTH(설정!$B$10,3)))</f>
        <v/>
      </c>
      <c r="M185" s="33">
        <f>IF(OR($U185="",4&gt;=설정!$B$12),"",SUMIFS(매입원본!$AT$8:$AT$1007,매입원본!$AX$8:$AX$1007,INDEX($R$8:$R$207,$U185),매입원본!$BA$8:$BA$1007,"포함",매입원본!$AS$8:$AS$1007,"&gt;="&amp;EDATE(설정!$B$10,4),매입원본!$AS$8:$AS$1007,"&lt;="&amp;EOMONTH(설정!$B$10,4)))</f>
        <v/>
      </c>
      <c r="N185" s="33">
        <f>IF(OR($U185="",5&gt;=설정!$B$12),"",SUMIFS(매입원본!$AT$8:$AT$1007,매입원본!$AX$8:$AX$1007,INDEX($R$8:$R$207,$U185),매입원본!$BA$8:$BA$1007,"포함",매입원본!$AS$8:$AS$1007,"&gt;="&amp;EDATE(설정!$B$10,5),매입원본!$AS$8:$AS$1007,"&lt;="&amp;EOMONTH(설정!$B$10,5)))</f>
        <v/>
      </c>
      <c r="Q185" s="35" t="n">
        <v>178</v>
      </c>
      <c r="R185" s="35">
        <f>IFERROR(INDEX(매입원본!$AX$8:$AX$1007,MATCH($Q185,매입원본!$BD$8:$BD$1007,0)),"")</f>
        <v/>
      </c>
      <c r="S185" s="35">
        <f>IF($R185="","",SUMIFS(매입원본!$AT$8:$AT$1007,매입원본!$AX$8:$AX$1007,$R185,매입원본!$BA$8:$BA$1007,"포함"))</f>
        <v/>
      </c>
      <c r="T185" s="35">
        <f>IF($R185="","",$S185-$Q185/100000)</f>
        <v/>
      </c>
      <c r="U185" s="35">
        <f>IFERROR(MATCH(LARGE($T$8:$T$207,178),$T$8:$T$207,0),"")</f>
        <v/>
      </c>
    </row>
    <row r="186">
      <c r="A186" s="32">
        <f>IF($U186="","",179)</f>
        <v/>
      </c>
      <c r="B186" s="10">
        <f>IF($U186="","",IFERROR(INDEX(매입원본!$AZ$8:$AZ$1007,MATCH($U186,매입원본!$BD$8:$BD$1007,0)),""))</f>
        <v/>
      </c>
      <c r="C186" s="10">
        <f>IF($U186="","",IFERROR(INDEX(매입원본!$AY$8:$AY$1007,MATCH($U186,매입원본!$BD$8:$BD$1007,0)),""))</f>
        <v/>
      </c>
      <c r="D186" s="33">
        <f>IF($U186="","",COUNTIFS(매입원본!$AX$8:$AX$1007,INDEX($R$8:$R$207,$U186),매입원본!$BA$8:$BA$1007,"포함"))</f>
        <v/>
      </c>
      <c r="E186" s="33">
        <f>IF($U186="","",SUMIFS(매입원본!$AT$8:$AT$1007,매입원본!$AX$8:$AX$1007,INDEX($R$8:$R$207,$U186),매입원본!$BA$8:$BA$1007,"포함"))</f>
        <v/>
      </c>
      <c r="F186" s="33">
        <f>IF($U186="","",SUMIFS(매입원본!$AU$8:$AU$1007,매입원본!$AX$8:$AX$1007,INDEX($R$8:$R$207,$U186),매입원본!$BA$8:$BA$1007,"포함"))</f>
        <v/>
      </c>
      <c r="G186" s="33">
        <f>IF($U186="","",SUMIFS(매입원본!$AV$8:$AV$1007,매입원본!$AX$8:$AX$1007,INDEX($R$8:$R$207,$U186),매입원본!$BA$8:$BA$1007,"포함"))</f>
        <v/>
      </c>
      <c r="H186" s="34">
        <f>IF(OR($U186="",$E$7=0),"",E186/$E$7)</f>
        <v/>
      </c>
      <c r="I186" s="33">
        <f>IF(OR($U186="",0&gt;=설정!$B$12),"",SUMIFS(매입원본!$AT$8:$AT$1007,매입원본!$AX$8:$AX$1007,INDEX($R$8:$R$207,$U186),매입원본!$BA$8:$BA$1007,"포함",매입원본!$AS$8:$AS$1007,"&gt;="&amp;EDATE(설정!$B$10,0),매입원본!$AS$8:$AS$1007,"&lt;="&amp;EOMONTH(설정!$B$10,0)))</f>
        <v/>
      </c>
      <c r="J186" s="33">
        <f>IF(OR($U186="",1&gt;=설정!$B$12),"",SUMIFS(매입원본!$AT$8:$AT$1007,매입원본!$AX$8:$AX$1007,INDEX($R$8:$R$207,$U186),매입원본!$BA$8:$BA$1007,"포함",매입원본!$AS$8:$AS$1007,"&gt;="&amp;EDATE(설정!$B$10,1),매입원본!$AS$8:$AS$1007,"&lt;="&amp;EOMONTH(설정!$B$10,1)))</f>
        <v/>
      </c>
      <c r="K186" s="33">
        <f>IF(OR($U186="",2&gt;=설정!$B$12),"",SUMIFS(매입원본!$AT$8:$AT$1007,매입원본!$AX$8:$AX$1007,INDEX($R$8:$R$207,$U186),매입원본!$BA$8:$BA$1007,"포함",매입원본!$AS$8:$AS$1007,"&gt;="&amp;EDATE(설정!$B$10,2),매입원본!$AS$8:$AS$1007,"&lt;="&amp;EOMONTH(설정!$B$10,2)))</f>
        <v/>
      </c>
      <c r="L186" s="33">
        <f>IF(OR($U186="",3&gt;=설정!$B$12),"",SUMIFS(매입원본!$AT$8:$AT$1007,매입원본!$AX$8:$AX$1007,INDEX($R$8:$R$207,$U186),매입원본!$BA$8:$BA$1007,"포함",매입원본!$AS$8:$AS$1007,"&gt;="&amp;EDATE(설정!$B$10,3),매입원본!$AS$8:$AS$1007,"&lt;="&amp;EOMONTH(설정!$B$10,3)))</f>
        <v/>
      </c>
      <c r="M186" s="33">
        <f>IF(OR($U186="",4&gt;=설정!$B$12),"",SUMIFS(매입원본!$AT$8:$AT$1007,매입원본!$AX$8:$AX$1007,INDEX($R$8:$R$207,$U186),매입원본!$BA$8:$BA$1007,"포함",매입원본!$AS$8:$AS$1007,"&gt;="&amp;EDATE(설정!$B$10,4),매입원본!$AS$8:$AS$1007,"&lt;="&amp;EOMONTH(설정!$B$10,4)))</f>
        <v/>
      </c>
      <c r="N186" s="33">
        <f>IF(OR($U186="",5&gt;=설정!$B$12),"",SUMIFS(매입원본!$AT$8:$AT$1007,매입원본!$AX$8:$AX$1007,INDEX($R$8:$R$207,$U186),매입원본!$BA$8:$BA$1007,"포함",매입원본!$AS$8:$AS$1007,"&gt;="&amp;EDATE(설정!$B$10,5),매입원본!$AS$8:$AS$1007,"&lt;="&amp;EOMONTH(설정!$B$10,5)))</f>
        <v/>
      </c>
      <c r="Q186" s="35" t="n">
        <v>179</v>
      </c>
      <c r="R186" s="35">
        <f>IFERROR(INDEX(매입원본!$AX$8:$AX$1007,MATCH($Q186,매입원본!$BD$8:$BD$1007,0)),"")</f>
        <v/>
      </c>
      <c r="S186" s="35">
        <f>IF($R186="","",SUMIFS(매입원본!$AT$8:$AT$1007,매입원본!$AX$8:$AX$1007,$R186,매입원본!$BA$8:$BA$1007,"포함"))</f>
        <v/>
      </c>
      <c r="T186" s="35">
        <f>IF($R186="","",$S186-$Q186/100000)</f>
        <v/>
      </c>
      <c r="U186" s="35">
        <f>IFERROR(MATCH(LARGE($T$8:$T$207,179),$T$8:$T$207,0),"")</f>
        <v/>
      </c>
    </row>
    <row r="187">
      <c r="A187" s="32">
        <f>IF($U187="","",180)</f>
        <v/>
      </c>
      <c r="B187" s="10">
        <f>IF($U187="","",IFERROR(INDEX(매입원본!$AZ$8:$AZ$1007,MATCH($U187,매입원본!$BD$8:$BD$1007,0)),""))</f>
        <v/>
      </c>
      <c r="C187" s="10">
        <f>IF($U187="","",IFERROR(INDEX(매입원본!$AY$8:$AY$1007,MATCH($U187,매입원본!$BD$8:$BD$1007,0)),""))</f>
        <v/>
      </c>
      <c r="D187" s="33">
        <f>IF($U187="","",COUNTIFS(매입원본!$AX$8:$AX$1007,INDEX($R$8:$R$207,$U187),매입원본!$BA$8:$BA$1007,"포함"))</f>
        <v/>
      </c>
      <c r="E187" s="33">
        <f>IF($U187="","",SUMIFS(매입원본!$AT$8:$AT$1007,매입원본!$AX$8:$AX$1007,INDEX($R$8:$R$207,$U187),매입원본!$BA$8:$BA$1007,"포함"))</f>
        <v/>
      </c>
      <c r="F187" s="33">
        <f>IF($U187="","",SUMIFS(매입원본!$AU$8:$AU$1007,매입원본!$AX$8:$AX$1007,INDEX($R$8:$R$207,$U187),매입원본!$BA$8:$BA$1007,"포함"))</f>
        <v/>
      </c>
      <c r="G187" s="33">
        <f>IF($U187="","",SUMIFS(매입원본!$AV$8:$AV$1007,매입원본!$AX$8:$AX$1007,INDEX($R$8:$R$207,$U187),매입원본!$BA$8:$BA$1007,"포함"))</f>
        <v/>
      </c>
      <c r="H187" s="34">
        <f>IF(OR($U187="",$E$7=0),"",E187/$E$7)</f>
        <v/>
      </c>
      <c r="I187" s="33">
        <f>IF(OR($U187="",0&gt;=설정!$B$12),"",SUMIFS(매입원본!$AT$8:$AT$1007,매입원본!$AX$8:$AX$1007,INDEX($R$8:$R$207,$U187),매입원본!$BA$8:$BA$1007,"포함",매입원본!$AS$8:$AS$1007,"&gt;="&amp;EDATE(설정!$B$10,0),매입원본!$AS$8:$AS$1007,"&lt;="&amp;EOMONTH(설정!$B$10,0)))</f>
        <v/>
      </c>
      <c r="J187" s="33">
        <f>IF(OR($U187="",1&gt;=설정!$B$12),"",SUMIFS(매입원본!$AT$8:$AT$1007,매입원본!$AX$8:$AX$1007,INDEX($R$8:$R$207,$U187),매입원본!$BA$8:$BA$1007,"포함",매입원본!$AS$8:$AS$1007,"&gt;="&amp;EDATE(설정!$B$10,1),매입원본!$AS$8:$AS$1007,"&lt;="&amp;EOMONTH(설정!$B$10,1)))</f>
        <v/>
      </c>
      <c r="K187" s="33">
        <f>IF(OR($U187="",2&gt;=설정!$B$12),"",SUMIFS(매입원본!$AT$8:$AT$1007,매입원본!$AX$8:$AX$1007,INDEX($R$8:$R$207,$U187),매입원본!$BA$8:$BA$1007,"포함",매입원본!$AS$8:$AS$1007,"&gt;="&amp;EDATE(설정!$B$10,2),매입원본!$AS$8:$AS$1007,"&lt;="&amp;EOMONTH(설정!$B$10,2)))</f>
        <v/>
      </c>
      <c r="L187" s="33">
        <f>IF(OR($U187="",3&gt;=설정!$B$12),"",SUMIFS(매입원본!$AT$8:$AT$1007,매입원본!$AX$8:$AX$1007,INDEX($R$8:$R$207,$U187),매입원본!$BA$8:$BA$1007,"포함",매입원본!$AS$8:$AS$1007,"&gt;="&amp;EDATE(설정!$B$10,3),매입원본!$AS$8:$AS$1007,"&lt;="&amp;EOMONTH(설정!$B$10,3)))</f>
        <v/>
      </c>
      <c r="M187" s="33">
        <f>IF(OR($U187="",4&gt;=설정!$B$12),"",SUMIFS(매입원본!$AT$8:$AT$1007,매입원본!$AX$8:$AX$1007,INDEX($R$8:$R$207,$U187),매입원본!$BA$8:$BA$1007,"포함",매입원본!$AS$8:$AS$1007,"&gt;="&amp;EDATE(설정!$B$10,4),매입원본!$AS$8:$AS$1007,"&lt;="&amp;EOMONTH(설정!$B$10,4)))</f>
        <v/>
      </c>
      <c r="N187" s="33">
        <f>IF(OR($U187="",5&gt;=설정!$B$12),"",SUMIFS(매입원본!$AT$8:$AT$1007,매입원본!$AX$8:$AX$1007,INDEX($R$8:$R$207,$U187),매입원본!$BA$8:$BA$1007,"포함",매입원본!$AS$8:$AS$1007,"&gt;="&amp;EDATE(설정!$B$10,5),매입원본!$AS$8:$AS$1007,"&lt;="&amp;EOMONTH(설정!$B$10,5)))</f>
        <v/>
      </c>
      <c r="Q187" s="35" t="n">
        <v>180</v>
      </c>
      <c r="R187" s="35">
        <f>IFERROR(INDEX(매입원본!$AX$8:$AX$1007,MATCH($Q187,매입원본!$BD$8:$BD$1007,0)),"")</f>
        <v/>
      </c>
      <c r="S187" s="35">
        <f>IF($R187="","",SUMIFS(매입원본!$AT$8:$AT$1007,매입원본!$AX$8:$AX$1007,$R187,매입원본!$BA$8:$BA$1007,"포함"))</f>
        <v/>
      </c>
      <c r="T187" s="35">
        <f>IF($R187="","",$S187-$Q187/100000)</f>
        <v/>
      </c>
      <c r="U187" s="35">
        <f>IFERROR(MATCH(LARGE($T$8:$T$207,180),$T$8:$T$207,0),"")</f>
        <v/>
      </c>
    </row>
    <row r="188">
      <c r="A188" s="32">
        <f>IF($U188="","",181)</f>
        <v/>
      </c>
      <c r="B188" s="10">
        <f>IF($U188="","",IFERROR(INDEX(매입원본!$AZ$8:$AZ$1007,MATCH($U188,매입원본!$BD$8:$BD$1007,0)),""))</f>
        <v/>
      </c>
      <c r="C188" s="10">
        <f>IF($U188="","",IFERROR(INDEX(매입원본!$AY$8:$AY$1007,MATCH($U188,매입원본!$BD$8:$BD$1007,0)),""))</f>
        <v/>
      </c>
      <c r="D188" s="33">
        <f>IF($U188="","",COUNTIFS(매입원본!$AX$8:$AX$1007,INDEX($R$8:$R$207,$U188),매입원본!$BA$8:$BA$1007,"포함"))</f>
        <v/>
      </c>
      <c r="E188" s="33">
        <f>IF($U188="","",SUMIFS(매입원본!$AT$8:$AT$1007,매입원본!$AX$8:$AX$1007,INDEX($R$8:$R$207,$U188),매입원본!$BA$8:$BA$1007,"포함"))</f>
        <v/>
      </c>
      <c r="F188" s="33">
        <f>IF($U188="","",SUMIFS(매입원본!$AU$8:$AU$1007,매입원본!$AX$8:$AX$1007,INDEX($R$8:$R$207,$U188),매입원본!$BA$8:$BA$1007,"포함"))</f>
        <v/>
      </c>
      <c r="G188" s="33">
        <f>IF($U188="","",SUMIFS(매입원본!$AV$8:$AV$1007,매입원본!$AX$8:$AX$1007,INDEX($R$8:$R$207,$U188),매입원본!$BA$8:$BA$1007,"포함"))</f>
        <v/>
      </c>
      <c r="H188" s="34">
        <f>IF(OR($U188="",$E$7=0),"",E188/$E$7)</f>
        <v/>
      </c>
      <c r="I188" s="33">
        <f>IF(OR($U188="",0&gt;=설정!$B$12),"",SUMIFS(매입원본!$AT$8:$AT$1007,매입원본!$AX$8:$AX$1007,INDEX($R$8:$R$207,$U188),매입원본!$BA$8:$BA$1007,"포함",매입원본!$AS$8:$AS$1007,"&gt;="&amp;EDATE(설정!$B$10,0),매입원본!$AS$8:$AS$1007,"&lt;="&amp;EOMONTH(설정!$B$10,0)))</f>
        <v/>
      </c>
      <c r="J188" s="33">
        <f>IF(OR($U188="",1&gt;=설정!$B$12),"",SUMIFS(매입원본!$AT$8:$AT$1007,매입원본!$AX$8:$AX$1007,INDEX($R$8:$R$207,$U188),매입원본!$BA$8:$BA$1007,"포함",매입원본!$AS$8:$AS$1007,"&gt;="&amp;EDATE(설정!$B$10,1),매입원본!$AS$8:$AS$1007,"&lt;="&amp;EOMONTH(설정!$B$10,1)))</f>
        <v/>
      </c>
      <c r="K188" s="33">
        <f>IF(OR($U188="",2&gt;=설정!$B$12),"",SUMIFS(매입원본!$AT$8:$AT$1007,매입원본!$AX$8:$AX$1007,INDEX($R$8:$R$207,$U188),매입원본!$BA$8:$BA$1007,"포함",매입원본!$AS$8:$AS$1007,"&gt;="&amp;EDATE(설정!$B$10,2),매입원본!$AS$8:$AS$1007,"&lt;="&amp;EOMONTH(설정!$B$10,2)))</f>
        <v/>
      </c>
      <c r="L188" s="33">
        <f>IF(OR($U188="",3&gt;=설정!$B$12),"",SUMIFS(매입원본!$AT$8:$AT$1007,매입원본!$AX$8:$AX$1007,INDEX($R$8:$R$207,$U188),매입원본!$BA$8:$BA$1007,"포함",매입원본!$AS$8:$AS$1007,"&gt;="&amp;EDATE(설정!$B$10,3),매입원본!$AS$8:$AS$1007,"&lt;="&amp;EOMONTH(설정!$B$10,3)))</f>
        <v/>
      </c>
      <c r="M188" s="33">
        <f>IF(OR($U188="",4&gt;=설정!$B$12),"",SUMIFS(매입원본!$AT$8:$AT$1007,매입원본!$AX$8:$AX$1007,INDEX($R$8:$R$207,$U188),매입원본!$BA$8:$BA$1007,"포함",매입원본!$AS$8:$AS$1007,"&gt;="&amp;EDATE(설정!$B$10,4),매입원본!$AS$8:$AS$1007,"&lt;="&amp;EOMONTH(설정!$B$10,4)))</f>
        <v/>
      </c>
      <c r="N188" s="33">
        <f>IF(OR($U188="",5&gt;=설정!$B$12),"",SUMIFS(매입원본!$AT$8:$AT$1007,매입원본!$AX$8:$AX$1007,INDEX($R$8:$R$207,$U188),매입원본!$BA$8:$BA$1007,"포함",매입원본!$AS$8:$AS$1007,"&gt;="&amp;EDATE(설정!$B$10,5),매입원본!$AS$8:$AS$1007,"&lt;="&amp;EOMONTH(설정!$B$10,5)))</f>
        <v/>
      </c>
      <c r="Q188" s="35" t="n">
        <v>181</v>
      </c>
      <c r="R188" s="35">
        <f>IFERROR(INDEX(매입원본!$AX$8:$AX$1007,MATCH($Q188,매입원본!$BD$8:$BD$1007,0)),"")</f>
        <v/>
      </c>
      <c r="S188" s="35">
        <f>IF($R188="","",SUMIFS(매입원본!$AT$8:$AT$1007,매입원본!$AX$8:$AX$1007,$R188,매입원본!$BA$8:$BA$1007,"포함"))</f>
        <v/>
      </c>
      <c r="T188" s="35">
        <f>IF($R188="","",$S188-$Q188/100000)</f>
        <v/>
      </c>
      <c r="U188" s="35">
        <f>IFERROR(MATCH(LARGE($T$8:$T$207,181),$T$8:$T$207,0),"")</f>
        <v/>
      </c>
    </row>
    <row r="189">
      <c r="A189" s="32">
        <f>IF($U189="","",182)</f>
        <v/>
      </c>
      <c r="B189" s="10">
        <f>IF($U189="","",IFERROR(INDEX(매입원본!$AZ$8:$AZ$1007,MATCH($U189,매입원본!$BD$8:$BD$1007,0)),""))</f>
        <v/>
      </c>
      <c r="C189" s="10">
        <f>IF($U189="","",IFERROR(INDEX(매입원본!$AY$8:$AY$1007,MATCH($U189,매입원본!$BD$8:$BD$1007,0)),""))</f>
        <v/>
      </c>
      <c r="D189" s="33">
        <f>IF($U189="","",COUNTIFS(매입원본!$AX$8:$AX$1007,INDEX($R$8:$R$207,$U189),매입원본!$BA$8:$BA$1007,"포함"))</f>
        <v/>
      </c>
      <c r="E189" s="33">
        <f>IF($U189="","",SUMIFS(매입원본!$AT$8:$AT$1007,매입원본!$AX$8:$AX$1007,INDEX($R$8:$R$207,$U189),매입원본!$BA$8:$BA$1007,"포함"))</f>
        <v/>
      </c>
      <c r="F189" s="33">
        <f>IF($U189="","",SUMIFS(매입원본!$AU$8:$AU$1007,매입원본!$AX$8:$AX$1007,INDEX($R$8:$R$207,$U189),매입원본!$BA$8:$BA$1007,"포함"))</f>
        <v/>
      </c>
      <c r="G189" s="33">
        <f>IF($U189="","",SUMIFS(매입원본!$AV$8:$AV$1007,매입원본!$AX$8:$AX$1007,INDEX($R$8:$R$207,$U189),매입원본!$BA$8:$BA$1007,"포함"))</f>
        <v/>
      </c>
      <c r="H189" s="34">
        <f>IF(OR($U189="",$E$7=0),"",E189/$E$7)</f>
        <v/>
      </c>
      <c r="I189" s="33">
        <f>IF(OR($U189="",0&gt;=설정!$B$12),"",SUMIFS(매입원본!$AT$8:$AT$1007,매입원본!$AX$8:$AX$1007,INDEX($R$8:$R$207,$U189),매입원본!$BA$8:$BA$1007,"포함",매입원본!$AS$8:$AS$1007,"&gt;="&amp;EDATE(설정!$B$10,0),매입원본!$AS$8:$AS$1007,"&lt;="&amp;EOMONTH(설정!$B$10,0)))</f>
        <v/>
      </c>
      <c r="J189" s="33">
        <f>IF(OR($U189="",1&gt;=설정!$B$12),"",SUMIFS(매입원본!$AT$8:$AT$1007,매입원본!$AX$8:$AX$1007,INDEX($R$8:$R$207,$U189),매입원본!$BA$8:$BA$1007,"포함",매입원본!$AS$8:$AS$1007,"&gt;="&amp;EDATE(설정!$B$10,1),매입원본!$AS$8:$AS$1007,"&lt;="&amp;EOMONTH(설정!$B$10,1)))</f>
        <v/>
      </c>
      <c r="K189" s="33">
        <f>IF(OR($U189="",2&gt;=설정!$B$12),"",SUMIFS(매입원본!$AT$8:$AT$1007,매입원본!$AX$8:$AX$1007,INDEX($R$8:$R$207,$U189),매입원본!$BA$8:$BA$1007,"포함",매입원본!$AS$8:$AS$1007,"&gt;="&amp;EDATE(설정!$B$10,2),매입원본!$AS$8:$AS$1007,"&lt;="&amp;EOMONTH(설정!$B$10,2)))</f>
        <v/>
      </c>
      <c r="L189" s="33">
        <f>IF(OR($U189="",3&gt;=설정!$B$12),"",SUMIFS(매입원본!$AT$8:$AT$1007,매입원본!$AX$8:$AX$1007,INDEX($R$8:$R$207,$U189),매입원본!$BA$8:$BA$1007,"포함",매입원본!$AS$8:$AS$1007,"&gt;="&amp;EDATE(설정!$B$10,3),매입원본!$AS$8:$AS$1007,"&lt;="&amp;EOMONTH(설정!$B$10,3)))</f>
        <v/>
      </c>
      <c r="M189" s="33">
        <f>IF(OR($U189="",4&gt;=설정!$B$12),"",SUMIFS(매입원본!$AT$8:$AT$1007,매입원본!$AX$8:$AX$1007,INDEX($R$8:$R$207,$U189),매입원본!$BA$8:$BA$1007,"포함",매입원본!$AS$8:$AS$1007,"&gt;="&amp;EDATE(설정!$B$10,4),매입원본!$AS$8:$AS$1007,"&lt;="&amp;EOMONTH(설정!$B$10,4)))</f>
        <v/>
      </c>
      <c r="N189" s="33">
        <f>IF(OR($U189="",5&gt;=설정!$B$12),"",SUMIFS(매입원본!$AT$8:$AT$1007,매입원본!$AX$8:$AX$1007,INDEX($R$8:$R$207,$U189),매입원본!$BA$8:$BA$1007,"포함",매입원본!$AS$8:$AS$1007,"&gt;="&amp;EDATE(설정!$B$10,5),매입원본!$AS$8:$AS$1007,"&lt;="&amp;EOMONTH(설정!$B$10,5)))</f>
        <v/>
      </c>
      <c r="Q189" s="35" t="n">
        <v>182</v>
      </c>
      <c r="R189" s="35">
        <f>IFERROR(INDEX(매입원본!$AX$8:$AX$1007,MATCH($Q189,매입원본!$BD$8:$BD$1007,0)),"")</f>
        <v/>
      </c>
      <c r="S189" s="35">
        <f>IF($R189="","",SUMIFS(매입원본!$AT$8:$AT$1007,매입원본!$AX$8:$AX$1007,$R189,매입원본!$BA$8:$BA$1007,"포함"))</f>
        <v/>
      </c>
      <c r="T189" s="35">
        <f>IF($R189="","",$S189-$Q189/100000)</f>
        <v/>
      </c>
      <c r="U189" s="35">
        <f>IFERROR(MATCH(LARGE($T$8:$T$207,182),$T$8:$T$207,0),"")</f>
        <v/>
      </c>
    </row>
    <row r="190">
      <c r="A190" s="32">
        <f>IF($U190="","",183)</f>
        <v/>
      </c>
      <c r="B190" s="10">
        <f>IF($U190="","",IFERROR(INDEX(매입원본!$AZ$8:$AZ$1007,MATCH($U190,매입원본!$BD$8:$BD$1007,0)),""))</f>
        <v/>
      </c>
      <c r="C190" s="10">
        <f>IF($U190="","",IFERROR(INDEX(매입원본!$AY$8:$AY$1007,MATCH($U190,매입원본!$BD$8:$BD$1007,0)),""))</f>
        <v/>
      </c>
      <c r="D190" s="33">
        <f>IF($U190="","",COUNTIFS(매입원본!$AX$8:$AX$1007,INDEX($R$8:$R$207,$U190),매입원본!$BA$8:$BA$1007,"포함"))</f>
        <v/>
      </c>
      <c r="E190" s="33">
        <f>IF($U190="","",SUMIFS(매입원본!$AT$8:$AT$1007,매입원본!$AX$8:$AX$1007,INDEX($R$8:$R$207,$U190),매입원본!$BA$8:$BA$1007,"포함"))</f>
        <v/>
      </c>
      <c r="F190" s="33">
        <f>IF($U190="","",SUMIFS(매입원본!$AU$8:$AU$1007,매입원본!$AX$8:$AX$1007,INDEX($R$8:$R$207,$U190),매입원본!$BA$8:$BA$1007,"포함"))</f>
        <v/>
      </c>
      <c r="G190" s="33">
        <f>IF($U190="","",SUMIFS(매입원본!$AV$8:$AV$1007,매입원본!$AX$8:$AX$1007,INDEX($R$8:$R$207,$U190),매입원본!$BA$8:$BA$1007,"포함"))</f>
        <v/>
      </c>
      <c r="H190" s="34">
        <f>IF(OR($U190="",$E$7=0),"",E190/$E$7)</f>
        <v/>
      </c>
      <c r="I190" s="33">
        <f>IF(OR($U190="",0&gt;=설정!$B$12),"",SUMIFS(매입원본!$AT$8:$AT$1007,매입원본!$AX$8:$AX$1007,INDEX($R$8:$R$207,$U190),매입원본!$BA$8:$BA$1007,"포함",매입원본!$AS$8:$AS$1007,"&gt;="&amp;EDATE(설정!$B$10,0),매입원본!$AS$8:$AS$1007,"&lt;="&amp;EOMONTH(설정!$B$10,0)))</f>
        <v/>
      </c>
      <c r="J190" s="33">
        <f>IF(OR($U190="",1&gt;=설정!$B$12),"",SUMIFS(매입원본!$AT$8:$AT$1007,매입원본!$AX$8:$AX$1007,INDEX($R$8:$R$207,$U190),매입원본!$BA$8:$BA$1007,"포함",매입원본!$AS$8:$AS$1007,"&gt;="&amp;EDATE(설정!$B$10,1),매입원본!$AS$8:$AS$1007,"&lt;="&amp;EOMONTH(설정!$B$10,1)))</f>
        <v/>
      </c>
      <c r="K190" s="33">
        <f>IF(OR($U190="",2&gt;=설정!$B$12),"",SUMIFS(매입원본!$AT$8:$AT$1007,매입원본!$AX$8:$AX$1007,INDEX($R$8:$R$207,$U190),매입원본!$BA$8:$BA$1007,"포함",매입원본!$AS$8:$AS$1007,"&gt;="&amp;EDATE(설정!$B$10,2),매입원본!$AS$8:$AS$1007,"&lt;="&amp;EOMONTH(설정!$B$10,2)))</f>
        <v/>
      </c>
      <c r="L190" s="33">
        <f>IF(OR($U190="",3&gt;=설정!$B$12),"",SUMIFS(매입원본!$AT$8:$AT$1007,매입원본!$AX$8:$AX$1007,INDEX($R$8:$R$207,$U190),매입원본!$BA$8:$BA$1007,"포함",매입원본!$AS$8:$AS$1007,"&gt;="&amp;EDATE(설정!$B$10,3),매입원본!$AS$8:$AS$1007,"&lt;="&amp;EOMONTH(설정!$B$10,3)))</f>
        <v/>
      </c>
      <c r="M190" s="33">
        <f>IF(OR($U190="",4&gt;=설정!$B$12),"",SUMIFS(매입원본!$AT$8:$AT$1007,매입원본!$AX$8:$AX$1007,INDEX($R$8:$R$207,$U190),매입원본!$BA$8:$BA$1007,"포함",매입원본!$AS$8:$AS$1007,"&gt;="&amp;EDATE(설정!$B$10,4),매입원본!$AS$8:$AS$1007,"&lt;="&amp;EOMONTH(설정!$B$10,4)))</f>
        <v/>
      </c>
      <c r="N190" s="33">
        <f>IF(OR($U190="",5&gt;=설정!$B$12),"",SUMIFS(매입원본!$AT$8:$AT$1007,매입원본!$AX$8:$AX$1007,INDEX($R$8:$R$207,$U190),매입원본!$BA$8:$BA$1007,"포함",매입원본!$AS$8:$AS$1007,"&gt;="&amp;EDATE(설정!$B$10,5),매입원본!$AS$8:$AS$1007,"&lt;="&amp;EOMONTH(설정!$B$10,5)))</f>
        <v/>
      </c>
      <c r="Q190" s="35" t="n">
        <v>183</v>
      </c>
      <c r="R190" s="35">
        <f>IFERROR(INDEX(매입원본!$AX$8:$AX$1007,MATCH($Q190,매입원본!$BD$8:$BD$1007,0)),"")</f>
        <v/>
      </c>
      <c r="S190" s="35">
        <f>IF($R190="","",SUMIFS(매입원본!$AT$8:$AT$1007,매입원본!$AX$8:$AX$1007,$R190,매입원본!$BA$8:$BA$1007,"포함"))</f>
        <v/>
      </c>
      <c r="T190" s="35">
        <f>IF($R190="","",$S190-$Q190/100000)</f>
        <v/>
      </c>
      <c r="U190" s="35">
        <f>IFERROR(MATCH(LARGE($T$8:$T$207,183),$T$8:$T$207,0),"")</f>
        <v/>
      </c>
    </row>
    <row r="191">
      <c r="A191" s="32">
        <f>IF($U191="","",184)</f>
        <v/>
      </c>
      <c r="B191" s="10">
        <f>IF($U191="","",IFERROR(INDEX(매입원본!$AZ$8:$AZ$1007,MATCH($U191,매입원본!$BD$8:$BD$1007,0)),""))</f>
        <v/>
      </c>
      <c r="C191" s="10">
        <f>IF($U191="","",IFERROR(INDEX(매입원본!$AY$8:$AY$1007,MATCH($U191,매입원본!$BD$8:$BD$1007,0)),""))</f>
        <v/>
      </c>
      <c r="D191" s="33">
        <f>IF($U191="","",COUNTIFS(매입원본!$AX$8:$AX$1007,INDEX($R$8:$R$207,$U191),매입원본!$BA$8:$BA$1007,"포함"))</f>
        <v/>
      </c>
      <c r="E191" s="33">
        <f>IF($U191="","",SUMIFS(매입원본!$AT$8:$AT$1007,매입원본!$AX$8:$AX$1007,INDEX($R$8:$R$207,$U191),매입원본!$BA$8:$BA$1007,"포함"))</f>
        <v/>
      </c>
      <c r="F191" s="33">
        <f>IF($U191="","",SUMIFS(매입원본!$AU$8:$AU$1007,매입원본!$AX$8:$AX$1007,INDEX($R$8:$R$207,$U191),매입원본!$BA$8:$BA$1007,"포함"))</f>
        <v/>
      </c>
      <c r="G191" s="33">
        <f>IF($U191="","",SUMIFS(매입원본!$AV$8:$AV$1007,매입원본!$AX$8:$AX$1007,INDEX($R$8:$R$207,$U191),매입원본!$BA$8:$BA$1007,"포함"))</f>
        <v/>
      </c>
      <c r="H191" s="34">
        <f>IF(OR($U191="",$E$7=0),"",E191/$E$7)</f>
        <v/>
      </c>
      <c r="I191" s="33">
        <f>IF(OR($U191="",0&gt;=설정!$B$12),"",SUMIFS(매입원본!$AT$8:$AT$1007,매입원본!$AX$8:$AX$1007,INDEX($R$8:$R$207,$U191),매입원본!$BA$8:$BA$1007,"포함",매입원본!$AS$8:$AS$1007,"&gt;="&amp;EDATE(설정!$B$10,0),매입원본!$AS$8:$AS$1007,"&lt;="&amp;EOMONTH(설정!$B$10,0)))</f>
        <v/>
      </c>
      <c r="J191" s="33">
        <f>IF(OR($U191="",1&gt;=설정!$B$12),"",SUMIFS(매입원본!$AT$8:$AT$1007,매입원본!$AX$8:$AX$1007,INDEX($R$8:$R$207,$U191),매입원본!$BA$8:$BA$1007,"포함",매입원본!$AS$8:$AS$1007,"&gt;="&amp;EDATE(설정!$B$10,1),매입원본!$AS$8:$AS$1007,"&lt;="&amp;EOMONTH(설정!$B$10,1)))</f>
        <v/>
      </c>
      <c r="K191" s="33">
        <f>IF(OR($U191="",2&gt;=설정!$B$12),"",SUMIFS(매입원본!$AT$8:$AT$1007,매입원본!$AX$8:$AX$1007,INDEX($R$8:$R$207,$U191),매입원본!$BA$8:$BA$1007,"포함",매입원본!$AS$8:$AS$1007,"&gt;="&amp;EDATE(설정!$B$10,2),매입원본!$AS$8:$AS$1007,"&lt;="&amp;EOMONTH(설정!$B$10,2)))</f>
        <v/>
      </c>
      <c r="L191" s="33">
        <f>IF(OR($U191="",3&gt;=설정!$B$12),"",SUMIFS(매입원본!$AT$8:$AT$1007,매입원본!$AX$8:$AX$1007,INDEX($R$8:$R$207,$U191),매입원본!$BA$8:$BA$1007,"포함",매입원본!$AS$8:$AS$1007,"&gt;="&amp;EDATE(설정!$B$10,3),매입원본!$AS$8:$AS$1007,"&lt;="&amp;EOMONTH(설정!$B$10,3)))</f>
        <v/>
      </c>
      <c r="M191" s="33">
        <f>IF(OR($U191="",4&gt;=설정!$B$12),"",SUMIFS(매입원본!$AT$8:$AT$1007,매입원본!$AX$8:$AX$1007,INDEX($R$8:$R$207,$U191),매입원본!$BA$8:$BA$1007,"포함",매입원본!$AS$8:$AS$1007,"&gt;="&amp;EDATE(설정!$B$10,4),매입원본!$AS$8:$AS$1007,"&lt;="&amp;EOMONTH(설정!$B$10,4)))</f>
        <v/>
      </c>
      <c r="N191" s="33">
        <f>IF(OR($U191="",5&gt;=설정!$B$12),"",SUMIFS(매입원본!$AT$8:$AT$1007,매입원본!$AX$8:$AX$1007,INDEX($R$8:$R$207,$U191),매입원본!$BA$8:$BA$1007,"포함",매입원본!$AS$8:$AS$1007,"&gt;="&amp;EDATE(설정!$B$10,5),매입원본!$AS$8:$AS$1007,"&lt;="&amp;EOMONTH(설정!$B$10,5)))</f>
        <v/>
      </c>
      <c r="Q191" s="35" t="n">
        <v>184</v>
      </c>
      <c r="R191" s="35">
        <f>IFERROR(INDEX(매입원본!$AX$8:$AX$1007,MATCH($Q191,매입원본!$BD$8:$BD$1007,0)),"")</f>
        <v/>
      </c>
      <c r="S191" s="35">
        <f>IF($R191="","",SUMIFS(매입원본!$AT$8:$AT$1007,매입원본!$AX$8:$AX$1007,$R191,매입원본!$BA$8:$BA$1007,"포함"))</f>
        <v/>
      </c>
      <c r="T191" s="35">
        <f>IF($R191="","",$S191-$Q191/100000)</f>
        <v/>
      </c>
      <c r="U191" s="35">
        <f>IFERROR(MATCH(LARGE($T$8:$T$207,184),$T$8:$T$207,0),"")</f>
        <v/>
      </c>
    </row>
    <row r="192">
      <c r="A192" s="32">
        <f>IF($U192="","",185)</f>
        <v/>
      </c>
      <c r="B192" s="10">
        <f>IF($U192="","",IFERROR(INDEX(매입원본!$AZ$8:$AZ$1007,MATCH($U192,매입원본!$BD$8:$BD$1007,0)),""))</f>
        <v/>
      </c>
      <c r="C192" s="10">
        <f>IF($U192="","",IFERROR(INDEX(매입원본!$AY$8:$AY$1007,MATCH($U192,매입원본!$BD$8:$BD$1007,0)),""))</f>
        <v/>
      </c>
      <c r="D192" s="33">
        <f>IF($U192="","",COUNTIFS(매입원본!$AX$8:$AX$1007,INDEX($R$8:$R$207,$U192),매입원본!$BA$8:$BA$1007,"포함"))</f>
        <v/>
      </c>
      <c r="E192" s="33">
        <f>IF($U192="","",SUMIFS(매입원본!$AT$8:$AT$1007,매입원본!$AX$8:$AX$1007,INDEX($R$8:$R$207,$U192),매입원본!$BA$8:$BA$1007,"포함"))</f>
        <v/>
      </c>
      <c r="F192" s="33">
        <f>IF($U192="","",SUMIFS(매입원본!$AU$8:$AU$1007,매입원본!$AX$8:$AX$1007,INDEX($R$8:$R$207,$U192),매입원본!$BA$8:$BA$1007,"포함"))</f>
        <v/>
      </c>
      <c r="G192" s="33">
        <f>IF($U192="","",SUMIFS(매입원본!$AV$8:$AV$1007,매입원본!$AX$8:$AX$1007,INDEX($R$8:$R$207,$U192),매입원본!$BA$8:$BA$1007,"포함"))</f>
        <v/>
      </c>
      <c r="H192" s="34">
        <f>IF(OR($U192="",$E$7=0),"",E192/$E$7)</f>
        <v/>
      </c>
      <c r="I192" s="33">
        <f>IF(OR($U192="",0&gt;=설정!$B$12),"",SUMIFS(매입원본!$AT$8:$AT$1007,매입원본!$AX$8:$AX$1007,INDEX($R$8:$R$207,$U192),매입원본!$BA$8:$BA$1007,"포함",매입원본!$AS$8:$AS$1007,"&gt;="&amp;EDATE(설정!$B$10,0),매입원본!$AS$8:$AS$1007,"&lt;="&amp;EOMONTH(설정!$B$10,0)))</f>
        <v/>
      </c>
      <c r="J192" s="33">
        <f>IF(OR($U192="",1&gt;=설정!$B$12),"",SUMIFS(매입원본!$AT$8:$AT$1007,매입원본!$AX$8:$AX$1007,INDEX($R$8:$R$207,$U192),매입원본!$BA$8:$BA$1007,"포함",매입원본!$AS$8:$AS$1007,"&gt;="&amp;EDATE(설정!$B$10,1),매입원본!$AS$8:$AS$1007,"&lt;="&amp;EOMONTH(설정!$B$10,1)))</f>
        <v/>
      </c>
      <c r="K192" s="33">
        <f>IF(OR($U192="",2&gt;=설정!$B$12),"",SUMIFS(매입원본!$AT$8:$AT$1007,매입원본!$AX$8:$AX$1007,INDEX($R$8:$R$207,$U192),매입원본!$BA$8:$BA$1007,"포함",매입원본!$AS$8:$AS$1007,"&gt;="&amp;EDATE(설정!$B$10,2),매입원본!$AS$8:$AS$1007,"&lt;="&amp;EOMONTH(설정!$B$10,2)))</f>
        <v/>
      </c>
      <c r="L192" s="33">
        <f>IF(OR($U192="",3&gt;=설정!$B$12),"",SUMIFS(매입원본!$AT$8:$AT$1007,매입원본!$AX$8:$AX$1007,INDEX($R$8:$R$207,$U192),매입원본!$BA$8:$BA$1007,"포함",매입원본!$AS$8:$AS$1007,"&gt;="&amp;EDATE(설정!$B$10,3),매입원본!$AS$8:$AS$1007,"&lt;="&amp;EOMONTH(설정!$B$10,3)))</f>
        <v/>
      </c>
      <c r="M192" s="33">
        <f>IF(OR($U192="",4&gt;=설정!$B$12),"",SUMIFS(매입원본!$AT$8:$AT$1007,매입원본!$AX$8:$AX$1007,INDEX($R$8:$R$207,$U192),매입원본!$BA$8:$BA$1007,"포함",매입원본!$AS$8:$AS$1007,"&gt;="&amp;EDATE(설정!$B$10,4),매입원본!$AS$8:$AS$1007,"&lt;="&amp;EOMONTH(설정!$B$10,4)))</f>
        <v/>
      </c>
      <c r="N192" s="33">
        <f>IF(OR($U192="",5&gt;=설정!$B$12),"",SUMIFS(매입원본!$AT$8:$AT$1007,매입원본!$AX$8:$AX$1007,INDEX($R$8:$R$207,$U192),매입원본!$BA$8:$BA$1007,"포함",매입원본!$AS$8:$AS$1007,"&gt;="&amp;EDATE(설정!$B$10,5),매입원본!$AS$8:$AS$1007,"&lt;="&amp;EOMONTH(설정!$B$10,5)))</f>
        <v/>
      </c>
      <c r="Q192" s="35" t="n">
        <v>185</v>
      </c>
      <c r="R192" s="35">
        <f>IFERROR(INDEX(매입원본!$AX$8:$AX$1007,MATCH($Q192,매입원본!$BD$8:$BD$1007,0)),"")</f>
        <v/>
      </c>
      <c r="S192" s="35">
        <f>IF($R192="","",SUMIFS(매입원본!$AT$8:$AT$1007,매입원본!$AX$8:$AX$1007,$R192,매입원본!$BA$8:$BA$1007,"포함"))</f>
        <v/>
      </c>
      <c r="T192" s="35">
        <f>IF($R192="","",$S192-$Q192/100000)</f>
        <v/>
      </c>
      <c r="U192" s="35">
        <f>IFERROR(MATCH(LARGE($T$8:$T$207,185),$T$8:$T$207,0),"")</f>
        <v/>
      </c>
    </row>
    <row r="193">
      <c r="A193" s="32">
        <f>IF($U193="","",186)</f>
        <v/>
      </c>
      <c r="B193" s="10">
        <f>IF($U193="","",IFERROR(INDEX(매입원본!$AZ$8:$AZ$1007,MATCH($U193,매입원본!$BD$8:$BD$1007,0)),""))</f>
        <v/>
      </c>
      <c r="C193" s="10">
        <f>IF($U193="","",IFERROR(INDEX(매입원본!$AY$8:$AY$1007,MATCH($U193,매입원본!$BD$8:$BD$1007,0)),""))</f>
        <v/>
      </c>
      <c r="D193" s="33">
        <f>IF($U193="","",COUNTIFS(매입원본!$AX$8:$AX$1007,INDEX($R$8:$R$207,$U193),매입원본!$BA$8:$BA$1007,"포함"))</f>
        <v/>
      </c>
      <c r="E193" s="33">
        <f>IF($U193="","",SUMIFS(매입원본!$AT$8:$AT$1007,매입원본!$AX$8:$AX$1007,INDEX($R$8:$R$207,$U193),매입원본!$BA$8:$BA$1007,"포함"))</f>
        <v/>
      </c>
      <c r="F193" s="33">
        <f>IF($U193="","",SUMIFS(매입원본!$AU$8:$AU$1007,매입원본!$AX$8:$AX$1007,INDEX($R$8:$R$207,$U193),매입원본!$BA$8:$BA$1007,"포함"))</f>
        <v/>
      </c>
      <c r="G193" s="33">
        <f>IF($U193="","",SUMIFS(매입원본!$AV$8:$AV$1007,매입원본!$AX$8:$AX$1007,INDEX($R$8:$R$207,$U193),매입원본!$BA$8:$BA$1007,"포함"))</f>
        <v/>
      </c>
      <c r="H193" s="34">
        <f>IF(OR($U193="",$E$7=0),"",E193/$E$7)</f>
        <v/>
      </c>
      <c r="I193" s="33">
        <f>IF(OR($U193="",0&gt;=설정!$B$12),"",SUMIFS(매입원본!$AT$8:$AT$1007,매입원본!$AX$8:$AX$1007,INDEX($R$8:$R$207,$U193),매입원본!$BA$8:$BA$1007,"포함",매입원본!$AS$8:$AS$1007,"&gt;="&amp;EDATE(설정!$B$10,0),매입원본!$AS$8:$AS$1007,"&lt;="&amp;EOMONTH(설정!$B$10,0)))</f>
        <v/>
      </c>
      <c r="J193" s="33">
        <f>IF(OR($U193="",1&gt;=설정!$B$12),"",SUMIFS(매입원본!$AT$8:$AT$1007,매입원본!$AX$8:$AX$1007,INDEX($R$8:$R$207,$U193),매입원본!$BA$8:$BA$1007,"포함",매입원본!$AS$8:$AS$1007,"&gt;="&amp;EDATE(설정!$B$10,1),매입원본!$AS$8:$AS$1007,"&lt;="&amp;EOMONTH(설정!$B$10,1)))</f>
        <v/>
      </c>
      <c r="K193" s="33">
        <f>IF(OR($U193="",2&gt;=설정!$B$12),"",SUMIFS(매입원본!$AT$8:$AT$1007,매입원본!$AX$8:$AX$1007,INDEX($R$8:$R$207,$U193),매입원본!$BA$8:$BA$1007,"포함",매입원본!$AS$8:$AS$1007,"&gt;="&amp;EDATE(설정!$B$10,2),매입원본!$AS$8:$AS$1007,"&lt;="&amp;EOMONTH(설정!$B$10,2)))</f>
        <v/>
      </c>
      <c r="L193" s="33">
        <f>IF(OR($U193="",3&gt;=설정!$B$12),"",SUMIFS(매입원본!$AT$8:$AT$1007,매입원본!$AX$8:$AX$1007,INDEX($R$8:$R$207,$U193),매입원본!$BA$8:$BA$1007,"포함",매입원본!$AS$8:$AS$1007,"&gt;="&amp;EDATE(설정!$B$10,3),매입원본!$AS$8:$AS$1007,"&lt;="&amp;EOMONTH(설정!$B$10,3)))</f>
        <v/>
      </c>
      <c r="M193" s="33">
        <f>IF(OR($U193="",4&gt;=설정!$B$12),"",SUMIFS(매입원본!$AT$8:$AT$1007,매입원본!$AX$8:$AX$1007,INDEX($R$8:$R$207,$U193),매입원본!$BA$8:$BA$1007,"포함",매입원본!$AS$8:$AS$1007,"&gt;="&amp;EDATE(설정!$B$10,4),매입원본!$AS$8:$AS$1007,"&lt;="&amp;EOMONTH(설정!$B$10,4)))</f>
        <v/>
      </c>
      <c r="N193" s="33">
        <f>IF(OR($U193="",5&gt;=설정!$B$12),"",SUMIFS(매입원본!$AT$8:$AT$1007,매입원본!$AX$8:$AX$1007,INDEX($R$8:$R$207,$U193),매입원본!$BA$8:$BA$1007,"포함",매입원본!$AS$8:$AS$1007,"&gt;="&amp;EDATE(설정!$B$10,5),매입원본!$AS$8:$AS$1007,"&lt;="&amp;EOMONTH(설정!$B$10,5)))</f>
        <v/>
      </c>
      <c r="Q193" s="35" t="n">
        <v>186</v>
      </c>
      <c r="R193" s="35">
        <f>IFERROR(INDEX(매입원본!$AX$8:$AX$1007,MATCH($Q193,매입원본!$BD$8:$BD$1007,0)),"")</f>
        <v/>
      </c>
      <c r="S193" s="35">
        <f>IF($R193="","",SUMIFS(매입원본!$AT$8:$AT$1007,매입원본!$AX$8:$AX$1007,$R193,매입원본!$BA$8:$BA$1007,"포함"))</f>
        <v/>
      </c>
      <c r="T193" s="35">
        <f>IF($R193="","",$S193-$Q193/100000)</f>
        <v/>
      </c>
      <c r="U193" s="35">
        <f>IFERROR(MATCH(LARGE($T$8:$T$207,186),$T$8:$T$207,0),"")</f>
        <v/>
      </c>
    </row>
    <row r="194">
      <c r="A194" s="32">
        <f>IF($U194="","",187)</f>
        <v/>
      </c>
      <c r="B194" s="10">
        <f>IF($U194="","",IFERROR(INDEX(매입원본!$AZ$8:$AZ$1007,MATCH($U194,매입원본!$BD$8:$BD$1007,0)),""))</f>
        <v/>
      </c>
      <c r="C194" s="10">
        <f>IF($U194="","",IFERROR(INDEX(매입원본!$AY$8:$AY$1007,MATCH($U194,매입원본!$BD$8:$BD$1007,0)),""))</f>
        <v/>
      </c>
      <c r="D194" s="33">
        <f>IF($U194="","",COUNTIFS(매입원본!$AX$8:$AX$1007,INDEX($R$8:$R$207,$U194),매입원본!$BA$8:$BA$1007,"포함"))</f>
        <v/>
      </c>
      <c r="E194" s="33">
        <f>IF($U194="","",SUMIFS(매입원본!$AT$8:$AT$1007,매입원본!$AX$8:$AX$1007,INDEX($R$8:$R$207,$U194),매입원본!$BA$8:$BA$1007,"포함"))</f>
        <v/>
      </c>
      <c r="F194" s="33">
        <f>IF($U194="","",SUMIFS(매입원본!$AU$8:$AU$1007,매입원본!$AX$8:$AX$1007,INDEX($R$8:$R$207,$U194),매입원본!$BA$8:$BA$1007,"포함"))</f>
        <v/>
      </c>
      <c r="G194" s="33">
        <f>IF($U194="","",SUMIFS(매입원본!$AV$8:$AV$1007,매입원본!$AX$8:$AX$1007,INDEX($R$8:$R$207,$U194),매입원본!$BA$8:$BA$1007,"포함"))</f>
        <v/>
      </c>
      <c r="H194" s="34">
        <f>IF(OR($U194="",$E$7=0),"",E194/$E$7)</f>
        <v/>
      </c>
      <c r="I194" s="33">
        <f>IF(OR($U194="",0&gt;=설정!$B$12),"",SUMIFS(매입원본!$AT$8:$AT$1007,매입원본!$AX$8:$AX$1007,INDEX($R$8:$R$207,$U194),매입원본!$BA$8:$BA$1007,"포함",매입원본!$AS$8:$AS$1007,"&gt;="&amp;EDATE(설정!$B$10,0),매입원본!$AS$8:$AS$1007,"&lt;="&amp;EOMONTH(설정!$B$10,0)))</f>
        <v/>
      </c>
      <c r="J194" s="33">
        <f>IF(OR($U194="",1&gt;=설정!$B$12),"",SUMIFS(매입원본!$AT$8:$AT$1007,매입원본!$AX$8:$AX$1007,INDEX($R$8:$R$207,$U194),매입원본!$BA$8:$BA$1007,"포함",매입원본!$AS$8:$AS$1007,"&gt;="&amp;EDATE(설정!$B$10,1),매입원본!$AS$8:$AS$1007,"&lt;="&amp;EOMONTH(설정!$B$10,1)))</f>
        <v/>
      </c>
      <c r="K194" s="33">
        <f>IF(OR($U194="",2&gt;=설정!$B$12),"",SUMIFS(매입원본!$AT$8:$AT$1007,매입원본!$AX$8:$AX$1007,INDEX($R$8:$R$207,$U194),매입원본!$BA$8:$BA$1007,"포함",매입원본!$AS$8:$AS$1007,"&gt;="&amp;EDATE(설정!$B$10,2),매입원본!$AS$8:$AS$1007,"&lt;="&amp;EOMONTH(설정!$B$10,2)))</f>
        <v/>
      </c>
      <c r="L194" s="33">
        <f>IF(OR($U194="",3&gt;=설정!$B$12),"",SUMIFS(매입원본!$AT$8:$AT$1007,매입원본!$AX$8:$AX$1007,INDEX($R$8:$R$207,$U194),매입원본!$BA$8:$BA$1007,"포함",매입원본!$AS$8:$AS$1007,"&gt;="&amp;EDATE(설정!$B$10,3),매입원본!$AS$8:$AS$1007,"&lt;="&amp;EOMONTH(설정!$B$10,3)))</f>
        <v/>
      </c>
      <c r="M194" s="33">
        <f>IF(OR($U194="",4&gt;=설정!$B$12),"",SUMIFS(매입원본!$AT$8:$AT$1007,매입원본!$AX$8:$AX$1007,INDEX($R$8:$R$207,$U194),매입원본!$BA$8:$BA$1007,"포함",매입원본!$AS$8:$AS$1007,"&gt;="&amp;EDATE(설정!$B$10,4),매입원본!$AS$8:$AS$1007,"&lt;="&amp;EOMONTH(설정!$B$10,4)))</f>
        <v/>
      </c>
      <c r="N194" s="33">
        <f>IF(OR($U194="",5&gt;=설정!$B$12),"",SUMIFS(매입원본!$AT$8:$AT$1007,매입원본!$AX$8:$AX$1007,INDEX($R$8:$R$207,$U194),매입원본!$BA$8:$BA$1007,"포함",매입원본!$AS$8:$AS$1007,"&gt;="&amp;EDATE(설정!$B$10,5),매입원본!$AS$8:$AS$1007,"&lt;="&amp;EOMONTH(설정!$B$10,5)))</f>
        <v/>
      </c>
      <c r="Q194" s="35" t="n">
        <v>187</v>
      </c>
      <c r="R194" s="35">
        <f>IFERROR(INDEX(매입원본!$AX$8:$AX$1007,MATCH($Q194,매입원본!$BD$8:$BD$1007,0)),"")</f>
        <v/>
      </c>
      <c r="S194" s="35">
        <f>IF($R194="","",SUMIFS(매입원본!$AT$8:$AT$1007,매입원본!$AX$8:$AX$1007,$R194,매입원본!$BA$8:$BA$1007,"포함"))</f>
        <v/>
      </c>
      <c r="T194" s="35">
        <f>IF($R194="","",$S194-$Q194/100000)</f>
        <v/>
      </c>
      <c r="U194" s="35">
        <f>IFERROR(MATCH(LARGE($T$8:$T$207,187),$T$8:$T$207,0),"")</f>
        <v/>
      </c>
    </row>
    <row r="195">
      <c r="A195" s="32">
        <f>IF($U195="","",188)</f>
        <v/>
      </c>
      <c r="B195" s="10">
        <f>IF($U195="","",IFERROR(INDEX(매입원본!$AZ$8:$AZ$1007,MATCH($U195,매입원본!$BD$8:$BD$1007,0)),""))</f>
        <v/>
      </c>
      <c r="C195" s="10">
        <f>IF($U195="","",IFERROR(INDEX(매입원본!$AY$8:$AY$1007,MATCH($U195,매입원본!$BD$8:$BD$1007,0)),""))</f>
        <v/>
      </c>
      <c r="D195" s="33">
        <f>IF($U195="","",COUNTIFS(매입원본!$AX$8:$AX$1007,INDEX($R$8:$R$207,$U195),매입원본!$BA$8:$BA$1007,"포함"))</f>
        <v/>
      </c>
      <c r="E195" s="33">
        <f>IF($U195="","",SUMIFS(매입원본!$AT$8:$AT$1007,매입원본!$AX$8:$AX$1007,INDEX($R$8:$R$207,$U195),매입원본!$BA$8:$BA$1007,"포함"))</f>
        <v/>
      </c>
      <c r="F195" s="33">
        <f>IF($U195="","",SUMIFS(매입원본!$AU$8:$AU$1007,매입원본!$AX$8:$AX$1007,INDEX($R$8:$R$207,$U195),매입원본!$BA$8:$BA$1007,"포함"))</f>
        <v/>
      </c>
      <c r="G195" s="33">
        <f>IF($U195="","",SUMIFS(매입원본!$AV$8:$AV$1007,매입원본!$AX$8:$AX$1007,INDEX($R$8:$R$207,$U195),매입원본!$BA$8:$BA$1007,"포함"))</f>
        <v/>
      </c>
      <c r="H195" s="34">
        <f>IF(OR($U195="",$E$7=0),"",E195/$E$7)</f>
        <v/>
      </c>
      <c r="I195" s="33">
        <f>IF(OR($U195="",0&gt;=설정!$B$12),"",SUMIFS(매입원본!$AT$8:$AT$1007,매입원본!$AX$8:$AX$1007,INDEX($R$8:$R$207,$U195),매입원본!$BA$8:$BA$1007,"포함",매입원본!$AS$8:$AS$1007,"&gt;="&amp;EDATE(설정!$B$10,0),매입원본!$AS$8:$AS$1007,"&lt;="&amp;EOMONTH(설정!$B$10,0)))</f>
        <v/>
      </c>
      <c r="J195" s="33">
        <f>IF(OR($U195="",1&gt;=설정!$B$12),"",SUMIFS(매입원본!$AT$8:$AT$1007,매입원본!$AX$8:$AX$1007,INDEX($R$8:$R$207,$U195),매입원본!$BA$8:$BA$1007,"포함",매입원본!$AS$8:$AS$1007,"&gt;="&amp;EDATE(설정!$B$10,1),매입원본!$AS$8:$AS$1007,"&lt;="&amp;EOMONTH(설정!$B$10,1)))</f>
        <v/>
      </c>
      <c r="K195" s="33">
        <f>IF(OR($U195="",2&gt;=설정!$B$12),"",SUMIFS(매입원본!$AT$8:$AT$1007,매입원본!$AX$8:$AX$1007,INDEX($R$8:$R$207,$U195),매입원본!$BA$8:$BA$1007,"포함",매입원본!$AS$8:$AS$1007,"&gt;="&amp;EDATE(설정!$B$10,2),매입원본!$AS$8:$AS$1007,"&lt;="&amp;EOMONTH(설정!$B$10,2)))</f>
        <v/>
      </c>
      <c r="L195" s="33">
        <f>IF(OR($U195="",3&gt;=설정!$B$12),"",SUMIFS(매입원본!$AT$8:$AT$1007,매입원본!$AX$8:$AX$1007,INDEX($R$8:$R$207,$U195),매입원본!$BA$8:$BA$1007,"포함",매입원본!$AS$8:$AS$1007,"&gt;="&amp;EDATE(설정!$B$10,3),매입원본!$AS$8:$AS$1007,"&lt;="&amp;EOMONTH(설정!$B$10,3)))</f>
        <v/>
      </c>
      <c r="M195" s="33">
        <f>IF(OR($U195="",4&gt;=설정!$B$12),"",SUMIFS(매입원본!$AT$8:$AT$1007,매입원본!$AX$8:$AX$1007,INDEX($R$8:$R$207,$U195),매입원본!$BA$8:$BA$1007,"포함",매입원본!$AS$8:$AS$1007,"&gt;="&amp;EDATE(설정!$B$10,4),매입원본!$AS$8:$AS$1007,"&lt;="&amp;EOMONTH(설정!$B$10,4)))</f>
        <v/>
      </c>
      <c r="N195" s="33">
        <f>IF(OR($U195="",5&gt;=설정!$B$12),"",SUMIFS(매입원본!$AT$8:$AT$1007,매입원본!$AX$8:$AX$1007,INDEX($R$8:$R$207,$U195),매입원본!$BA$8:$BA$1007,"포함",매입원본!$AS$8:$AS$1007,"&gt;="&amp;EDATE(설정!$B$10,5),매입원본!$AS$8:$AS$1007,"&lt;="&amp;EOMONTH(설정!$B$10,5)))</f>
        <v/>
      </c>
      <c r="Q195" s="35" t="n">
        <v>188</v>
      </c>
      <c r="R195" s="35">
        <f>IFERROR(INDEX(매입원본!$AX$8:$AX$1007,MATCH($Q195,매입원본!$BD$8:$BD$1007,0)),"")</f>
        <v/>
      </c>
      <c r="S195" s="35">
        <f>IF($R195="","",SUMIFS(매입원본!$AT$8:$AT$1007,매입원본!$AX$8:$AX$1007,$R195,매입원본!$BA$8:$BA$1007,"포함"))</f>
        <v/>
      </c>
      <c r="T195" s="35">
        <f>IF($R195="","",$S195-$Q195/100000)</f>
        <v/>
      </c>
      <c r="U195" s="35">
        <f>IFERROR(MATCH(LARGE($T$8:$T$207,188),$T$8:$T$207,0),"")</f>
        <v/>
      </c>
    </row>
    <row r="196">
      <c r="A196" s="32">
        <f>IF($U196="","",189)</f>
        <v/>
      </c>
      <c r="B196" s="10">
        <f>IF($U196="","",IFERROR(INDEX(매입원본!$AZ$8:$AZ$1007,MATCH($U196,매입원본!$BD$8:$BD$1007,0)),""))</f>
        <v/>
      </c>
      <c r="C196" s="10">
        <f>IF($U196="","",IFERROR(INDEX(매입원본!$AY$8:$AY$1007,MATCH($U196,매입원본!$BD$8:$BD$1007,0)),""))</f>
        <v/>
      </c>
      <c r="D196" s="33">
        <f>IF($U196="","",COUNTIFS(매입원본!$AX$8:$AX$1007,INDEX($R$8:$R$207,$U196),매입원본!$BA$8:$BA$1007,"포함"))</f>
        <v/>
      </c>
      <c r="E196" s="33">
        <f>IF($U196="","",SUMIFS(매입원본!$AT$8:$AT$1007,매입원본!$AX$8:$AX$1007,INDEX($R$8:$R$207,$U196),매입원본!$BA$8:$BA$1007,"포함"))</f>
        <v/>
      </c>
      <c r="F196" s="33">
        <f>IF($U196="","",SUMIFS(매입원본!$AU$8:$AU$1007,매입원본!$AX$8:$AX$1007,INDEX($R$8:$R$207,$U196),매입원본!$BA$8:$BA$1007,"포함"))</f>
        <v/>
      </c>
      <c r="G196" s="33">
        <f>IF($U196="","",SUMIFS(매입원본!$AV$8:$AV$1007,매입원본!$AX$8:$AX$1007,INDEX($R$8:$R$207,$U196),매입원본!$BA$8:$BA$1007,"포함"))</f>
        <v/>
      </c>
      <c r="H196" s="34">
        <f>IF(OR($U196="",$E$7=0),"",E196/$E$7)</f>
        <v/>
      </c>
      <c r="I196" s="33">
        <f>IF(OR($U196="",0&gt;=설정!$B$12),"",SUMIFS(매입원본!$AT$8:$AT$1007,매입원본!$AX$8:$AX$1007,INDEX($R$8:$R$207,$U196),매입원본!$BA$8:$BA$1007,"포함",매입원본!$AS$8:$AS$1007,"&gt;="&amp;EDATE(설정!$B$10,0),매입원본!$AS$8:$AS$1007,"&lt;="&amp;EOMONTH(설정!$B$10,0)))</f>
        <v/>
      </c>
      <c r="J196" s="33">
        <f>IF(OR($U196="",1&gt;=설정!$B$12),"",SUMIFS(매입원본!$AT$8:$AT$1007,매입원본!$AX$8:$AX$1007,INDEX($R$8:$R$207,$U196),매입원본!$BA$8:$BA$1007,"포함",매입원본!$AS$8:$AS$1007,"&gt;="&amp;EDATE(설정!$B$10,1),매입원본!$AS$8:$AS$1007,"&lt;="&amp;EOMONTH(설정!$B$10,1)))</f>
        <v/>
      </c>
      <c r="K196" s="33">
        <f>IF(OR($U196="",2&gt;=설정!$B$12),"",SUMIFS(매입원본!$AT$8:$AT$1007,매입원본!$AX$8:$AX$1007,INDEX($R$8:$R$207,$U196),매입원본!$BA$8:$BA$1007,"포함",매입원본!$AS$8:$AS$1007,"&gt;="&amp;EDATE(설정!$B$10,2),매입원본!$AS$8:$AS$1007,"&lt;="&amp;EOMONTH(설정!$B$10,2)))</f>
        <v/>
      </c>
      <c r="L196" s="33">
        <f>IF(OR($U196="",3&gt;=설정!$B$12),"",SUMIFS(매입원본!$AT$8:$AT$1007,매입원본!$AX$8:$AX$1007,INDEX($R$8:$R$207,$U196),매입원본!$BA$8:$BA$1007,"포함",매입원본!$AS$8:$AS$1007,"&gt;="&amp;EDATE(설정!$B$10,3),매입원본!$AS$8:$AS$1007,"&lt;="&amp;EOMONTH(설정!$B$10,3)))</f>
        <v/>
      </c>
      <c r="M196" s="33">
        <f>IF(OR($U196="",4&gt;=설정!$B$12),"",SUMIFS(매입원본!$AT$8:$AT$1007,매입원본!$AX$8:$AX$1007,INDEX($R$8:$R$207,$U196),매입원본!$BA$8:$BA$1007,"포함",매입원본!$AS$8:$AS$1007,"&gt;="&amp;EDATE(설정!$B$10,4),매입원본!$AS$8:$AS$1007,"&lt;="&amp;EOMONTH(설정!$B$10,4)))</f>
        <v/>
      </c>
      <c r="N196" s="33">
        <f>IF(OR($U196="",5&gt;=설정!$B$12),"",SUMIFS(매입원본!$AT$8:$AT$1007,매입원본!$AX$8:$AX$1007,INDEX($R$8:$R$207,$U196),매입원본!$BA$8:$BA$1007,"포함",매입원본!$AS$8:$AS$1007,"&gt;="&amp;EDATE(설정!$B$10,5),매입원본!$AS$8:$AS$1007,"&lt;="&amp;EOMONTH(설정!$B$10,5)))</f>
        <v/>
      </c>
      <c r="Q196" s="35" t="n">
        <v>189</v>
      </c>
      <c r="R196" s="35">
        <f>IFERROR(INDEX(매입원본!$AX$8:$AX$1007,MATCH($Q196,매입원본!$BD$8:$BD$1007,0)),"")</f>
        <v/>
      </c>
      <c r="S196" s="35">
        <f>IF($R196="","",SUMIFS(매입원본!$AT$8:$AT$1007,매입원본!$AX$8:$AX$1007,$R196,매입원본!$BA$8:$BA$1007,"포함"))</f>
        <v/>
      </c>
      <c r="T196" s="35">
        <f>IF($R196="","",$S196-$Q196/100000)</f>
        <v/>
      </c>
      <c r="U196" s="35">
        <f>IFERROR(MATCH(LARGE($T$8:$T$207,189),$T$8:$T$207,0),"")</f>
        <v/>
      </c>
    </row>
    <row r="197">
      <c r="A197" s="32">
        <f>IF($U197="","",190)</f>
        <v/>
      </c>
      <c r="B197" s="10">
        <f>IF($U197="","",IFERROR(INDEX(매입원본!$AZ$8:$AZ$1007,MATCH($U197,매입원본!$BD$8:$BD$1007,0)),""))</f>
        <v/>
      </c>
      <c r="C197" s="10">
        <f>IF($U197="","",IFERROR(INDEX(매입원본!$AY$8:$AY$1007,MATCH($U197,매입원본!$BD$8:$BD$1007,0)),""))</f>
        <v/>
      </c>
      <c r="D197" s="33">
        <f>IF($U197="","",COUNTIFS(매입원본!$AX$8:$AX$1007,INDEX($R$8:$R$207,$U197),매입원본!$BA$8:$BA$1007,"포함"))</f>
        <v/>
      </c>
      <c r="E197" s="33">
        <f>IF($U197="","",SUMIFS(매입원본!$AT$8:$AT$1007,매입원본!$AX$8:$AX$1007,INDEX($R$8:$R$207,$U197),매입원본!$BA$8:$BA$1007,"포함"))</f>
        <v/>
      </c>
      <c r="F197" s="33">
        <f>IF($U197="","",SUMIFS(매입원본!$AU$8:$AU$1007,매입원본!$AX$8:$AX$1007,INDEX($R$8:$R$207,$U197),매입원본!$BA$8:$BA$1007,"포함"))</f>
        <v/>
      </c>
      <c r="G197" s="33">
        <f>IF($U197="","",SUMIFS(매입원본!$AV$8:$AV$1007,매입원본!$AX$8:$AX$1007,INDEX($R$8:$R$207,$U197),매입원본!$BA$8:$BA$1007,"포함"))</f>
        <v/>
      </c>
      <c r="H197" s="34">
        <f>IF(OR($U197="",$E$7=0),"",E197/$E$7)</f>
        <v/>
      </c>
      <c r="I197" s="33">
        <f>IF(OR($U197="",0&gt;=설정!$B$12),"",SUMIFS(매입원본!$AT$8:$AT$1007,매입원본!$AX$8:$AX$1007,INDEX($R$8:$R$207,$U197),매입원본!$BA$8:$BA$1007,"포함",매입원본!$AS$8:$AS$1007,"&gt;="&amp;EDATE(설정!$B$10,0),매입원본!$AS$8:$AS$1007,"&lt;="&amp;EOMONTH(설정!$B$10,0)))</f>
        <v/>
      </c>
      <c r="J197" s="33">
        <f>IF(OR($U197="",1&gt;=설정!$B$12),"",SUMIFS(매입원본!$AT$8:$AT$1007,매입원본!$AX$8:$AX$1007,INDEX($R$8:$R$207,$U197),매입원본!$BA$8:$BA$1007,"포함",매입원본!$AS$8:$AS$1007,"&gt;="&amp;EDATE(설정!$B$10,1),매입원본!$AS$8:$AS$1007,"&lt;="&amp;EOMONTH(설정!$B$10,1)))</f>
        <v/>
      </c>
      <c r="K197" s="33">
        <f>IF(OR($U197="",2&gt;=설정!$B$12),"",SUMIFS(매입원본!$AT$8:$AT$1007,매입원본!$AX$8:$AX$1007,INDEX($R$8:$R$207,$U197),매입원본!$BA$8:$BA$1007,"포함",매입원본!$AS$8:$AS$1007,"&gt;="&amp;EDATE(설정!$B$10,2),매입원본!$AS$8:$AS$1007,"&lt;="&amp;EOMONTH(설정!$B$10,2)))</f>
        <v/>
      </c>
      <c r="L197" s="33">
        <f>IF(OR($U197="",3&gt;=설정!$B$12),"",SUMIFS(매입원본!$AT$8:$AT$1007,매입원본!$AX$8:$AX$1007,INDEX($R$8:$R$207,$U197),매입원본!$BA$8:$BA$1007,"포함",매입원본!$AS$8:$AS$1007,"&gt;="&amp;EDATE(설정!$B$10,3),매입원본!$AS$8:$AS$1007,"&lt;="&amp;EOMONTH(설정!$B$10,3)))</f>
        <v/>
      </c>
      <c r="M197" s="33">
        <f>IF(OR($U197="",4&gt;=설정!$B$12),"",SUMIFS(매입원본!$AT$8:$AT$1007,매입원본!$AX$8:$AX$1007,INDEX($R$8:$R$207,$U197),매입원본!$BA$8:$BA$1007,"포함",매입원본!$AS$8:$AS$1007,"&gt;="&amp;EDATE(설정!$B$10,4),매입원본!$AS$8:$AS$1007,"&lt;="&amp;EOMONTH(설정!$B$10,4)))</f>
        <v/>
      </c>
      <c r="N197" s="33">
        <f>IF(OR($U197="",5&gt;=설정!$B$12),"",SUMIFS(매입원본!$AT$8:$AT$1007,매입원본!$AX$8:$AX$1007,INDEX($R$8:$R$207,$U197),매입원본!$BA$8:$BA$1007,"포함",매입원본!$AS$8:$AS$1007,"&gt;="&amp;EDATE(설정!$B$10,5),매입원본!$AS$8:$AS$1007,"&lt;="&amp;EOMONTH(설정!$B$10,5)))</f>
        <v/>
      </c>
      <c r="Q197" s="35" t="n">
        <v>190</v>
      </c>
      <c r="R197" s="35">
        <f>IFERROR(INDEX(매입원본!$AX$8:$AX$1007,MATCH($Q197,매입원본!$BD$8:$BD$1007,0)),"")</f>
        <v/>
      </c>
      <c r="S197" s="35">
        <f>IF($R197="","",SUMIFS(매입원본!$AT$8:$AT$1007,매입원본!$AX$8:$AX$1007,$R197,매입원본!$BA$8:$BA$1007,"포함"))</f>
        <v/>
      </c>
      <c r="T197" s="35">
        <f>IF($R197="","",$S197-$Q197/100000)</f>
        <v/>
      </c>
      <c r="U197" s="35">
        <f>IFERROR(MATCH(LARGE($T$8:$T$207,190),$T$8:$T$207,0),"")</f>
        <v/>
      </c>
    </row>
    <row r="198">
      <c r="A198" s="32">
        <f>IF($U198="","",191)</f>
        <v/>
      </c>
      <c r="B198" s="10">
        <f>IF($U198="","",IFERROR(INDEX(매입원본!$AZ$8:$AZ$1007,MATCH($U198,매입원본!$BD$8:$BD$1007,0)),""))</f>
        <v/>
      </c>
      <c r="C198" s="10">
        <f>IF($U198="","",IFERROR(INDEX(매입원본!$AY$8:$AY$1007,MATCH($U198,매입원본!$BD$8:$BD$1007,0)),""))</f>
        <v/>
      </c>
      <c r="D198" s="33">
        <f>IF($U198="","",COUNTIFS(매입원본!$AX$8:$AX$1007,INDEX($R$8:$R$207,$U198),매입원본!$BA$8:$BA$1007,"포함"))</f>
        <v/>
      </c>
      <c r="E198" s="33">
        <f>IF($U198="","",SUMIFS(매입원본!$AT$8:$AT$1007,매입원본!$AX$8:$AX$1007,INDEX($R$8:$R$207,$U198),매입원본!$BA$8:$BA$1007,"포함"))</f>
        <v/>
      </c>
      <c r="F198" s="33">
        <f>IF($U198="","",SUMIFS(매입원본!$AU$8:$AU$1007,매입원본!$AX$8:$AX$1007,INDEX($R$8:$R$207,$U198),매입원본!$BA$8:$BA$1007,"포함"))</f>
        <v/>
      </c>
      <c r="G198" s="33">
        <f>IF($U198="","",SUMIFS(매입원본!$AV$8:$AV$1007,매입원본!$AX$8:$AX$1007,INDEX($R$8:$R$207,$U198),매입원본!$BA$8:$BA$1007,"포함"))</f>
        <v/>
      </c>
      <c r="H198" s="34">
        <f>IF(OR($U198="",$E$7=0),"",E198/$E$7)</f>
        <v/>
      </c>
      <c r="I198" s="33">
        <f>IF(OR($U198="",0&gt;=설정!$B$12),"",SUMIFS(매입원본!$AT$8:$AT$1007,매입원본!$AX$8:$AX$1007,INDEX($R$8:$R$207,$U198),매입원본!$BA$8:$BA$1007,"포함",매입원본!$AS$8:$AS$1007,"&gt;="&amp;EDATE(설정!$B$10,0),매입원본!$AS$8:$AS$1007,"&lt;="&amp;EOMONTH(설정!$B$10,0)))</f>
        <v/>
      </c>
      <c r="J198" s="33">
        <f>IF(OR($U198="",1&gt;=설정!$B$12),"",SUMIFS(매입원본!$AT$8:$AT$1007,매입원본!$AX$8:$AX$1007,INDEX($R$8:$R$207,$U198),매입원본!$BA$8:$BA$1007,"포함",매입원본!$AS$8:$AS$1007,"&gt;="&amp;EDATE(설정!$B$10,1),매입원본!$AS$8:$AS$1007,"&lt;="&amp;EOMONTH(설정!$B$10,1)))</f>
        <v/>
      </c>
      <c r="K198" s="33">
        <f>IF(OR($U198="",2&gt;=설정!$B$12),"",SUMIFS(매입원본!$AT$8:$AT$1007,매입원본!$AX$8:$AX$1007,INDEX($R$8:$R$207,$U198),매입원본!$BA$8:$BA$1007,"포함",매입원본!$AS$8:$AS$1007,"&gt;="&amp;EDATE(설정!$B$10,2),매입원본!$AS$8:$AS$1007,"&lt;="&amp;EOMONTH(설정!$B$10,2)))</f>
        <v/>
      </c>
      <c r="L198" s="33">
        <f>IF(OR($U198="",3&gt;=설정!$B$12),"",SUMIFS(매입원본!$AT$8:$AT$1007,매입원본!$AX$8:$AX$1007,INDEX($R$8:$R$207,$U198),매입원본!$BA$8:$BA$1007,"포함",매입원본!$AS$8:$AS$1007,"&gt;="&amp;EDATE(설정!$B$10,3),매입원본!$AS$8:$AS$1007,"&lt;="&amp;EOMONTH(설정!$B$10,3)))</f>
        <v/>
      </c>
      <c r="M198" s="33">
        <f>IF(OR($U198="",4&gt;=설정!$B$12),"",SUMIFS(매입원본!$AT$8:$AT$1007,매입원본!$AX$8:$AX$1007,INDEX($R$8:$R$207,$U198),매입원본!$BA$8:$BA$1007,"포함",매입원본!$AS$8:$AS$1007,"&gt;="&amp;EDATE(설정!$B$10,4),매입원본!$AS$8:$AS$1007,"&lt;="&amp;EOMONTH(설정!$B$10,4)))</f>
        <v/>
      </c>
      <c r="N198" s="33">
        <f>IF(OR($U198="",5&gt;=설정!$B$12),"",SUMIFS(매입원본!$AT$8:$AT$1007,매입원본!$AX$8:$AX$1007,INDEX($R$8:$R$207,$U198),매입원본!$BA$8:$BA$1007,"포함",매입원본!$AS$8:$AS$1007,"&gt;="&amp;EDATE(설정!$B$10,5),매입원본!$AS$8:$AS$1007,"&lt;="&amp;EOMONTH(설정!$B$10,5)))</f>
        <v/>
      </c>
      <c r="Q198" s="35" t="n">
        <v>191</v>
      </c>
      <c r="R198" s="35">
        <f>IFERROR(INDEX(매입원본!$AX$8:$AX$1007,MATCH($Q198,매입원본!$BD$8:$BD$1007,0)),"")</f>
        <v/>
      </c>
      <c r="S198" s="35">
        <f>IF($R198="","",SUMIFS(매입원본!$AT$8:$AT$1007,매입원본!$AX$8:$AX$1007,$R198,매입원본!$BA$8:$BA$1007,"포함"))</f>
        <v/>
      </c>
      <c r="T198" s="35">
        <f>IF($R198="","",$S198-$Q198/100000)</f>
        <v/>
      </c>
      <c r="U198" s="35">
        <f>IFERROR(MATCH(LARGE($T$8:$T$207,191),$T$8:$T$207,0),"")</f>
        <v/>
      </c>
    </row>
    <row r="199">
      <c r="A199" s="32">
        <f>IF($U199="","",192)</f>
        <v/>
      </c>
      <c r="B199" s="10">
        <f>IF($U199="","",IFERROR(INDEX(매입원본!$AZ$8:$AZ$1007,MATCH($U199,매입원본!$BD$8:$BD$1007,0)),""))</f>
        <v/>
      </c>
      <c r="C199" s="10">
        <f>IF($U199="","",IFERROR(INDEX(매입원본!$AY$8:$AY$1007,MATCH($U199,매입원본!$BD$8:$BD$1007,0)),""))</f>
        <v/>
      </c>
      <c r="D199" s="33">
        <f>IF($U199="","",COUNTIFS(매입원본!$AX$8:$AX$1007,INDEX($R$8:$R$207,$U199),매입원본!$BA$8:$BA$1007,"포함"))</f>
        <v/>
      </c>
      <c r="E199" s="33">
        <f>IF($U199="","",SUMIFS(매입원본!$AT$8:$AT$1007,매입원본!$AX$8:$AX$1007,INDEX($R$8:$R$207,$U199),매입원본!$BA$8:$BA$1007,"포함"))</f>
        <v/>
      </c>
      <c r="F199" s="33">
        <f>IF($U199="","",SUMIFS(매입원본!$AU$8:$AU$1007,매입원본!$AX$8:$AX$1007,INDEX($R$8:$R$207,$U199),매입원본!$BA$8:$BA$1007,"포함"))</f>
        <v/>
      </c>
      <c r="G199" s="33">
        <f>IF($U199="","",SUMIFS(매입원본!$AV$8:$AV$1007,매입원본!$AX$8:$AX$1007,INDEX($R$8:$R$207,$U199),매입원본!$BA$8:$BA$1007,"포함"))</f>
        <v/>
      </c>
      <c r="H199" s="34">
        <f>IF(OR($U199="",$E$7=0),"",E199/$E$7)</f>
        <v/>
      </c>
      <c r="I199" s="33">
        <f>IF(OR($U199="",0&gt;=설정!$B$12),"",SUMIFS(매입원본!$AT$8:$AT$1007,매입원본!$AX$8:$AX$1007,INDEX($R$8:$R$207,$U199),매입원본!$BA$8:$BA$1007,"포함",매입원본!$AS$8:$AS$1007,"&gt;="&amp;EDATE(설정!$B$10,0),매입원본!$AS$8:$AS$1007,"&lt;="&amp;EOMONTH(설정!$B$10,0)))</f>
        <v/>
      </c>
      <c r="J199" s="33">
        <f>IF(OR($U199="",1&gt;=설정!$B$12),"",SUMIFS(매입원본!$AT$8:$AT$1007,매입원본!$AX$8:$AX$1007,INDEX($R$8:$R$207,$U199),매입원본!$BA$8:$BA$1007,"포함",매입원본!$AS$8:$AS$1007,"&gt;="&amp;EDATE(설정!$B$10,1),매입원본!$AS$8:$AS$1007,"&lt;="&amp;EOMONTH(설정!$B$10,1)))</f>
        <v/>
      </c>
      <c r="K199" s="33">
        <f>IF(OR($U199="",2&gt;=설정!$B$12),"",SUMIFS(매입원본!$AT$8:$AT$1007,매입원본!$AX$8:$AX$1007,INDEX($R$8:$R$207,$U199),매입원본!$BA$8:$BA$1007,"포함",매입원본!$AS$8:$AS$1007,"&gt;="&amp;EDATE(설정!$B$10,2),매입원본!$AS$8:$AS$1007,"&lt;="&amp;EOMONTH(설정!$B$10,2)))</f>
        <v/>
      </c>
      <c r="L199" s="33">
        <f>IF(OR($U199="",3&gt;=설정!$B$12),"",SUMIFS(매입원본!$AT$8:$AT$1007,매입원본!$AX$8:$AX$1007,INDEX($R$8:$R$207,$U199),매입원본!$BA$8:$BA$1007,"포함",매입원본!$AS$8:$AS$1007,"&gt;="&amp;EDATE(설정!$B$10,3),매입원본!$AS$8:$AS$1007,"&lt;="&amp;EOMONTH(설정!$B$10,3)))</f>
        <v/>
      </c>
      <c r="M199" s="33">
        <f>IF(OR($U199="",4&gt;=설정!$B$12),"",SUMIFS(매입원본!$AT$8:$AT$1007,매입원본!$AX$8:$AX$1007,INDEX($R$8:$R$207,$U199),매입원본!$BA$8:$BA$1007,"포함",매입원본!$AS$8:$AS$1007,"&gt;="&amp;EDATE(설정!$B$10,4),매입원본!$AS$8:$AS$1007,"&lt;="&amp;EOMONTH(설정!$B$10,4)))</f>
        <v/>
      </c>
      <c r="N199" s="33">
        <f>IF(OR($U199="",5&gt;=설정!$B$12),"",SUMIFS(매입원본!$AT$8:$AT$1007,매입원본!$AX$8:$AX$1007,INDEX($R$8:$R$207,$U199),매입원본!$BA$8:$BA$1007,"포함",매입원본!$AS$8:$AS$1007,"&gt;="&amp;EDATE(설정!$B$10,5),매입원본!$AS$8:$AS$1007,"&lt;="&amp;EOMONTH(설정!$B$10,5)))</f>
        <v/>
      </c>
      <c r="Q199" s="35" t="n">
        <v>192</v>
      </c>
      <c r="R199" s="35">
        <f>IFERROR(INDEX(매입원본!$AX$8:$AX$1007,MATCH($Q199,매입원본!$BD$8:$BD$1007,0)),"")</f>
        <v/>
      </c>
      <c r="S199" s="35">
        <f>IF($R199="","",SUMIFS(매입원본!$AT$8:$AT$1007,매입원본!$AX$8:$AX$1007,$R199,매입원본!$BA$8:$BA$1007,"포함"))</f>
        <v/>
      </c>
      <c r="T199" s="35">
        <f>IF($R199="","",$S199-$Q199/100000)</f>
        <v/>
      </c>
      <c r="U199" s="35">
        <f>IFERROR(MATCH(LARGE($T$8:$T$207,192),$T$8:$T$207,0),"")</f>
        <v/>
      </c>
    </row>
    <row r="200">
      <c r="A200" s="32">
        <f>IF($U200="","",193)</f>
        <v/>
      </c>
      <c r="B200" s="10">
        <f>IF($U200="","",IFERROR(INDEX(매입원본!$AZ$8:$AZ$1007,MATCH($U200,매입원본!$BD$8:$BD$1007,0)),""))</f>
        <v/>
      </c>
      <c r="C200" s="10">
        <f>IF($U200="","",IFERROR(INDEX(매입원본!$AY$8:$AY$1007,MATCH($U200,매입원본!$BD$8:$BD$1007,0)),""))</f>
        <v/>
      </c>
      <c r="D200" s="33">
        <f>IF($U200="","",COUNTIFS(매입원본!$AX$8:$AX$1007,INDEX($R$8:$R$207,$U200),매입원본!$BA$8:$BA$1007,"포함"))</f>
        <v/>
      </c>
      <c r="E200" s="33">
        <f>IF($U200="","",SUMIFS(매입원본!$AT$8:$AT$1007,매입원본!$AX$8:$AX$1007,INDEX($R$8:$R$207,$U200),매입원본!$BA$8:$BA$1007,"포함"))</f>
        <v/>
      </c>
      <c r="F200" s="33">
        <f>IF($U200="","",SUMIFS(매입원본!$AU$8:$AU$1007,매입원본!$AX$8:$AX$1007,INDEX($R$8:$R$207,$U200),매입원본!$BA$8:$BA$1007,"포함"))</f>
        <v/>
      </c>
      <c r="G200" s="33">
        <f>IF($U200="","",SUMIFS(매입원본!$AV$8:$AV$1007,매입원본!$AX$8:$AX$1007,INDEX($R$8:$R$207,$U200),매입원본!$BA$8:$BA$1007,"포함"))</f>
        <v/>
      </c>
      <c r="H200" s="34">
        <f>IF(OR($U200="",$E$7=0),"",E200/$E$7)</f>
        <v/>
      </c>
      <c r="I200" s="33">
        <f>IF(OR($U200="",0&gt;=설정!$B$12),"",SUMIFS(매입원본!$AT$8:$AT$1007,매입원본!$AX$8:$AX$1007,INDEX($R$8:$R$207,$U200),매입원본!$BA$8:$BA$1007,"포함",매입원본!$AS$8:$AS$1007,"&gt;="&amp;EDATE(설정!$B$10,0),매입원본!$AS$8:$AS$1007,"&lt;="&amp;EOMONTH(설정!$B$10,0)))</f>
        <v/>
      </c>
      <c r="J200" s="33">
        <f>IF(OR($U200="",1&gt;=설정!$B$12),"",SUMIFS(매입원본!$AT$8:$AT$1007,매입원본!$AX$8:$AX$1007,INDEX($R$8:$R$207,$U200),매입원본!$BA$8:$BA$1007,"포함",매입원본!$AS$8:$AS$1007,"&gt;="&amp;EDATE(설정!$B$10,1),매입원본!$AS$8:$AS$1007,"&lt;="&amp;EOMONTH(설정!$B$10,1)))</f>
        <v/>
      </c>
      <c r="K200" s="33">
        <f>IF(OR($U200="",2&gt;=설정!$B$12),"",SUMIFS(매입원본!$AT$8:$AT$1007,매입원본!$AX$8:$AX$1007,INDEX($R$8:$R$207,$U200),매입원본!$BA$8:$BA$1007,"포함",매입원본!$AS$8:$AS$1007,"&gt;="&amp;EDATE(설정!$B$10,2),매입원본!$AS$8:$AS$1007,"&lt;="&amp;EOMONTH(설정!$B$10,2)))</f>
        <v/>
      </c>
      <c r="L200" s="33">
        <f>IF(OR($U200="",3&gt;=설정!$B$12),"",SUMIFS(매입원본!$AT$8:$AT$1007,매입원본!$AX$8:$AX$1007,INDEX($R$8:$R$207,$U200),매입원본!$BA$8:$BA$1007,"포함",매입원본!$AS$8:$AS$1007,"&gt;="&amp;EDATE(설정!$B$10,3),매입원본!$AS$8:$AS$1007,"&lt;="&amp;EOMONTH(설정!$B$10,3)))</f>
        <v/>
      </c>
      <c r="M200" s="33">
        <f>IF(OR($U200="",4&gt;=설정!$B$12),"",SUMIFS(매입원본!$AT$8:$AT$1007,매입원본!$AX$8:$AX$1007,INDEX($R$8:$R$207,$U200),매입원본!$BA$8:$BA$1007,"포함",매입원본!$AS$8:$AS$1007,"&gt;="&amp;EDATE(설정!$B$10,4),매입원본!$AS$8:$AS$1007,"&lt;="&amp;EOMONTH(설정!$B$10,4)))</f>
        <v/>
      </c>
      <c r="N200" s="33">
        <f>IF(OR($U200="",5&gt;=설정!$B$12),"",SUMIFS(매입원본!$AT$8:$AT$1007,매입원본!$AX$8:$AX$1007,INDEX($R$8:$R$207,$U200),매입원본!$BA$8:$BA$1007,"포함",매입원본!$AS$8:$AS$1007,"&gt;="&amp;EDATE(설정!$B$10,5),매입원본!$AS$8:$AS$1007,"&lt;="&amp;EOMONTH(설정!$B$10,5)))</f>
        <v/>
      </c>
      <c r="Q200" s="35" t="n">
        <v>193</v>
      </c>
      <c r="R200" s="35">
        <f>IFERROR(INDEX(매입원본!$AX$8:$AX$1007,MATCH($Q200,매입원본!$BD$8:$BD$1007,0)),"")</f>
        <v/>
      </c>
      <c r="S200" s="35">
        <f>IF($R200="","",SUMIFS(매입원본!$AT$8:$AT$1007,매입원본!$AX$8:$AX$1007,$R200,매입원본!$BA$8:$BA$1007,"포함"))</f>
        <v/>
      </c>
      <c r="T200" s="35">
        <f>IF($R200="","",$S200-$Q200/100000)</f>
        <v/>
      </c>
      <c r="U200" s="35">
        <f>IFERROR(MATCH(LARGE($T$8:$T$207,193),$T$8:$T$207,0),"")</f>
        <v/>
      </c>
    </row>
    <row r="201">
      <c r="A201" s="32">
        <f>IF($U201="","",194)</f>
        <v/>
      </c>
      <c r="B201" s="10">
        <f>IF($U201="","",IFERROR(INDEX(매입원본!$AZ$8:$AZ$1007,MATCH($U201,매입원본!$BD$8:$BD$1007,0)),""))</f>
        <v/>
      </c>
      <c r="C201" s="10">
        <f>IF($U201="","",IFERROR(INDEX(매입원본!$AY$8:$AY$1007,MATCH($U201,매입원본!$BD$8:$BD$1007,0)),""))</f>
        <v/>
      </c>
      <c r="D201" s="33">
        <f>IF($U201="","",COUNTIFS(매입원본!$AX$8:$AX$1007,INDEX($R$8:$R$207,$U201),매입원본!$BA$8:$BA$1007,"포함"))</f>
        <v/>
      </c>
      <c r="E201" s="33">
        <f>IF($U201="","",SUMIFS(매입원본!$AT$8:$AT$1007,매입원본!$AX$8:$AX$1007,INDEX($R$8:$R$207,$U201),매입원본!$BA$8:$BA$1007,"포함"))</f>
        <v/>
      </c>
      <c r="F201" s="33">
        <f>IF($U201="","",SUMIFS(매입원본!$AU$8:$AU$1007,매입원본!$AX$8:$AX$1007,INDEX($R$8:$R$207,$U201),매입원본!$BA$8:$BA$1007,"포함"))</f>
        <v/>
      </c>
      <c r="G201" s="33">
        <f>IF($U201="","",SUMIFS(매입원본!$AV$8:$AV$1007,매입원본!$AX$8:$AX$1007,INDEX($R$8:$R$207,$U201),매입원본!$BA$8:$BA$1007,"포함"))</f>
        <v/>
      </c>
      <c r="H201" s="34">
        <f>IF(OR($U201="",$E$7=0),"",E201/$E$7)</f>
        <v/>
      </c>
      <c r="I201" s="33">
        <f>IF(OR($U201="",0&gt;=설정!$B$12),"",SUMIFS(매입원본!$AT$8:$AT$1007,매입원본!$AX$8:$AX$1007,INDEX($R$8:$R$207,$U201),매입원본!$BA$8:$BA$1007,"포함",매입원본!$AS$8:$AS$1007,"&gt;="&amp;EDATE(설정!$B$10,0),매입원본!$AS$8:$AS$1007,"&lt;="&amp;EOMONTH(설정!$B$10,0)))</f>
        <v/>
      </c>
      <c r="J201" s="33">
        <f>IF(OR($U201="",1&gt;=설정!$B$12),"",SUMIFS(매입원본!$AT$8:$AT$1007,매입원본!$AX$8:$AX$1007,INDEX($R$8:$R$207,$U201),매입원본!$BA$8:$BA$1007,"포함",매입원본!$AS$8:$AS$1007,"&gt;="&amp;EDATE(설정!$B$10,1),매입원본!$AS$8:$AS$1007,"&lt;="&amp;EOMONTH(설정!$B$10,1)))</f>
        <v/>
      </c>
      <c r="K201" s="33">
        <f>IF(OR($U201="",2&gt;=설정!$B$12),"",SUMIFS(매입원본!$AT$8:$AT$1007,매입원본!$AX$8:$AX$1007,INDEX($R$8:$R$207,$U201),매입원본!$BA$8:$BA$1007,"포함",매입원본!$AS$8:$AS$1007,"&gt;="&amp;EDATE(설정!$B$10,2),매입원본!$AS$8:$AS$1007,"&lt;="&amp;EOMONTH(설정!$B$10,2)))</f>
        <v/>
      </c>
      <c r="L201" s="33">
        <f>IF(OR($U201="",3&gt;=설정!$B$12),"",SUMIFS(매입원본!$AT$8:$AT$1007,매입원본!$AX$8:$AX$1007,INDEX($R$8:$R$207,$U201),매입원본!$BA$8:$BA$1007,"포함",매입원본!$AS$8:$AS$1007,"&gt;="&amp;EDATE(설정!$B$10,3),매입원본!$AS$8:$AS$1007,"&lt;="&amp;EOMONTH(설정!$B$10,3)))</f>
        <v/>
      </c>
      <c r="M201" s="33">
        <f>IF(OR($U201="",4&gt;=설정!$B$12),"",SUMIFS(매입원본!$AT$8:$AT$1007,매입원본!$AX$8:$AX$1007,INDEX($R$8:$R$207,$U201),매입원본!$BA$8:$BA$1007,"포함",매입원본!$AS$8:$AS$1007,"&gt;="&amp;EDATE(설정!$B$10,4),매입원본!$AS$8:$AS$1007,"&lt;="&amp;EOMONTH(설정!$B$10,4)))</f>
        <v/>
      </c>
      <c r="N201" s="33">
        <f>IF(OR($U201="",5&gt;=설정!$B$12),"",SUMIFS(매입원본!$AT$8:$AT$1007,매입원본!$AX$8:$AX$1007,INDEX($R$8:$R$207,$U201),매입원본!$BA$8:$BA$1007,"포함",매입원본!$AS$8:$AS$1007,"&gt;="&amp;EDATE(설정!$B$10,5),매입원본!$AS$8:$AS$1007,"&lt;="&amp;EOMONTH(설정!$B$10,5)))</f>
        <v/>
      </c>
      <c r="Q201" s="35" t="n">
        <v>194</v>
      </c>
      <c r="R201" s="35">
        <f>IFERROR(INDEX(매입원본!$AX$8:$AX$1007,MATCH($Q201,매입원본!$BD$8:$BD$1007,0)),"")</f>
        <v/>
      </c>
      <c r="S201" s="35">
        <f>IF($R201="","",SUMIFS(매입원본!$AT$8:$AT$1007,매입원본!$AX$8:$AX$1007,$R201,매입원본!$BA$8:$BA$1007,"포함"))</f>
        <v/>
      </c>
      <c r="T201" s="35">
        <f>IF($R201="","",$S201-$Q201/100000)</f>
        <v/>
      </c>
      <c r="U201" s="35">
        <f>IFERROR(MATCH(LARGE($T$8:$T$207,194),$T$8:$T$207,0),"")</f>
        <v/>
      </c>
    </row>
    <row r="202">
      <c r="A202" s="32">
        <f>IF($U202="","",195)</f>
        <v/>
      </c>
      <c r="B202" s="10">
        <f>IF($U202="","",IFERROR(INDEX(매입원본!$AZ$8:$AZ$1007,MATCH($U202,매입원본!$BD$8:$BD$1007,0)),""))</f>
        <v/>
      </c>
      <c r="C202" s="10">
        <f>IF($U202="","",IFERROR(INDEX(매입원본!$AY$8:$AY$1007,MATCH($U202,매입원본!$BD$8:$BD$1007,0)),""))</f>
        <v/>
      </c>
      <c r="D202" s="33">
        <f>IF($U202="","",COUNTIFS(매입원본!$AX$8:$AX$1007,INDEX($R$8:$R$207,$U202),매입원본!$BA$8:$BA$1007,"포함"))</f>
        <v/>
      </c>
      <c r="E202" s="33">
        <f>IF($U202="","",SUMIFS(매입원본!$AT$8:$AT$1007,매입원본!$AX$8:$AX$1007,INDEX($R$8:$R$207,$U202),매입원본!$BA$8:$BA$1007,"포함"))</f>
        <v/>
      </c>
      <c r="F202" s="33">
        <f>IF($U202="","",SUMIFS(매입원본!$AU$8:$AU$1007,매입원본!$AX$8:$AX$1007,INDEX($R$8:$R$207,$U202),매입원본!$BA$8:$BA$1007,"포함"))</f>
        <v/>
      </c>
      <c r="G202" s="33">
        <f>IF($U202="","",SUMIFS(매입원본!$AV$8:$AV$1007,매입원본!$AX$8:$AX$1007,INDEX($R$8:$R$207,$U202),매입원본!$BA$8:$BA$1007,"포함"))</f>
        <v/>
      </c>
      <c r="H202" s="34">
        <f>IF(OR($U202="",$E$7=0),"",E202/$E$7)</f>
        <v/>
      </c>
      <c r="I202" s="33">
        <f>IF(OR($U202="",0&gt;=설정!$B$12),"",SUMIFS(매입원본!$AT$8:$AT$1007,매입원본!$AX$8:$AX$1007,INDEX($R$8:$R$207,$U202),매입원본!$BA$8:$BA$1007,"포함",매입원본!$AS$8:$AS$1007,"&gt;="&amp;EDATE(설정!$B$10,0),매입원본!$AS$8:$AS$1007,"&lt;="&amp;EOMONTH(설정!$B$10,0)))</f>
        <v/>
      </c>
      <c r="J202" s="33">
        <f>IF(OR($U202="",1&gt;=설정!$B$12),"",SUMIFS(매입원본!$AT$8:$AT$1007,매입원본!$AX$8:$AX$1007,INDEX($R$8:$R$207,$U202),매입원본!$BA$8:$BA$1007,"포함",매입원본!$AS$8:$AS$1007,"&gt;="&amp;EDATE(설정!$B$10,1),매입원본!$AS$8:$AS$1007,"&lt;="&amp;EOMONTH(설정!$B$10,1)))</f>
        <v/>
      </c>
      <c r="K202" s="33">
        <f>IF(OR($U202="",2&gt;=설정!$B$12),"",SUMIFS(매입원본!$AT$8:$AT$1007,매입원본!$AX$8:$AX$1007,INDEX($R$8:$R$207,$U202),매입원본!$BA$8:$BA$1007,"포함",매입원본!$AS$8:$AS$1007,"&gt;="&amp;EDATE(설정!$B$10,2),매입원본!$AS$8:$AS$1007,"&lt;="&amp;EOMONTH(설정!$B$10,2)))</f>
        <v/>
      </c>
      <c r="L202" s="33">
        <f>IF(OR($U202="",3&gt;=설정!$B$12),"",SUMIFS(매입원본!$AT$8:$AT$1007,매입원본!$AX$8:$AX$1007,INDEX($R$8:$R$207,$U202),매입원본!$BA$8:$BA$1007,"포함",매입원본!$AS$8:$AS$1007,"&gt;="&amp;EDATE(설정!$B$10,3),매입원본!$AS$8:$AS$1007,"&lt;="&amp;EOMONTH(설정!$B$10,3)))</f>
        <v/>
      </c>
      <c r="M202" s="33">
        <f>IF(OR($U202="",4&gt;=설정!$B$12),"",SUMIFS(매입원본!$AT$8:$AT$1007,매입원본!$AX$8:$AX$1007,INDEX($R$8:$R$207,$U202),매입원본!$BA$8:$BA$1007,"포함",매입원본!$AS$8:$AS$1007,"&gt;="&amp;EDATE(설정!$B$10,4),매입원본!$AS$8:$AS$1007,"&lt;="&amp;EOMONTH(설정!$B$10,4)))</f>
        <v/>
      </c>
      <c r="N202" s="33">
        <f>IF(OR($U202="",5&gt;=설정!$B$12),"",SUMIFS(매입원본!$AT$8:$AT$1007,매입원본!$AX$8:$AX$1007,INDEX($R$8:$R$207,$U202),매입원본!$BA$8:$BA$1007,"포함",매입원본!$AS$8:$AS$1007,"&gt;="&amp;EDATE(설정!$B$10,5),매입원본!$AS$8:$AS$1007,"&lt;="&amp;EOMONTH(설정!$B$10,5)))</f>
        <v/>
      </c>
      <c r="Q202" s="35" t="n">
        <v>195</v>
      </c>
      <c r="R202" s="35">
        <f>IFERROR(INDEX(매입원본!$AX$8:$AX$1007,MATCH($Q202,매입원본!$BD$8:$BD$1007,0)),"")</f>
        <v/>
      </c>
      <c r="S202" s="35">
        <f>IF($R202="","",SUMIFS(매입원본!$AT$8:$AT$1007,매입원본!$AX$8:$AX$1007,$R202,매입원본!$BA$8:$BA$1007,"포함"))</f>
        <v/>
      </c>
      <c r="T202" s="35">
        <f>IF($R202="","",$S202-$Q202/100000)</f>
        <v/>
      </c>
      <c r="U202" s="35">
        <f>IFERROR(MATCH(LARGE($T$8:$T$207,195),$T$8:$T$207,0),"")</f>
        <v/>
      </c>
    </row>
    <row r="203">
      <c r="A203" s="32">
        <f>IF($U203="","",196)</f>
        <v/>
      </c>
      <c r="B203" s="10">
        <f>IF($U203="","",IFERROR(INDEX(매입원본!$AZ$8:$AZ$1007,MATCH($U203,매입원본!$BD$8:$BD$1007,0)),""))</f>
        <v/>
      </c>
      <c r="C203" s="10">
        <f>IF($U203="","",IFERROR(INDEX(매입원본!$AY$8:$AY$1007,MATCH($U203,매입원본!$BD$8:$BD$1007,0)),""))</f>
        <v/>
      </c>
      <c r="D203" s="33">
        <f>IF($U203="","",COUNTIFS(매입원본!$AX$8:$AX$1007,INDEX($R$8:$R$207,$U203),매입원본!$BA$8:$BA$1007,"포함"))</f>
        <v/>
      </c>
      <c r="E203" s="33">
        <f>IF($U203="","",SUMIFS(매입원본!$AT$8:$AT$1007,매입원본!$AX$8:$AX$1007,INDEX($R$8:$R$207,$U203),매입원본!$BA$8:$BA$1007,"포함"))</f>
        <v/>
      </c>
      <c r="F203" s="33">
        <f>IF($U203="","",SUMIFS(매입원본!$AU$8:$AU$1007,매입원본!$AX$8:$AX$1007,INDEX($R$8:$R$207,$U203),매입원본!$BA$8:$BA$1007,"포함"))</f>
        <v/>
      </c>
      <c r="G203" s="33">
        <f>IF($U203="","",SUMIFS(매입원본!$AV$8:$AV$1007,매입원본!$AX$8:$AX$1007,INDEX($R$8:$R$207,$U203),매입원본!$BA$8:$BA$1007,"포함"))</f>
        <v/>
      </c>
      <c r="H203" s="34">
        <f>IF(OR($U203="",$E$7=0),"",E203/$E$7)</f>
        <v/>
      </c>
      <c r="I203" s="33">
        <f>IF(OR($U203="",0&gt;=설정!$B$12),"",SUMIFS(매입원본!$AT$8:$AT$1007,매입원본!$AX$8:$AX$1007,INDEX($R$8:$R$207,$U203),매입원본!$BA$8:$BA$1007,"포함",매입원본!$AS$8:$AS$1007,"&gt;="&amp;EDATE(설정!$B$10,0),매입원본!$AS$8:$AS$1007,"&lt;="&amp;EOMONTH(설정!$B$10,0)))</f>
        <v/>
      </c>
      <c r="J203" s="33">
        <f>IF(OR($U203="",1&gt;=설정!$B$12),"",SUMIFS(매입원본!$AT$8:$AT$1007,매입원본!$AX$8:$AX$1007,INDEX($R$8:$R$207,$U203),매입원본!$BA$8:$BA$1007,"포함",매입원본!$AS$8:$AS$1007,"&gt;="&amp;EDATE(설정!$B$10,1),매입원본!$AS$8:$AS$1007,"&lt;="&amp;EOMONTH(설정!$B$10,1)))</f>
        <v/>
      </c>
      <c r="K203" s="33">
        <f>IF(OR($U203="",2&gt;=설정!$B$12),"",SUMIFS(매입원본!$AT$8:$AT$1007,매입원본!$AX$8:$AX$1007,INDEX($R$8:$R$207,$U203),매입원본!$BA$8:$BA$1007,"포함",매입원본!$AS$8:$AS$1007,"&gt;="&amp;EDATE(설정!$B$10,2),매입원본!$AS$8:$AS$1007,"&lt;="&amp;EOMONTH(설정!$B$10,2)))</f>
        <v/>
      </c>
      <c r="L203" s="33">
        <f>IF(OR($U203="",3&gt;=설정!$B$12),"",SUMIFS(매입원본!$AT$8:$AT$1007,매입원본!$AX$8:$AX$1007,INDEX($R$8:$R$207,$U203),매입원본!$BA$8:$BA$1007,"포함",매입원본!$AS$8:$AS$1007,"&gt;="&amp;EDATE(설정!$B$10,3),매입원본!$AS$8:$AS$1007,"&lt;="&amp;EOMONTH(설정!$B$10,3)))</f>
        <v/>
      </c>
      <c r="M203" s="33">
        <f>IF(OR($U203="",4&gt;=설정!$B$12),"",SUMIFS(매입원본!$AT$8:$AT$1007,매입원본!$AX$8:$AX$1007,INDEX($R$8:$R$207,$U203),매입원본!$BA$8:$BA$1007,"포함",매입원본!$AS$8:$AS$1007,"&gt;="&amp;EDATE(설정!$B$10,4),매입원본!$AS$8:$AS$1007,"&lt;="&amp;EOMONTH(설정!$B$10,4)))</f>
        <v/>
      </c>
      <c r="N203" s="33">
        <f>IF(OR($U203="",5&gt;=설정!$B$12),"",SUMIFS(매입원본!$AT$8:$AT$1007,매입원본!$AX$8:$AX$1007,INDEX($R$8:$R$207,$U203),매입원본!$BA$8:$BA$1007,"포함",매입원본!$AS$8:$AS$1007,"&gt;="&amp;EDATE(설정!$B$10,5),매입원본!$AS$8:$AS$1007,"&lt;="&amp;EOMONTH(설정!$B$10,5)))</f>
        <v/>
      </c>
      <c r="Q203" s="35" t="n">
        <v>196</v>
      </c>
      <c r="R203" s="35">
        <f>IFERROR(INDEX(매입원본!$AX$8:$AX$1007,MATCH($Q203,매입원본!$BD$8:$BD$1007,0)),"")</f>
        <v/>
      </c>
      <c r="S203" s="35">
        <f>IF($R203="","",SUMIFS(매입원본!$AT$8:$AT$1007,매입원본!$AX$8:$AX$1007,$R203,매입원본!$BA$8:$BA$1007,"포함"))</f>
        <v/>
      </c>
      <c r="T203" s="35">
        <f>IF($R203="","",$S203-$Q203/100000)</f>
        <v/>
      </c>
      <c r="U203" s="35">
        <f>IFERROR(MATCH(LARGE($T$8:$T$207,196),$T$8:$T$207,0),"")</f>
        <v/>
      </c>
    </row>
    <row r="204">
      <c r="A204" s="32">
        <f>IF($U204="","",197)</f>
        <v/>
      </c>
      <c r="B204" s="10">
        <f>IF($U204="","",IFERROR(INDEX(매입원본!$AZ$8:$AZ$1007,MATCH($U204,매입원본!$BD$8:$BD$1007,0)),""))</f>
        <v/>
      </c>
      <c r="C204" s="10">
        <f>IF($U204="","",IFERROR(INDEX(매입원본!$AY$8:$AY$1007,MATCH($U204,매입원본!$BD$8:$BD$1007,0)),""))</f>
        <v/>
      </c>
      <c r="D204" s="33">
        <f>IF($U204="","",COUNTIFS(매입원본!$AX$8:$AX$1007,INDEX($R$8:$R$207,$U204),매입원본!$BA$8:$BA$1007,"포함"))</f>
        <v/>
      </c>
      <c r="E204" s="33">
        <f>IF($U204="","",SUMIFS(매입원본!$AT$8:$AT$1007,매입원본!$AX$8:$AX$1007,INDEX($R$8:$R$207,$U204),매입원본!$BA$8:$BA$1007,"포함"))</f>
        <v/>
      </c>
      <c r="F204" s="33">
        <f>IF($U204="","",SUMIFS(매입원본!$AU$8:$AU$1007,매입원본!$AX$8:$AX$1007,INDEX($R$8:$R$207,$U204),매입원본!$BA$8:$BA$1007,"포함"))</f>
        <v/>
      </c>
      <c r="G204" s="33">
        <f>IF($U204="","",SUMIFS(매입원본!$AV$8:$AV$1007,매입원본!$AX$8:$AX$1007,INDEX($R$8:$R$207,$U204),매입원본!$BA$8:$BA$1007,"포함"))</f>
        <v/>
      </c>
      <c r="H204" s="34">
        <f>IF(OR($U204="",$E$7=0),"",E204/$E$7)</f>
        <v/>
      </c>
      <c r="I204" s="33">
        <f>IF(OR($U204="",0&gt;=설정!$B$12),"",SUMIFS(매입원본!$AT$8:$AT$1007,매입원본!$AX$8:$AX$1007,INDEX($R$8:$R$207,$U204),매입원본!$BA$8:$BA$1007,"포함",매입원본!$AS$8:$AS$1007,"&gt;="&amp;EDATE(설정!$B$10,0),매입원본!$AS$8:$AS$1007,"&lt;="&amp;EOMONTH(설정!$B$10,0)))</f>
        <v/>
      </c>
      <c r="J204" s="33">
        <f>IF(OR($U204="",1&gt;=설정!$B$12),"",SUMIFS(매입원본!$AT$8:$AT$1007,매입원본!$AX$8:$AX$1007,INDEX($R$8:$R$207,$U204),매입원본!$BA$8:$BA$1007,"포함",매입원본!$AS$8:$AS$1007,"&gt;="&amp;EDATE(설정!$B$10,1),매입원본!$AS$8:$AS$1007,"&lt;="&amp;EOMONTH(설정!$B$10,1)))</f>
        <v/>
      </c>
      <c r="K204" s="33">
        <f>IF(OR($U204="",2&gt;=설정!$B$12),"",SUMIFS(매입원본!$AT$8:$AT$1007,매입원본!$AX$8:$AX$1007,INDEX($R$8:$R$207,$U204),매입원본!$BA$8:$BA$1007,"포함",매입원본!$AS$8:$AS$1007,"&gt;="&amp;EDATE(설정!$B$10,2),매입원본!$AS$8:$AS$1007,"&lt;="&amp;EOMONTH(설정!$B$10,2)))</f>
        <v/>
      </c>
      <c r="L204" s="33">
        <f>IF(OR($U204="",3&gt;=설정!$B$12),"",SUMIFS(매입원본!$AT$8:$AT$1007,매입원본!$AX$8:$AX$1007,INDEX($R$8:$R$207,$U204),매입원본!$BA$8:$BA$1007,"포함",매입원본!$AS$8:$AS$1007,"&gt;="&amp;EDATE(설정!$B$10,3),매입원본!$AS$8:$AS$1007,"&lt;="&amp;EOMONTH(설정!$B$10,3)))</f>
        <v/>
      </c>
      <c r="M204" s="33">
        <f>IF(OR($U204="",4&gt;=설정!$B$12),"",SUMIFS(매입원본!$AT$8:$AT$1007,매입원본!$AX$8:$AX$1007,INDEX($R$8:$R$207,$U204),매입원본!$BA$8:$BA$1007,"포함",매입원본!$AS$8:$AS$1007,"&gt;="&amp;EDATE(설정!$B$10,4),매입원본!$AS$8:$AS$1007,"&lt;="&amp;EOMONTH(설정!$B$10,4)))</f>
        <v/>
      </c>
      <c r="N204" s="33">
        <f>IF(OR($U204="",5&gt;=설정!$B$12),"",SUMIFS(매입원본!$AT$8:$AT$1007,매입원본!$AX$8:$AX$1007,INDEX($R$8:$R$207,$U204),매입원본!$BA$8:$BA$1007,"포함",매입원본!$AS$8:$AS$1007,"&gt;="&amp;EDATE(설정!$B$10,5),매입원본!$AS$8:$AS$1007,"&lt;="&amp;EOMONTH(설정!$B$10,5)))</f>
        <v/>
      </c>
      <c r="Q204" s="35" t="n">
        <v>197</v>
      </c>
      <c r="R204" s="35">
        <f>IFERROR(INDEX(매입원본!$AX$8:$AX$1007,MATCH($Q204,매입원본!$BD$8:$BD$1007,0)),"")</f>
        <v/>
      </c>
      <c r="S204" s="35">
        <f>IF($R204="","",SUMIFS(매입원본!$AT$8:$AT$1007,매입원본!$AX$8:$AX$1007,$R204,매입원본!$BA$8:$BA$1007,"포함"))</f>
        <v/>
      </c>
      <c r="T204" s="35">
        <f>IF($R204="","",$S204-$Q204/100000)</f>
        <v/>
      </c>
      <c r="U204" s="35">
        <f>IFERROR(MATCH(LARGE($T$8:$T$207,197),$T$8:$T$207,0),"")</f>
        <v/>
      </c>
    </row>
    <row r="205">
      <c r="A205" s="32">
        <f>IF($U205="","",198)</f>
        <v/>
      </c>
      <c r="B205" s="10">
        <f>IF($U205="","",IFERROR(INDEX(매입원본!$AZ$8:$AZ$1007,MATCH($U205,매입원본!$BD$8:$BD$1007,0)),""))</f>
        <v/>
      </c>
      <c r="C205" s="10">
        <f>IF($U205="","",IFERROR(INDEX(매입원본!$AY$8:$AY$1007,MATCH($U205,매입원본!$BD$8:$BD$1007,0)),""))</f>
        <v/>
      </c>
      <c r="D205" s="33">
        <f>IF($U205="","",COUNTIFS(매입원본!$AX$8:$AX$1007,INDEX($R$8:$R$207,$U205),매입원본!$BA$8:$BA$1007,"포함"))</f>
        <v/>
      </c>
      <c r="E205" s="33">
        <f>IF($U205="","",SUMIFS(매입원본!$AT$8:$AT$1007,매입원본!$AX$8:$AX$1007,INDEX($R$8:$R$207,$U205),매입원본!$BA$8:$BA$1007,"포함"))</f>
        <v/>
      </c>
      <c r="F205" s="33">
        <f>IF($U205="","",SUMIFS(매입원본!$AU$8:$AU$1007,매입원본!$AX$8:$AX$1007,INDEX($R$8:$R$207,$U205),매입원본!$BA$8:$BA$1007,"포함"))</f>
        <v/>
      </c>
      <c r="G205" s="33">
        <f>IF($U205="","",SUMIFS(매입원본!$AV$8:$AV$1007,매입원본!$AX$8:$AX$1007,INDEX($R$8:$R$207,$U205),매입원본!$BA$8:$BA$1007,"포함"))</f>
        <v/>
      </c>
      <c r="H205" s="34">
        <f>IF(OR($U205="",$E$7=0),"",E205/$E$7)</f>
        <v/>
      </c>
      <c r="I205" s="33">
        <f>IF(OR($U205="",0&gt;=설정!$B$12),"",SUMIFS(매입원본!$AT$8:$AT$1007,매입원본!$AX$8:$AX$1007,INDEX($R$8:$R$207,$U205),매입원본!$BA$8:$BA$1007,"포함",매입원본!$AS$8:$AS$1007,"&gt;="&amp;EDATE(설정!$B$10,0),매입원본!$AS$8:$AS$1007,"&lt;="&amp;EOMONTH(설정!$B$10,0)))</f>
        <v/>
      </c>
      <c r="J205" s="33">
        <f>IF(OR($U205="",1&gt;=설정!$B$12),"",SUMIFS(매입원본!$AT$8:$AT$1007,매입원본!$AX$8:$AX$1007,INDEX($R$8:$R$207,$U205),매입원본!$BA$8:$BA$1007,"포함",매입원본!$AS$8:$AS$1007,"&gt;="&amp;EDATE(설정!$B$10,1),매입원본!$AS$8:$AS$1007,"&lt;="&amp;EOMONTH(설정!$B$10,1)))</f>
        <v/>
      </c>
      <c r="K205" s="33">
        <f>IF(OR($U205="",2&gt;=설정!$B$12),"",SUMIFS(매입원본!$AT$8:$AT$1007,매입원본!$AX$8:$AX$1007,INDEX($R$8:$R$207,$U205),매입원본!$BA$8:$BA$1007,"포함",매입원본!$AS$8:$AS$1007,"&gt;="&amp;EDATE(설정!$B$10,2),매입원본!$AS$8:$AS$1007,"&lt;="&amp;EOMONTH(설정!$B$10,2)))</f>
        <v/>
      </c>
      <c r="L205" s="33">
        <f>IF(OR($U205="",3&gt;=설정!$B$12),"",SUMIFS(매입원본!$AT$8:$AT$1007,매입원본!$AX$8:$AX$1007,INDEX($R$8:$R$207,$U205),매입원본!$BA$8:$BA$1007,"포함",매입원본!$AS$8:$AS$1007,"&gt;="&amp;EDATE(설정!$B$10,3),매입원본!$AS$8:$AS$1007,"&lt;="&amp;EOMONTH(설정!$B$10,3)))</f>
        <v/>
      </c>
      <c r="M205" s="33">
        <f>IF(OR($U205="",4&gt;=설정!$B$12),"",SUMIFS(매입원본!$AT$8:$AT$1007,매입원본!$AX$8:$AX$1007,INDEX($R$8:$R$207,$U205),매입원본!$BA$8:$BA$1007,"포함",매입원본!$AS$8:$AS$1007,"&gt;="&amp;EDATE(설정!$B$10,4),매입원본!$AS$8:$AS$1007,"&lt;="&amp;EOMONTH(설정!$B$10,4)))</f>
        <v/>
      </c>
      <c r="N205" s="33">
        <f>IF(OR($U205="",5&gt;=설정!$B$12),"",SUMIFS(매입원본!$AT$8:$AT$1007,매입원본!$AX$8:$AX$1007,INDEX($R$8:$R$207,$U205),매입원본!$BA$8:$BA$1007,"포함",매입원본!$AS$8:$AS$1007,"&gt;="&amp;EDATE(설정!$B$10,5),매입원본!$AS$8:$AS$1007,"&lt;="&amp;EOMONTH(설정!$B$10,5)))</f>
        <v/>
      </c>
      <c r="Q205" s="35" t="n">
        <v>198</v>
      </c>
      <c r="R205" s="35">
        <f>IFERROR(INDEX(매입원본!$AX$8:$AX$1007,MATCH($Q205,매입원본!$BD$8:$BD$1007,0)),"")</f>
        <v/>
      </c>
      <c r="S205" s="35">
        <f>IF($R205="","",SUMIFS(매입원본!$AT$8:$AT$1007,매입원본!$AX$8:$AX$1007,$R205,매입원본!$BA$8:$BA$1007,"포함"))</f>
        <v/>
      </c>
      <c r="T205" s="35">
        <f>IF($R205="","",$S205-$Q205/100000)</f>
        <v/>
      </c>
      <c r="U205" s="35">
        <f>IFERROR(MATCH(LARGE($T$8:$T$207,198),$T$8:$T$207,0),"")</f>
        <v/>
      </c>
    </row>
    <row r="206">
      <c r="A206" s="32">
        <f>IF($U206="","",199)</f>
        <v/>
      </c>
      <c r="B206" s="10">
        <f>IF($U206="","",IFERROR(INDEX(매입원본!$AZ$8:$AZ$1007,MATCH($U206,매입원본!$BD$8:$BD$1007,0)),""))</f>
        <v/>
      </c>
      <c r="C206" s="10">
        <f>IF($U206="","",IFERROR(INDEX(매입원본!$AY$8:$AY$1007,MATCH($U206,매입원본!$BD$8:$BD$1007,0)),""))</f>
        <v/>
      </c>
      <c r="D206" s="33">
        <f>IF($U206="","",COUNTIFS(매입원본!$AX$8:$AX$1007,INDEX($R$8:$R$207,$U206),매입원본!$BA$8:$BA$1007,"포함"))</f>
        <v/>
      </c>
      <c r="E206" s="33">
        <f>IF($U206="","",SUMIFS(매입원본!$AT$8:$AT$1007,매입원본!$AX$8:$AX$1007,INDEX($R$8:$R$207,$U206),매입원본!$BA$8:$BA$1007,"포함"))</f>
        <v/>
      </c>
      <c r="F206" s="33">
        <f>IF($U206="","",SUMIFS(매입원본!$AU$8:$AU$1007,매입원본!$AX$8:$AX$1007,INDEX($R$8:$R$207,$U206),매입원본!$BA$8:$BA$1007,"포함"))</f>
        <v/>
      </c>
      <c r="G206" s="33">
        <f>IF($U206="","",SUMIFS(매입원본!$AV$8:$AV$1007,매입원본!$AX$8:$AX$1007,INDEX($R$8:$R$207,$U206),매입원본!$BA$8:$BA$1007,"포함"))</f>
        <v/>
      </c>
      <c r="H206" s="34">
        <f>IF(OR($U206="",$E$7=0),"",E206/$E$7)</f>
        <v/>
      </c>
      <c r="I206" s="33">
        <f>IF(OR($U206="",0&gt;=설정!$B$12),"",SUMIFS(매입원본!$AT$8:$AT$1007,매입원본!$AX$8:$AX$1007,INDEX($R$8:$R$207,$U206),매입원본!$BA$8:$BA$1007,"포함",매입원본!$AS$8:$AS$1007,"&gt;="&amp;EDATE(설정!$B$10,0),매입원본!$AS$8:$AS$1007,"&lt;="&amp;EOMONTH(설정!$B$10,0)))</f>
        <v/>
      </c>
      <c r="J206" s="33">
        <f>IF(OR($U206="",1&gt;=설정!$B$12),"",SUMIFS(매입원본!$AT$8:$AT$1007,매입원본!$AX$8:$AX$1007,INDEX($R$8:$R$207,$U206),매입원본!$BA$8:$BA$1007,"포함",매입원본!$AS$8:$AS$1007,"&gt;="&amp;EDATE(설정!$B$10,1),매입원본!$AS$8:$AS$1007,"&lt;="&amp;EOMONTH(설정!$B$10,1)))</f>
        <v/>
      </c>
      <c r="K206" s="33">
        <f>IF(OR($U206="",2&gt;=설정!$B$12),"",SUMIFS(매입원본!$AT$8:$AT$1007,매입원본!$AX$8:$AX$1007,INDEX($R$8:$R$207,$U206),매입원본!$BA$8:$BA$1007,"포함",매입원본!$AS$8:$AS$1007,"&gt;="&amp;EDATE(설정!$B$10,2),매입원본!$AS$8:$AS$1007,"&lt;="&amp;EOMONTH(설정!$B$10,2)))</f>
        <v/>
      </c>
      <c r="L206" s="33">
        <f>IF(OR($U206="",3&gt;=설정!$B$12),"",SUMIFS(매입원본!$AT$8:$AT$1007,매입원본!$AX$8:$AX$1007,INDEX($R$8:$R$207,$U206),매입원본!$BA$8:$BA$1007,"포함",매입원본!$AS$8:$AS$1007,"&gt;="&amp;EDATE(설정!$B$10,3),매입원본!$AS$8:$AS$1007,"&lt;="&amp;EOMONTH(설정!$B$10,3)))</f>
        <v/>
      </c>
      <c r="M206" s="33">
        <f>IF(OR($U206="",4&gt;=설정!$B$12),"",SUMIFS(매입원본!$AT$8:$AT$1007,매입원본!$AX$8:$AX$1007,INDEX($R$8:$R$207,$U206),매입원본!$BA$8:$BA$1007,"포함",매입원본!$AS$8:$AS$1007,"&gt;="&amp;EDATE(설정!$B$10,4),매입원본!$AS$8:$AS$1007,"&lt;="&amp;EOMONTH(설정!$B$10,4)))</f>
        <v/>
      </c>
      <c r="N206" s="33">
        <f>IF(OR($U206="",5&gt;=설정!$B$12),"",SUMIFS(매입원본!$AT$8:$AT$1007,매입원본!$AX$8:$AX$1007,INDEX($R$8:$R$207,$U206),매입원본!$BA$8:$BA$1007,"포함",매입원본!$AS$8:$AS$1007,"&gt;="&amp;EDATE(설정!$B$10,5),매입원본!$AS$8:$AS$1007,"&lt;="&amp;EOMONTH(설정!$B$10,5)))</f>
        <v/>
      </c>
      <c r="Q206" s="35" t="n">
        <v>199</v>
      </c>
      <c r="R206" s="35">
        <f>IFERROR(INDEX(매입원본!$AX$8:$AX$1007,MATCH($Q206,매입원본!$BD$8:$BD$1007,0)),"")</f>
        <v/>
      </c>
      <c r="S206" s="35">
        <f>IF($R206="","",SUMIFS(매입원본!$AT$8:$AT$1007,매입원본!$AX$8:$AX$1007,$R206,매입원본!$BA$8:$BA$1007,"포함"))</f>
        <v/>
      </c>
      <c r="T206" s="35">
        <f>IF($R206="","",$S206-$Q206/100000)</f>
        <v/>
      </c>
      <c r="U206" s="35">
        <f>IFERROR(MATCH(LARGE($T$8:$T$207,199),$T$8:$T$207,0),"")</f>
        <v/>
      </c>
    </row>
    <row r="207">
      <c r="A207" s="32">
        <f>IF($U207="","",200)</f>
        <v/>
      </c>
      <c r="B207" s="10">
        <f>IF($U207="","",IFERROR(INDEX(매입원본!$AZ$8:$AZ$1007,MATCH($U207,매입원본!$BD$8:$BD$1007,0)),""))</f>
        <v/>
      </c>
      <c r="C207" s="10">
        <f>IF($U207="","",IFERROR(INDEX(매입원본!$AY$8:$AY$1007,MATCH($U207,매입원본!$BD$8:$BD$1007,0)),""))</f>
        <v/>
      </c>
      <c r="D207" s="33">
        <f>IF($U207="","",COUNTIFS(매입원본!$AX$8:$AX$1007,INDEX($R$8:$R$207,$U207),매입원본!$BA$8:$BA$1007,"포함"))</f>
        <v/>
      </c>
      <c r="E207" s="33">
        <f>IF($U207="","",SUMIFS(매입원본!$AT$8:$AT$1007,매입원본!$AX$8:$AX$1007,INDEX($R$8:$R$207,$U207),매입원본!$BA$8:$BA$1007,"포함"))</f>
        <v/>
      </c>
      <c r="F207" s="33">
        <f>IF($U207="","",SUMIFS(매입원본!$AU$8:$AU$1007,매입원본!$AX$8:$AX$1007,INDEX($R$8:$R$207,$U207),매입원본!$BA$8:$BA$1007,"포함"))</f>
        <v/>
      </c>
      <c r="G207" s="33">
        <f>IF($U207="","",SUMIFS(매입원본!$AV$8:$AV$1007,매입원본!$AX$8:$AX$1007,INDEX($R$8:$R$207,$U207),매입원본!$BA$8:$BA$1007,"포함"))</f>
        <v/>
      </c>
      <c r="H207" s="34">
        <f>IF(OR($U207="",$E$7=0),"",E207/$E$7)</f>
        <v/>
      </c>
      <c r="I207" s="33">
        <f>IF(OR($U207="",0&gt;=설정!$B$12),"",SUMIFS(매입원본!$AT$8:$AT$1007,매입원본!$AX$8:$AX$1007,INDEX($R$8:$R$207,$U207),매입원본!$BA$8:$BA$1007,"포함",매입원본!$AS$8:$AS$1007,"&gt;="&amp;EDATE(설정!$B$10,0),매입원본!$AS$8:$AS$1007,"&lt;="&amp;EOMONTH(설정!$B$10,0)))</f>
        <v/>
      </c>
      <c r="J207" s="33">
        <f>IF(OR($U207="",1&gt;=설정!$B$12),"",SUMIFS(매입원본!$AT$8:$AT$1007,매입원본!$AX$8:$AX$1007,INDEX($R$8:$R$207,$U207),매입원본!$BA$8:$BA$1007,"포함",매입원본!$AS$8:$AS$1007,"&gt;="&amp;EDATE(설정!$B$10,1),매입원본!$AS$8:$AS$1007,"&lt;="&amp;EOMONTH(설정!$B$10,1)))</f>
        <v/>
      </c>
      <c r="K207" s="33">
        <f>IF(OR($U207="",2&gt;=설정!$B$12),"",SUMIFS(매입원본!$AT$8:$AT$1007,매입원본!$AX$8:$AX$1007,INDEX($R$8:$R$207,$U207),매입원본!$BA$8:$BA$1007,"포함",매입원본!$AS$8:$AS$1007,"&gt;="&amp;EDATE(설정!$B$10,2),매입원본!$AS$8:$AS$1007,"&lt;="&amp;EOMONTH(설정!$B$10,2)))</f>
        <v/>
      </c>
      <c r="L207" s="33">
        <f>IF(OR($U207="",3&gt;=설정!$B$12),"",SUMIFS(매입원본!$AT$8:$AT$1007,매입원본!$AX$8:$AX$1007,INDEX($R$8:$R$207,$U207),매입원본!$BA$8:$BA$1007,"포함",매입원본!$AS$8:$AS$1007,"&gt;="&amp;EDATE(설정!$B$10,3),매입원본!$AS$8:$AS$1007,"&lt;="&amp;EOMONTH(설정!$B$10,3)))</f>
        <v/>
      </c>
      <c r="M207" s="33">
        <f>IF(OR($U207="",4&gt;=설정!$B$12),"",SUMIFS(매입원본!$AT$8:$AT$1007,매입원본!$AX$8:$AX$1007,INDEX($R$8:$R$207,$U207),매입원본!$BA$8:$BA$1007,"포함",매입원본!$AS$8:$AS$1007,"&gt;="&amp;EDATE(설정!$B$10,4),매입원본!$AS$8:$AS$1007,"&lt;="&amp;EOMONTH(설정!$B$10,4)))</f>
        <v/>
      </c>
      <c r="N207" s="33">
        <f>IF(OR($U207="",5&gt;=설정!$B$12),"",SUMIFS(매입원본!$AT$8:$AT$1007,매입원본!$AX$8:$AX$1007,INDEX($R$8:$R$207,$U207),매입원본!$BA$8:$BA$1007,"포함",매입원본!$AS$8:$AS$1007,"&gt;="&amp;EDATE(설정!$B$10,5),매입원본!$AS$8:$AS$1007,"&lt;="&amp;EOMONTH(설정!$B$10,5)))</f>
        <v/>
      </c>
      <c r="Q207" s="35" t="n">
        <v>200</v>
      </c>
      <c r="R207" s="35">
        <f>IFERROR(INDEX(매입원본!$AX$8:$AX$1007,MATCH($Q207,매입원본!$BD$8:$BD$1007,0)),"")</f>
        <v/>
      </c>
      <c r="S207" s="35">
        <f>IF($R207="","",SUMIFS(매입원본!$AT$8:$AT$1007,매입원본!$AX$8:$AX$1007,$R207,매입원본!$BA$8:$BA$1007,"포함"))</f>
        <v/>
      </c>
      <c r="T207" s="35">
        <f>IF($R207="","",$S207-$Q207/100000)</f>
        <v/>
      </c>
      <c r="U207" s="35">
        <f>IFERROR(MATCH(LARGE($T$8:$T$207,200),$T$8:$T$207,0),"")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7" customWidth="1" min="3" max="3"/>
    <col width="15" customWidth="1" min="4" max="4"/>
    <col width="11" customWidth="1" min="5" max="5"/>
    <col width="17" customWidth="1" min="6" max="6"/>
    <col width="15" customWidth="1" min="7" max="7"/>
    <col width="19" customWidth="1" min="8" max="8"/>
  </cols>
  <sheetData>
    <row r="1">
      <c r="A1" s="14" t="inlineStr">
        <is>
          <t>③ 신고요약 — 부가세 신고 준비용 세금계산서 집계 (자동)</t>
        </is>
      </c>
    </row>
    <row r="2">
      <c r="A2" s="15" t="inlineStr">
        <is>
          <t>✍ 직접 입력: 없음 — 신고 기간은 [설정]에서 바꿉니다.</t>
        </is>
      </c>
    </row>
    <row r="3">
      <c r="A3" s="2" t="inlineStr">
        <is>
          <t>⚙ 자동 계산: 월별 매출·매입 공급가액과 세액, 세금계산서 합계표에 옮길 거래처 수·매수·금액, 점검 건수를 보여줍니다.</t>
        </is>
      </c>
    </row>
    <row r="4">
      <c r="A4" s="36">
        <f>설정!$B$5&amp;"  ·  "&amp;설정!$B$6&amp;"년 "&amp;설정!$B$7&amp;"  ("&amp;TEXT(설정!$B$10,"YYYY-MM-DD")&amp;" ~ "&amp;TEXT(설정!$B$11,"YYYY-MM-DD")&amp;")"</f>
        <v/>
      </c>
    </row>
    <row r="6">
      <c r="A6" s="3" t="inlineStr">
        <is>
          <t>■ 월별 집계 (수정 세금계산서 가감 후)</t>
        </is>
      </c>
    </row>
    <row r="7">
      <c r="A7" s="26" t="inlineStr">
        <is>
          <t>월</t>
        </is>
      </c>
      <c r="B7" s="26" t="inlineStr">
        <is>
          <t>매출 매수</t>
        </is>
      </c>
      <c r="C7" s="26" t="inlineStr">
        <is>
          <t>매출 공급가액</t>
        </is>
      </c>
      <c r="D7" s="26" t="inlineStr">
        <is>
          <t>매출 세액</t>
        </is>
      </c>
      <c r="E7" s="26" t="inlineStr">
        <is>
          <t>매입 매수</t>
        </is>
      </c>
      <c r="F7" s="26" t="inlineStr">
        <is>
          <t>매입 공급가액</t>
        </is>
      </c>
      <c r="G7" s="26" t="inlineStr">
        <is>
          <t>매입 세액</t>
        </is>
      </c>
      <c r="H7" s="26" t="inlineStr">
        <is>
          <t>세액 차이(매출-매입)</t>
        </is>
      </c>
    </row>
    <row r="8">
      <c r="A8" s="37">
        <f>IF(0&gt;=설정!$B$12,"",TEXT(EDATE(설정!$B$10,0),"YYYY년 M월"))</f>
        <v/>
      </c>
      <c r="B8" s="33">
        <f>IF(0&gt;=설정!$B$12,"",COUNTIFS(매출원본!$BA$8:$BA$1007,"포함",매출원본!$AS$8:$AS$1007,"&gt;="&amp;EDATE(설정!$B$10,0),매출원본!$AS$8:$AS$1007,"&lt;="&amp;EOMONTH(설정!$B$10,0)))</f>
        <v/>
      </c>
      <c r="C8" s="33">
        <f>IF(0&gt;=설정!$B$12,"",SUMIFS(매출원본!$AT$8:$AT$1007,매출원본!$BA$8:$BA$1007,"포함",매출원본!$AS$8:$AS$1007,"&gt;="&amp;EDATE(설정!$B$10,0),매출원본!$AS$8:$AS$1007,"&lt;="&amp;EOMONTH(설정!$B$10,0)))</f>
        <v/>
      </c>
      <c r="D8" s="33">
        <f>IF(0&gt;=설정!$B$12,"",SUMIFS(매출원본!$AU$8:$AU$1007,매출원본!$BA$8:$BA$1007,"포함",매출원본!$AS$8:$AS$1007,"&gt;="&amp;EDATE(설정!$B$10,0),매출원본!$AS$8:$AS$1007,"&lt;="&amp;EOMONTH(설정!$B$10,0)))</f>
        <v/>
      </c>
      <c r="E8" s="33">
        <f>IF(0&gt;=설정!$B$12,"",COUNTIFS(매입원본!$BA$8:$BA$1007,"포함",매입원본!$AS$8:$AS$1007,"&gt;="&amp;EDATE(설정!$B$10,0),매입원본!$AS$8:$AS$1007,"&lt;="&amp;EOMONTH(설정!$B$10,0)))</f>
        <v/>
      </c>
      <c r="F8" s="33">
        <f>IF(0&gt;=설정!$B$12,"",SUMIFS(매입원본!$AT$8:$AT$1007,매입원본!$BA$8:$BA$1007,"포함",매입원본!$AS$8:$AS$1007,"&gt;="&amp;EDATE(설정!$B$10,0),매입원본!$AS$8:$AS$1007,"&lt;="&amp;EOMONTH(설정!$B$10,0)))</f>
        <v/>
      </c>
      <c r="G8" s="33">
        <f>IF(0&gt;=설정!$B$12,"",SUMIFS(매입원본!$AU$8:$AU$1007,매입원본!$BA$8:$BA$1007,"포함",매입원본!$AS$8:$AS$1007,"&gt;="&amp;EDATE(설정!$B$10,0),매입원본!$AS$8:$AS$1007,"&lt;="&amp;EOMONTH(설정!$B$10,0)))</f>
        <v/>
      </c>
      <c r="H8" s="33">
        <f>IF(0&gt;=설정!$B$12,"",D8-G8)</f>
        <v/>
      </c>
    </row>
    <row r="9">
      <c r="A9" s="37">
        <f>IF(1&gt;=설정!$B$12,"",TEXT(EDATE(설정!$B$10,1),"YYYY년 M월"))</f>
        <v/>
      </c>
      <c r="B9" s="33">
        <f>IF(1&gt;=설정!$B$12,"",COUNTIFS(매출원본!$BA$8:$BA$1007,"포함",매출원본!$AS$8:$AS$1007,"&gt;="&amp;EDATE(설정!$B$10,1),매출원본!$AS$8:$AS$1007,"&lt;="&amp;EOMONTH(설정!$B$10,1)))</f>
        <v/>
      </c>
      <c r="C9" s="33">
        <f>IF(1&gt;=설정!$B$12,"",SUMIFS(매출원본!$AT$8:$AT$1007,매출원본!$BA$8:$BA$1007,"포함",매출원본!$AS$8:$AS$1007,"&gt;="&amp;EDATE(설정!$B$10,1),매출원본!$AS$8:$AS$1007,"&lt;="&amp;EOMONTH(설정!$B$10,1)))</f>
        <v/>
      </c>
      <c r="D9" s="33">
        <f>IF(1&gt;=설정!$B$12,"",SUMIFS(매출원본!$AU$8:$AU$1007,매출원본!$BA$8:$BA$1007,"포함",매출원본!$AS$8:$AS$1007,"&gt;="&amp;EDATE(설정!$B$10,1),매출원본!$AS$8:$AS$1007,"&lt;="&amp;EOMONTH(설정!$B$10,1)))</f>
        <v/>
      </c>
      <c r="E9" s="33">
        <f>IF(1&gt;=설정!$B$12,"",COUNTIFS(매입원본!$BA$8:$BA$1007,"포함",매입원본!$AS$8:$AS$1007,"&gt;="&amp;EDATE(설정!$B$10,1),매입원본!$AS$8:$AS$1007,"&lt;="&amp;EOMONTH(설정!$B$10,1)))</f>
        <v/>
      </c>
      <c r="F9" s="33">
        <f>IF(1&gt;=설정!$B$12,"",SUMIFS(매입원본!$AT$8:$AT$1007,매입원본!$BA$8:$BA$1007,"포함",매입원본!$AS$8:$AS$1007,"&gt;="&amp;EDATE(설정!$B$10,1),매입원본!$AS$8:$AS$1007,"&lt;="&amp;EOMONTH(설정!$B$10,1)))</f>
        <v/>
      </c>
      <c r="G9" s="33">
        <f>IF(1&gt;=설정!$B$12,"",SUMIFS(매입원본!$AU$8:$AU$1007,매입원본!$BA$8:$BA$1007,"포함",매입원본!$AS$8:$AS$1007,"&gt;="&amp;EDATE(설정!$B$10,1),매입원본!$AS$8:$AS$1007,"&lt;="&amp;EOMONTH(설정!$B$10,1)))</f>
        <v/>
      </c>
      <c r="H9" s="33">
        <f>IF(1&gt;=설정!$B$12,"",D9-G9)</f>
        <v/>
      </c>
    </row>
    <row r="10">
      <c r="A10" s="37">
        <f>IF(2&gt;=설정!$B$12,"",TEXT(EDATE(설정!$B$10,2),"YYYY년 M월"))</f>
        <v/>
      </c>
      <c r="B10" s="33">
        <f>IF(2&gt;=설정!$B$12,"",COUNTIFS(매출원본!$BA$8:$BA$1007,"포함",매출원본!$AS$8:$AS$1007,"&gt;="&amp;EDATE(설정!$B$10,2),매출원본!$AS$8:$AS$1007,"&lt;="&amp;EOMONTH(설정!$B$10,2)))</f>
        <v/>
      </c>
      <c r="C10" s="33">
        <f>IF(2&gt;=설정!$B$12,"",SUMIFS(매출원본!$AT$8:$AT$1007,매출원본!$BA$8:$BA$1007,"포함",매출원본!$AS$8:$AS$1007,"&gt;="&amp;EDATE(설정!$B$10,2),매출원본!$AS$8:$AS$1007,"&lt;="&amp;EOMONTH(설정!$B$10,2)))</f>
        <v/>
      </c>
      <c r="D10" s="33">
        <f>IF(2&gt;=설정!$B$12,"",SUMIFS(매출원본!$AU$8:$AU$1007,매출원본!$BA$8:$BA$1007,"포함",매출원본!$AS$8:$AS$1007,"&gt;="&amp;EDATE(설정!$B$10,2),매출원본!$AS$8:$AS$1007,"&lt;="&amp;EOMONTH(설정!$B$10,2)))</f>
        <v/>
      </c>
      <c r="E10" s="33">
        <f>IF(2&gt;=설정!$B$12,"",COUNTIFS(매입원본!$BA$8:$BA$1007,"포함",매입원본!$AS$8:$AS$1007,"&gt;="&amp;EDATE(설정!$B$10,2),매입원본!$AS$8:$AS$1007,"&lt;="&amp;EOMONTH(설정!$B$10,2)))</f>
        <v/>
      </c>
      <c r="F10" s="33">
        <f>IF(2&gt;=설정!$B$12,"",SUMIFS(매입원본!$AT$8:$AT$1007,매입원본!$BA$8:$BA$1007,"포함",매입원본!$AS$8:$AS$1007,"&gt;="&amp;EDATE(설정!$B$10,2),매입원본!$AS$8:$AS$1007,"&lt;="&amp;EOMONTH(설정!$B$10,2)))</f>
        <v/>
      </c>
      <c r="G10" s="33">
        <f>IF(2&gt;=설정!$B$12,"",SUMIFS(매입원본!$AU$8:$AU$1007,매입원본!$BA$8:$BA$1007,"포함",매입원본!$AS$8:$AS$1007,"&gt;="&amp;EDATE(설정!$B$10,2),매입원본!$AS$8:$AS$1007,"&lt;="&amp;EOMONTH(설정!$B$10,2)))</f>
        <v/>
      </c>
      <c r="H10" s="33">
        <f>IF(2&gt;=설정!$B$12,"",D10-G10)</f>
        <v/>
      </c>
    </row>
    <row r="11">
      <c r="A11" s="37">
        <f>IF(3&gt;=설정!$B$12,"",TEXT(EDATE(설정!$B$10,3),"YYYY년 M월"))</f>
        <v/>
      </c>
      <c r="B11" s="33">
        <f>IF(3&gt;=설정!$B$12,"",COUNTIFS(매출원본!$BA$8:$BA$1007,"포함",매출원본!$AS$8:$AS$1007,"&gt;="&amp;EDATE(설정!$B$10,3),매출원본!$AS$8:$AS$1007,"&lt;="&amp;EOMONTH(설정!$B$10,3)))</f>
        <v/>
      </c>
      <c r="C11" s="33">
        <f>IF(3&gt;=설정!$B$12,"",SUMIFS(매출원본!$AT$8:$AT$1007,매출원본!$BA$8:$BA$1007,"포함",매출원본!$AS$8:$AS$1007,"&gt;="&amp;EDATE(설정!$B$10,3),매출원본!$AS$8:$AS$1007,"&lt;="&amp;EOMONTH(설정!$B$10,3)))</f>
        <v/>
      </c>
      <c r="D11" s="33">
        <f>IF(3&gt;=설정!$B$12,"",SUMIFS(매출원본!$AU$8:$AU$1007,매출원본!$BA$8:$BA$1007,"포함",매출원본!$AS$8:$AS$1007,"&gt;="&amp;EDATE(설정!$B$10,3),매출원본!$AS$8:$AS$1007,"&lt;="&amp;EOMONTH(설정!$B$10,3)))</f>
        <v/>
      </c>
      <c r="E11" s="33">
        <f>IF(3&gt;=설정!$B$12,"",COUNTIFS(매입원본!$BA$8:$BA$1007,"포함",매입원본!$AS$8:$AS$1007,"&gt;="&amp;EDATE(설정!$B$10,3),매입원본!$AS$8:$AS$1007,"&lt;="&amp;EOMONTH(설정!$B$10,3)))</f>
        <v/>
      </c>
      <c r="F11" s="33">
        <f>IF(3&gt;=설정!$B$12,"",SUMIFS(매입원본!$AT$8:$AT$1007,매입원본!$BA$8:$BA$1007,"포함",매입원본!$AS$8:$AS$1007,"&gt;="&amp;EDATE(설정!$B$10,3),매입원본!$AS$8:$AS$1007,"&lt;="&amp;EOMONTH(설정!$B$10,3)))</f>
        <v/>
      </c>
      <c r="G11" s="33">
        <f>IF(3&gt;=설정!$B$12,"",SUMIFS(매입원본!$AU$8:$AU$1007,매입원본!$BA$8:$BA$1007,"포함",매입원본!$AS$8:$AS$1007,"&gt;="&amp;EDATE(설정!$B$10,3),매입원본!$AS$8:$AS$1007,"&lt;="&amp;EOMONTH(설정!$B$10,3)))</f>
        <v/>
      </c>
      <c r="H11" s="33">
        <f>IF(3&gt;=설정!$B$12,"",D11-G11)</f>
        <v/>
      </c>
    </row>
    <row r="12">
      <c r="A12" s="37">
        <f>IF(4&gt;=설정!$B$12,"",TEXT(EDATE(설정!$B$10,4),"YYYY년 M월"))</f>
        <v/>
      </c>
      <c r="B12" s="33">
        <f>IF(4&gt;=설정!$B$12,"",COUNTIFS(매출원본!$BA$8:$BA$1007,"포함",매출원본!$AS$8:$AS$1007,"&gt;="&amp;EDATE(설정!$B$10,4),매출원본!$AS$8:$AS$1007,"&lt;="&amp;EOMONTH(설정!$B$10,4)))</f>
        <v/>
      </c>
      <c r="C12" s="33">
        <f>IF(4&gt;=설정!$B$12,"",SUMIFS(매출원본!$AT$8:$AT$1007,매출원본!$BA$8:$BA$1007,"포함",매출원본!$AS$8:$AS$1007,"&gt;="&amp;EDATE(설정!$B$10,4),매출원본!$AS$8:$AS$1007,"&lt;="&amp;EOMONTH(설정!$B$10,4)))</f>
        <v/>
      </c>
      <c r="D12" s="33">
        <f>IF(4&gt;=설정!$B$12,"",SUMIFS(매출원본!$AU$8:$AU$1007,매출원본!$BA$8:$BA$1007,"포함",매출원본!$AS$8:$AS$1007,"&gt;="&amp;EDATE(설정!$B$10,4),매출원본!$AS$8:$AS$1007,"&lt;="&amp;EOMONTH(설정!$B$10,4)))</f>
        <v/>
      </c>
      <c r="E12" s="33">
        <f>IF(4&gt;=설정!$B$12,"",COUNTIFS(매입원본!$BA$8:$BA$1007,"포함",매입원본!$AS$8:$AS$1007,"&gt;="&amp;EDATE(설정!$B$10,4),매입원본!$AS$8:$AS$1007,"&lt;="&amp;EOMONTH(설정!$B$10,4)))</f>
        <v/>
      </c>
      <c r="F12" s="33">
        <f>IF(4&gt;=설정!$B$12,"",SUMIFS(매입원본!$AT$8:$AT$1007,매입원본!$BA$8:$BA$1007,"포함",매입원본!$AS$8:$AS$1007,"&gt;="&amp;EDATE(설정!$B$10,4),매입원본!$AS$8:$AS$1007,"&lt;="&amp;EOMONTH(설정!$B$10,4)))</f>
        <v/>
      </c>
      <c r="G12" s="33">
        <f>IF(4&gt;=설정!$B$12,"",SUMIFS(매입원본!$AU$8:$AU$1007,매입원본!$BA$8:$BA$1007,"포함",매입원본!$AS$8:$AS$1007,"&gt;="&amp;EDATE(설정!$B$10,4),매입원본!$AS$8:$AS$1007,"&lt;="&amp;EOMONTH(설정!$B$10,4)))</f>
        <v/>
      </c>
      <c r="H12" s="33">
        <f>IF(4&gt;=설정!$B$12,"",D12-G12)</f>
        <v/>
      </c>
    </row>
    <row r="13">
      <c r="A13" s="37">
        <f>IF(5&gt;=설정!$B$12,"",TEXT(EDATE(설정!$B$10,5),"YYYY년 M월"))</f>
        <v/>
      </c>
      <c r="B13" s="33">
        <f>IF(5&gt;=설정!$B$12,"",COUNTIFS(매출원본!$BA$8:$BA$1007,"포함",매출원본!$AS$8:$AS$1007,"&gt;="&amp;EDATE(설정!$B$10,5),매출원본!$AS$8:$AS$1007,"&lt;="&amp;EOMONTH(설정!$B$10,5)))</f>
        <v/>
      </c>
      <c r="C13" s="33">
        <f>IF(5&gt;=설정!$B$12,"",SUMIFS(매출원본!$AT$8:$AT$1007,매출원본!$BA$8:$BA$1007,"포함",매출원본!$AS$8:$AS$1007,"&gt;="&amp;EDATE(설정!$B$10,5),매출원본!$AS$8:$AS$1007,"&lt;="&amp;EOMONTH(설정!$B$10,5)))</f>
        <v/>
      </c>
      <c r="D13" s="33">
        <f>IF(5&gt;=설정!$B$12,"",SUMIFS(매출원본!$AU$8:$AU$1007,매출원본!$BA$8:$BA$1007,"포함",매출원본!$AS$8:$AS$1007,"&gt;="&amp;EDATE(설정!$B$10,5),매출원본!$AS$8:$AS$1007,"&lt;="&amp;EOMONTH(설정!$B$10,5)))</f>
        <v/>
      </c>
      <c r="E13" s="33">
        <f>IF(5&gt;=설정!$B$12,"",COUNTIFS(매입원본!$BA$8:$BA$1007,"포함",매입원본!$AS$8:$AS$1007,"&gt;="&amp;EDATE(설정!$B$10,5),매입원본!$AS$8:$AS$1007,"&lt;="&amp;EOMONTH(설정!$B$10,5)))</f>
        <v/>
      </c>
      <c r="F13" s="33">
        <f>IF(5&gt;=설정!$B$12,"",SUMIFS(매입원본!$AT$8:$AT$1007,매입원본!$BA$8:$BA$1007,"포함",매입원본!$AS$8:$AS$1007,"&gt;="&amp;EDATE(설정!$B$10,5),매입원본!$AS$8:$AS$1007,"&lt;="&amp;EOMONTH(설정!$B$10,5)))</f>
        <v/>
      </c>
      <c r="G13" s="33">
        <f>IF(5&gt;=설정!$B$12,"",SUMIFS(매입원본!$AU$8:$AU$1007,매입원본!$BA$8:$BA$1007,"포함",매입원본!$AS$8:$AS$1007,"&gt;="&amp;EDATE(설정!$B$10,5),매입원본!$AS$8:$AS$1007,"&lt;="&amp;EOMONTH(설정!$B$10,5)))</f>
        <v/>
      </c>
      <c r="H13" s="33">
        <f>IF(5&gt;=설정!$B$12,"",D13-G13)</f>
        <v/>
      </c>
    </row>
    <row r="14">
      <c r="A14" s="28" t="inlineStr">
        <is>
          <t>합계</t>
        </is>
      </c>
      <c r="B14" s="30">
        <f>SUM(B8:B13)</f>
        <v/>
      </c>
      <c r="C14" s="30">
        <f>SUM(C8:C13)</f>
        <v/>
      </c>
      <c r="D14" s="30">
        <f>SUM(D8:D13)</f>
        <v/>
      </c>
      <c r="E14" s="30">
        <f>SUM(E8:E13)</f>
        <v/>
      </c>
      <c r="F14" s="30">
        <f>SUM(F8:F13)</f>
        <v/>
      </c>
      <c r="G14" s="30">
        <f>SUM(G8:G13)</f>
        <v/>
      </c>
      <c r="H14" s="30">
        <f>SUM(H8:H13)</f>
        <v/>
      </c>
    </row>
    <row r="16">
      <c r="A16" s="3" t="inlineStr">
        <is>
          <t>■ 세금계산서 합계표 준비 (신고기간 포함분)</t>
        </is>
      </c>
    </row>
    <row r="17">
      <c r="A17" s="26" t="inlineStr">
        <is>
          <t>구분</t>
        </is>
      </c>
      <c r="B17" s="26" t="inlineStr">
        <is>
          <t>거래처 수</t>
        </is>
      </c>
      <c r="C17" s="26" t="inlineStr">
        <is>
          <t>매수</t>
        </is>
      </c>
      <c r="D17" s="26" t="inlineStr">
        <is>
          <t>공급가액</t>
        </is>
      </c>
      <c r="E17" s="26" t="inlineStr">
        <is>
          <t>세액</t>
        </is>
      </c>
      <c r="F17" s="26" t="inlineStr">
        <is>
          <t>합계</t>
        </is>
      </c>
    </row>
    <row r="18">
      <c r="A18" s="9" t="inlineStr">
        <is>
          <t>매출 세금계산서</t>
        </is>
      </c>
      <c r="B18" s="33">
        <f>COUNTIFS(매출처별!$R$8:$R$207,"?*")</f>
        <v/>
      </c>
      <c r="C18" s="33">
        <f>COUNTIF(매출원본!$BA$8:$BA$1007,"포함")</f>
        <v/>
      </c>
      <c r="D18" s="33">
        <f>SUMIFS(매출원본!$AT$8:$AT$1007,매출원본!$BA$8:$BA$1007,"포함")</f>
        <v/>
      </c>
      <c r="E18" s="33">
        <f>SUMIFS(매출원본!$AU$8:$AU$1007,매출원본!$BA$8:$BA$1007,"포함")</f>
        <v/>
      </c>
      <c r="F18" s="33">
        <f>D18+E18</f>
        <v/>
      </c>
    </row>
    <row r="19">
      <c r="A19" s="9" t="inlineStr">
        <is>
          <t>매입 세금계산서</t>
        </is>
      </c>
      <c r="B19" s="33">
        <f>COUNTIFS(매입처별!$R$8:$R$207,"?*")</f>
        <v/>
      </c>
      <c r="C19" s="33">
        <f>COUNTIF(매입원본!$BA$8:$BA$1007,"포함")</f>
        <v/>
      </c>
      <c r="D19" s="33">
        <f>SUMIFS(매입원본!$AT$8:$AT$1007,매입원본!$BA$8:$BA$1007,"포함")</f>
        <v/>
      </c>
      <c r="E19" s="33">
        <f>SUMIFS(매입원본!$AU$8:$AU$1007,매입원본!$BA$8:$BA$1007,"포함")</f>
        <v/>
      </c>
      <c r="F19" s="33">
        <f>D19+E19</f>
        <v/>
      </c>
    </row>
    <row r="20">
      <c r="A20" s="38" t="inlineStr">
        <is>
          <t>세금계산서분 세액 차이 (매출세액 − 매입세액)</t>
        </is>
      </c>
      <c r="B20" s="39" t="n"/>
      <c r="C20" s="39" t="n"/>
      <c r="D20" s="40" t="n"/>
      <c r="E20" s="41">
        <f>E18-E19</f>
        <v/>
      </c>
      <c r="F20" s="29" t="inlineStr"/>
    </row>
    <row r="21">
      <c r="A21" s="2" t="inlineStr">
        <is>
          <t>※ 위 세액 차이는 세금계산서끼리만 뺀 참고값입니다. 카드·현금영수증 매입, 매입세액 불공제분, 각종 공제·가산세, 예정고지세액 등은 반영되지 않았으니 실제 납부세액과 다릅니다.</t>
        </is>
      </c>
    </row>
    <row r="22">
      <c r="A22" s="2" t="inlineStr">
        <is>
          <t>※ 거래처 수는 사업자등록번호 기준(번호가 없으면 상호 기준)입니다. 매수는 수정 세금계산서를 포함한 건수입니다.</t>
        </is>
      </c>
    </row>
    <row r="23">
      <c r="A23" s="2" t="inlineStr">
        <is>
          <t>※ 국세청 안내(2026-10-08 확인): 과세기간 종료일 다음 달 11일까지 국세청에 전송된 전자세금계산서는 합계표에 거래처별 명세 없이 합계만 적습니다.</t>
        </is>
      </c>
    </row>
    <row r="25">
      <c r="A25" s="3" t="inlineStr">
        <is>
          <t>■ 점검 필요 건수 (자세한 목록은 [점검목록])</t>
        </is>
      </c>
    </row>
    <row r="26">
      <c r="A26" s="26" t="inlineStr">
        <is>
          <t>점검 항목</t>
        </is>
      </c>
      <c r="B26" s="26" t="inlineStr">
        <is>
          <t>매출</t>
        </is>
      </c>
      <c r="C26" s="26" t="inlineStr">
        <is>
          <t>매입</t>
        </is>
      </c>
      <c r="D26" s="26" t="inlineStr">
        <is>
          <t>이렇게 확인하세요</t>
        </is>
      </c>
    </row>
    <row r="27">
      <c r="A27" s="9" t="inlineStr">
        <is>
          <t>기간 밖</t>
        </is>
      </c>
      <c r="B27" s="42">
        <f>COUNTIF(매출원본!$BC$8:$BC$1007,"기간 밖*")</f>
        <v/>
      </c>
      <c r="C27" s="42">
        <f>COUNTIF(매입원본!$BC$8:$BC$1007,"기간 밖*")</f>
        <v/>
      </c>
      <c r="D27" s="43" t="inlineStr">
        <is>
          <t>신고기간이 아닌 작성일자 — 지난 기간 누락분이면 따로 챙기고, 아니면 무시 (집계에서는 자동 제외)</t>
        </is>
      </c>
      <c r="E27" s="39" t="n"/>
      <c r="F27" s="39" t="n"/>
      <c r="G27" s="39" t="n"/>
      <c r="H27" s="40" t="n"/>
    </row>
    <row r="28">
      <c r="A28" s="9" t="inlineStr">
        <is>
          <t>승인번호 중복</t>
        </is>
      </c>
      <c r="B28" s="42">
        <f>COUNTIF(매출원본!$BC$8:$BC$1007,"*승인번호 중복*")</f>
        <v/>
      </c>
      <c r="C28" s="42">
        <f>COUNTIF(매입원본!$BC$8:$BC$1007,"*승인번호 중복*")</f>
        <v/>
      </c>
      <c r="D28" s="43" t="inlineStr">
        <is>
          <t>같은 파일을 두 번 붙여넣었는지 확인 — 중복 줄을 지우세요 (지우기 전엔 이중 집계됨)</t>
        </is>
      </c>
      <c r="E28" s="39" t="n"/>
      <c r="F28" s="39" t="n"/>
      <c r="G28" s="39" t="n"/>
      <c r="H28" s="40" t="n"/>
    </row>
    <row r="29">
      <c r="A29" s="9" t="inlineStr">
        <is>
          <t>세액 확인</t>
        </is>
      </c>
      <c r="B29" s="42">
        <f>COUNTIF(매출원본!$BC$8:$BC$1007,"*세액*")</f>
        <v/>
      </c>
      <c r="C29" s="42">
        <f>COUNTIF(매입원본!$BC$8:$BC$1007,"*세액*")</f>
        <v/>
      </c>
      <c r="D29" s="43" t="inlineStr">
        <is>
          <t>세액 0원은 영세율·면세 여부, 10%와 다르면 품목 끝수·입력 오류 확인</t>
        </is>
      </c>
      <c r="E29" s="39" t="n"/>
      <c r="F29" s="39" t="n"/>
      <c r="G29" s="39" t="n"/>
      <c r="H29" s="40" t="n"/>
    </row>
    <row r="30">
      <c r="A30" s="9" t="inlineStr">
        <is>
          <t>수정 세금계산서</t>
        </is>
      </c>
      <c r="B30" s="42">
        <f>COUNTIF(매출원본!$BC$8:$BC$1007,"*수정세금계산서*")</f>
        <v/>
      </c>
      <c r="C30" s="42">
        <f>COUNTIF(매입원본!$BC$8:$BC$1007,"*수정세금계산서*")</f>
        <v/>
      </c>
      <c r="D30" s="43" t="inlineStr">
        <is>
          <t>마이너스·수정분 — 당초 세금계산서와 짝이 맞는지 확인</t>
        </is>
      </c>
      <c r="E30" s="39" t="n"/>
      <c r="F30" s="39" t="n"/>
      <c r="G30" s="39" t="n"/>
      <c r="H30" s="40" t="n"/>
    </row>
  </sheetData>
  <mergeCells count="5">
    <mergeCell ref="D30:H30"/>
    <mergeCell ref="A20:D20"/>
    <mergeCell ref="D28:H28"/>
    <mergeCell ref="D29:H29"/>
    <mergeCell ref="D27:H27"/>
  </mergeCells>
  <conditionalFormatting sqref="B27:C30">
    <cfRule type="expression" priority="1" dxfId="1">
      <formula>B27&gt;0</formula>
    </cfRule>
  </conditionalFormatting>
  <pageMargins left="0.75" right="0.75" top="1" bottom="1" header="0.5" footer="0.5"/>
  <pageSetup orientation="landscape" fitToHeight="0"/>
</worksheet>
</file>

<file path=xl/worksheets/sheet7.xml><?xml version="1.0" encoding="utf-8"?>
<worksheet xmlns="http://schemas.openxmlformats.org/spreadsheetml/2006/main">
  <sheetPr>
    <tabColor rgb="00BFBFBF"/>
    <outlinePr summaryBelow="1" summaryRight="1"/>
    <pageSetUpPr/>
  </sheetPr>
  <dimension ref="A1:M10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6" customWidth="1" min="3" max="3"/>
    <col width="13" customWidth="1" min="4" max="4"/>
    <col width="11" customWidth="1" min="5" max="5"/>
    <col width="44" customWidth="1" min="6" max="6"/>
    <col width="3" customWidth="1" min="7" max="7"/>
    <col width="7" customWidth="1" min="8" max="8"/>
    <col width="11" customWidth="1" min="9" max="9"/>
    <col width="16" customWidth="1" min="10" max="10"/>
    <col width="13" customWidth="1" min="11" max="11"/>
    <col width="11" customWidth="1" min="12" max="12"/>
    <col width="44" customWidth="1" min="13" max="13"/>
  </cols>
  <sheetData>
    <row r="1">
      <c r="A1" s="14" t="inlineStr">
        <is>
          <t>④ 점검목록 — 확인이 필요한 세금계산서 (자동)</t>
        </is>
      </c>
    </row>
    <row r="2">
      <c r="A2" s="15" t="inlineStr">
        <is>
          <t>✍ 직접 입력: 없음 — 여기 뜬 건만 원본에서 확인하세요.</t>
        </is>
      </c>
    </row>
    <row r="3">
      <c r="A3" s="2" t="inlineStr">
        <is>
          <t>⚙ 자동 계산: 기간 밖 · 승인번호 중복 · 세액 0원/10% 아님 · 수정 세금계산서를 매출·매입별로 모아 보여줍니다.</t>
        </is>
      </c>
    </row>
    <row r="5">
      <c r="A5" s="3" t="inlineStr">
        <is>
          <t>■ 매출</t>
        </is>
      </c>
      <c r="H5" s="3" t="inlineStr">
        <is>
          <t>■ 매입</t>
        </is>
      </c>
    </row>
    <row r="6">
      <c r="A6" s="26" t="inlineStr">
        <is>
          <t>원본 행</t>
        </is>
      </c>
      <c r="B6" s="26" t="inlineStr">
        <is>
          <t>작성일자</t>
        </is>
      </c>
      <c r="C6" s="26" t="inlineStr">
        <is>
          <t>거래처 상호</t>
        </is>
      </c>
      <c r="D6" s="26" t="inlineStr">
        <is>
          <t>공급가액</t>
        </is>
      </c>
      <c r="E6" s="26" t="inlineStr">
        <is>
          <t>세액</t>
        </is>
      </c>
      <c r="F6" s="26" t="inlineStr">
        <is>
          <t>점검 내용</t>
        </is>
      </c>
      <c r="H6" s="26" t="inlineStr">
        <is>
          <t>원본 행</t>
        </is>
      </c>
      <c r="I6" s="26" t="inlineStr">
        <is>
          <t>작성일자</t>
        </is>
      </c>
      <c r="J6" s="26" t="inlineStr">
        <is>
          <t>거래처 상호</t>
        </is>
      </c>
      <c r="K6" s="26" t="inlineStr">
        <is>
          <t>공급가액</t>
        </is>
      </c>
      <c r="L6" s="26" t="inlineStr">
        <is>
          <t>세액</t>
        </is>
      </c>
      <c r="M6" s="26" t="inlineStr">
        <is>
          <t>점검 내용</t>
        </is>
      </c>
    </row>
    <row r="7">
      <c r="A7" s="44">
        <f>IFERROR(MATCH(1,매출원본!$BE$8:$BE$1007,0)+7,"")</f>
        <v/>
      </c>
      <c r="B7" s="45">
        <f>IF(A7="","",INDEX(매출원본!$AS$8:$AS$1007,A7-7))</f>
        <v/>
      </c>
      <c r="C7" s="46">
        <f>IF(A7="","",INDEX(매출원본!$AY$8:$AY$1007,A7-7))</f>
        <v/>
      </c>
      <c r="D7" s="47">
        <f>IF(A7="","",INDEX(매출원본!$AT$8:$AT$1007,A7-7))</f>
        <v/>
      </c>
      <c r="E7" s="47">
        <f>IF(A7="","",INDEX(매출원본!$AU$8:$AU$1007,A7-7))</f>
        <v/>
      </c>
      <c r="F7" s="46">
        <f>IF(A7="","",INDEX(매출원본!$BC$8:$BC$1007,A7-7))</f>
        <v/>
      </c>
      <c r="H7" s="44">
        <f>IFERROR(MATCH(1,매입원본!$BE$8:$BE$1007,0)+7,"")</f>
        <v/>
      </c>
      <c r="I7" s="45">
        <f>IF(H7="","",INDEX(매입원본!$AS$8:$AS$1007,H7-7))</f>
        <v/>
      </c>
      <c r="J7" s="46">
        <f>IF(H7="","",INDEX(매입원본!$AY$8:$AY$1007,H7-7))</f>
        <v/>
      </c>
      <c r="K7" s="47">
        <f>IF(H7="","",INDEX(매입원본!$AT$8:$AT$1007,H7-7))</f>
        <v/>
      </c>
      <c r="L7" s="47">
        <f>IF(H7="","",INDEX(매입원본!$AU$8:$AU$1007,H7-7))</f>
        <v/>
      </c>
      <c r="M7" s="46">
        <f>IF(H7="","",INDEX(매입원본!$BC$8:$BC$1007,H7-7))</f>
        <v/>
      </c>
    </row>
    <row r="8">
      <c r="A8" s="44">
        <f>IFERROR(MATCH(2,매출원본!$BE$8:$BE$1007,0)+7,"")</f>
        <v/>
      </c>
      <c r="B8" s="45">
        <f>IF(A8="","",INDEX(매출원본!$AS$8:$AS$1007,A8-7))</f>
        <v/>
      </c>
      <c r="C8" s="46">
        <f>IF(A8="","",INDEX(매출원본!$AY$8:$AY$1007,A8-7))</f>
        <v/>
      </c>
      <c r="D8" s="47">
        <f>IF(A8="","",INDEX(매출원본!$AT$8:$AT$1007,A8-7))</f>
        <v/>
      </c>
      <c r="E8" s="47">
        <f>IF(A8="","",INDEX(매출원본!$AU$8:$AU$1007,A8-7))</f>
        <v/>
      </c>
      <c r="F8" s="46">
        <f>IF(A8="","",INDEX(매출원본!$BC$8:$BC$1007,A8-7))</f>
        <v/>
      </c>
      <c r="H8" s="44">
        <f>IFERROR(MATCH(2,매입원본!$BE$8:$BE$1007,0)+7,"")</f>
        <v/>
      </c>
      <c r="I8" s="45">
        <f>IF(H8="","",INDEX(매입원본!$AS$8:$AS$1007,H8-7))</f>
        <v/>
      </c>
      <c r="J8" s="46">
        <f>IF(H8="","",INDEX(매입원본!$AY$8:$AY$1007,H8-7))</f>
        <v/>
      </c>
      <c r="K8" s="47">
        <f>IF(H8="","",INDEX(매입원본!$AT$8:$AT$1007,H8-7))</f>
        <v/>
      </c>
      <c r="L8" s="47">
        <f>IF(H8="","",INDEX(매입원본!$AU$8:$AU$1007,H8-7))</f>
        <v/>
      </c>
      <c r="M8" s="46">
        <f>IF(H8="","",INDEX(매입원본!$BC$8:$BC$1007,H8-7))</f>
        <v/>
      </c>
    </row>
    <row r="9">
      <c r="A9" s="44">
        <f>IFERROR(MATCH(3,매출원본!$BE$8:$BE$1007,0)+7,"")</f>
        <v/>
      </c>
      <c r="B9" s="45">
        <f>IF(A9="","",INDEX(매출원본!$AS$8:$AS$1007,A9-7))</f>
        <v/>
      </c>
      <c r="C9" s="46">
        <f>IF(A9="","",INDEX(매출원본!$AY$8:$AY$1007,A9-7))</f>
        <v/>
      </c>
      <c r="D9" s="47">
        <f>IF(A9="","",INDEX(매출원본!$AT$8:$AT$1007,A9-7))</f>
        <v/>
      </c>
      <c r="E9" s="47">
        <f>IF(A9="","",INDEX(매출원본!$AU$8:$AU$1007,A9-7))</f>
        <v/>
      </c>
      <c r="F9" s="46">
        <f>IF(A9="","",INDEX(매출원본!$BC$8:$BC$1007,A9-7))</f>
        <v/>
      </c>
      <c r="H9" s="44">
        <f>IFERROR(MATCH(3,매입원본!$BE$8:$BE$1007,0)+7,"")</f>
        <v/>
      </c>
      <c r="I9" s="45">
        <f>IF(H9="","",INDEX(매입원본!$AS$8:$AS$1007,H9-7))</f>
        <v/>
      </c>
      <c r="J9" s="46">
        <f>IF(H9="","",INDEX(매입원본!$AY$8:$AY$1007,H9-7))</f>
        <v/>
      </c>
      <c r="K9" s="47">
        <f>IF(H9="","",INDEX(매입원본!$AT$8:$AT$1007,H9-7))</f>
        <v/>
      </c>
      <c r="L9" s="47">
        <f>IF(H9="","",INDEX(매입원본!$AU$8:$AU$1007,H9-7))</f>
        <v/>
      </c>
      <c r="M9" s="46">
        <f>IF(H9="","",INDEX(매입원본!$BC$8:$BC$1007,H9-7))</f>
        <v/>
      </c>
    </row>
    <row r="10">
      <c r="A10" s="44">
        <f>IFERROR(MATCH(4,매출원본!$BE$8:$BE$1007,0)+7,"")</f>
        <v/>
      </c>
      <c r="B10" s="45">
        <f>IF(A10="","",INDEX(매출원본!$AS$8:$AS$1007,A10-7))</f>
        <v/>
      </c>
      <c r="C10" s="46">
        <f>IF(A10="","",INDEX(매출원본!$AY$8:$AY$1007,A10-7))</f>
        <v/>
      </c>
      <c r="D10" s="47">
        <f>IF(A10="","",INDEX(매출원본!$AT$8:$AT$1007,A10-7))</f>
        <v/>
      </c>
      <c r="E10" s="47">
        <f>IF(A10="","",INDEX(매출원본!$AU$8:$AU$1007,A10-7))</f>
        <v/>
      </c>
      <c r="F10" s="46">
        <f>IF(A10="","",INDEX(매출원본!$BC$8:$BC$1007,A10-7))</f>
        <v/>
      </c>
      <c r="H10" s="44">
        <f>IFERROR(MATCH(4,매입원본!$BE$8:$BE$1007,0)+7,"")</f>
        <v/>
      </c>
      <c r="I10" s="45">
        <f>IF(H10="","",INDEX(매입원본!$AS$8:$AS$1007,H10-7))</f>
        <v/>
      </c>
      <c r="J10" s="46">
        <f>IF(H10="","",INDEX(매입원본!$AY$8:$AY$1007,H10-7))</f>
        <v/>
      </c>
      <c r="K10" s="47">
        <f>IF(H10="","",INDEX(매입원본!$AT$8:$AT$1007,H10-7))</f>
        <v/>
      </c>
      <c r="L10" s="47">
        <f>IF(H10="","",INDEX(매입원본!$AU$8:$AU$1007,H10-7))</f>
        <v/>
      </c>
      <c r="M10" s="46">
        <f>IF(H10="","",INDEX(매입원본!$BC$8:$BC$1007,H10-7))</f>
        <v/>
      </c>
    </row>
    <row r="11">
      <c r="A11" s="44">
        <f>IFERROR(MATCH(5,매출원본!$BE$8:$BE$1007,0)+7,"")</f>
        <v/>
      </c>
      <c r="B11" s="45">
        <f>IF(A11="","",INDEX(매출원본!$AS$8:$AS$1007,A11-7))</f>
        <v/>
      </c>
      <c r="C11" s="46">
        <f>IF(A11="","",INDEX(매출원본!$AY$8:$AY$1007,A11-7))</f>
        <v/>
      </c>
      <c r="D11" s="47">
        <f>IF(A11="","",INDEX(매출원본!$AT$8:$AT$1007,A11-7))</f>
        <v/>
      </c>
      <c r="E11" s="47">
        <f>IF(A11="","",INDEX(매출원본!$AU$8:$AU$1007,A11-7))</f>
        <v/>
      </c>
      <c r="F11" s="46">
        <f>IF(A11="","",INDEX(매출원본!$BC$8:$BC$1007,A11-7))</f>
        <v/>
      </c>
      <c r="H11" s="44">
        <f>IFERROR(MATCH(5,매입원본!$BE$8:$BE$1007,0)+7,"")</f>
        <v/>
      </c>
      <c r="I11" s="45">
        <f>IF(H11="","",INDEX(매입원본!$AS$8:$AS$1007,H11-7))</f>
        <v/>
      </c>
      <c r="J11" s="46">
        <f>IF(H11="","",INDEX(매입원본!$AY$8:$AY$1007,H11-7))</f>
        <v/>
      </c>
      <c r="K11" s="47">
        <f>IF(H11="","",INDEX(매입원본!$AT$8:$AT$1007,H11-7))</f>
        <v/>
      </c>
      <c r="L11" s="47">
        <f>IF(H11="","",INDEX(매입원본!$AU$8:$AU$1007,H11-7))</f>
        <v/>
      </c>
      <c r="M11" s="46">
        <f>IF(H11="","",INDEX(매입원본!$BC$8:$BC$1007,H11-7))</f>
        <v/>
      </c>
    </row>
    <row r="12">
      <c r="A12" s="44">
        <f>IFERROR(MATCH(6,매출원본!$BE$8:$BE$1007,0)+7,"")</f>
        <v/>
      </c>
      <c r="B12" s="45">
        <f>IF(A12="","",INDEX(매출원본!$AS$8:$AS$1007,A12-7))</f>
        <v/>
      </c>
      <c r="C12" s="46">
        <f>IF(A12="","",INDEX(매출원본!$AY$8:$AY$1007,A12-7))</f>
        <v/>
      </c>
      <c r="D12" s="47">
        <f>IF(A12="","",INDEX(매출원본!$AT$8:$AT$1007,A12-7))</f>
        <v/>
      </c>
      <c r="E12" s="47">
        <f>IF(A12="","",INDEX(매출원본!$AU$8:$AU$1007,A12-7))</f>
        <v/>
      </c>
      <c r="F12" s="46">
        <f>IF(A12="","",INDEX(매출원본!$BC$8:$BC$1007,A12-7))</f>
        <v/>
      </c>
      <c r="H12" s="44">
        <f>IFERROR(MATCH(6,매입원본!$BE$8:$BE$1007,0)+7,"")</f>
        <v/>
      </c>
      <c r="I12" s="45">
        <f>IF(H12="","",INDEX(매입원본!$AS$8:$AS$1007,H12-7))</f>
        <v/>
      </c>
      <c r="J12" s="46">
        <f>IF(H12="","",INDEX(매입원본!$AY$8:$AY$1007,H12-7))</f>
        <v/>
      </c>
      <c r="K12" s="47">
        <f>IF(H12="","",INDEX(매입원본!$AT$8:$AT$1007,H12-7))</f>
        <v/>
      </c>
      <c r="L12" s="47">
        <f>IF(H12="","",INDEX(매입원본!$AU$8:$AU$1007,H12-7))</f>
        <v/>
      </c>
      <c r="M12" s="46">
        <f>IF(H12="","",INDEX(매입원본!$BC$8:$BC$1007,H12-7))</f>
        <v/>
      </c>
    </row>
    <row r="13">
      <c r="A13" s="44">
        <f>IFERROR(MATCH(7,매출원본!$BE$8:$BE$1007,0)+7,"")</f>
        <v/>
      </c>
      <c r="B13" s="45">
        <f>IF(A13="","",INDEX(매출원본!$AS$8:$AS$1007,A13-7))</f>
        <v/>
      </c>
      <c r="C13" s="46">
        <f>IF(A13="","",INDEX(매출원본!$AY$8:$AY$1007,A13-7))</f>
        <v/>
      </c>
      <c r="D13" s="47">
        <f>IF(A13="","",INDEX(매출원본!$AT$8:$AT$1007,A13-7))</f>
        <v/>
      </c>
      <c r="E13" s="47">
        <f>IF(A13="","",INDEX(매출원본!$AU$8:$AU$1007,A13-7))</f>
        <v/>
      </c>
      <c r="F13" s="46">
        <f>IF(A13="","",INDEX(매출원본!$BC$8:$BC$1007,A13-7))</f>
        <v/>
      </c>
      <c r="H13" s="44">
        <f>IFERROR(MATCH(7,매입원본!$BE$8:$BE$1007,0)+7,"")</f>
        <v/>
      </c>
      <c r="I13" s="45">
        <f>IF(H13="","",INDEX(매입원본!$AS$8:$AS$1007,H13-7))</f>
        <v/>
      </c>
      <c r="J13" s="46">
        <f>IF(H13="","",INDEX(매입원본!$AY$8:$AY$1007,H13-7))</f>
        <v/>
      </c>
      <c r="K13" s="47">
        <f>IF(H13="","",INDEX(매입원본!$AT$8:$AT$1007,H13-7))</f>
        <v/>
      </c>
      <c r="L13" s="47">
        <f>IF(H13="","",INDEX(매입원본!$AU$8:$AU$1007,H13-7))</f>
        <v/>
      </c>
      <c r="M13" s="46">
        <f>IF(H13="","",INDEX(매입원본!$BC$8:$BC$1007,H13-7))</f>
        <v/>
      </c>
    </row>
    <row r="14">
      <c r="A14" s="44">
        <f>IFERROR(MATCH(8,매출원본!$BE$8:$BE$1007,0)+7,"")</f>
        <v/>
      </c>
      <c r="B14" s="45">
        <f>IF(A14="","",INDEX(매출원본!$AS$8:$AS$1007,A14-7))</f>
        <v/>
      </c>
      <c r="C14" s="46">
        <f>IF(A14="","",INDEX(매출원본!$AY$8:$AY$1007,A14-7))</f>
        <v/>
      </c>
      <c r="D14" s="47">
        <f>IF(A14="","",INDEX(매출원본!$AT$8:$AT$1007,A14-7))</f>
        <v/>
      </c>
      <c r="E14" s="47">
        <f>IF(A14="","",INDEX(매출원본!$AU$8:$AU$1007,A14-7))</f>
        <v/>
      </c>
      <c r="F14" s="46">
        <f>IF(A14="","",INDEX(매출원본!$BC$8:$BC$1007,A14-7))</f>
        <v/>
      </c>
      <c r="H14" s="44">
        <f>IFERROR(MATCH(8,매입원본!$BE$8:$BE$1007,0)+7,"")</f>
        <v/>
      </c>
      <c r="I14" s="45">
        <f>IF(H14="","",INDEX(매입원본!$AS$8:$AS$1007,H14-7))</f>
        <v/>
      </c>
      <c r="J14" s="46">
        <f>IF(H14="","",INDEX(매입원본!$AY$8:$AY$1007,H14-7))</f>
        <v/>
      </c>
      <c r="K14" s="47">
        <f>IF(H14="","",INDEX(매입원본!$AT$8:$AT$1007,H14-7))</f>
        <v/>
      </c>
      <c r="L14" s="47">
        <f>IF(H14="","",INDEX(매입원본!$AU$8:$AU$1007,H14-7))</f>
        <v/>
      </c>
      <c r="M14" s="46">
        <f>IF(H14="","",INDEX(매입원본!$BC$8:$BC$1007,H14-7))</f>
        <v/>
      </c>
    </row>
    <row r="15">
      <c r="A15" s="44">
        <f>IFERROR(MATCH(9,매출원본!$BE$8:$BE$1007,0)+7,"")</f>
        <v/>
      </c>
      <c r="B15" s="45">
        <f>IF(A15="","",INDEX(매출원본!$AS$8:$AS$1007,A15-7))</f>
        <v/>
      </c>
      <c r="C15" s="46">
        <f>IF(A15="","",INDEX(매출원본!$AY$8:$AY$1007,A15-7))</f>
        <v/>
      </c>
      <c r="D15" s="47">
        <f>IF(A15="","",INDEX(매출원본!$AT$8:$AT$1007,A15-7))</f>
        <v/>
      </c>
      <c r="E15" s="47">
        <f>IF(A15="","",INDEX(매출원본!$AU$8:$AU$1007,A15-7))</f>
        <v/>
      </c>
      <c r="F15" s="46">
        <f>IF(A15="","",INDEX(매출원본!$BC$8:$BC$1007,A15-7))</f>
        <v/>
      </c>
      <c r="H15" s="44">
        <f>IFERROR(MATCH(9,매입원본!$BE$8:$BE$1007,0)+7,"")</f>
        <v/>
      </c>
      <c r="I15" s="45">
        <f>IF(H15="","",INDEX(매입원본!$AS$8:$AS$1007,H15-7))</f>
        <v/>
      </c>
      <c r="J15" s="46">
        <f>IF(H15="","",INDEX(매입원본!$AY$8:$AY$1007,H15-7))</f>
        <v/>
      </c>
      <c r="K15" s="47">
        <f>IF(H15="","",INDEX(매입원본!$AT$8:$AT$1007,H15-7))</f>
        <v/>
      </c>
      <c r="L15" s="47">
        <f>IF(H15="","",INDEX(매입원본!$AU$8:$AU$1007,H15-7))</f>
        <v/>
      </c>
      <c r="M15" s="46">
        <f>IF(H15="","",INDEX(매입원본!$BC$8:$BC$1007,H15-7))</f>
        <v/>
      </c>
    </row>
    <row r="16">
      <c r="A16" s="44">
        <f>IFERROR(MATCH(10,매출원본!$BE$8:$BE$1007,0)+7,"")</f>
        <v/>
      </c>
      <c r="B16" s="45">
        <f>IF(A16="","",INDEX(매출원본!$AS$8:$AS$1007,A16-7))</f>
        <v/>
      </c>
      <c r="C16" s="46">
        <f>IF(A16="","",INDEX(매출원본!$AY$8:$AY$1007,A16-7))</f>
        <v/>
      </c>
      <c r="D16" s="47">
        <f>IF(A16="","",INDEX(매출원본!$AT$8:$AT$1007,A16-7))</f>
        <v/>
      </c>
      <c r="E16" s="47">
        <f>IF(A16="","",INDEX(매출원본!$AU$8:$AU$1007,A16-7))</f>
        <v/>
      </c>
      <c r="F16" s="46">
        <f>IF(A16="","",INDEX(매출원본!$BC$8:$BC$1007,A16-7))</f>
        <v/>
      </c>
      <c r="H16" s="44">
        <f>IFERROR(MATCH(10,매입원본!$BE$8:$BE$1007,0)+7,"")</f>
        <v/>
      </c>
      <c r="I16" s="45">
        <f>IF(H16="","",INDEX(매입원본!$AS$8:$AS$1007,H16-7))</f>
        <v/>
      </c>
      <c r="J16" s="46">
        <f>IF(H16="","",INDEX(매입원본!$AY$8:$AY$1007,H16-7))</f>
        <v/>
      </c>
      <c r="K16" s="47">
        <f>IF(H16="","",INDEX(매입원본!$AT$8:$AT$1007,H16-7))</f>
        <v/>
      </c>
      <c r="L16" s="47">
        <f>IF(H16="","",INDEX(매입원본!$AU$8:$AU$1007,H16-7))</f>
        <v/>
      </c>
      <c r="M16" s="46">
        <f>IF(H16="","",INDEX(매입원본!$BC$8:$BC$1007,H16-7))</f>
        <v/>
      </c>
    </row>
    <row r="17">
      <c r="A17" s="44">
        <f>IFERROR(MATCH(11,매출원본!$BE$8:$BE$1007,0)+7,"")</f>
        <v/>
      </c>
      <c r="B17" s="45">
        <f>IF(A17="","",INDEX(매출원본!$AS$8:$AS$1007,A17-7))</f>
        <v/>
      </c>
      <c r="C17" s="46">
        <f>IF(A17="","",INDEX(매출원본!$AY$8:$AY$1007,A17-7))</f>
        <v/>
      </c>
      <c r="D17" s="47">
        <f>IF(A17="","",INDEX(매출원본!$AT$8:$AT$1007,A17-7))</f>
        <v/>
      </c>
      <c r="E17" s="47">
        <f>IF(A17="","",INDEX(매출원본!$AU$8:$AU$1007,A17-7))</f>
        <v/>
      </c>
      <c r="F17" s="46">
        <f>IF(A17="","",INDEX(매출원본!$BC$8:$BC$1007,A17-7))</f>
        <v/>
      </c>
      <c r="H17" s="44">
        <f>IFERROR(MATCH(11,매입원본!$BE$8:$BE$1007,0)+7,"")</f>
        <v/>
      </c>
      <c r="I17" s="45">
        <f>IF(H17="","",INDEX(매입원본!$AS$8:$AS$1007,H17-7))</f>
        <v/>
      </c>
      <c r="J17" s="46">
        <f>IF(H17="","",INDEX(매입원본!$AY$8:$AY$1007,H17-7))</f>
        <v/>
      </c>
      <c r="K17" s="47">
        <f>IF(H17="","",INDEX(매입원본!$AT$8:$AT$1007,H17-7))</f>
        <v/>
      </c>
      <c r="L17" s="47">
        <f>IF(H17="","",INDEX(매입원본!$AU$8:$AU$1007,H17-7))</f>
        <v/>
      </c>
      <c r="M17" s="46">
        <f>IF(H17="","",INDEX(매입원본!$BC$8:$BC$1007,H17-7))</f>
        <v/>
      </c>
    </row>
    <row r="18">
      <c r="A18" s="44">
        <f>IFERROR(MATCH(12,매출원본!$BE$8:$BE$1007,0)+7,"")</f>
        <v/>
      </c>
      <c r="B18" s="45">
        <f>IF(A18="","",INDEX(매출원본!$AS$8:$AS$1007,A18-7))</f>
        <v/>
      </c>
      <c r="C18" s="46">
        <f>IF(A18="","",INDEX(매출원본!$AY$8:$AY$1007,A18-7))</f>
        <v/>
      </c>
      <c r="D18" s="47">
        <f>IF(A18="","",INDEX(매출원본!$AT$8:$AT$1007,A18-7))</f>
        <v/>
      </c>
      <c r="E18" s="47">
        <f>IF(A18="","",INDEX(매출원본!$AU$8:$AU$1007,A18-7))</f>
        <v/>
      </c>
      <c r="F18" s="46">
        <f>IF(A18="","",INDEX(매출원본!$BC$8:$BC$1007,A18-7))</f>
        <v/>
      </c>
      <c r="H18" s="44">
        <f>IFERROR(MATCH(12,매입원본!$BE$8:$BE$1007,0)+7,"")</f>
        <v/>
      </c>
      <c r="I18" s="45">
        <f>IF(H18="","",INDEX(매입원본!$AS$8:$AS$1007,H18-7))</f>
        <v/>
      </c>
      <c r="J18" s="46">
        <f>IF(H18="","",INDEX(매입원본!$AY$8:$AY$1007,H18-7))</f>
        <v/>
      </c>
      <c r="K18" s="47">
        <f>IF(H18="","",INDEX(매입원본!$AT$8:$AT$1007,H18-7))</f>
        <v/>
      </c>
      <c r="L18" s="47">
        <f>IF(H18="","",INDEX(매입원본!$AU$8:$AU$1007,H18-7))</f>
        <v/>
      </c>
      <c r="M18" s="46">
        <f>IF(H18="","",INDEX(매입원본!$BC$8:$BC$1007,H18-7))</f>
        <v/>
      </c>
    </row>
    <row r="19">
      <c r="A19" s="44">
        <f>IFERROR(MATCH(13,매출원본!$BE$8:$BE$1007,0)+7,"")</f>
        <v/>
      </c>
      <c r="B19" s="45">
        <f>IF(A19="","",INDEX(매출원본!$AS$8:$AS$1007,A19-7))</f>
        <v/>
      </c>
      <c r="C19" s="46">
        <f>IF(A19="","",INDEX(매출원본!$AY$8:$AY$1007,A19-7))</f>
        <v/>
      </c>
      <c r="D19" s="47">
        <f>IF(A19="","",INDEX(매출원본!$AT$8:$AT$1007,A19-7))</f>
        <v/>
      </c>
      <c r="E19" s="47">
        <f>IF(A19="","",INDEX(매출원본!$AU$8:$AU$1007,A19-7))</f>
        <v/>
      </c>
      <c r="F19" s="46">
        <f>IF(A19="","",INDEX(매출원본!$BC$8:$BC$1007,A19-7))</f>
        <v/>
      </c>
      <c r="H19" s="44">
        <f>IFERROR(MATCH(13,매입원본!$BE$8:$BE$1007,0)+7,"")</f>
        <v/>
      </c>
      <c r="I19" s="45">
        <f>IF(H19="","",INDEX(매입원본!$AS$8:$AS$1007,H19-7))</f>
        <v/>
      </c>
      <c r="J19" s="46">
        <f>IF(H19="","",INDEX(매입원본!$AY$8:$AY$1007,H19-7))</f>
        <v/>
      </c>
      <c r="K19" s="47">
        <f>IF(H19="","",INDEX(매입원본!$AT$8:$AT$1007,H19-7))</f>
        <v/>
      </c>
      <c r="L19" s="47">
        <f>IF(H19="","",INDEX(매입원본!$AU$8:$AU$1007,H19-7))</f>
        <v/>
      </c>
      <c r="M19" s="46">
        <f>IF(H19="","",INDEX(매입원본!$BC$8:$BC$1007,H19-7))</f>
        <v/>
      </c>
    </row>
    <row r="20">
      <c r="A20" s="44">
        <f>IFERROR(MATCH(14,매출원본!$BE$8:$BE$1007,0)+7,"")</f>
        <v/>
      </c>
      <c r="B20" s="45">
        <f>IF(A20="","",INDEX(매출원본!$AS$8:$AS$1007,A20-7))</f>
        <v/>
      </c>
      <c r="C20" s="46">
        <f>IF(A20="","",INDEX(매출원본!$AY$8:$AY$1007,A20-7))</f>
        <v/>
      </c>
      <c r="D20" s="47">
        <f>IF(A20="","",INDEX(매출원본!$AT$8:$AT$1007,A20-7))</f>
        <v/>
      </c>
      <c r="E20" s="47">
        <f>IF(A20="","",INDEX(매출원본!$AU$8:$AU$1007,A20-7))</f>
        <v/>
      </c>
      <c r="F20" s="46">
        <f>IF(A20="","",INDEX(매출원본!$BC$8:$BC$1007,A20-7))</f>
        <v/>
      </c>
      <c r="H20" s="44">
        <f>IFERROR(MATCH(14,매입원본!$BE$8:$BE$1007,0)+7,"")</f>
        <v/>
      </c>
      <c r="I20" s="45">
        <f>IF(H20="","",INDEX(매입원본!$AS$8:$AS$1007,H20-7))</f>
        <v/>
      </c>
      <c r="J20" s="46">
        <f>IF(H20="","",INDEX(매입원본!$AY$8:$AY$1007,H20-7))</f>
        <v/>
      </c>
      <c r="K20" s="47">
        <f>IF(H20="","",INDEX(매입원본!$AT$8:$AT$1007,H20-7))</f>
        <v/>
      </c>
      <c r="L20" s="47">
        <f>IF(H20="","",INDEX(매입원본!$AU$8:$AU$1007,H20-7))</f>
        <v/>
      </c>
      <c r="M20" s="46">
        <f>IF(H20="","",INDEX(매입원본!$BC$8:$BC$1007,H20-7))</f>
        <v/>
      </c>
    </row>
    <row r="21">
      <c r="A21" s="44">
        <f>IFERROR(MATCH(15,매출원본!$BE$8:$BE$1007,0)+7,"")</f>
        <v/>
      </c>
      <c r="B21" s="45">
        <f>IF(A21="","",INDEX(매출원본!$AS$8:$AS$1007,A21-7))</f>
        <v/>
      </c>
      <c r="C21" s="46">
        <f>IF(A21="","",INDEX(매출원본!$AY$8:$AY$1007,A21-7))</f>
        <v/>
      </c>
      <c r="D21" s="47">
        <f>IF(A21="","",INDEX(매출원본!$AT$8:$AT$1007,A21-7))</f>
        <v/>
      </c>
      <c r="E21" s="47">
        <f>IF(A21="","",INDEX(매출원본!$AU$8:$AU$1007,A21-7))</f>
        <v/>
      </c>
      <c r="F21" s="46">
        <f>IF(A21="","",INDEX(매출원본!$BC$8:$BC$1007,A21-7))</f>
        <v/>
      </c>
      <c r="H21" s="44">
        <f>IFERROR(MATCH(15,매입원본!$BE$8:$BE$1007,0)+7,"")</f>
        <v/>
      </c>
      <c r="I21" s="45">
        <f>IF(H21="","",INDEX(매입원본!$AS$8:$AS$1007,H21-7))</f>
        <v/>
      </c>
      <c r="J21" s="46">
        <f>IF(H21="","",INDEX(매입원본!$AY$8:$AY$1007,H21-7))</f>
        <v/>
      </c>
      <c r="K21" s="47">
        <f>IF(H21="","",INDEX(매입원본!$AT$8:$AT$1007,H21-7))</f>
        <v/>
      </c>
      <c r="L21" s="47">
        <f>IF(H21="","",INDEX(매입원본!$AU$8:$AU$1007,H21-7))</f>
        <v/>
      </c>
      <c r="M21" s="46">
        <f>IF(H21="","",INDEX(매입원본!$BC$8:$BC$1007,H21-7))</f>
        <v/>
      </c>
    </row>
    <row r="22">
      <c r="A22" s="44">
        <f>IFERROR(MATCH(16,매출원본!$BE$8:$BE$1007,0)+7,"")</f>
        <v/>
      </c>
      <c r="B22" s="45">
        <f>IF(A22="","",INDEX(매출원본!$AS$8:$AS$1007,A22-7))</f>
        <v/>
      </c>
      <c r="C22" s="46">
        <f>IF(A22="","",INDEX(매출원본!$AY$8:$AY$1007,A22-7))</f>
        <v/>
      </c>
      <c r="D22" s="47">
        <f>IF(A22="","",INDEX(매출원본!$AT$8:$AT$1007,A22-7))</f>
        <v/>
      </c>
      <c r="E22" s="47">
        <f>IF(A22="","",INDEX(매출원본!$AU$8:$AU$1007,A22-7))</f>
        <v/>
      </c>
      <c r="F22" s="46">
        <f>IF(A22="","",INDEX(매출원본!$BC$8:$BC$1007,A22-7))</f>
        <v/>
      </c>
      <c r="H22" s="44">
        <f>IFERROR(MATCH(16,매입원본!$BE$8:$BE$1007,0)+7,"")</f>
        <v/>
      </c>
      <c r="I22" s="45">
        <f>IF(H22="","",INDEX(매입원본!$AS$8:$AS$1007,H22-7))</f>
        <v/>
      </c>
      <c r="J22" s="46">
        <f>IF(H22="","",INDEX(매입원본!$AY$8:$AY$1007,H22-7))</f>
        <v/>
      </c>
      <c r="K22" s="47">
        <f>IF(H22="","",INDEX(매입원본!$AT$8:$AT$1007,H22-7))</f>
        <v/>
      </c>
      <c r="L22" s="47">
        <f>IF(H22="","",INDEX(매입원본!$AU$8:$AU$1007,H22-7))</f>
        <v/>
      </c>
      <c r="M22" s="46">
        <f>IF(H22="","",INDEX(매입원본!$BC$8:$BC$1007,H22-7))</f>
        <v/>
      </c>
    </row>
    <row r="23">
      <c r="A23" s="44">
        <f>IFERROR(MATCH(17,매출원본!$BE$8:$BE$1007,0)+7,"")</f>
        <v/>
      </c>
      <c r="B23" s="45">
        <f>IF(A23="","",INDEX(매출원본!$AS$8:$AS$1007,A23-7))</f>
        <v/>
      </c>
      <c r="C23" s="46">
        <f>IF(A23="","",INDEX(매출원본!$AY$8:$AY$1007,A23-7))</f>
        <v/>
      </c>
      <c r="D23" s="47">
        <f>IF(A23="","",INDEX(매출원본!$AT$8:$AT$1007,A23-7))</f>
        <v/>
      </c>
      <c r="E23" s="47">
        <f>IF(A23="","",INDEX(매출원본!$AU$8:$AU$1007,A23-7))</f>
        <v/>
      </c>
      <c r="F23" s="46">
        <f>IF(A23="","",INDEX(매출원본!$BC$8:$BC$1007,A23-7))</f>
        <v/>
      </c>
      <c r="H23" s="44">
        <f>IFERROR(MATCH(17,매입원본!$BE$8:$BE$1007,0)+7,"")</f>
        <v/>
      </c>
      <c r="I23" s="45">
        <f>IF(H23="","",INDEX(매입원본!$AS$8:$AS$1007,H23-7))</f>
        <v/>
      </c>
      <c r="J23" s="46">
        <f>IF(H23="","",INDEX(매입원본!$AY$8:$AY$1007,H23-7))</f>
        <v/>
      </c>
      <c r="K23" s="47">
        <f>IF(H23="","",INDEX(매입원본!$AT$8:$AT$1007,H23-7))</f>
        <v/>
      </c>
      <c r="L23" s="47">
        <f>IF(H23="","",INDEX(매입원본!$AU$8:$AU$1007,H23-7))</f>
        <v/>
      </c>
      <c r="M23" s="46">
        <f>IF(H23="","",INDEX(매입원본!$BC$8:$BC$1007,H23-7))</f>
        <v/>
      </c>
    </row>
    <row r="24">
      <c r="A24" s="44">
        <f>IFERROR(MATCH(18,매출원본!$BE$8:$BE$1007,0)+7,"")</f>
        <v/>
      </c>
      <c r="B24" s="45">
        <f>IF(A24="","",INDEX(매출원본!$AS$8:$AS$1007,A24-7))</f>
        <v/>
      </c>
      <c r="C24" s="46">
        <f>IF(A24="","",INDEX(매출원본!$AY$8:$AY$1007,A24-7))</f>
        <v/>
      </c>
      <c r="D24" s="47">
        <f>IF(A24="","",INDEX(매출원본!$AT$8:$AT$1007,A24-7))</f>
        <v/>
      </c>
      <c r="E24" s="47">
        <f>IF(A24="","",INDEX(매출원본!$AU$8:$AU$1007,A24-7))</f>
        <v/>
      </c>
      <c r="F24" s="46">
        <f>IF(A24="","",INDEX(매출원본!$BC$8:$BC$1007,A24-7))</f>
        <v/>
      </c>
      <c r="H24" s="44">
        <f>IFERROR(MATCH(18,매입원본!$BE$8:$BE$1007,0)+7,"")</f>
        <v/>
      </c>
      <c r="I24" s="45">
        <f>IF(H24="","",INDEX(매입원본!$AS$8:$AS$1007,H24-7))</f>
        <v/>
      </c>
      <c r="J24" s="46">
        <f>IF(H24="","",INDEX(매입원본!$AY$8:$AY$1007,H24-7))</f>
        <v/>
      </c>
      <c r="K24" s="47">
        <f>IF(H24="","",INDEX(매입원본!$AT$8:$AT$1007,H24-7))</f>
        <v/>
      </c>
      <c r="L24" s="47">
        <f>IF(H24="","",INDEX(매입원본!$AU$8:$AU$1007,H24-7))</f>
        <v/>
      </c>
      <c r="M24" s="46">
        <f>IF(H24="","",INDEX(매입원본!$BC$8:$BC$1007,H24-7))</f>
        <v/>
      </c>
    </row>
    <row r="25">
      <c r="A25" s="44">
        <f>IFERROR(MATCH(19,매출원본!$BE$8:$BE$1007,0)+7,"")</f>
        <v/>
      </c>
      <c r="B25" s="45">
        <f>IF(A25="","",INDEX(매출원본!$AS$8:$AS$1007,A25-7))</f>
        <v/>
      </c>
      <c r="C25" s="46">
        <f>IF(A25="","",INDEX(매출원본!$AY$8:$AY$1007,A25-7))</f>
        <v/>
      </c>
      <c r="D25" s="47">
        <f>IF(A25="","",INDEX(매출원본!$AT$8:$AT$1007,A25-7))</f>
        <v/>
      </c>
      <c r="E25" s="47">
        <f>IF(A25="","",INDEX(매출원본!$AU$8:$AU$1007,A25-7))</f>
        <v/>
      </c>
      <c r="F25" s="46">
        <f>IF(A25="","",INDEX(매출원본!$BC$8:$BC$1007,A25-7))</f>
        <v/>
      </c>
      <c r="H25" s="44">
        <f>IFERROR(MATCH(19,매입원본!$BE$8:$BE$1007,0)+7,"")</f>
        <v/>
      </c>
      <c r="I25" s="45">
        <f>IF(H25="","",INDEX(매입원본!$AS$8:$AS$1007,H25-7))</f>
        <v/>
      </c>
      <c r="J25" s="46">
        <f>IF(H25="","",INDEX(매입원본!$AY$8:$AY$1007,H25-7))</f>
        <v/>
      </c>
      <c r="K25" s="47">
        <f>IF(H25="","",INDEX(매입원본!$AT$8:$AT$1007,H25-7))</f>
        <v/>
      </c>
      <c r="L25" s="47">
        <f>IF(H25="","",INDEX(매입원본!$AU$8:$AU$1007,H25-7))</f>
        <v/>
      </c>
      <c r="M25" s="46">
        <f>IF(H25="","",INDEX(매입원본!$BC$8:$BC$1007,H25-7))</f>
        <v/>
      </c>
    </row>
    <row r="26">
      <c r="A26" s="44">
        <f>IFERROR(MATCH(20,매출원본!$BE$8:$BE$1007,0)+7,"")</f>
        <v/>
      </c>
      <c r="B26" s="45">
        <f>IF(A26="","",INDEX(매출원본!$AS$8:$AS$1007,A26-7))</f>
        <v/>
      </c>
      <c r="C26" s="46">
        <f>IF(A26="","",INDEX(매출원본!$AY$8:$AY$1007,A26-7))</f>
        <v/>
      </c>
      <c r="D26" s="47">
        <f>IF(A26="","",INDEX(매출원본!$AT$8:$AT$1007,A26-7))</f>
        <v/>
      </c>
      <c r="E26" s="47">
        <f>IF(A26="","",INDEX(매출원본!$AU$8:$AU$1007,A26-7))</f>
        <v/>
      </c>
      <c r="F26" s="46">
        <f>IF(A26="","",INDEX(매출원본!$BC$8:$BC$1007,A26-7))</f>
        <v/>
      </c>
      <c r="H26" s="44">
        <f>IFERROR(MATCH(20,매입원본!$BE$8:$BE$1007,0)+7,"")</f>
        <v/>
      </c>
      <c r="I26" s="45">
        <f>IF(H26="","",INDEX(매입원본!$AS$8:$AS$1007,H26-7))</f>
        <v/>
      </c>
      <c r="J26" s="46">
        <f>IF(H26="","",INDEX(매입원본!$AY$8:$AY$1007,H26-7))</f>
        <v/>
      </c>
      <c r="K26" s="47">
        <f>IF(H26="","",INDEX(매입원본!$AT$8:$AT$1007,H26-7))</f>
        <v/>
      </c>
      <c r="L26" s="47">
        <f>IF(H26="","",INDEX(매입원본!$AU$8:$AU$1007,H26-7))</f>
        <v/>
      </c>
      <c r="M26" s="46">
        <f>IF(H26="","",INDEX(매입원본!$BC$8:$BC$1007,H26-7))</f>
        <v/>
      </c>
    </row>
    <row r="27">
      <c r="A27" s="44">
        <f>IFERROR(MATCH(21,매출원본!$BE$8:$BE$1007,0)+7,"")</f>
        <v/>
      </c>
      <c r="B27" s="45">
        <f>IF(A27="","",INDEX(매출원본!$AS$8:$AS$1007,A27-7))</f>
        <v/>
      </c>
      <c r="C27" s="46">
        <f>IF(A27="","",INDEX(매출원본!$AY$8:$AY$1007,A27-7))</f>
        <v/>
      </c>
      <c r="D27" s="47">
        <f>IF(A27="","",INDEX(매출원본!$AT$8:$AT$1007,A27-7))</f>
        <v/>
      </c>
      <c r="E27" s="47">
        <f>IF(A27="","",INDEX(매출원본!$AU$8:$AU$1007,A27-7))</f>
        <v/>
      </c>
      <c r="F27" s="46">
        <f>IF(A27="","",INDEX(매출원본!$BC$8:$BC$1007,A27-7))</f>
        <v/>
      </c>
      <c r="H27" s="44">
        <f>IFERROR(MATCH(21,매입원본!$BE$8:$BE$1007,0)+7,"")</f>
        <v/>
      </c>
      <c r="I27" s="45">
        <f>IF(H27="","",INDEX(매입원본!$AS$8:$AS$1007,H27-7))</f>
        <v/>
      </c>
      <c r="J27" s="46">
        <f>IF(H27="","",INDEX(매입원본!$AY$8:$AY$1007,H27-7))</f>
        <v/>
      </c>
      <c r="K27" s="47">
        <f>IF(H27="","",INDEX(매입원본!$AT$8:$AT$1007,H27-7))</f>
        <v/>
      </c>
      <c r="L27" s="47">
        <f>IF(H27="","",INDEX(매입원본!$AU$8:$AU$1007,H27-7))</f>
        <v/>
      </c>
      <c r="M27" s="46">
        <f>IF(H27="","",INDEX(매입원본!$BC$8:$BC$1007,H27-7))</f>
        <v/>
      </c>
    </row>
    <row r="28">
      <c r="A28" s="44">
        <f>IFERROR(MATCH(22,매출원본!$BE$8:$BE$1007,0)+7,"")</f>
        <v/>
      </c>
      <c r="B28" s="45">
        <f>IF(A28="","",INDEX(매출원본!$AS$8:$AS$1007,A28-7))</f>
        <v/>
      </c>
      <c r="C28" s="46">
        <f>IF(A28="","",INDEX(매출원본!$AY$8:$AY$1007,A28-7))</f>
        <v/>
      </c>
      <c r="D28" s="47">
        <f>IF(A28="","",INDEX(매출원본!$AT$8:$AT$1007,A28-7))</f>
        <v/>
      </c>
      <c r="E28" s="47">
        <f>IF(A28="","",INDEX(매출원본!$AU$8:$AU$1007,A28-7))</f>
        <v/>
      </c>
      <c r="F28" s="46">
        <f>IF(A28="","",INDEX(매출원본!$BC$8:$BC$1007,A28-7))</f>
        <v/>
      </c>
      <c r="H28" s="44">
        <f>IFERROR(MATCH(22,매입원본!$BE$8:$BE$1007,0)+7,"")</f>
        <v/>
      </c>
      <c r="I28" s="45">
        <f>IF(H28="","",INDEX(매입원본!$AS$8:$AS$1007,H28-7))</f>
        <v/>
      </c>
      <c r="J28" s="46">
        <f>IF(H28="","",INDEX(매입원본!$AY$8:$AY$1007,H28-7))</f>
        <v/>
      </c>
      <c r="K28" s="47">
        <f>IF(H28="","",INDEX(매입원본!$AT$8:$AT$1007,H28-7))</f>
        <v/>
      </c>
      <c r="L28" s="47">
        <f>IF(H28="","",INDEX(매입원본!$AU$8:$AU$1007,H28-7))</f>
        <v/>
      </c>
      <c r="M28" s="46">
        <f>IF(H28="","",INDEX(매입원본!$BC$8:$BC$1007,H28-7))</f>
        <v/>
      </c>
    </row>
    <row r="29">
      <c r="A29" s="44">
        <f>IFERROR(MATCH(23,매출원본!$BE$8:$BE$1007,0)+7,"")</f>
        <v/>
      </c>
      <c r="B29" s="45">
        <f>IF(A29="","",INDEX(매출원본!$AS$8:$AS$1007,A29-7))</f>
        <v/>
      </c>
      <c r="C29" s="46">
        <f>IF(A29="","",INDEX(매출원본!$AY$8:$AY$1007,A29-7))</f>
        <v/>
      </c>
      <c r="D29" s="47">
        <f>IF(A29="","",INDEX(매출원본!$AT$8:$AT$1007,A29-7))</f>
        <v/>
      </c>
      <c r="E29" s="47">
        <f>IF(A29="","",INDEX(매출원본!$AU$8:$AU$1007,A29-7))</f>
        <v/>
      </c>
      <c r="F29" s="46">
        <f>IF(A29="","",INDEX(매출원본!$BC$8:$BC$1007,A29-7))</f>
        <v/>
      </c>
      <c r="H29" s="44">
        <f>IFERROR(MATCH(23,매입원본!$BE$8:$BE$1007,0)+7,"")</f>
        <v/>
      </c>
      <c r="I29" s="45">
        <f>IF(H29="","",INDEX(매입원본!$AS$8:$AS$1007,H29-7))</f>
        <v/>
      </c>
      <c r="J29" s="46">
        <f>IF(H29="","",INDEX(매입원본!$AY$8:$AY$1007,H29-7))</f>
        <v/>
      </c>
      <c r="K29" s="47">
        <f>IF(H29="","",INDEX(매입원본!$AT$8:$AT$1007,H29-7))</f>
        <v/>
      </c>
      <c r="L29" s="47">
        <f>IF(H29="","",INDEX(매입원본!$AU$8:$AU$1007,H29-7))</f>
        <v/>
      </c>
      <c r="M29" s="46">
        <f>IF(H29="","",INDEX(매입원본!$BC$8:$BC$1007,H29-7))</f>
        <v/>
      </c>
    </row>
    <row r="30">
      <c r="A30" s="44">
        <f>IFERROR(MATCH(24,매출원본!$BE$8:$BE$1007,0)+7,"")</f>
        <v/>
      </c>
      <c r="B30" s="45">
        <f>IF(A30="","",INDEX(매출원본!$AS$8:$AS$1007,A30-7))</f>
        <v/>
      </c>
      <c r="C30" s="46">
        <f>IF(A30="","",INDEX(매출원본!$AY$8:$AY$1007,A30-7))</f>
        <v/>
      </c>
      <c r="D30" s="47">
        <f>IF(A30="","",INDEX(매출원본!$AT$8:$AT$1007,A30-7))</f>
        <v/>
      </c>
      <c r="E30" s="47">
        <f>IF(A30="","",INDEX(매출원본!$AU$8:$AU$1007,A30-7))</f>
        <v/>
      </c>
      <c r="F30" s="46">
        <f>IF(A30="","",INDEX(매출원본!$BC$8:$BC$1007,A30-7))</f>
        <v/>
      </c>
      <c r="H30" s="44">
        <f>IFERROR(MATCH(24,매입원본!$BE$8:$BE$1007,0)+7,"")</f>
        <v/>
      </c>
      <c r="I30" s="45">
        <f>IF(H30="","",INDEX(매입원본!$AS$8:$AS$1007,H30-7))</f>
        <v/>
      </c>
      <c r="J30" s="46">
        <f>IF(H30="","",INDEX(매입원본!$AY$8:$AY$1007,H30-7))</f>
        <v/>
      </c>
      <c r="K30" s="47">
        <f>IF(H30="","",INDEX(매입원본!$AT$8:$AT$1007,H30-7))</f>
        <v/>
      </c>
      <c r="L30" s="47">
        <f>IF(H30="","",INDEX(매입원본!$AU$8:$AU$1007,H30-7))</f>
        <v/>
      </c>
      <c r="M30" s="46">
        <f>IF(H30="","",INDEX(매입원본!$BC$8:$BC$1007,H30-7))</f>
        <v/>
      </c>
    </row>
    <row r="31">
      <c r="A31" s="44">
        <f>IFERROR(MATCH(25,매출원본!$BE$8:$BE$1007,0)+7,"")</f>
        <v/>
      </c>
      <c r="B31" s="45">
        <f>IF(A31="","",INDEX(매출원본!$AS$8:$AS$1007,A31-7))</f>
        <v/>
      </c>
      <c r="C31" s="46">
        <f>IF(A31="","",INDEX(매출원본!$AY$8:$AY$1007,A31-7))</f>
        <v/>
      </c>
      <c r="D31" s="47">
        <f>IF(A31="","",INDEX(매출원본!$AT$8:$AT$1007,A31-7))</f>
        <v/>
      </c>
      <c r="E31" s="47">
        <f>IF(A31="","",INDEX(매출원본!$AU$8:$AU$1007,A31-7))</f>
        <v/>
      </c>
      <c r="F31" s="46">
        <f>IF(A31="","",INDEX(매출원본!$BC$8:$BC$1007,A31-7))</f>
        <v/>
      </c>
      <c r="H31" s="44">
        <f>IFERROR(MATCH(25,매입원본!$BE$8:$BE$1007,0)+7,"")</f>
        <v/>
      </c>
      <c r="I31" s="45">
        <f>IF(H31="","",INDEX(매입원본!$AS$8:$AS$1007,H31-7))</f>
        <v/>
      </c>
      <c r="J31" s="46">
        <f>IF(H31="","",INDEX(매입원본!$AY$8:$AY$1007,H31-7))</f>
        <v/>
      </c>
      <c r="K31" s="47">
        <f>IF(H31="","",INDEX(매입원본!$AT$8:$AT$1007,H31-7))</f>
        <v/>
      </c>
      <c r="L31" s="47">
        <f>IF(H31="","",INDEX(매입원본!$AU$8:$AU$1007,H31-7))</f>
        <v/>
      </c>
      <c r="M31" s="46">
        <f>IF(H31="","",INDEX(매입원본!$BC$8:$BC$1007,H31-7))</f>
        <v/>
      </c>
    </row>
    <row r="32">
      <c r="A32" s="44">
        <f>IFERROR(MATCH(26,매출원본!$BE$8:$BE$1007,0)+7,"")</f>
        <v/>
      </c>
      <c r="B32" s="45">
        <f>IF(A32="","",INDEX(매출원본!$AS$8:$AS$1007,A32-7))</f>
        <v/>
      </c>
      <c r="C32" s="46">
        <f>IF(A32="","",INDEX(매출원본!$AY$8:$AY$1007,A32-7))</f>
        <v/>
      </c>
      <c r="D32" s="47">
        <f>IF(A32="","",INDEX(매출원본!$AT$8:$AT$1007,A32-7))</f>
        <v/>
      </c>
      <c r="E32" s="47">
        <f>IF(A32="","",INDEX(매출원본!$AU$8:$AU$1007,A32-7))</f>
        <v/>
      </c>
      <c r="F32" s="46">
        <f>IF(A32="","",INDEX(매출원본!$BC$8:$BC$1007,A32-7))</f>
        <v/>
      </c>
      <c r="H32" s="44">
        <f>IFERROR(MATCH(26,매입원본!$BE$8:$BE$1007,0)+7,"")</f>
        <v/>
      </c>
      <c r="I32" s="45">
        <f>IF(H32="","",INDEX(매입원본!$AS$8:$AS$1007,H32-7))</f>
        <v/>
      </c>
      <c r="J32" s="46">
        <f>IF(H32="","",INDEX(매입원본!$AY$8:$AY$1007,H32-7))</f>
        <v/>
      </c>
      <c r="K32" s="47">
        <f>IF(H32="","",INDEX(매입원본!$AT$8:$AT$1007,H32-7))</f>
        <v/>
      </c>
      <c r="L32" s="47">
        <f>IF(H32="","",INDEX(매입원본!$AU$8:$AU$1007,H32-7))</f>
        <v/>
      </c>
      <c r="M32" s="46">
        <f>IF(H32="","",INDEX(매입원본!$BC$8:$BC$1007,H32-7))</f>
        <v/>
      </c>
    </row>
    <row r="33">
      <c r="A33" s="44">
        <f>IFERROR(MATCH(27,매출원본!$BE$8:$BE$1007,0)+7,"")</f>
        <v/>
      </c>
      <c r="B33" s="45">
        <f>IF(A33="","",INDEX(매출원본!$AS$8:$AS$1007,A33-7))</f>
        <v/>
      </c>
      <c r="C33" s="46">
        <f>IF(A33="","",INDEX(매출원본!$AY$8:$AY$1007,A33-7))</f>
        <v/>
      </c>
      <c r="D33" s="47">
        <f>IF(A33="","",INDEX(매출원본!$AT$8:$AT$1007,A33-7))</f>
        <v/>
      </c>
      <c r="E33" s="47">
        <f>IF(A33="","",INDEX(매출원본!$AU$8:$AU$1007,A33-7))</f>
        <v/>
      </c>
      <c r="F33" s="46">
        <f>IF(A33="","",INDEX(매출원본!$BC$8:$BC$1007,A33-7))</f>
        <v/>
      </c>
      <c r="H33" s="44">
        <f>IFERROR(MATCH(27,매입원본!$BE$8:$BE$1007,0)+7,"")</f>
        <v/>
      </c>
      <c r="I33" s="45">
        <f>IF(H33="","",INDEX(매입원본!$AS$8:$AS$1007,H33-7))</f>
        <v/>
      </c>
      <c r="J33" s="46">
        <f>IF(H33="","",INDEX(매입원본!$AY$8:$AY$1007,H33-7))</f>
        <v/>
      </c>
      <c r="K33" s="47">
        <f>IF(H33="","",INDEX(매입원본!$AT$8:$AT$1007,H33-7))</f>
        <v/>
      </c>
      <c r="L33" s="47">
        <f>IF(H33="","",INDEX(매입원본!$AU$8:$AU$1007,H33-7))</f>
        <v/>
      </c>
      <c r="M33" s="46">
        <f>IF(H33="","",INDEX(매입원본!$BC$8:$BC$1007,H33-7))</f>
        <v/>
      </c>
    </row>
    <row r="34">
      <c r="A34" s="44">
        <f>IFERROR(MATCH(28,매출원본!$BE$8:$BE$1007,0)+7,"")</f>
        <v/>
      </c>
      <c r="B34" s="45">
        <f>IF(A34="","",INDEX(매출원본!$AS$8:$AS$1007,A34-7))</f>
        <v/>
      </c>
      <c r="C34" s="46">
        <f>IF(A34="","",INDEX(매출원본!$AY$8:$AY$1007,A34-7))</f>
        <v/>
      </c>
      <c r="D34" s="47">
        <f>IF(A34="","",INDEX(매출원본!$AT$8:$AT$1007,A34-7))</f>
        <v/>
      </c>
      <c r="E34" s="47">
        <f>IF(A34="","",INDEX(매출원본!$AU$8:$AU$1007,A34-7))</f>
        <v/>
      </c>
      <c r="F34" s="46">
        <f>IF(A34="","",INDEX(매출원본!$BC$8:$BC$1007,A34-7))</f>
        <v/>
      </c>
      <c r="H34" s="44">
        <f>IFERROR(MATCH(28,매입원본!$BE$8:$BE$1007,0)+7,"")</f>
        <v/>
      </c>
      <c r="I34" s="45">
        <f>IF(H34="","",INDEX(매입원본!$AS$8:$AS$1007,H34-7))</f>
        <v/>
      </c>
      <c r="J34" s="46">
        <f>IF(H34="","",INDEX(매입원본!$AY$8:$AY$1007,H34-7))</f>
        <v/>
      </c>
      <c r="K34" s="47">
        <f>IF(H34="","",INDEX(매입원본!$AT$8:$AT$1007,H34-7))</f>
        <v/>
      </c>
      <c r="L34" s="47">
        <f>IF(H34="","",INDEX(매입원본!$AU$8:$AU$1007,H34-7))</f>
        <v/>
      </c>
      <c r="M34" s="46">
        <f>IF(H34="","",INDEX(매입원본!$BC$8:$BC$1007,H34-7))</f>
        <v/>
      </c>
    </row>
    <row r="35">
      <c r="A35" s="44">
        <f>IFERROR(MATCH(29,매출원본!$BE$8:$BE$1007,0)+7,"")</f>
        <v/>
      </c>
      <c r="B35" s="45">
        <f>IF(A35="","",INDEX(매출원본!$AS$8:$AS$1007,A35-7))</f>
        <v/>
      </c>
      <c r="C35" s="46">
        <f>IF(A35="","",INDEX(매출원본!$AY$8:$AY$1007,A35-7))</f>
        <v/>
      </c>
      <c r="D35" s="47">
        <f>IF(A35="","",INDEX(매출원본!$AT$8:$AT$1007,A35-7))</f>
        <v/>
      </c>
      <c r="E35" s="47">
        <f>IF(A35="","",INDEX(매출원본!$AU$8:$AU$1007,A35-7))</f>
        <v/>
      </c>
      <c r="F35" s="46">
        <f>IF(A35="","",INDEX(매출원본!$BC$8:$BC$1007,A35-7))</f>
        <v/>
      </c>
      <c r="H35" s="44">
        <f>IFERROR(MATCH(29,매입원본!$BE$8:$BE$1007,0)+7,"")</f>
        <v/>
      </c>
      <c r="I35" s="45">
        <f>IF(H35="","",INDEX(매입원본!$AS$8:$AS$1007,H35-7))</f>
        <v/>
      </c>
      <c r="J35" s="46">
        <f>IF(H35="","",INDEX(매입원본!$AY$8:$AY$1007,H35-7))</f>
        <v/>
      </c>
      <c r="K35" s="47">
        <f>IF(H35="","",INDEX(매입원본!$AT$8:$AT$1007,H35-7))</f>
        <v/>
      </c>
      <c r="L35" s="47">
        <f>IF(H35="","",INDEX(매입원본!$AU$8:$AU$1007,H35-7))</f>
        <v/>
      </c>
      <c r="M35" s="46">
        <f>IF(H35="","",INDEX(매입원본!$BC$8:$BC$1007,H35-7))</f>
        <v/>
      </c>
    </row>
    <row r="36">
      <c r="A36" s="44">
        <f>IFERROR(MATCH(30,매출원본!$BE$8:$BE$1007,0)+7,"")</f>
        <v/>
      </c>
      <c r="B36" s="45">
        <f>IF(A36="","",INDEX(매출원본!$AS$8:$AS$1007,A36-7))</f>
        <v/>
      </c>
      <c r="C36" s="46">
        <f>IF(A36="","",INDEX(매출원본!$AY$8:$AY$1007,A36-7))</f>
        <v/>
      </c>
      <c r="D36" s="47">
        <f>IF(A36="","",INDEX(매출원본!$AT$8:$AT$1007,A36-7))</f>
        <v/>
      </c>
      <c r="E36" s="47">
        <f>IF(A36="","",INDEX(매출원본!$AU$8:$AU$1007,A36-7))</f>
        <v/>
      </c>
      <c r="F36" s="46">
        <f>IF(A36="","",INDEX(매출원본!$BC$8:$BC$1007,A36-7))</f>
        <v/>
      </c>
      <c r="H36" s="44">
        <f>IFERROR(MATCH(30,매입원본!$BE$8:$BE$1007,0)+7,"")</f>
        <v/>
      </c>
      <c r="I36" s="45">
        <f>IF(H36="","",INDEX(매입원본!$AS$8:$AS$1007,H36-7))</f>
        <v/>
      </c>
      <c r="J36" s="46">
        <f>IF(H36="","",INDEX(매입원본!$AY$8:$AY$1007,H36-7))</f>
        <v/>
      </c>
      <c r="K36" s="47">
        <f>IF(H36="","",INDEX(매입원본!$AT$8:$AT$1007,H36-7))</f>
        <v/>
      </c>
      <c r="L36" s="47">
        <f>IF(H36="","",INDEX(매입원본!$AU$8:$AU$1007,H36-7))</f>
        <v/>
      </c>
      <c r="M36" s="46">
        <f>IF(H36="","",INDEX(매입원본!$BC$8:$BC$1007,H36-7))</f>
        <v/>
      </c>
    </row>
    <row r="37">
      <c r="A37" s="44">
        <f>IFERROR(MATCH(31,매출원본!$BE$8:$BE$1007,0)+7,"")</f>
        <v/>
      </c>
      <c r="B37" s="45">
        <f>IF(A37="","",INDEX(매출원본!$AS$8:$AS$1007,A37-7))</f>
        <v/>
      </c>
      <c r="C37" s="46">
        <f>IF(A37="","",INDEX(매출원본!$AY$8:$AY$1007,A37-7))</f>
        <v/>
      </c>
      <c r="D37" s="47">
        <f>IF(A37="","",INDEX(매출원본!$AT$8:$AT$1007,A37-7))</f>
        <v/>
      </c>
      <c r="E37" s="47">
        <f>IF(A37="","",INDEX(매출원본!$AU$8:$AU$1007,A37-7))</f>
        <v/>
      </c>
      <c r="F37" s="46">
        <f>IF(A37="","",INDEX(매출원본!$BC$8:$BC$1007,A37-7))</f>
        <v/>
      </c>
      <c r="H37" s="44">
        <f>IFERROR(MATCH(31,매입원본!$BE$8:$BE$1007,0)+7,"")</f>
        <v/>
      </c>
      <c r="I37" s="45">
        <f>IF(H37="","",INDEX(매입원본!$AS$8:$AS$1007,H37-7))</f>
        <v/>
      </c>
      <c r="J37" s="46">
        <f>IF(H37="","",INDEX(매입원본!$AY$8:$AY$1007,H37-7))</f>
        <v/>
      </c>
      <c r="K37" s="47">
        <f>IF(H37="","",INDEX(매입원본!$AT$8:$AT$1007,H37-7))</f>
        <v/>
      </c>
      <c r="L37" s="47">
        <f>IF(H37="","",INDEX(매입원본!$AU$8:$AU$1007,H37-7))</f>
        <v/>
      </c>
      <c r="M37" s="46">
        <f>IF(H37="","",INDEX(매입원본!$BC$8:$BC$1007,H37-7))</f>
        <v/>
      </c>
    </row>
    <row r="38">
      <c r="A38" s="44">
        <f>IFERROR(MATCH(32,매출원본!$BE$8:$BE$1007,0)+7,"")</f>
        <v/>
      </c>
      <c r="B38" s="45">
        <f>IF(A38="","",INDEX(매출원본!$AS$8:$AS$1007,A38-7))</f>
        <v/>
      </c>
      <c r="C38" s="46">
        <f>IF(A38="","",INDEX(매출원본!$AY$8:$AY$1007,A38-7))</f>
        <v/>
      </c>
      <c r="D38" s="47">
        <f>IF(A38="","",INDEX(매출원본!$AT$8:$AT$1007,A38-7))</f>
        <v/>
      </c>
      <c r="E38" s="47">
        <f>IF(A38="","",INDEX(매출원본!$AU$8:$AU$1007,A38-7))</f>
        <v/>
      </c>
      <c r="F38" s="46">
        <f>IF(A38="","",INDEX(매출원본!$BC$8:$BC$1007,A38-7))</f>
        <v/>
      </c>
      <c r="H38" s="44">
        <f>IFERROR(MATCH(32,매입원본!$BE$8:$BE$1007,0)+7,"")</f>
        <v/>
      </c>
      <c r="I38" s="45">
        <f>IF(H38="","",INDEX(매입원본!$AS$8:$AS$1007,H38-7))</f>
        <v/>
      </c>
      <c r="J38" s="46">
        <f>IF(H38="","",INDEX(매입원본!$AY$8:$AY$1007,H38-7))</f>
        <v/>
      </c>
      <c r="K38" s="47">
        <f>IF(H38="","",INDEX(매입원본!$AT$8:$AT$1007,H38-7))</f>
        <v/>
      </c>
      <c r="L38" s="47">
        <f>IF(H38="","",INDEX(매입원본!$AU$8:$AU$1007,H38-7))</f>
        <v/>
      </c>
      <c r="M38" s="46">
        <f>IF(H38="","",INDEX(매입원본!$BC$8:$BC$1007,H38-7))</f>
        <v/>
      </c>
    </row>
    <row r="39">
      <c r="A39" s="44">
        <f>IFERROR(MATCH(33,매출원본!$BE$8:$BE$1007,0)+7,"")</f>
        <v/>
      </c>
      <c r="B39" s="45">
        <f>IF(A39="","",INDEX(매출원본!$AS$8:$AS$1007,A39-7))</f>
        <v/>
      </c>
      <c r="C39" s="46">
        <f>IF(A39="","",INDEX(매출원본!$AY$8:$AY$1007,A39-7))</f>
        <v/>
      </c>
      <c r="D39" s="47">
        <f>IF(A39="","",INDEX(매출원본!$AT$8:$AT$1007,A39-7))</f>
        <v/>
      </c>
      <c r="E39" s="47">
        <f>IF(A39="","",INDEX(매출원본!$AU$8:$AU$1007,A39-7))</f>
        <v/>
      </c>
      <c r="F39" s="46">
        <f>IF(A39="","",INDEX(매출원본!$BC$8:$BC$1007,A39-7))</f>
        <v/>
      </c>
      <c r="H39" s="44">
        <f>IFERROR(MATCH(33,매입원본!$BE$8:$BE$1007,0)+7,"")</f>
        <v/>
      </c>
      <c r="I39" s="45">
        <f>IF(H39="","",INDEX(매입원본!$AS$8:$AS$1007,H39-7))</f>
        <v/>
      </c>
      <c r="J39" s="46">
        <f>IF(H39="","",INDEX(매입원본!$AY$8:$AY$1007,H39-7))</f>
        <v/>
      </c>
      <c r="K39" s="47">
        <f>IF(H39="","",INDEX(매입원본!$AT$8:$AT$1007,H39-7))</f>
        <v/>
      </c>
      <c r="L39" s="47">
        <f>IF(H39="","",INDEX(매입원본!$AU$8:$AU$1007,H39-7))</f>
        <v/>
      </c>
      <c r="M39" s="46">
        <f>IF(H39="","",INDEX(매입원본!$BC$8:$BC$1007,H39-7))</f>
        <v/>
      </c>
    </row>
    <row r="40">
      <c r="A40" s="44">
        <f>IFERROR(MATCH(34,매출원본!$BE$8:$BE$1007,0)+7,"")</f>
        <v/>
      </c>
      <c r="B40" s="45">
        <f>IF(A40="","",INDEX(매출원본!$AS$8:$AS$1007,A40-7))</f>
        <v/>
      </c>
      <c r="C40" s="46">
        <f>IF(A40="","",INDEX(매출원본!$AY$8:$AY$1007,A40-7))</f>
        <v/>
      </c>
      <c r="D40" s="47">
        <f>IF(A40="","",INDEX(매출원본!$AT$8:$AT$1007,A40-7))</f>
        <v/>
      </c>
      <c r="E40" s="47">
        <f>IF(A40="","",INDEX(매출원본!$AU$8:$AU$1007,A40-7))</f>
        <v/>
      </c>
      <c r="F40" s="46">
        <f>IF(A40="","",INDEX(매출원본!$BC$8:$BC$1007,A40-7))</f>
        <v/>
      </c>
      <c r="H40" s="44">
        <f>IFERROR(MATCH(34,매입원본!$BE$8:$BE$1007,0)+7,"")</f>
        <v/>
      </c>
      <c r="I40" s="45">
        <f>IF(H40="","",INDEX(매입원본!$AS$8:$AS$1007,H40-7))</f>
        <v/>
      </c>
      <c r="J40" s="46">
        <f>IF(H40="","",INDEX(매입원본!$AY$8:$AY$1007,H40-7))</f>
        <v/>
      </c>
      <c r="K40" s="47">
        <f>IF(H40="","",INDEX(매입원본!$AT$8:$AT$1007,H40-7))</f>
        <v/>
      </c>
      <c r="L40" s="47">
        <f>IF(H40="","",INDEX(매입원본!$AU$8:$AU$1007,H40-7))</f>
        <v/>
      </c>
      <c r="M40" s="46">
        <f>IF(H40="","",INDEX(매입원본!$BC$8:$BC$1007,H40-7))</f>
        <v/>
      </c>
    </row>
    <row r="41">
      <c r="A41" s="44">
        <f>IFERROR(MATCH(35,매출원본!$BE$8:$BE$1007,0)+7,"")</f>
        <v/>
      </c>
      <c r="B41" s="45">
        <f>IF(A41="","",INDEX(매출원본!$AS$8:$AS$1007,A41-7))</f>
        <v/>
      </c>
      <c r="C41" s="46">
        <f>IF(A41="","",INDEX(매출원본!$AY$8:$AY$1007,A41-7))</f>
        <v/>
      </c>
      <c r="D41" s="47">
        <f>IF(A41="","",INDEX(매출원본!$AT$8:$AT$1007,A41-7))</f>
        <v/>
      </c>
      <c r="E41" s="47">
        <f>IF(A41="","",INDEX(매출원본!$AU$8:$AU$1007,A41-7))</f>
        <v/>
      </c>
      <c r="F41" s="46">
        <f>IF(A41="","",INDEX(매출원본!$BC$8:$BC$1007,A41-7))</f>
        <v/>
      </c>
      <c r="H41" s="44">
        <f>IFERROR(MATCH(35,매입원본!$BE$8:$BE$1007,0)+7,"")</f>
        <v/>
      </c>
      <c r="I41" s="45">
        <f>IF(H41="","",INDEX(매입원본!$AS$8:$AS$1007,H41-7))</f>
        <v/>
      </c>
      <c r="J41" s="46">
        <f>IF(H41="","",INDEX(매입원본!$AY$8:$AY$1007,H41-7))</f>
        <v/>
      </c>
      <c r="K41" s="47">
        <f>IF(H41="","",INDEX(매입원본!$AT$8:$AT$1007,H41-7))</f>
        <v/>
      </c>
      <c r="L41" s="47">
        <f>IF(H41="","",INDEX(매입원본!$AU$8:$AU$1007,H41-7))</f>
        <v/>
      </c>
      <c r="M41" s="46">
        <f>IF(H41="","",INDEX(매입원본!$BC$8:$BC$1007,H41-7))</f>
        <v/>
      </c>
    </row>
    <row r="42">
      <c r="A42" s="44">
        <f>IFERROR(MATCH(36,매출원본!$BE$8:$BE$1007,0)+7,"")</f>
        <v/>
      </c>
      <c r="B42" s="45">
        <f>IF(A42="","",INDEX(매출원본!$AS$8:$AS$1007,A42-7))</f>
        <v/>
      </c>
      <c r="C42" s="46">
        <f>IF(A42="","",INDEX(매출원본!$AY$8:$AY$1007,A42-7))</f>
        <v/>
      </c>
      <c r="D42" s="47">
        <f>IF(A42="","",INDEX(매출원본!$AT$8:$AT$1007,A42-7))</f>
        <v/>
      </c>
      <c r="E42" s="47">
        <f>IF(A42="","",INDEX(매출원본!$AU$8:$AU$1007,A42-7))</f>
        <v/>
      </c>
      <c r="F42" s="46">
        <f>IF(A42="","",INDEX(매출원본!$BC$8:$BC$1007,A42-7))</f>
        <v/>
      </c>
      <c r="H42" s="44">
        <f>IFERROR(MATCH(36,매입원본!$BE$8:$BE$1007,0)+7,"")</f>
        <v/>
      </c>
      <c r="I42" s="45">
        <f>IF(H42="","",INDEX(매입원본!$AS$8:$AS$1007,H42-7))</f>
        <v/>
      </c>
      <c r="J42" s="46">
        <f>IF(H42="","",INDEX(매입원본!$AY$8:$AY$1007,H42-7))</f>
        <v/>
      </c>
      <c r="K42" s="47">
        <f>IF(H42="","",INDEX(매입원본!$AT$8:$AT$1007,H42-7))</f>
        <v/>
      </c>
      <c r="L42" s="47">
        <f>IF(H42="","",INDEX(매입원본!$AU$8:$AU$1007,H42-7))</f>
        <v/>
      </c>
      <c r="M42" s="46">
        <f>IF(H42="","",INDEX(매입원본!$BC$8:$BC$1007,H42-7))</f>
        <v/>
      </c>
    </row>
    <row r="43">
      <c r="A43" s="44">
        <f>IFERROR(MATCH(37,매출원본!$BE$8:$BE$1007,0)+7,"")</f>
        <v/>
      </c>
      <c r="B43" s="45">
        <f>IF(A43="","",INDEX(매출원본!$AS$8:$AS$1007,A43-7))</f>
        <v/>
      </c>
      <c r="C43" s="46">
        <f>IF(A43="","",INDEX(매출원본!$AY$8:$AY$1007,A43-7))</f>
        <v/>
      </c>
      <c r="D43" s="47">
        <f>IF(A43="","",INDEX(매출원본!$AT$8:$AT$1007,A43-7))</f>
        <v/>
      </c>
      <c r="E43" s="47">
        <f>IF(A43="","",INDEX(매출원본!$AU$8:$AU$1007,A43-7))</f>
        <v/>
      </c>
      <c r="F43" s="46">
        <f>IF(A43="","",INDEX(매출원본!$BC$8:$BC$1007,A43-7))</f>
        <v/>
      </c>
      <c r="H43" s="44">
        <f>IFERROR(MATCH(37,매입원본!$BE$8:$BE$1007,0)+7,"")</f>
        <v/>
      </c>
      <c r="I43" s="45">
        <f>IF(H43="","",INDEX(매입원본!$AS$8:$AS$1007,H43-7))</f>
        <v/>
      </c>
      <c r="J43" s="46">
        <f>IF(H43="","",INDEX(매입원본!$AY$8:$AY$1007,H43-7))</f>
        <v/>
      </c>
      <c r="K43" s="47">
        <f>IF(H43="","",INDEX(매입원본!$AT$8:$AT$1007,H43-7))</f>
        <v/>
      </c>
      <c r="L43" s="47">
        <f>IF(H43="","",INDEX(매입원본!$AU$8:$AU$1007,H43-7))</f>
        <v/>
      </c>
      <c r="M43" s="46">
        <f>IF(H43="","",INDEX(매입원본!$BC$8:$BC$1007,H43-7))</f>
        <v/>
      </c>
    </row>
    <row r="44">
      <c r="A44" s="44">
        <f>IFERROR(MATCH(38,매출원본!$BE$8:$BE$1007,0)+7,"")</f>
        <v/>
      </c>
      <c r="B44" s="45">
        <f>IF(A44="","",INDEX(매출원본!$AS$8:$AS$1007,A44-7))</f>
        <v/>
      </c>
      <c r="C44" s="46">
        <f>IF(A44="","",INDEX(매출원본!$AY$8:$AY$1007,A44-7))</f>
        <v/>
      </c>
      <c r="D44" s="47">
        <f>IF(A44="","",INDEX(매출원본!$AT$8:$AT$1007,A44-7))</f>
        <v/>
      </c>
      <c r="E44" s="47">
        <f>IF(A44="","",INDEX(매출원본!$AU$8:$AU$1007,A44-7))</f>
        <v/>
      </c>
      <c r="F44" s="46">
        <f>IF(A44="","",INDEX(매출원본!$BC$8:$BC$1007,A44-7))</f>
        <v/>
      </c>
      <c r="H44" s="44">
        <f>IFERROR(MATCH(38,매입원본!$BE$8:$BE$1007,0)+7,"")</f>
        <v/>
      </c>
      <c r="I44" s="45">
        <f>IF(H44="","",INDEX(매입원본!$AS$8:$AS$1007,H44-7))</f>
        <v/>
      </c>
      <c r="J44" s="46">
        <f>IF(H44="","",INDEX(매입원본!$AY$8:$AY$1007,H44-7))</f>
        <v/>
      </c>
      <c r="K44" s="47">
        <f>IF(H44="","",INDEX(매입원본!$AT$8:$AT$1007,H44-7))</f>
        <v/>
      </c>
      <c r="L44" s="47">
        <f>IF(H44="","",INDEX(매입원본!$AU$8:$AU$1007,H44-7))</f>
        <v/>
      </c>
      <c r="M44" s="46">
        <f>IF(H44="","",INDEX(매입원본!$BC$8:$BC$1007,H44-7))</f>
        <v/>
      </c>
    </row>
    <row r="45">
      <c r="A45" s="44">
        <f>IFERROR(MATCH(39,매출원본!$BE$8:$BE$1007,0)+7,"")</f>
        <v/>
      </c>
      <c r="B45" s="45">
        <f>IF(A45="","",INDEX(매출원본!$AS$8:$AS$1007,A45-7))</f>
        <v/>
      </c>
      <c r="C45" s="46">
        <f>IF(A45="","",INDEX(매출원본!$AY$8:$AY$1007,A45-7))</f>
        <v/>
      </c>
      <c r="D45" s="47">
        <f>IF(A45="","",INDEX(매출원본!$AT$8:$AT$1007,A45-7))</f>
        <v/>
      </c>
      <c r="E45" s="47">
        <f>IF(A45="","",INDEX(매출원본!$AU$8:$AU$1007,A45-7))</f>
        <v/>
      </c>
      <c r="F45" s="46">
        <f>IF(A45="","",INDEX(매출원본!$BC$8:$BC$1007,A45-7))</f>
        <v/>
      </c>
      <c r="H45" s="44">
        <f>IFERROR(MATCH(39,매입원본!$BE$8:$BE$1007,0)+7,"")</f>
        <v/>
      </c>
      <c r="I45" s="45">
        <f>IF(H45="","",INDEX(매입원본!$AS$8:$AS$1007,H45-7))</f>
        <v/>
      </c>
      <c r="J45" s="46">
        <f>IF(H45="","",INDEX(매입원본!$AY$8:$AY$1007,H45-7))</f>
        <v/>
      </c>
      <c r="K45" s="47">
        <f>IF(H45="","",INDEX(매입원본!$AT$8:$AT$1007,H45-7))</f>
        <v/>
      </c>
      <c r="L45" s="47">
        <f>IF(H45="","",INDEX(매입원본!$AU$8:$AU$1007,H45-7))</f>
        <v/>
      </c>
      <c r="M45" s="46">
        <f>IF(H45="","",INDEX(매입원본!$BC$8:$BC$1007,H45-7))</f>
        <v/>
      </c>
    </row>
    <row r="46">
      <c r="A46" s="44">
        <f>IFERROR(MATCH(40,매출원본!$BE$8:$BE$1007,0)+7,"")</f>
        <v/>
      </c>
      <c r="B46" s="45">
        <f>IF(A46="","",INDEX(매출원본!$AS$8:$AS$1007,A46-7))</f>
        <v/>
      </c>
      <c r="C46" s="46">
        <f>IF(A46="","",INDEX(매출원본!$AY$8:$AY$1007,A46-7))</f>
        <v/>
      </c>
      <c r="D46" s="47">
        <f>IF(A46="","",INDEX(매출원본!$AT$8:$AT$1007,A46-7))</f>
        <v/>
      </c>
      <c r="E46" s="47">
        <f>IF(A46="","",INDEX(매출원본!$AU$8:$AU$1007,A46-7))</f>
        <v/>
      </c>
      <c r="F46" s="46">
        <f>IF(A46="","",INDEX(매출원본!$BC$8:$BC$1007,A46-7))</f>
        <v/>
      </c>
      <c r="H46" s="44">
        <f>IFERROR(MATCH(40,매입원본!$BE$8:$BE$1007,0)+7,"")</f>
        <v/>
      </c>
      <c r="I46" s="45">
        <f>IF(H46="","",INDEX(매입원본!$AS$8:$AS$1007,H46-7))</f>
        <v/>
      </c>
      <c r="J46" s="46">
        <f>IF(H46="","",INDEX(매입원본!$AY$8:$AY$1007,H46-7))</f>
        <v/>
      </c>
      <c r="K46" s="47">
        <f>IF(H46="","",INDEX(매입원본!$AT$8:$AT$1007,H46-7))</f>
        <v/>
      </c>
      <c r="L46" s="47">
        <f>IF(H46="","",INDEX(매입원본!$AU$8:$AU$1007,H46-7))</f>
        <v/>
      </c>
      <c r="M46" s="46">
        <f>IF(H46="","",INDEX(매입원본!$BC$8:$BC$1007,H46-7))</f>
        <v/>
      </c>
    </row>
    <row r="47">
      <c r="A47" s="44">
        <f>IFERROR(MATCH(41,매출원본!$BE$8:$BE$1007,0)+7,"")</f>
        <v/>
      </c>
      <c r="B47" s="45">
        <f>IF(A47="","",INDEX(매출원본!$AS$8:$AS$1007,A47-7))</f>
        <v/>
      </c>
      <c r="C47" s="46">
        <f>IF(A47="","",INDEX(매출원본!$AY$8:$AY$1007,A47-7))</f>
        <v/>
      </c>
      <c r="D47" s="47">
        <f>IF(A47="","",INDEX(매출원본!$AT$8:$AT$1007,A47-7))</f>
        <v/>
      </c>
      <c r="E47" s="47">
        <f>IF(A47="","",INDEX(매출원본!$AU$8:$AU$1007,A47-7))</f>
        <v/>
      </c>
      <c r="F47" s="46">
        <f>IF(A47="","",INDEX(매출원본!$BC$8:$BC$1007,A47-7))</f>
        <v/>
      </c>
      <c r="H47" s="44">
        <f>IFERROR(MATCH(41,매입원본!$BE$8:$BE$1007,0)+7,"")</f>
        <v/>
      </c>
      <c r="I47" s="45">
        <f>IF(H47="","",INDEX(매입원본!$AS$8:$AS$1007,H47-7))</f>
        <v/>
      </c>
      <c r="J47" s="46">
        <f>IF(H47="","",INDEX(매입원본!$AY$8:$AY$1007,H47-7))</f>
        <v/>
      </c>
      <c r="K47" s="47">
        <f>IF(H47="","",INDEX(매입원본!$AT$8:$AT$1007,H47-7))</f>
        <v/>
      </c>
      <c r="L47" s="47">
        <f>IF(H47="","",INDEX(매입원본!$AU$8:$AU$1007,H47-7))</f>
        <v/>
      </c>
      <c r="M47" s="46">
        <f>IF(H47="","",INDEX(매입원본!$BC$8:$BC$1007,H47-7))</f>
        <v/>
      </c>
    </row>
    <row r="48">
      <c r="A48" s="44">
        <f>IFERROR(MATCH(42,매출원본!$BE$8:$BE$1007,0)+7,"")</f>
        <v/>
      </c>
      <c r="B48" s="45">
        <f>IF(A48="","",INDEX(매출원본!$AS$8:$AS$1007,A48-7))</f>
        <v/>
      </c>
      <c r="C48" s="46">
        <f>IF(A48="","",INDEX(매출원본!$AY$8:$AY$1007,A48-7))</f>
        <v/>
      </c>
      <c r="D48" s="47">
        <f>IF(A48="","",INDEX(매출원본!$AT$8:$AT$1007,A48-7))</f>
        <v/>
      </c>
      <c r="E48" s="47">
        <f>IF(A48="","",INDEX(매출원본!$AU$8:$AU$1007,A48-7))</f>
        <v/>
      </c>
      <c r="F48" s="46">
        <f>IF(A48="","",INDEX(매출원본!$BC$8:$BC$1007,A48-7))</f>
        <v/>
      </c>
      <c r="H48" s="44">
        <f>IFERROR(MATCH(42,매입원본!$BE$8:$BE$1007,0)+7,"")</f>
        <v/>
      </c>
      <c r="I48" s="45">
        <f>IF(H48="","",INDEX(매입원본!$AS$8:$AS$1007,H48-7))</f>
        <v/>
      </c>
      <c r="J48" s="46">
        <f>IF(H48="","",INDEX(매입원본!$AY$8:$AY$1007,H48-7))</f>
        <v/>
      </c>
      <c r="K48" s="47">
        <f>IF(H48="","",INDEX(매입원본!$AT$8:$AT$1007,H48-7))</f>
        <v/>
      </c>
      <c r="L48" s="47">
        <f>IF(H48="","",INDEX(매입원본!$AU$8:$AU$1007,H48-7))</f>
        <v/>
      </c>
      <c r="M48" s="46">
        <f>IF(H48="","",INDEX(매입원본!$BC$8:$BC$1007,H48-7))</f>
        <v/>
      </c>
    </row>
    <row r="49">
      <c r="A49" s="44">
        <f>IFERROR(MATCH(43,매출원본!$BE$8:$BE$1007,0)+7,"")</f>
        <v/>
      </c>
      <c r="B49" s="45">
        <f>IF(A49="","",INDEX(매출원본!$AS$8:$AS$1007,A49-7))</f>
        <v/>
      </c>
      <c r="C49" s="46">
        <f>IF(A49="","",INDEX(매출원본!$AY$8:$AY$1007,A49-7))</f>
        <v/>
      </c>
      <c r="D49" s="47">
        <f>IF(A49="","",INDEX(매출원본!$AT$8:$AT$1007,A49-7))</f>
        <v/>
      </c>
      <c r="E49" s="47">
        <f>IF(A49="","",INDEX(매출원본!$AU$8:$AU$1007,A49-7))</f>
        <v/>
      </c>
      <c r="F49" s="46">
        <f>IF(A49="","",INDEX(매출원본!$BC$8:$BC$1007,A49-7))</f>
        <v/>
      </c>
      <c r="H49" s="44">
        <f>IFERROR(MATCH(43,매입원본!$BE$8:$BE$1007,0)+7,"")</f>
        <v/>
      </c>
      <c r="I49" s="45">
        <f>IF(H49="","",INDEX(매입원본!$AS$8:$AS$1007,H49-7))</f>
        <v/>
      </c>
      <c r="J49" s="46">
        <f>IF(H49="","",INDEX(매입원본!$AY$8:$AY$1007,H49-7))</f>
        <v/>
      </c>
      <c r="K49" s="47">
        <f>IF(H49="","",INDEX(매입원본!$AT$8:$AT$1007,H49-7))</f>
        <v/>
      </c>
      <c r="L49" s="47">
        <f>IF(H49="","",INDEX(매입원본!$AU$8:$AU$1007,H49-7))</f>
        <v/>
      </c>
      <c r="M49" s="46">
        <f>IF(H49="","",INDEX(매입원본!$BC$8:$BC$1007,H49-7))</f>
        <v/>
      </c>
    </row>
    <row r="50">
      <c r="A50" s="44">
        <f>IFERROR(MATCH(44,매출원본!$BE$8:$BE$1007,0)+7,"")</f>
        <v/>
      </c>
      <c r="B50" s="45">
        <f>IF(A50="","",INDEX(매출원본!$AS$8:$AS$1007,A50-7))</f>
        <v/>
      </c>
      <c r="C50" s="46">
        <f>IF(A50="","",INDEX(매출원본!$AY$8:$AY$1007,A50-7))</f>
        <v/>
      </c>
      <c r="D50" s="47">
        <f>IF(A50="","",INDEX(매출원본!$AT$8:$AT$1007,A50-7))</f>
        <v/>
      </c>
      <c r="E50" s="47">
        <f>IF(A50="","",INDEX(매출원본!$AU$8:$AU$1007,A50-7))</f>
        <v/>
      </c>
      <c r="F50" s="46">
        <f>IF(A50="","",INDEX(매출원본!$BC$8:$BC$1007,A50-7))</f>
        <v/>
      </c>
      <c r="H50" s="44">
        <f>IFERROR(MATCH(44,매입원본!$BE$8:$BE$1007,0)+7,"")</f>
        <v/>
      </c>
      <c r="I50" s="45">
        <f>IF(H50="","",INDEX(매입원본!$AS$8:$AS$1007,H50-7))</f>
        <v/>
      </c>
      <c r="J50" s="46">
        <f>IF(H50="","",INDEX(매입원본!$AY$8:$AY$1007,H50-7))</f>
        <v/>
      </c>
      <c r="K50" s="47">
        <f>IF(H50="","",INDEX(매입원본!$AT$8:$AT$1007,H50-7))</f>
        <v/>
      </c>
      <c r="L50" s="47">
        <f>IF(H50="","",INDEX(매입원본!$AU$8:$AU$1007,H50-7))</f>
        <v/>
      </c>
      <c r="M50" s="46">
        <f>IF(H50="","",INDEX(매입원본!$BC$8:$BC$1007,H50-7))</f>
        <v/>
      </c>
    </row>
    <row r="51">
      <c r="A51" s="44">
        <f>IFERROR(MATCH(45,매출원본!$BE$8:$BE$1007,0)+7,"")</f>
        <v/>
      </c>
      <c r="B51" s="45">
        <f>IF(A51="","",INDEX(매출원본!$AS$8:$AS$1007,A51-7))</f>
        <v/>
      </c>
      <c r="C51" s="46">
        <f>IF(A51="","",INDEX(매출원본!$AY$8:$AY$1007,A51-7))</f>
        <v/>
      </c>
      <c r="D51" s="47">
        <f>IF(A51="","",INDEX(매출원본!$AT$8:$AT$1007,A51-7))</f>
        <v/>
      </c>
      <c r="E51" s="47">
        <f>IF(A51="","",INDEX(매출원본!$AU$8:$AU$1007,A51-7))</f>
        <v/>
      </c>
      <c r="F51" s="46">
        <f>IF(A51="","",INDEX(매출원본!$BC$8:$BC$1007,A51-7))</f>
        <v/>
      </c>
      <c r="H51" s="44">
        <f>IFERROR(MATCH(45,매입원본!$BE$8:$BE$1007,0)+7,"")</f>
        <v/>
      </c>
      <c r="I51" s="45">
        <f>IF(H51="","",INDEX(매입원본!$AS$8:$AS$1007,H51-7))</f>
        <v/>
      </c>
      <c r="J51" s="46">
        <f>IF(H51="","",INDEX(매입원본!$AY$8:$AY$1007,H51-7))</f>
        <v/>
      </c>
      <c r="K51" s="47">
        <f>IF(H51="","",INDEX(매입원본!$AT$8:$AT$1007,H51-7))</f>
        <v/>
      </c>
      <c r="L51" s="47">
        <f>IF(H51="","",INDEX(매입원본!$AU$8:$AU$1007,H51-7))</f>
        <v/>
      </c>
      <c r="M51" s="46">
        <f>IF(H51="","",INDEX(매입원본!$BC$8:$BC$1007,H51-7))</f>
        <v/>
      </c>
    </row>
    <row r="52">
      <c r="A52" s="44">
        <f>IFERROR(MATCH(46,매출원본!$BE$8:$BE$1007,0)+7,"")</f>
        <v/>
      </c>
      <c r="B52" s="45">
        <f>IF(A52="","",INDEX(매출원본!$AS$8:$AS$1007,A52-7))</f>
        <v/>
      </c>
      <c r="C52" s="46">
        <f>IF(A52="","",INDEX(매출원본!$AY$8:$AY$1007,A52-7))</f>
        <v/>
      </c>
      <c r="D52" s="47">
        <f>IF(A52="","",INDEX(매출원본!$AT$8:$AT$1007,A52-7))</f>
        <v/>
      </c>
      <c r="E52" s="47">
        <f>IF(A52="","",INDEX(매출원본!$AU$8:$AU$1007,A52-7))</f>
        <v/>
      </c>
      <c r="F52" s="46">
        <f>IF(A52="","",INDEX(매출원본!$BC$8:$BC$1007,A52-7))</f>
        <v/>
      </c>
      <c r="H52" s="44">
        <f>IFERROR(MATCH(46,매입원본!$BE$8:$BE$1007,0)+7,"")</f>
        <v/>
      </c>
      <c r="I52" s="45">
        <f>IF(H52="","",INDEX(매입원본!$AS$8:$AS$1007,H52-7))</f>
        <v/>
      </c>
      <c r="J52" s="46">
        <f>IF(H52="","",INDEX(매입원본!$AY$8:$AY$1007,H52-7))</f>
        <v/>
      </c>
      <c r="K52" s="47">
        <f>IF(H52="","",INDEX(매입원본!$AT$8:$AT$1007,H52-7))</f>
        <v/>
      </c>
      <c r="L52" s="47">
        <f>IF(H52="","",INDEX(매입원본!$AU$8:$AU$1007,H52-7))</f>
        <v/>
      </c>
      <c r="M52" s="46">
        <f>IF(H52="","",INDEX(매입원본!$BC$8:$BC$1007,H52-7))</f>
        <v/>
      </c>
    </row>
    <row r="53">
      <c r="A53" s="44">
        <f>IFERROR(MATCH(47,매출원본!$BE$8:$BE$1007,0)+7,"")</f>
        <v/>
      </c>
      <c r="B53" s="45">
        <f>IF(A53="","",INDEX(매출원본!$AS$8:$AS$1007,A53-7))</f>
        <v/>
      </c>
      <c r="C53" s="46">
        <f>IF(A53="","",INDEX(매출원본!$AY$8:$AY$1007,A53-7))</f>
        <v/>
      </c>
      <c r="D53" s="47">
        <f>IF(A53="","",INDEX(매출원본!$AT$8:$AT$1007,A53-7))</f>
        <v/>
      </c>
      <c r="E53" s="47">
        <f>IF(A53="","",INDEX(매출원본!$AU$8:$AU$1007,A53-7))</f>
        <v/>
      </c>
      <c r="F53" s="46">
        <f>IF(A53="","",INDEX(매출원본!$BC$8:$BC$1007,A53-7))</f>
        <v/>
      </c>
      <c r="H53" s="44">
        <f>IFERROR(MATCH(47,매입원본!$BE$8:$BE$1007,0)+7,"")</f>
        <v/>
      </c>
      <c r="I53" s="45">
        <f>IF(H53="","",INDEX(매입원본!$AS$8:$AS$1007,H53-7))</f>
        <v/>
      </c>
      <c r="J53" s="46">
        <f>IF(H53="","",INDEX(매입원본!$AY$8:$AY$1007,H53-7))</f>
        <v/>
      </c>
      <c r="K53" s="47">
        <f>IF(H53="","",INDEX(매입원본!$AT$8:$AT$1007,H53-7))</f>
        <v/>
      </c>
      <c r="L53" s="47">
        <f>IF(H53="","",INDEX(매입원본!$AU$8:$AU$1007,H53-7))</f>
        <v/>
      </c>
      <c r="M53" s="46">
        <f>IF(H53="","",INDEX(매입원본!$BC$8:$BC$1007,H53-7))</f>
        <v/>
      </c>
    </row>
    <row r="54">
      <c r="A54" s="44">
        <f>IFERROR(MATCH(48,매출원본!$BE$8:$BE$1007,0)+7,"")</f>
        <v/>
      </c>
      <c r="B54" s="45">
        <f>IF(A54="","",INDEX(매출원본!$AS$8:$AS$1007,A54-7))</f>
        <v/>
      </c>
      <c r="C54" s="46">
        <f>IF(A54="","",INDEX(매출원본!$AY$8:$AY$1007,A54-7))</f>
        <v/>
      </c>
      <c r="D54" s="47">
        <f>IF(A54="","",INDEX(매출원본!$AT$8:$AT$1007,A54-7))</f>
        <v/>
      </c>
      <c r="E54" s="47">
        <f>IF(A54="","",INDEX(매출원본!$AU$8:$AU$1007,A54-7))</f>
        <v/>
      </c>
      <c r="F54" s="46">
        <f>IF(A54="","",INDEX(매출원본!$BC$8:$BC$1007,A54-7))</f>
        <v/>
      </c>
      <c r="H54" s="44">
        <f>IFERROR(MATCH(48,매입원본!$BE$8:$BE$1007,0)+7,"")</f>
        <v/>
      </c>
      <c r="I54" s="45">
        <f>IF(H54="","",INDEX(매입원본!$AS$8:$AS$1007,H54-7))</f>
        <v/>
      </c>
      <c r="J54" s="46">
        <f>IF(H54="","",INDEX(매입원본!$AY$8:$AY$1007,H54-7))</f>
        <v/>
      </c>
      <c r="K54" s="47">
        <f>IF(H54="","",INDEX(매입원본!$AT$8:$AT$1007,H54-7))</f>
        <v/>
      </c>
      <c r="L54" s="47">
        <f>IF(H54="","",INDEX(매입원본!$AU$8:$AU$1007,H54-7))</f>
        <v/>
      </c>
      <c r="M54" s="46">
        <f>IF(H54="","",INDEX(매입원본!$BC$8:$BC$1007,H54-7))</f>
        <v/>
      </c>
    </row>
    <row r="55">
      <c r="A55" s="44">
        <f>IFERROR(MATCH(49,매출원본!$BE$8:$BE$1007,0)+7,"")</f>
        <v/>
      </c>
      <c r="B55" s="45">
        <f>IF(A55="","",INDEX(매출원본!$AS$8:$AS$1007,A55-7))</f>
        <v/>
      </c>
      <c r="C55" s="46">
        <f>IF(A55="","",INDEX(매출원본!$AY$8:$AY$1007,A55-7))</f>
        <v/>
      </c>
      <c r="D55" s="47">
        <f>IF(A55="","",INDEX(매출원본!$AT$8:$AT$1007,A55-7))</f>
        <v/>
      </c>
      <c r="E55" s="47">
        <f>IF(A55="","",INDEX(매출원본!$AU$8:$AU$1007,A55-7))</f>
        <v/>
      </c>
      <c r="F55" s="46">
        <f>IF(A55="","",INDEX(매출원본!$BC$8:$BC$1007,A55-7))</f>
        <v/>
      </c>
      <c r="H55" s="44">
        <f>IFERROR(MATCH(49,매입원본!$BE$8:$BE$1007,0)+7,"")</f>
        <v/>
      </c>
      <c r="I55" s="45">
        <f>IF(H55="","",INDEX(매입원본!$AS$8:$AS$1007,H55-7))</f>
        <v/>
      </c>
      <c r="J55" s="46">
        <f>IF(H55="","",INDEX(매입원본!$AY$8:$AY$1007,H55-7))</f>
        <v/>
      </c>
      <c r="K55" s="47">
        <f>IF(H55="","",INDEX(매입원본!$AT$8:$AT$1007,H55-7))</f>
        <v/>
      </c>
      <c r="L55" s="47">
        <f>IF(H55="","",INDEX(매입원본!$AU$8:$AU$1007,H55-7))</f>
        <v/>
      </c>
      <c r="M55" s="46">
        <f>IF(H55="","",INDEX(매입원본!$BC$8:$BC$1007,H55-7))</f>
        <v/>
      </c>
    </row>
    <row r="56">
      <c r="A56" s="44">
        <f>IFERROR(MATCH(50,매출원본!$BE$8:$BE$1007,0)+7,"")</f>
        <v/>
      </c>
      <c r="B56" s="45">
        <f>IF(A56="","",INDEX(매출원본!$AS$8:$AS$1007,A56-7))</f>
        <v/>
      </c>
      <c r="C56" s="46">
        <f>IF(A56="","",INDEX(매출원본!$AY$8:$AY$1007,A56-7))</f>
        <v/>
      </c>
      <c r="D56" s="47">
        <f>IF(A56="","",INDEX(매출원본!$AT$8:$AT$1007,A56-7))</f>
        <v/>
      </c>
      <c r="E56" s="47">
        <f>IF(A56="","",INDEX(매출원본!$AU$8:$AU$1007,A56-7))</f>
        <v/>
      </c>
      <c r="F56" s="46">
        <f>IF(A56="","",INDEX(매출원본!$BC$8:$BC$1007,A56-7))</f>
        <v/>
      </c>
      <c r="H56" s="44">
        <f>IFERROR(MATCH(50,매입원본!$BE$8:$BE$1007,0)+7,"")</f>
        <v/>
      </c>
      <c r="I56" s="45">
        <f>IF(H56="","",INDEX(매입원본!$AS$8:$AS$1007,H56-7))</f>
        <v/>
      </c>
      <c r="J56" s="46">
        <f>IF(H56="","",INDEX(매입원본!$AY$8:$AY$1007,H56-7))</f>
        <v/>
      </c>
      <c r="K56" s="47">
        <f>IF(H56="","",INDEX(매입원본!$AT$8:$AT$1007,H56-7))</f>
        <v/>
      </c>
      <c r="L56" s="47">
        <f>IF(H56="","",INDEX(매입원본!$AU$8:$AU$1007,H56-7))</f>
        <v/>
      </c>
      <c r="M56" s="46">
        <f>IF(H56="","",INDEX(매입원본!$BC$8:$BC$1007,H56-7))</f>
        <v/>
      </c>
    </row>
    <row r="57">
      <c r="A57" s="44">
        <f>IFERROR(MATCH(51,매출원본!$BE$8:$BE$1007,0)+7,"")</f>
        <v/>
      </c>
      <c r="B57" s="45">
        <f>IF(A57="","",INDEX(매출원본!$AS$8:$AS$1007,A57-7))</f>
        <v/>
      </c>
      <c r="C57" s="46">
        <f>IF(A57="","",INDEX(매출원본!$AY$8:$AY$1007,A57-7))</f>
        <v/>
      </c>
      <c r="D57" s="47">
        <f>IF(A57="","",INDEX(매출원본!$AT$8:$AT$1007,A57-7))</f>
        <v/>
      </c>
      <c r="E57" s="47">
        <f>IF(A57="","",INDEX(매출원본!$AU$8:$AU$1007,A57-7))</f>
        <v/>
      </c>
      <c r="F57" s="46">
        <f>IF(A57="","",INDEX(매출원본!$BC$8:$BC$1007,A57-7))</f>
        <v/>
      </c>
      <c r="H57" s="44">
        <f>IFERROR(MATCH(51,매입원본!$BE$8:$BE$1007,0)+7,"")</f>
        <v/>
      </c>
      <c r="I57" s="45">
        <f>IF(H57="","",INDEX(매입원본!$AS$8:$AS$1007,H57-7))</f>
        <v/>
      </c>
      <c r="J57" s="46">
        <f>IF(H57="","",INDEX(매입원본!$AY$8:$AY$1007,H57-7))</f>
        <v/>
      </c>
      <c r="K57" s="47">
        <f>IF(H57="","",INDEX(매입원본!$AT$8:$AT$1007,H57-7))</f>
        <v/>
      </c>
      <c r="L57" s="47">
        <f>IF(H57="","",INDEX(매입원본!$AU$8:$AU$1007,H57-7))</f>
        <v/>
      </c>
      <c r="M57" s="46">
        <f>IF(H57="","",INDEX(매입원본!$BC$8:$BC$1007,H57-7))</f>
        <v/>
      </c>
    </row>
    <row r="58">
      <c r="A58" s="44">
        <f>IFERROR(MATCH(52,매출원본!$BE$8:$BE$1007,0)+7,"")</f>
        <v/>
      </c>
      <c r="B58" s="45">
        <f>IF(A58="","",INDEX(매출원본!$AS$8:$AS$1007,A58-7))</f>
        <v/>
      </c>
      <c r="C58" s="46">
        <f>IF(A58="","",INDEX(매출원본!$AY$8:$AY$1007,A58-7))</f>
        <v/>
      </c>
      <c r="D58" s="47">
        <f>IF(A58="","",INDEX(매출원본!$AT$8:$AT$1007,A58-7))</f>
        <v/>
      </c>
      <c r="E58" s="47">
        <f>IF(A58="","",INDEX(매출원본!$AU$8:$AU$1007,A58-7))</f>
        <v/>
      </c>
      <c r="F58" s="46">
        <f>IF(A58="","",INDEX(매출원본!$BC$8:$BC$1007,A58-7))</f>
        <v/>
      </c>
      <c r="H58" s="44">
        <f>IFERROR(MATCH(52,매입원본!$BE$8:$BE$1007,0)+7,"")</f>
        <v/>
      </c>
      <c r="I58" s="45">
        <f>IF(H58="","",INDEX(매입원본!$AS$8:$AS$1007,H58-7))</f>
        <v/>
      </c>
      <c r="J58" s="46">
        <f>IF(H58="","",INDEX(매입원본!$AY$8:$AY$1007,H58-7))</f>
        <v/>
      </c>
      <c r="K58" s="47">
        <f>IF(H58="","",INDEX(매입원본!$AT$8:$AT$1007,H58-7))</f>
        <v/>
      </c>
      <c r="L58" s="47">
        <f>IF(H58="","",INDEX(매입원본!$AU$8:$AU$1007,H58-7))</f>
        <v/>
      </c>
      <c r="M58" s="46">
        <f>IF(H58="","",INDEX(매입원본!$BC$8:$BC$1007,H58-7))</f>
        <v/>
      </c>
    </row>
    <row r="59">
      <c r="A59" s="44">
        <f>IFERROR(MATCH(53,매출원본!$BE$8:$BE$1007,0)+7,"")</f>
        <v/>
      </c>
      <c r="B59" s="45">
        <f>IF(A59="","",INDEX(매출원본!$AS$8:$AS$1007,A59-7))</f>
        <v/>
      </c>
      <c r="C59" s="46">
        <f>IF(A59="","",INDEX(매출원본!$AY$8:$AY$1007,A59-7))</f>
        <v/>
      </c>
      <c r="D59" s="47">
        <f>IF(A59="","",INDEX(매출원본!$AT$8:$AT$1007,A59-7))</f>
        <v/>
      </c>
      <c r="E59" s="47">
        <f>IF(A59="","",INDEX(매출원본!$AU$8:$AU$1007,A59-7))</f>
        <v/>
      </c>
      <c r="F59" s="46">
        <f>IF(A59="","",INDEX(매출원본!$BC$8:$BC$1007,A59-7))</f>
        <v/>
      </c>
      <c r="H59" s="44">
        <f>IFERROR(MATCH(53,매입원본!$BE$8:$BE$1007,0)+7,"")</f>
        <v/>
      </c>
      <c r="I59" s="45">
        <f>IF(H59="","",INDEX(매입원본!$AS$8:$AS$1007,H59-7))</f>
        <v/>
      </c>
      <c r="J59" s="46">
        <f>IF(H59="","",INDEX(매입원본!$AY$8:$AY$1007,H59-7))</f>
        <v/>
      </c>
      <c r="K59" s="47">
        <f>IF(H59="","",INDEX(매입원본!$AT$8:$AT$1007,H59-7))</f>
        <v/>
      </c>
      <c r="L59" s="47">
        <f>IF(H59="","",INDEX(매입원본!$AU$8:$AU$1007,H59-7))</f>
        <v/>
      </c>
      <c r="M59" s="46">
        <f>IF(H59="","",INDEX(매입원본!$BC$8:$BC$1007,H59-7))</f>
        <v/>
      </c>
    </row>
    <row r="60">
      <c r="A60" s="44">
        <f>IFERROR(MATCH(54,매출원본!$BE$8:$BE$1007,0)+7,"")</f>
        <v/>
      </c>
      <c r="B60" s="45">
        <f>IF(A60="","",INDEX(매출원본!$AS$8:$AS$1007,A60-7))</f>
        <v/>
      </c>
      <c r="C60" s="46">
        <f>IF(A60="","",INDEX(매출원본!$AY$8:$AY$1007,A60-7))</f>
        <v/>
      </c>
      <c r="D60" s="47">
        <f>IF(A60="","",INDEX(매출원본!$AT$8:$AT$1007,A60-7))</f>
        <v/>
      </c>
      <c r="E60" s="47">
        <f>IF(A60="","",INDEX(매출원본!$AU$8:$AU$1007,A60-7))</f>
        <v/>
      </c>
      <c r="F60" s="46">
        <f>IF(A60="","",INDEX(매출원본!$BC$8:$BC$1007,A60-7))</f>
        <v/>
      </c>
      <c r="H60" s="44">
        <f>IFERROR(MATCH(54,매입원본!$BE$8:$BE$1007,0)+7,"")</f>
        <v/>
      </c>
      <c r="I60" s="45">
        <f>IF(H60="","",INDEX(매입원본!$AS$8:$AS$1007,H60-7))</f>
        <v/>
      </c>
      <c r="J60" s="46">
        <f>IF(H60="","",INDEX(매입원본!$AY$8:$AY$1007,H60-7))</f>
        <v/>
      </c>
      <c r="K60" s="47">
        <f>IF(H60="","",INDEX(매입원본!$AT$8:$AT$1007,H60-7))</f>
        <v/>
      </c>
      <c r="L60" s="47">
        <f>IF(H60="","",INDEX(매입원본!$AU$8:$AU$1007,H60-7))</f>
        <v/>
      </c>
      <c r="M60" s="46">
        <f>IF(H60="","",INDEX(매입원본!$BC$8:$BC$1007,H60-7))</f>
        <v/>
      </c>
    </row>
    <row r="61">
      <c r="A61" s="44">
        <f>IFERROR(MATCH(55,매출원본!$BE$8:$BE$1007,0)+7,"")</f>
        <v/>
      </c>
      <c r="B61" s="45">
        <f>IF(A61="","",INDEX(매출원본!$AS$8:$AS$1007,A61-7))</f>
        <v/>
      </c>
      <c r="C61" s="46">
        <f>IF(A61="","",INDEX(매출원본!$AY$8:$AY$1007,A61-7))</f>
        <v/>
      </c>
      <c r="D61" s="47">
        <f>IF(A61="","",INDEX(매출원본!$AT$8:$AT$1007,A61-7))</f>
        <v/>
      </c>
      <c r="E61" s="47">
        <f>IF(A61="","",INDEX(매출원본!$AU$8:$AU$1007,A61-7))</f>
        <v/>
      </c>
      <c r="F61" s="46">
        <f>IF(A61="","",INDEX(매출원본!$BC$8:$BC$1007,A61-7))</f>
        <v/>
      </c>
      <c r="H61" s="44">
        <f>IFERROR(MATCH(55,매입원본!$BE$8:$BE$1007,0)+7,"")</f>
        <v/>
      </c>
      <c r="I61" s="45">
        <f>IF(H61="","",INDEX(매입원본!$AS$8:$AS$1007,H61-7))</f>
        <v/>
      </c>
      <c r="J61" s="46">
        <f>IF(H61="","",INDEX(매입원본!$AY$8:$AY$1007,H61-7))</f>
        <v/>
      </c>
      <c r="K61" s="47">
        <f>IF(H61="","",INDEX(매입원본!$AT$8:$AT$1007,H61-7))</f>
        <v/>
      </c>
      <c r="L61" s="47">
        <f>IF(H61="","",INDEX(매입원본!$AU$8:$AU$1007,H61-7))</f>
        <v/>
      </c>
      <c r="M61" s="46">
        <f>IF(H61="","",INDEX(매입원본!$BC$8:$BC$1007,H61-7))</f>
        <v/>
      </c>
    </row>
    <row r="62">
      <c r="A62" s="44">
        <f>IFERROR(MATCH(56,매출원본!$BE$8:$BE$1007,0)+7,"")</f>
        <v/>
      </c>
      <c r="B62" s="45">
        <f>IF(A62="","",INDEX(매출원본!$AS$8:$AS$1007,A62-7))</f>
        <v/>
      </c>
      <c r="C62" s="46">
        <f>IF(A62="","",INDEX(매출원본!$AY$8:$AY$1007,A62-7))</f>
        <v/>
      </c>
      <c r="D62" s="47">
        <f>IF(A62="","",INDEX(매출원본!$AT$8:$AT$1007,A62-7))</f>
        <v/>
      </c>
      <c r="E62" s="47">
        <f>IF(A62="","",INDEX(매출원본!$AU$8:$AU$1007,A62-7))</f>
        <v/>
      </c>
      <c r="F62" s="46">
        <f>IF(A62="","",INDEX(매출원본!$BC$8:$BC$1007,A62-7))</f>
        <v/>
      </c>
      <c r="H62" s="44">
        <f>IFERROR(MATCH(56,매입원본!$BE$8:$BE$1007,0)+7,"")</f>
        <v/>
      </c>
      <c r="I62" s="45">
        <f>IF(H62="","",INDEX(매입원본!$AS$8:$AS$1007,H62-7))</f>
        <v/>
      </c>
      <c r="J62" s="46">
        <f>IF(H62="","",INDEX(매입원본!$AY$8:$AY$1007,H62-7))</f>
        <v/>
      </c>
      <c r="K62" s="47">
        <f>IF(H62="","",INDEX(매입원본!$AT$8:$AT$1007,H62-7))</f>
        <v/>
      </c>
      <c r="L62" s="47">
        <f>IF(H62="","",INDEX(매입원본!$AU$8:$AU$1007,H62-7))</f>
        <v/>
      </c>
      <c r="M62" s="46">
        <f>IF(H62="","",INDEX(매입원본!$BC$8:$BC$1007,H62-7))</f>
        <v/>
      </c>
    </row>
    <row r="63">
      <c r="A63" s="44">
        <f>IFERROR(MATCH(57,매출원본!$BE$8:$BE$1007,0)+7,"")</f>
        <v/>
      </c>
      <c r="B63" s="45">
        <f>IF(A63="","",INDEX(매출원본!$AS$8:$AS$1007,A63-7))</f>
        <v/>
      </c>
      <c r="C63" s="46">
        <f>IF(A63="","",INDEX(매출원본!$AY$8:$AY$1007,A63-7))</f>
        <v/>
      </c>
      <c r="D63" s="47">
        <f>IF(A63="","",INDEX(매출원본!$AT$8:$AT$1007,A63-7))</f>
        <v/>
      </c>
      <c r="E63" s="47">
        <f>IF(A63="","",INDEX(매출원본!$AU$8:$AU$1007,A63-7))</f>
        <v/>
      </c>
      <c r="F63" s="46">
        <f>IF(A63="","",INDEX(매출원본!$BC$8:$BC$1007,A63-7))</f>
        <v/>
      </c>
      <c r="H63" s="44">
        <f>IFERROR(MATCH(57,매입원본!$BE$8:$BE$1007,0)+7,"")</f>
        <v/>
      </c>
      <c r="I63" s="45">
        <f>IF(H63="","",INDEX(매입원본!$AS$8:$AS$1007,H63-7))</f>
        <v/>
      </c>
      <c r="J63" s="46">
        <f>IF(H63="","",INDEX(매입원본!$AY$8:$AY$1007,H63-7))</f>
        <v/>
      </c>
      <c r="K63" s="47">
        <f>IF(H63="","",INDEX(매입원본!$AT$8:$AT$1007,H63-7))</f>
        <v/>
      </c>
      <c r="L63" s="47">
        <f>IF(H63="","",INDEX(매입원본!$AU$8:$AU$1007,H63-7))</f>
        <v/>
      </c>
      <c r="M63" s="46">
        <f>IF(H63="","",INDEX(매입원본!$BC$8:$BC$1007,H63-7))</f>
        <v/>
      </c>
    </row>
    <row r="64">
      <c r="A64" s="44">
        <f>IFERROR(MATCH(58,매출원본!$BE$8:$BE$1007,0)+7,"")</f>
        <v/>
      </c>
      <c r="B64" s="45">
        <f>IF(A64="","",INDEX(매출원본!$AS$8:$AS$1007,A64-7))</f>
        <v/>
      </c>
      <c r="C64" s="46">
        <f>IF(A64="","",INDEX(매출원본!$AY$8:$AY$1007,A64-7))</f>
        <v/>
      </c>
      <c r="D64" s="47">
        <f>IF(A64="","",INDEX(매출원본!$AT$8:$AT$1007,A64-7))</f>
        <v/>
      </c>
      <c r="E64" s="47">
        <f>IF(A64="","",INDEX(매출원본!$AU$8:$AU$1007,A64-7))</f>
        <v/>
      </c>
      <c r="F64" s="46">
        <f>IF(A64="","",INDEX(매출원본!$BC$8:$BC$1007,A64-7))</f>
        <v/>
      </c>
      <c r="H64" s="44">
        <f>IFERROR(MATCH(58,매입원본!$BE$8:$BE$1007,0)+7,"")</f>
        <v/>
      </c>
      <c r="I64" s="45">
        <f>IF(H64="","",INDEX(매입원본!$AS$8:$AS$1007,H64-7))</f>
        <v/>
      </c>
      <c r="J64" s="46">
        <f>IF(H64="","",INDEX(매입원본!$AY$8:$AY$1007,H64-7))</f>
        <v/>
      </c>
      <c r="K64" s="47">
        <f>IF(H64="","",INDEX(매입원본!$AT$8:$AT$1007,H64-7))</f>
        <v/>
      </c>
      <c r="L64" s="47">
        <f>IF(H64="","",INDEX(매입원본!$AU$8:$AU$1007,H64-7))</f>
        <v/>
      </c>
      <c r="M64" s="46">
        <f>IF(H64="","",INDEX(매입원본!$BC$8:$BC$1007,H64-7))</f>
        <v/>
      </c>
    </row>
    <row r="65">
      <c r="A65" s="44">
        <f>IFERROR(MATCH(59,매출원본!$BE$8:$BE$1007,0)+7,"")</f>
        <v/>
      </c>
      <c r="B65" s="45">
        <f>IF(A65="","",INDEX(매출원본!$AS$8:$AS$1007,A65-7))</f>
        <v/>
      </c>
      <c r="C65" s="46">
        <f>IF(A65="","",INDEX(매출원본!$AY$8:$AY$1007,A65-7))</f>
        <v/>
      </c>
      <c r="D65" s="47">
        <f>IF(A65="","",INDEX(매출원본!$AT$8:$AT$1007,A65-7))</f>
        <v/>
      </c>
      <c r="E65" s="47">
        <f>IF(A65="","",INDEX(매출원본!$AU$8:$AU$1007,A65-7))</f>
        <v/>
      </c>
      <c r="F65" s="46">
        <f>IF(A65="","",INDEX(매출원본!$BC$8:$BC$1007,A65-7))</f>
        <v/>
      </c>
      <c r="H65" s="44">
        <f>IFERROR(MATCH(59,매입원본!$BE$8:$BE$1007,0)+7,"")</f>
        <v/>
      </c>
      <c r="I65" s="45">
        <f>IF(H65="","",INDEX(매입원본!$AS$8:$AS$1007,H65-7))</f>
        <v/>
      </c>
      <c r="J65" s="46">
        <f>IF(H65="","",INDEX(매입원본!$AY$8:$AY$1007,H65-7))</f>
        <v/>
      </c>
      <c r="K65" s="47">
        <f>IF(H65="","",INDEX(매입원본!$AT$8:$AT$1007,H65-7))</f>
        <v/>
      </c>
      <c r="L65" s="47">
        <f>IF(H65="","",INDEX(매입원본!$AU$8:$AU$1007,H65-7))</f>
        <v/>
      </c>
      <c r="M65" s="46">
        <f>IF(H65="","",INDEX(매입원본!$BC$8:$BC$1007,H65-7))</f>
        <v/>
      </c>
    </row>
    <row r="66">
      <c r="A66" s="44">
        <f>IFERROR(MATCH(60,매출원본!$BE$8:$BE$1007,0)+7,"")</f>
        <v/>
      </c>
      <c r="B66" s="45">
        <f>IF(A66="","",INDEX(매출원본!$AS$8:$AS$1007,A66-7))</f>
        <v/>
      </c>
      <c r="C66" s="46">
        <f>IF(A66="","",INDEX(매출원본!$AY$8:$AY$1007,A66-7))</f>
        <v/>
      </c>
      <c r="D66" s="47">
        <f>IF(A66="","",INDEX(매출원본!$AT$8:$AT$1007,A66-7))</f>
        <v/>
      </c>
      <c r="E66" s="47">
        <f>IF(A66="","",INDEX(매출원본!$AU$8:$AU$1007,A66-7))</f>
        <v/>
      </c>
      <c r="F66" s="46">
        <f>IF(A66="","",INDEX(매출원본!$BC$8:$BC$1007,A66-7))</f>
        <v/>
      </c>
      <c r="H66" s="44">
        <f>IFERROR(MATCH(60,매입원본!$BE$8:$BE$1007,0)+7,"")</f>
        <v/>
      </c>
      <c r="I66" s="45">
        <f>IF(H66="","",INDEX(매입원본!$AS$8:$AS$1007,H66-7))</f>
        <v/>
      </c>
      <c r="J66" s="46">
        <f>IF(H66="","",INDEX(매입원본!$AY$8:$AY$1007,H66-7))</f>
        <v/>
      </c>
      <c r="K66" s="47">
        <f>IF(H66="","",INDEX(매입원본!$AT$8:$AT$1007,H66-7))</f>
        <v/>
      </c>
      <c r="L66" s="47">
        <f>IF(H66="","",INDEX(매입원본!$AU$8:$AU$1007,H66-7))</f>
        <v/>
      </c>
      <c r="M66" s="46">
        <f>IF(H66="","",INDEX(매입원본!$BC$8:$BC$1007,H66-7))</f>
        <v/>
      </c>
    </row>
    <row r="67">
      <c r="A67" s="44">
        <f>IFERROR(MATCH(61,매출원본!$BE$8:$BE$1007,0)+7,"")</f>
        <v/>
      </c>
      <c r="B67" s="45">
        <f>IF(A67="","",INDEX(매출원본!$AS$8:$AS$1007,A67-7))</f>
        <v/>
      </c>
      <c r="C67" s="46">
        <f>IF(A67="","",INDEX(매출원본!$AY$8:$AY$1007,A67-7))</f>
        <v/>
      </c>
      <c r="D67" s="47">
        <f>IF(A67="","",INDEX(매출원본!$AT$8:$AT$1007,A67-7))</f>
        <v/>
      </c>
      <c r="E67" s="47">
        <f>IF(A67="","",INDEX(매출원본!$AU$8:$AU$1007,A67-7))</f>
        <v/>
      </c>
      <c r="F67" s="46">
        <f>IF(A67="","",INDEX(매출원본!$BC$8:$BC$1007,A67-7))</f>
        <v/>
      </c>
      <c r="H67" s="44">
        <f>IFERROR(MATCH(61,매입원본!$BE$8:$BE$1007,0)+7,"")</f>
        <v/>
      </c>
      <c r="I67" s="45">
        <f>IF(H67="","",INDEX(매입원본!$AS$8:$AS$1007,H67-7))</f>
        <v/>
      </c>
      <c r="J67" s="46">
        <f>IF(H67="","",INDEX(매입원본!$AY$8:$AY$1007,H67-7))</f>
        <v/>
      </c>
      <c r="K67" s="47">
        <f>IF(H67="","",INDEX(매입원본!$AT$8:$AT$1007,H67-7))</f>
        <v/>
      </c>
      <c r="L67" s="47">
        <f>IF(H67="","",INDEX(매입원본!$AU$8:$AU$1007,H67-7))</f>
        <v/>
      </c>
      <c r="M67" s="46">
        <f>IF(H67="","",INDEX(매입원본!$BC$8:$BC$1007,H67-7))</f>
        <v/>
      </c>
    </row>
    <row r="68">
      <c r="A68" s="44">
        <f>IFERROR(MATCH(62,매출원본!$BE$8:$BE$1007,0)+7,"")</f>
        <v/>
      </c>
      <c r="B68" s="45">
        <f>IF(A68="","",INDEX(매출원본!$AS$8:$AS$1007,A68-7))</f>
        <v/>
      </c>
      <c r="C68" s="46">
        <f>IF(A68="","",INDEX(매출원본!$AY$8:$AY$1007,A68-7))</f>
        <v/>
      </c>
      <c r="D68" s="47">
        <f>IF(A68="","",INDEX(매출원본!$AT$8:$AT$1007,A68-7))</f>
        <v/>
      </c>
      <c r="E68" s="47">
        <f>IF(A68="","",INDEX(매출원본!$AU$8:$AU$1007,A68-7))</f>
        <v/>
      </c>
      <c r="F68" s="46">
        <f>IF(A68="","",INDEX(매출원본!$BC$8:$BC$1007,A68-7))</f>
        <v/>
      </c>
      <c r="H68" s="44">
        <f>IFERROR(MATCH(62,매입원본!$BE$8:$BE$1007,0)+7,"")</f>
        <v/>
      </c>
      <c r="I68" s="45">
        <f>IF(H68="","",INDEX(매입원본!$AS$8:$AS$1007,H68-7))</f>
        <v/>
      </c>
      <c r="J68" s="46">
        <f>IF(H68="","",INDEX(매입원본!$AY$8:$AY$1007,H68-7))</f>
        <v/>
      </c>
      <c r="K68" s="47">
        <f>IF(H68="","",INDEX(매입원본!$AT$8:$AT$1007,H68-7))</f>
        <v/>
      </c>
      <c r="L68" s="47">
        <f>IF(H68="","",INDEX(매입원본!$AU$8:$AU$1007,H68-7))</f>
        <v/>
      </c>
      <c r="M68" s="46">
        <f>IF(H68="","",INDEX(매입원본!$BC$8:$BC$1007,H68-7))</f>
        <v/>
      </c>
    </row>
    <row r="69">
      <c r="A69" s="44">
        <f>IFERROR(MATCH(63,매출원본!$BE$8:$BE$1007,0)+7,"")</f>
        <v/>
      </c>
      <c r="B69" s="45">
        <f>IF(A69="","",INDEX(매출원본!$AS$8:$AS$1007,A69-7))</f>
        <v/>
      </c>
      <c r="C69" s="46">
        <f>IF(A69="","",INDEX(매출원본!$AY$8:$AY$1007,A69-7))</f>
        <v/>
      </c>
      <c r="D69" s="47">
        <f>IF(A69="","",INDEX(매출원본!$AT$8:$AT$1007,A69-7))</f>
        <v/>
      </c>
      <c r="E69" s="47">
        <f>IF(A69="","",INDEX(매출원본!$AU$8:$AU$1007,A69-7))</f>
        <v/>
      </c>
      <c r="F69" s="46">
        <f>IF(A69="","",INDEX(매출원본!$BC$8:$BC$1007,A69-7))</f>
        <v/>
      </c>
      <c r="H69" s="44">
        <f>IFERROR(MATCH(63,매입원본!$BE$8:$BE$1007,0)+7,"")</f>
        <v/>
      </c>
      <c r="I69" s="45">
        <f>IF(H69="","",INDEX(매입원본!$AS$8:$AS$1007,H69-7))</f>
        <v/>
      </c>
      <c r="J69" s="46">
        <f>IF(H69="","",INDEX(매입원본!$AY$8:$AY$1007,H69-7))</f>
        <v/>
      </c>
      <c r="K69" s="47">
        <f>IF(H69="","",INDEX(매입원본!$AT$8:$AT$1007,H69-7))</f>
        <v/>
      </c>
      <c r="L69" s="47">
        <f>IF(H69="","",INDEX(매입원본!$AU$8:$AU$1007,H69-7))</f>
        <v/>
      </c>
      <c r="M69" s="46">
        <f>IF(H69="","",INDEX(매입원본!$BC$8:$BC$1007,H69-7))</f>
        <v/>
      </c>
    </row>
    <row r="70">
      <c r="A70" s="44">
        <f>IFERROR(MATCH(64,매출원본!$BE$8:$BE$1007,0)+7,"")</f>
        <v/>
      </c>
      <c r="B70" s="45">
        <f>IF(A70="","",INDEX(매출원본!$AS$8:$AS$1007,A70-7))</f>
        <v/>
      </c>
      <c r="C70" s="46">
        <f>IF(A70="","",INDEX(매출원본!$AY$8:$AY$1007,A70-7))</f>
        <v/>
      </c>
      <c r="D70" s="47">
        <f>IF(A70="","",INDEX(매출원본!$AT$8:$AT$1007,A70-7))</f>
        <v/>
      </c>
      <c r="E70" s="47">
        <f>IF(A70="","",INDEX(매출원본!$AU$8:$AU$1007,A70-7))</f>
        <v/>
      </c>
      <c r="F70" s="46">
        <f>IF(A70="","",INDEX(매출원본!$BC$8:$BC$1007,A70-7))</f>
        <v/>
      </c>
      <c r="H70" s="44">
        <f>IFERROR(MATCH(64,매입원본!$BE$8:$BE$1007,0)+7,"")</f>
        <v/>
      </c>
      <c r="I70" s="45">
        <f>IF(H70="","",INDEX(매입원본!$AS$8:$AS$1007,H70-7))</f>
        <v/>
      </c>
      <c r="J70" s="46">
        <f>IF(H70="","",INDEX(매입원본!$AY$8:$AY$1007,H70-7))</f>
        <v/>
      </c>
      <c r="K70" s="47">
        <f>IF(H70="","",INDEX(매입원본!$AT$8:$AT$1007,H70-7))</f>
        <v/>
      </c>
      <c r="L70" s="47">
        <f>IF(H70="","",INDEX(매입원본!$AU$8:$AU$1007,H70-7))</f>
        <v/>
      </c>
      <c r="M70" s="46">
        <f>IF(H70="","",INDEX(매입원본!$BC$8:$BC$1007,H70-7))</f>
        <v/>
      </c>
    </row>
    <row r="71">
      <c r="A71" s="44">
        <f>IFERROR(MATCH(65,매출원본!$BE$8:$BE$1007,0)+7,"")</f>
        <v/>
      </c>
      <c r="B71" s="45">
        <f>IF(A71="","",INDEX(매출원본!$AS$8:$AS$1007,A71-7))</f>
        <v/>
      </c>
      <c r="C71" s="46">
        <f>IF(A71="","",INDEX(매출원본!$AY$8:$AY$1007,A71-7))</f>
        <v/>
      </c>
      <c r="D71" s="47">
        <f>IF(A71="","",INDEX(매출원본!$AT$8:$AT$1007,A71-7))</f>
        <v/>
      </c>
      <c r="E71" s="47">
        <f>IF(A71="","",INDEX(매출원본!$AU$8:$AU$1007,A71-7))</f>
        <v/>
      </c>
      <c r="F71" s="46">
        <f>IF(A71="","",INDEX(매출원본!$BC$8:$BC$1007,A71-7))</f>
        <v/>
      </c>
      <c r="H71" s="44">
        <f>IFERROR(MATCH(65,매입원본!$BE$8:$BE$1007,0)+7,"")</f>
        <v/>
      </c>
      <c r="I71" s="45">
        <f>IF(H71="","",INDEX(매입원본!$AS$8:$AS$1007,H71-7))</f>
        <v/>
      </c>
      <c r="J71" s="46">
        <f>IF(H71="","",INDEX(매입원본!$AY$8:$AY$1007,H71-7))</f>
        <v/>
      </c>
      <c r="K71" s="47">
        <f>IF(H71="","",INDEX(매입원본!$AT$8:$AT$1007,H71-7))</f>
        <v/>
      </c>
      <c r="L71" s="47">
        <f>IF(H71="","",INDEX(매입원본!$AU$8:$AU$1007,H71-7))</f>
        <v/>
      </c>
      <c r="M71" s="46">
        <f>IF(H71="","",INDEX(매입원본!$BC$8:$BC$1007,H71-7))</f>
        <v/>
      </c>
    </row>
    <row r="72">
      <c r="A72" s="44">
        <f>IFERROR(MATCH(66,매출원본!$BE$8:$BE$1007,0)+7,"")</f>
        <v/>
      </c>
      <c r="B72" s="45">
        <f>IF(A72="","",INDEX(매출원본!$AS$8:$AS$1007,A72-7))</f>
        <v/>
      </c>
      <c r="C72" s="46">
        <f>IF(A72="","",INDEX(매출원본!$AY$8:$AY$1007,A72-7))</f>
        <v/>
      </c>
      <c r="D72" s="47">
        <f>IF(A72="","",INDEX(매출원본!$AT$8:$AT$1007,A72-7))</f>
        <v/>
      </c>
      <c r="E72" s="47">
        <f>IF(A72="","",INDEX(매출원본!$AU$8:$AU$1007,A72-7))</f>
        <v/>
      </c>
      <c r="F72" s="46">
        <f>IF(A72="","",INDEX(매출원본!$BC$8:$BC$1007,A72-7))</f>
        <v/>
      </c>
      <c r="H72" s="44">
        <f>IFERROR(MATCH(66,매입원본!$BE$8:$BE$1007,0)+7,"")</f>
        <v/>
      </c>
      <c r="I72" s="45">
        <f>IF(H72="","",INDEX(매입원본!$AS$8:$AS$1007,H72-7))</f>
        <v/>
      </c>
      <c r="J72" s="46">
        <f>IF(H72="","",INDEX(매입원본!$AY$8:$AY$1007,H72-7))</f>
        <v/>
      </c>
      <c r="K72" s="47">
        <f>IF(H72="","",INDEX(매입원본!$AT$8:$AT$1007,H72-7))</f>
        <v/>
      </c>
      <c r="L72" s="47">
        <f>IF(H72="","",INDEX(매입원본!$AU$8:$AU$1007,H72-7))</f>
        <v/>
      </c>
      <c r="M72" s="46">
        <f>IF(H72="","",INDEX(매입원본!$BC$8:$BC$1007,H72-7))</f>
        <v/>
      </c>
    </row>
    <row r="73">
      <c r="A73" s="44">
        <f>IFERROR(MATCH(67,매출원본!$BE$8:$BE$1007,0)+7,"")</f>
        <v/>
      </c>
      <c r="B73" s="45">
        <f>IF(A73="","",INDEX(매출원본!$AS$8:$AS$1007,A73-7))</f>
        <v/>
      </c>
      <c r="C73" s="46">
        <f>IF(A73="","",INDEX(매출원본!$AY$8:$AY$1007,A73-7))</f>
        <v/>
      </c>
      <c r="D73" s="47">
        <f>IF(A73="","",INDEX(매출원본!$AT$8:$AT$1007,A73-7))</f>
        <v/>
      </c>
      <c r="E73" s="47">
        <f>IF(A73="","",INDEX(매출원본!$AU$8:$AU$1007,A73-7))</f>
        <v/>
      </c>
      <c r="F73" s="46">
        <f>IF(A73="","",INDEX(매출원본!$BC$8:$BC$1007,A73-7))</f>
        <v/>
      </c>
      <c r="H73" s="44">
        <f>IFERROR(MATCH(67,매입원본!$BE$8:$BE$1007,0)+7,"")</f>
        <v/>
      </c>
      <c r="I73" s="45">
        <f>IF(H73="","",INDEX(매입원본!$AS$8:$AS$1007,H73-7))</f>
        <v/>
      </c>
      <c r="J73" s="46">
        <f>IF(H73="","",INDEX(매입원본!$AY$8:$AY$1007,H73-7))</f>
        <v/>
      </c>
      <c r="K73" s="47">
        <f>IF(H73="","",INDEX(매입원본!$AT$8:$AT$1007,H73-7))</f>
        <v/>
      </c>
      <c r="L73" s="47">
        <f>IF(H73="","",INDEX(매입원본!$AU$8:$AU$1007,H73-7))</f>
        <v/>
      </c>
      <c r="M73" s="46">
        <f>IF(H73="","",INDEX(매입원본!$BC$8:$BC$1007,H73-7))</f>
        <v/>
      </c>
    </row>
    <row r="74">
      <c r="A74" s="44">
        <f>IFERROR(MATCH(68,매출원본!$BE$8:$BE$1007,0)+7,"")</f>
        <v/>
      </c>
      <c r="B74" s="45">
        <f>IF(A74="","",INDEX(매출원본!$AS$8:$AS$1007,A74-7))</f>
        <v/>
      </c>
      <c r="C74" s="46">
        <f>IF(A74="","",INDEX(매출원본!$AY$8:$AY$1007,A74-7))</f>
        <v/>
      </c>
      <c r="D74" s="47">
        <f>IF(A74="","",INDEX(매출원본!$AT$8:$AT$1007,A74-7))</f>
        <v/>
      </c>
      <c r="E74" s="47">
        <f>IF(A74="","",INDEX(매출원본!$AU$8:$AU$1007,A74-7))</f>
        <v/>
      </c>
      <c r="F74" s="46">
        <f>IF(A74="","",INDEX(매출원본!$BC$8:$BC$1007,A74-7))</f>
        <v/>
      </c>
      <c r="H74" s="44">
        <f>IFERROR(MATCH(68,매입원본!$BE$8:$BE$1007,0)+7,"")</f>
        <v/>
      </c>
      <c r="I74" s="45">
        <f>IF(H74="","",INDEX(매입원본!$AS$8:$AS$1007,H74-7))</f>
        <v/>
      </c>
      <c r="J74" s="46">
        <f>IF(H74="","",INDEX(매입원본!$AY$8:$AY$1007,H74-7))</f>
        <v/>
      </c>
      <c r="K74" s="47">
        <f>IF(H74="","",INDEX(매입원본!$AT$8:$AT$1007,H74-7))</f>
        <v/>
      </c>
      <c r="L74" s="47">
        <f>IF(H74="","",INDEX(매입원본!$AU$8:$AU$1007,H74-7))</f>
        <v/>
      </c>
      <c r="M74" s="46">
        <f>IF(H74="","",INDEX(매입원본!$BC$8:$BC$1007,H74-7))</f>
        <v/>
      </c>
    </row>
    <row r="75">
      <c r="A75" s="44">
        <f>IFERROR(MATCH(69,매출원본!$BE$8:$BE$1007,0)+7,"")</f>
        <v/>
      </c>
      <c r="B75" s="45">
        <f>IF(A75="","",INDEX(매출원본!$AS$8:$AS$1007,A75-7))</f>
        <v/>
      </c>
      <c r="C75" s="46">
        <f>IF(A75="","",INDEX(매출원본!$AY$8:$AY$1007,A75-7))</f>
        <v/>
      </c>
      <c r="D75" s="47">
        <f>IF(A75="","",INDEX(매출원본!$AT$8:$AT$1007,A75-7))</f>
        <v/>
      </c>
      <c r="E75" s="47">
        <f>IF(A75="","",INDEX(매출원본!$AU$8:$AU$1007,A75-7))</f>
        <v/>
      </c>
      <c r="F75" s="46">
        <f>IF(A75="","",INDEX(매출원본!$BC$8:$BC$1007,A75-7))</f>
        <v/>
      </c>
      <c r="H75" s="44">
        <f>IFERROR(MATCH(69,매입원본!$BE$8:$BE$1007,0)+7,"")</f>
        <v/>
      </c>
      <c r="I75" s="45">
        <f>IF(H75="","",INDEX(매입원본!$AS$8:$AS$1007,H75-7))</f>
        <v/>
      </c>
      <c r="J75" s="46">
        <f>IF(H75="","",INDEX(매입원본!$AY$8:$AY$1007,H75-7))</f>
        <v/>
      </c>
      <c r="K75" s="47">
        <f>IF(H75="","",INDEX(매입원본!$AT$8:$AT$1007,H75-7))</f>
        <v/>
      </c>
      <c r="L75" s="47">
        <f>IF(H75="","",INDEX(매입원본!$AU$8:$AU$1007,H75-7))</f>
        <v/>
      </c>
      <c r="M75" s="46">
        <f>IF(H75="","",INDEX(매입원본!$BC$8:$BC$1007,H75-7))</f>
        <v/>
      </c>
    </row>
    <row r="76">
      <c r="A76" s="44">
        <f>IFERROR(MATCH(70,매출원본!$BE$8:$BE$1007,0)+7,"")</f>
        <v/>
      </c>
      <c r="B76" s="45">
        <f>IF(A76="","",INDEX(매출원본!$AS$8:$AS$1007,A76-7))</f>
        <v/>
      </c>
      <c r="C76" s="46">
        <f>IF(A76="","",INDEX(매출원본!$AY$8:$AY$1007,A76-7))</f>
        <v/>
      </c>
      <c r="D76" s="47">
        <f>IF(A76="","",INDEX(매출원본!$AT$8:$AT$1007,A76-7))</f>
        <v/>
      </c>
      <c r="E76" s="47">
        <f>IF(A76="","",INDEX(매출원본!$AU$8:$AU$1007,A76-7))</f>
        <v/>
      </c>
      <c r="F76" s="46">
        <f>IF(A76="","",INDEX(매출원본!$BC$8:$BC$1007,A76-7))</f>
        <v/>
      </c>
      <c r="H76" s="44">
        <f>IFERROR(MATCH(70,매입원본!$BE$8:$BE$1007,0)+7,"")</f>
        <v/>
      </c>
      <c r="I76" s="45">
        <f>IF(H76="","",INDEX(매입원본!$AS$8:$AS$1007,H76-7))</f>
        <v/>
      </c>
      <c r="J76" s="46">
        <f>IF(H76="","",INDEX(매입원본!$AY$8:$AY$1007,H76-7))</f>
        <v/>
      </c>
      <c r="K76" s="47">
        <f>IF(H76="","",INDEX(매입원본!$AT$8:$AT$1007,H76-7))</f>
        <v/>
      </c>
      <c r="L76" s="47">
        <f>IF(H76="","",INDEX(매입원본!$AU$8:$AU$1007,H76-7))</f>
        <v/>
      </c>
      <c r="M76" s="46">
        <f>IF(H76="","",INDEX(매입원본!$BC$8:$BC$1007,H76-7))</f>
        <v/>
      </c>
    </row>
    <row r="77">
      <c r="A77" s="44">
        <f>IFERROR(MATCH(71,매출원본!$BE$8:$BE$1007,0)+7,"")</f>
        <v/>
      </c>
      <c r="B77" s="45">
        <f>IF(A77="","",INDEX(매출원본!$AS$8:$AS$1007,A77-7))</f>
        <v/>
      </c>
      <c r="C77" s="46">
        <f>IF(A77="","",INDEX(매출원본!$AY$8:$AY$1007,A77-7))</f>
        <v/>
      </c>
      <c r="D77" s="47">
        <f>IF(A77="","",INDEX(매출원본!$AT$8:$AT$1007,A77-7))</f>
        <v/>
      </c>
      <c r="E77" s="47">
        <f>IF(A77="","",INDEX(매출원본!$AU$8:$AU$1007,A77-7))</f>
        <v/>
      </c>
      <c r="F77" s="46">
        <f>IF(A77="","",INDEX(매출원본!$BC$8:$BC$1007,A77-7))</f>
        <v/>
      </c>
      <c r="H77" s="44">
        <f>IFERROR(MATCH(71,매입원본!$BE$8:$BE$1007,0)+7,"")</f>
        <v/>
      </c>
      <c r="I77" s="45">
        <f>IF(H77="","",INDEX(매입원본!$AS$8:$AS$1007,H77-7))</f>
        <v/>
      </c>
      <c r="J77" s="46">
        <f>IF(H77="","",INDEX(매입원본!$AY$8:$AY$1007,H77-7))</f>
        <v/>
      </c>
      <c r="K77" s="47">
        <f>IF(H77="","",INDEX(매입원본!$AT$8:$AT$1007,H77-7))</f>
        <v/>
      </c>
      <c r="L77" s="47">
        <f>IF(H77="","",INDEX(매입원본!$AU$8:$AU$1007,H77-7))</f>
        <v/>
      </c>
      <c r="M77" s="46">
        <f>IF(H77="","",INDEX(매입원본!$BC$8:$BC$1007,H77-7))</f>
        <v/>
      </c>
    </row>
    <row r="78">
      <c r="A78" s="44">
        <f>IFERROR(MATCH(72,매출원본!$BE$8:$BE$1007,0)+7,"")</f>
        <v/>
      </c>
      <c r="B78" s="45">
        <f>IF(A78="","",INDEX(매출원본!$AS$8:$AS$1007,A78-7))</f>
        <v/>
      </c>
      <c r="C78" s="46">
        <f>IF(A78="","",INDEX(매출원본!$AY$8:$AY$1007,A78-7))</f>
        <v/>
      </c>
      <c r="D78" s="47">
        <f>IF(A78="","",INDEX(매출원본!$AT$8:$AT$1007,A78-7))</f>
        <v/>
      </c>
      <c r="E78" s="47">
        <f>IF(A78="","",INDEX(매출원본!$AU$8:$AU$1007,A78-7))</f>
        <v/>
      </c>
      <c r="F78" s="46">
        <f>IF(A78="","",INDEX(매출원본!$BC$8:$BC$1007,A78-7))</f>
        <v/>
      </c>
      <c r="H78" s="44">
        <f>IFERROR(MATCH(72,매입원본!$BE$8:$BE$1007,0)+7,"")</f>
        <v/>
      </c>
      <c r="I78" s="45">
        <f>IF(H78="","",INDEX(매입원본!$AS$8:$AS$1007,H78-7))</f>
        <v/>
      </c>
      <c r="J78" s="46">
        <f>IF(H78="","",INDEX(매입원본!$AY$8:$AY$1007,H78-7))</f>
        <v/>
      </c>
      <c r="K78" s="47">
        <f>IF(H78="","",INDEX(매입원본!$AT$8:$AT$1007,H78-7))</f>
        <v/>
      </c>
      <c r="L78" s="47">
        <f>IF(H78="","",INDEX(매입원본!$AU$8:$AU$1007,H78-7))</f>
        <v/>
      </c>
      <c r="M78" s="46">
        <f>IF(H78="","",INDEX(매입원본!$BC$8:$BC$1007,H78-7))</f>
        <v/>
      </c>
    </row>
    <row r="79">
      <c r="A79" s="44">
        <f>IFERROR(MATCH(73,매출원본!$BE$8:$BE$1007,0)+7,"")</f>
        <v/>
      </c>
      <c r="B79" s="45">
        <f>IF(A79="","",INDEX(매출원본!$AS$8:$AS$1007,A79-7))</f>
        <v/>
      </c>
      <c r="C79" s="46">
        <f>IF(A79="","",INDEX(매출원본!$AY$8:$AY$1007,A79-7))</f>
        <v/>
      </c>
      <c r="D79" s="47">
        <f>IF(A79="","",INDEX(매출원본!$AT$8:$AT$1007,A79-7))</f>
        <v/>
      </c>
      <c r="E79" s="47">
        <f>IF(A79="","",INDEX(매출원본!$AU$8:$AU$1007,A79-7))</f>
        <v/>
      </c>
      <c r="F79" s="46">
        <f>IF(A79="","",INDEX(매출원본!$BC$8:$BC$1007,A79-7))</f>
        <v/>
      </c>
      <c r="H79" s="44">
        <f>IFERROR(MATCH(73,매입원본!$BE$8:$BE$1007,0)+7,"")</f>
        <v/>
      </c>
      <c r="I79" s="45">
        <f>IF(H79="","",INDEX(매입원본!$AS$8:$AS$1007,H79-7))</f>
        <v/>
      </c>
      <c r="J79" s="46">
        <f>IF(H79="","",INDEX(매입원본!$AY$8:$AY$1007,H79-7))</f>
        <v/>
      </c>
      <c r="K79" s="47">
        <f>IF(H79="","",INDEX(매입원본!$AT$8:$AT$1007,H79-7))</f>
        <v/>
      </c>
      <c r="L79" s="47">
        <f>IF(H79="","",INDEX(매입원본!$AU$8:$AU$1007,H79-7))</f>
        <v/>
      </c>
      <c r="M79" s="46">
        <f>IF(H79="","",INDEX(매입원본!$BC$8:$BC$1007,H79-7))</f>
        <v/>
      </c>
    </row>
    <row r="80">
      <c r="A80" s="44">
        <f>IFERROR(MATCH(74,매출원본!$BE$8:$BE$1007,0)+7,"")</f>
        <v/>
      </c>
      <c r="B80" s="45">
        <f>IF(A80="","",INDEX(매출원본!$AS$8:$AS$1007,A80-7))</f>
        <v/>
      </c>
      <c r="C80" s="46">
        <f>IF(A80="","",INDEX(매출원본!$AY$8:$AY$1007,A80-7))</f>
        <v/>
      </c>
      <c r="D80" s="47">
        <f>IF(A80="","",INDEX(매출원본!$AT$8:$AT$1007,A80-7))</f>
        <v/>
      </c>
      <c r="E80" s="47">
        <f>IF(A80="","",INDEX(매출원본!$AU$8:$AU$1007,A80-7))</f>
        <v/>
      </c>
      <c r="F80" s="46">
        <f>IF(A80="","",INDEX(매출원본!$BC$8:$BC$1007,A80-7))</f>
        <v/>
      </c>
      <c r="H80" s="44">
        <f>IFERROR(MATCH(74,매입원본!$BE$8:$BE$1007,0)+7,"")</f>
        <v/>
      </c>
      <c r="I80" s="45">
        <f>IF(H80="","",INDEX(매입원본!$AS$8:$AS$1007,H80-7))</f>
        <v/>
      </c>
      <c r="J80" s="46">
        <f>IF(H80="","",INDEX(매입원본!$AY$8:$AY$1007,H80-7))</f>
        <v/>
      </c>
      <c r="K80" s="47">
        <f>IF(H80="","",INDEX(매입원본!$AT$8:$AT$1007,H80-7))</f>
        <v/>
      </c>
      <c r="L80" s="47">
        <f>IF(H80="","",INDEX(매입원본!$AU$8:$AU$1007,H80-7))</f>
        <v/>
      </c>
      <c r="M80" s="46">
        <f>IF(H80="","",INDEX(매입원본!$BC$8:$BC$1007,H80-7))</f>
        <v/>
      </c>
    </row>
    <row r="81">
      <c r="A81" s="44">
        <f>IFERROR(MATCH(75,매출원본!$BE$8:$BE$1007,0)+7,"")</f>
        <v/>
      </c>
      <c r="B81" s="45">
        <f>IF(A81="","",INDEX(매출원본!$AS$8:$AS$1007,A81-7))</f>
        <v/>
      </c>
      <c r="C81" s="46">
        <f>IF(A81="","",INDEX(매출원본!$AY$8:$AY$1007,A81-7))</f>
        <v/>
      </c>
      <c r="D81" s="47">
        <f>IF(A81="","",INDEX(매출원본!$AT$8:$AT$1007,A81-7))</f>
        <v/>
      </c>
      <c r="E81" s="47">
        <f>IF(A81="","",INDEX(매출원본!$AU$8:$AU$1007,A81-7))</f>
        <v/>
      </c>
      <c r="F81" s="46">
        <f>IF(A81="","",INDEX(매출원본!$BC$8:$BC$1007,A81-7))</f>
        <v/>
      </c>
      <c r="H81" s="44">
        <f>IFERROR(MATCH(75,매입원본!$BE$8:$BE$1007,0)+7,"")</f>
        <v/>
      </c>
      <c r="I81" s="45">
        <f>IF(H81="","",INDEX(매입원본!$AS$8:$AS$1007,H81-7))</f>
        <v/>
      </c>
      <c r="J81" s="46">
        <f>IF(H81="","",INDEX(매입원본!$AY$8:$AY$1007,H81-7))</f>
        <v/>
      </c>
      <c r="K81" s="47">
        <f>IF(H81="","",INDEX(매입원본!$AT$8:$AT$1007,H81-7))</f>
        <v/>
      </c>
      <c r="L81" s="47">
        <f>IF(H81="","",INDEX(매입원본!$AU$8:$AU$1007,H81-7))</f>
        <v/>
      </c>
      <c r="M81" s="46">
        <f>IF(H81="","",INDEX(매입원본!$BC$8:$BC$1007,H81-7))</f>
        <v/>
      </c>
    </row>
    <row r="82">
      <c r="A82" s="44">
        <f>IFERROR(MATCH(76,매출원본!$BE$8:$BE$1007,0)+7,"")</f>
        <v/>
      </c>
      <c r="B82" s="45">
        <f>IF(A82="","",INDEX(매출원본!$AS$8:$AS$1007,A82-7))</f>
        <v/>
      </c>
      <c r="C82" s="46">
        <f>IF(A82="","",INDEX(매출원본!$AY$8:$AY$1007,A82-7))</f>
        <v/>
      </c>
      <c r="D82" s="47">
        <f>IF(A82="","",INDEX(매출원본!$AT$8:$AT$1007,A82-7))</f>
        <v/>
      </c>
      <c r="E82" s="47">
        <f>IF(A82="","",INDEX(매출원본!$AU$8:$AU$1007,A82-7))</f>
        <v/>
      </c>
      <c r="F82" s="46">
        <f>IF(A82="","",INDEX(매출원본!$BC$8:$BC$1007,A82-7))</f>
        <v/>
      </c>
      <c r="H82" s="44">
        <f>IFERROR(MATCH(76,매입원본!$BE$8:$BE$1007,0)+7,"")</f>
        <v/>
      </c>
      <c r="I82" s="45">
        <f>IF(H82="","",INDEX(매입원본!$AS$8:$AS$1007,H82-7))</f>
        <v/>
      </c>
      <c r="J82" s="46">
        <f>IF(H82="","",INDEX(매입원본!$AY$8:$AY$1007,H82-7))</f>
        <v/>
      </c>
      <c r="K82" s="47">
        <f>IF(H82="","",INDEX(매입원본!$AT$8:$AT$1007,H82-7))</f>
        <v/>
      </c>
      <c r="L82" s="47">
        <f>IF(H82="","",INDEX(매입원본!$AU$8:$AU$1007,H82-7))</f>
        <v/>
      </c>
      <c r="M82" s="46">
        <f>IF(H82="","",INDEX(매입원본!$BC$8:$BC$1007,H82-7))</f>
        <v/>
      </c>
    </row>
    <row r="83">
      <c r="A83" s="44">
        <f>IFERROR(MATCH(77,매출원본!$BE$8:$BE$1007,0)+7,"")</f>
        <v/>
      </c>
      <c r="B83" s="45">
        <f>IF(A83="","",INDEX(매출원본!$AS$8:$AS$1007,A83-7))</f>
        <v/>
      </c>
      <c r="C83" s="46">
        <f>IF(A83="","",INDEX(매출원본!$AY$8:$AY$1007,A83-7))</f>
        <v/>
      </c>
      <c r="D83" s="47">
        <f>IF(A83="","",INDEX(매출원본!$AT$8:$AT$1007,A83-7))</f>
        <v/>
      </c>
      <c r="E83" s="47">
        <f>IF(A83="","",INDEX(매출원본!$AU$8:$AU$1007,A83-7))</f>
        <v/>
      </c>
      <c r="F83" s="46">
        <f>IF(A83="","",INDEX(매출원본!$BC$8:$BC$1007,A83-7))</f>
        <v/>
      </c>
      <c r="H83" s="44">
        <f>IFERROR(MATCH(77,매입원본!$BE$8:$BE$1007,0)+7,"")</f>
        <v/>
      </c>
      <c r="I83" s="45">
        <f>IF(H83="","",INDEX(매입원본!$AS$8:$AS$1007,H83-7))</f>
        <v/>
      </c>
      <c r="J83" s="46">
        <f>IF(H83="","",INDEX(매입원본!$AY$8:$AY$1007,H83-7))</f>
        <v/>
      </c>
      <c r="K83" s="47">
        <f>IF(H83="","",INDEX(매입원본!$AT$8:$AT$1007,H83-7))</f>
        <v/>
      </c>
      <c r="L83" s="47">
        <f>IF(H83="","",INDEX(매입원본!$AU$8:$AU$1007,H83-7))</f>
        <v/>
      </c>
      <c r="M83" s="46">
        <f>IF(H83="","",INDEX(매입원본!$BC$8:$BC$1007,H83-7))</f>
        <v/>
      </c>
    </row>
    <row r="84">
      <c r="A84" s="44">
        <f>IFERROR(MATCH(78,매출원본!$BE$8:$BE$1007,0)+7,"")</f>
        <v/>
      </c>
      <c r="B84" s="45">
        <f>IF(A84="","",INDEX(매출원본!$AS$8:$AS$1007,A84-7))</f>
        <v/>
      </c>
      <c r="C84" s="46">
        <f>IF(A84="","",INDEX(매출원본!$AY$8:$AY$1007,A84-7))</f>
        <v/>
      </c>
      <c r="D84" s="47">
        <f>IF(A84="","",INDEX(매출원본!$AT$8:$AT$1007,A84-7))</f>
        <v/>
      </c>
      <c r="E84" s="47">
        <f>IF(A84="","",INDEX(매출원본!$AU$8:$AU$1007,A84-7))</f>
        <v/>
      </c>
      <c r="F84" s="46">
        <f>IF(A84="","",INDEX(매출원본!$BC$8:$BC$1007,A84-7))</f>
        <v/>
      </c>
      <c r="H84" s="44">
        <f>IFERROR(MATCH(78,매입원본!$BE$8:$BE$1007,0)+7,"")</f>
        <v/>
      </c>
      <c r="I84" s="45">
        <f>IF(H84="","",INDEX(매입원본!$AS$8:$AS$1007,H84-7))</f>
        <v/>
      </c>
      <c r="J84" s="46">
        <f>IF(H84="","",INDEX(매입원본!$AY$8:$AY$1007,H84-7))</f>
        <v/>
      </c>
      <c r="K84" s="47">
        <f>IF(H84="","",INDEX(매입원본!$AT$8:$AT$1007,H84-7))</f>
        <v/>
      </c>
      <c r="L84" s="47">
        <f>IF(H84="","",INDEX(매입원본!$AU$8:$AU$1007,H84-7))</f>
        <v/>
      </c>
      <c r="M84" s="46">
        <f>IF(H84="","",INDEX(매입원본!$BC$8:$BC$1007,H84-7))</f>
        <v/>
      </c>
    </row>
    <row r="85">
      <c r="A85" s="44">
        <f>IFERROR(MATCH(79,매출원본!$BE$8:$BE$1007,0)+7,"")</f>
        <v/>
      </c>
      <c r="B85" s="45">
        <f>IF(A85="","",INDEX(매출원본!$AS$8:$AS$1007,A85-7))</f>
        <v/>
      </c>
      <c r="C85" s="46">
        <f>IF(A85="","",INDEX(매출원본!$AY$8:$AY$1007,A85-7))</f>
        <v/>
      </c>
      <c r="D85" s="47">
        <f>IF(A85="","",INDEX(매출원본!$AT$8:$AT$1007,A85-7))</f>
        <v/>
      </c>
      <c r="E85" s="47">
        <f>IF(A85="","",INDEX(매출원본!$AU$8:$AU$1007,A85-7))</f>
        <v/>
      </c>
      <c r="F85" s="46">
        <f>IF(A85="","",INDEX(매출원본!$BC$8:$BC$1007,A85-7))</f>
        <v/>
      </c>
      <c r="H85" s="44">
        <f>IFERROR(MATCH(79,매입원본!$BE$8:$BE$1007,0)+7,"")</f>
        <v/>
      </c>
      <c r="I85" s="45">
        <f>IF(H85="","",INDEX(매입원본!$AS$8:$AS$1007,H85-7))</f>
        <v/>
      </c>
      <c r="J85" s="46">
        <f>IF(H85="","",INDEX(매입원본!$AY$8:$AY$1007,H85-7))</f>
        <v/>
      </c>
      <c r="K85" s="47">
        <f>IF(H85="","",INDEX(매입원본!$AT$8:$AT$1007,H85-7))</f>
        <v/>
      </c>
      <c r="L85" s="47">
        <f>IF(H85="","",INDEX(매입원본!$AU$8:$AU$1007,H85-7))</f>
        <v/>
      </c>
      <c r="M85" s="46">
        <f>IF(H85="","",INDEX(매입원본!$BC$8:$BC$1007,H85-7))</f>
        <v/>
      </c>
    </row>
    <row r="86">
      <c r="A86" s="44">
        <f>IFERROR(MATCH(80,매출원본!$BE$8:$BE$1007,0)+7,"")</f>
        <v/>
      </c>
      <c r="B86" s="45">
        <f>IF(A86="","",INDEX(매출원본!$AS$8:$AS$1007,A86-7))</f>
        <v/>
      </c>
      <c r="C86" s="46">
        <f>IF(A86="","",INDEX(매출원본!$AY$8:$AY$1007,A86-7))</f>
        <v/>
      </c>
      <c r="D86" s="47">
        <f>IF(A86="","",INDEX(매출원본!$AT$8:$AT$1007,A86-7))</f>
        <v/>
      </c>
      <c r="E86" s="47">
        <f>IF(A86="","",INDEX(매출원본!$AU$8:$AU$1007,A86-7))</f>
        <v/>
      </c>
      <c r="F86" s="46">
        <f>IF(A86="","",INDEX(매출원본!$BC$8:$BC$1007,A86-7))</f>
        <v/>
      </c>
      <c r="H86" s="44">
        <f>IFERROR(MATCH(80,매입원본!$BE$8:$BE$1007,0)+7,"")</f>
        <v/>
      </c>
      <c r="I86" s="45">
        <f>IF(H86="","",INDEX(매입원본!$AS$8:$AS$1007,H86-7))</f>
        <v/>
      </c>
      <c r="J86" s="46">
        <f>IF(H86="","",INDEX(매입원본!$AY$8:$AY$1007,H86-7))</f>
        <v/>
      </c>
      <c r="K86" s="47">
        <f>IF(H86="","",INDEX(매입원본!$AT$8:$AT$1007,H86-7))</f>
        <v/>
      </c>
      <c r="L86" s="47">
        <f>IF(H86="","",INDEX(매입원본!$AU$8:$AU$1007,H86-7))</f>
        <v/>
      </c>
      <c r="M86" s="46">
        <f>IF(H86="","",INDEX(매입원본!$BC$8:$BC$1007,H86-7))</f>
        <v/>
      </c>
    </row>
    <row r="87">
      <c r="A87" s="44">
        <f>IFERROR(MATCH(81,매출원본!$BE$8:$BE$1007,0)+7,"")</f>
        <v/>
      </c>
      <c r="B87" s="45">
        <f>IF(A87="","",INDEX(매출원본!$AS$8:$AS$1007,A87-7))</f>
        <v/>
      </c>
      <c r="C87" s="46">
        <f>IF(A87="","",INDEX(매출원본!$AY$8:$AY$1007,A87-7))</f>
        <v/>
      </c>
      <c r="D87" s="47">
        <f>IF(A87="","",INDEX(매출원본!$AT$8:$AT$1007,A87-7))</f>
        <v/>
      </c>
      <c r="E87" s="47">
        <f>IF(A87="","",INDEX(매출원본!$AU$8:$AU$1007,A87-7))</f>
        <v/>
      </c>
      <c r="F87" s="46">
        <f>IF(A87="","",INDEX(매출원본!$BC$8:$BC$1007,A87-7))</f>
        <v/>
      </c>
      <c r="H87" s="44">
        <f>IFERROR(MATCH(81,매입원본!$BE$8:$BE$1007,0)+7,"")</f>
        <v/>
      </c>
      <c r="I87" s="45">
        <f>IF(H87="","",INDEX(매입원본!$AS$8:$AS$1007,H87-7))</f>
        <v/>
      </c>
      <c r="J87" s="46">
        <f>IF(H87="","",INDEX(매입원본!$AY$8:$AY$1007,H87-7))</f>
        <v/>
      </c>
      <c r="K87" s="47">
        <f>IF(H87="","",INDEX(매입원본!$AT$8:$AT$1007,H87-7))</f>
        <v/>
      </c>
      <c r="L87" s="47">
        <f>IF(H87="","",INDEX(매입원본!$AU$8:$AU$1007,H87-7))</f>
        <v/>
      </c>
      <c r="M87" s="46">
        <f>IF(H87="","",INDEX(매입원본!$BC$8:$BC$1007,H87-7))</f>
        <v/>
      </c>
    </row>
    <row r="88">
      <c r="A88" s="44">
        <f>IFERROR(MATCH(82,매출원본!$BE$8:$BE$1007,0)+7,"")</f>
        <v/>
      </c>
      <c r="B88" s="45">
        <f>IF(A88="","",INDEX(매출원본!$AS$8:$AS$1007,A88-7))</f>
        <v/>
      </c>
      <c r="C88" s="46">
        <f>IF(A88="","",INDEX(매출원본!$AY$8:$AY$1007,A88-7))</f>
        <v/>
      </c>
      <c r="D88" s="47">
        <f>IF(A88="","",INDEX(매출원본!$AT$8:$AT$1007,A88-7))</f>
        <v/>
      </c>
      <c r="E88" s="47">
        <f>IF(A88="","",INDEX(매출원본!$AU$8:$AU$1007,A88-7))</f>
        <v/>
      </c>
      <c r="F88" s="46">
        <f>IF(A88="","",INDEX(매출원본!$BC$8:$BC$1007,A88-7))</f>
        <v/>
      </c>
      <c r="H88" s="44">
        <f>IFERROR(MATCH(82,매입원본!$BE$8:$BE$1007,0)+7,"")</f>
        <v/>
      </c>
      <c r="I88" s="45">
        <f>IF(H88="","",INDEX(매입원본!$AS$8:$AS$1007,H88-7))</f>
        <v/>
      </c>
      <c r="J88" s="46">
        <f>IF(H88="","",INDEX(매입원본!$AY$8:$AY$1007,H88-7))</f>
        <v/>
      </c>
      <c r="K88" s="47">
        <f>IF(H88="","",INDEX(매입원본!$AT$8:$AT$1007,H88-7))</f>
        <v/>
      </c>
      <c r="L88" s="47">
        <f>IF(H88="","",INDEX(매입원본!$AU$8:$AU$1007,H88-7))</f>
        <v/>
      </c>
      <c r="M88" s="46">
        <f>IF(H88="","",INDEX(매입원본!$BC$8:$BC$1007,H88-7))</f>
        <v/>
      </c>
    </row>
    <row r="89">
      <c r="A89" s="44">
        <f>IFERROR(MATCH(83,매출원본!$BE$8:$BE$1007,0)+7,"")</f>
        <v/>
      </c>
      <c r="B89" s="45">
        <f>IF(A89="","",INDEX(매출원본!$AS$8:$AS$1007,A89-7))</f>
        <v/>
      </c>
      <c r="C89" s="46">
        <f>IF(A89="","",INDEX(매출원본!$AY$8:$AY$1007,A89-7))</f>
        <v/>
      </c>
      <c r="D89" s="47">
        <f>IF(A89="","",INDEX(매출원본!$AT$8:$AT$1007,A89-7))</f>
        <v/>
      </c>
      <c r="E89" s="47">
        <f>IF(A89="","",INDEX(매출원본!$AU$8:$AU$1007,A89-7))</f>
        <v/>
      </c>
      <c r="F89" s="46">
        <f>IF(A89="","",INDEX(매출원본!$BC$8:$BC$1007,A89-7))</f>
        <v/>
      </c>
      <c r="H89" s="44">
        <f>IFERROR(MATCH(83,매입원본!$BE$8:$BE$1007,0)+7,"")</f>
        <v/>
      </c>
      <c r="I89" s="45">
        <f>IF(H89="","",INDEX(매입원본!$AS$8:$AS$1007,H89-7))</f>
        <v/>
      </c>
      <c r="J89" s="46">
        <f>IF(H89="","",INDEX(매입원본!$AY$8:$AY$1007,H89-7))</f>
        <v/>
      </c>
      <c r="K89" s="47">
        <f>IF(H89="","",INDEX(매입원본!$AT$8:$AT$1007,H89-7))</f>
        <v/>
      </c>
      <c r="L89" s="47">
        <f>IF(H89="","",INDEX(매입원본!$AU$8:$AU$1007,H89-7))</f>
        <v/>
      </c>
      <c r="M89" s="46">
        <f>IF(H89="","",INDEX(매입원본!$BC$8:$BC$1007,H89-7))</f>
        <v/>
      </c>
    </row>
    <row r="90">
      <c r="A90" s="44">
        <f>IFERROR(MATCH(84,매출원본!$BE$8:$BE$1007,0)+7,"")</f>
        <v/>
      </c>
      <c r="B90" s="45">
        <f>IF(A90="","",INDEX(매출원본!$AS$8:$AS$1007,A90-7))</f>
        <v/>
      </c>
      <c r="C90" s="46">
        <f>IF(A90="","",INDEX(매출원본!$AY$8:$AY$1007,A90-7))</f>
        <v/>
      </c>
      <c r="D90" s="47">
        <f>IF(A90="","",INDEX(매출원본!$AT$8:$AT$1007,A90-7))</f>
        <v/>
      </c>
      <c r="E90" s="47">
        <f>IF(A90="","",INDEX(매출원본!$AU$8:$AU$1007,A90-7))</f>
        <v/>
      </c>
      <c r="F90" s="46">
        <f>IF(A90="","",INDEX(매출원본!$BC$8:$BC$1007,A90-7))</f>
        <v/>
      </c>
      <c r="H90" s="44">
        <f>IFERROR(MATCH(84,매입원본!$BE$8:$BE$1007,0)+7,"")</f>
        <v/>
      </c>
      <c r="I90" s="45">
        <f>IF(H90="","",INDEX(매입원본!$AS$8:$AS$1007,H90-7))</f>
        <v/>
      </c>
      <c r="J90" s="46">
        <f>IF(H90="","",INDEX(매입원본!$AY$8:$AY$1007,H90-7))</f>
        <v/>
      </c>
      <c r="K90" s="47">
        <f>IF(H90="","",INDEX(매입원본!$AT$8:$AT$1007,H90-7))</f>
        <v/>
      </c>
      <c r="L90" s="47">
        <f>IF(H90="","",INDEX(매입원본!$AU$8:$AU$1007,H90-7))</f>
        <v/>
      </c>
      <c r="M90" s="46">
        <f>IF(H90="","",INDEX(매입원본!$BC$8:$BC$1007,H90-7))</f>
        <v/>
      </c>
    </row>
    <row r="91">
      <c r="A91" s="44">
        <f>IFERROR(MATCH(85,매출원본!$BE$8:$BE$1007,0)+7,"")</f>
        <v/>
      </c>
      <c r="B91" s="45">
        <f>IF(A91="","",INDEX(매출원본!$AS$8:$AS$1007,A91-7))</f>
        <v/>
      </c>
      <c r="C91" s="46">
        <f>IF(A91="","",INDEX(매출원본!$AY$8:$AY$1007,A91-7))</f>
        <v/>
      </c>
      <c r="D91" s="47">
        <f>IF(A91="","",INDEX(매출원본!$AT$8:$AT$1007,A91-7))</f>
        <v/>
      </c>
      <c r="E91" s="47">
        <f>IF(A91="","",INDEX(매출원본!$AU$8:$AU$1007,A91-7))</f>
        <v/>
      </c>
      <c r="F91" s="46">
        <f>IF(A91="","",INDEX(매출원본!$BC$8:$BC$1007,A91-7))</f>
        <v/>
      </c>
      <c r="H91" s="44">
        <f>IFERROR(MATCH(85,매입원본!$BE$8:$BE$1007,0)+7,"")</f>
        <v/>
      </c>
      <c r="I91" s="45">
        <f>IF(H91="","",INDEX(매입원본!$AS$8:$AS$1007,H91-7))</f>
        <v/>
      </c>
      <c r="J91" s="46">
        <f>IF(H91="","",INDEX(매입원본!$AY$8:$AY$1007,H91-7))</f>
        <v/>
      </c>
      <c r="K91" s="47">
        <f>IF(H91="","",INDEX(매입원본!$AT$8:$AT$1007,H91-7))</f>
        <v/>
      </c>
      <c r="L91" s="47">
        <f>IF(H91="","",INDEX(매입원본!$AU$8:$AU$1007,H91-7))</f>
        <v/>
      </c>
      <c r="M91" s="46">
        <f>IF(H91="","",INDEX(매입원본!$BC$8:$BC$1007,H91-7))</f>
        <v/>
      </c>
    </row>
    <row r="92">
      <c r="A92" s="44">
        <f>IFERROR(MATCH(86,매출원본!$BE$8:$BE$1007,0)+7,"")</f>
        <v/>
      </c>
      <c r="B92" s="45">
        <f>IF(A92="","",INDEX(매출원본!$AS$8:$AS$1007,A92-7))</f>
        <v/>
      </c>
      <c r="C92" s="46">
        <f>IF(A92="","",INDEX(매출원본!$AY$8:$AY$1007,A92-7))</f>
        <v/>
      </c>
      <c r="D92" s="47">
        <f>IF(A92="","",INDEX(매출원본!$AT$8:$AT$1007,A92-7))</f>
        <v/>
      </c>
      <c r="E92" s="47">
        <f>IF(A92="","",INDEX(매출원본!$AU$8:$AU$1007,A92-7))</f>
        <v/>
      </c>
      <c r="F92" s="46">
        <f>IF(A92="","",INDEX(매출원본!$BC$8:$BC$1007,A92-7))</f>
        <v/>
      </c>
      <c r="H92" s="44">
        <f>IFERROR(MATCH(86,매입원본!$BE$8:$BE$1007,0)+7,"")</f>
        <v/>
      </c>
      <c r="I92" s="45">
        <f>IF(H92="","",INDEX(매입원본!$AS$8:$AS$1007,H92-7))</f>
        <v/>
      </c>
      <c r="J92" s="46">
        <f>IF(H92="","",INDEX(매입원본!$AY$8:$AY$1007,H92-7))</f>
        <v/>
      </c>
      <c r="K92" s="47">
        <f>IF(H92="","",INDEX(매입원본!$AT$8:$AT$1007,H92-7))</f>
        <v/>
      </c>
      <c r="L92" s="47">
        <f>IF(H92="","",INDEX(매입원본!$AU$8:$AU$1007,H92-7))</f>
        <v/>
      </c>
      <c r="M92" s="46">
        <f>IF(H92="","",INDEX(매입원본!$BC$8:$BC$1007,H92-7))</f>
        <v/>
      </c>
    </row>
    <row r="93">
      <c r="A93" s="44">
        <f>IFERROR(MATCH(87,매출원본!$BE$8:$BE$1007,0)+7,"")</f>
        <v/>
      </c>
      <c r="B93" s="45">
        <f>IF(A93="","",INDEX(매출원본!$AS$8:$AS$1007,A93-7))</f>
        <v/>
      </c>
      <c r="C93" s="46">
        <f>IF(A93="","",INDEX(매출원본!$AY$8:$AY$1007,A93-7))</f>
        <v/>
      </c>
      <c r="D93" s="47">
        <f>IF(A93="","",INDEX(매출원본!$AT$8:$AT$1007,A93-7))</f>
        <v/>
      </c>
      <c r="E93" s="47">
        <f>IF(A93="","",INDEX(매출원본!$AU$8:$AU$1007,A93-7))</f>
        <v/>
      </c>
      <c r="F93" s="46">
        <f>IF(A93="","",INDEX(매출원본!$BC$8:$BC$1007,A93-7))</f>
        <v/>
      </c>
      <c r="H93" s="44">
        <f>IFERROR(MATCH(87,매입원본!$BE$8:$BE$1007,0)+7,"")</f>
        <v/>
      </c>
      <c r="I93" s="45">
        <f>IF(H93="","",INDEX(매입원본!$AS$8:$AS$1007,H93-7))</f>
        <v/>
      </c>
      <c r="J93" s="46">
        <f>IF(H93="","",INDEX(매입원본!$AY$8:$AY$1007,H93-7))</f>
        <v/>
      </c>
      <c r="K93" s="47">
        <f>IF(H93="","",INDEX(매입원본!$AT$8:$AT$1007,H93-7))</f>
        <v/>
      </c>
      <c r="L93" s="47">
        <f>IF(H93="","",INDEX(매입원본!$AU$8:$AU$1007,H93-7))</f>
        <v/>
      </c>
      <c r="M93" s="46">
        <f>IF(H93="","",INDEX(매입원본!$BC$8:$BC$1007,H93-7))</f>
        <v/>
      </c>
    </row>
    <row r="94">
      <c r="A94" s="44">
        <f>IFERROR(MATCH(88,매출원본!$BE$8:$BE$1007,0)+7,"")</f>
        <v/>
      </c>
      <c r="B94" s="45">
        <f>IF(A94="","",INDEX(매출원본!$AS$8:$AS$1007,A94-7))</f>
        <v/>
      </c>
      <c r="C94" s="46">
        <f>IF(A94="","",INDEX(매출원본!$AY$8:$AY$1007,A94-7))</f>
        <v/>
      </c>
      <c r="D94" s="47">
        <f>IF(A94="","",INDEX(매출원본!$AT$8:$AT$1007,A94-7))</f>
        <v/>
      </c>
      <c r="E94" s="47">
        <f>IF(A94="","",INDEX(매출원본!$AU$8:$AU$1007,A94-7))</f>
        <v/>
      </c>
      <c r="F94" s="46">
        <f>IF(A94="","",INDEX(매출원본!$BC$8:$BC$1007,A94-7))</f>
        <v/>
      </c>
      <c r="H94" s="44">
        <f>IFERROR(MATCH(88,매입원본!$BE$8:$BE$1007,0)+7,"")</f>
        <v/>
      </c>
      <c r="I94" s="45">
        <f>IF(H94="","",INDEX(매입원본!$AS$8:$AS$1007,H94-7))</f>
        <v/>
      </c>
      <c r="J94" s="46">
        <f>IF(H94="","",INDEX(매입원본!$AY$8:$AY$1007,H94-7))</f>
        <v/>
      </c>
      <c r="K94" s="47">
        <f>IF(H94="","",INDEX(매입원본!$AT$8:$AT$1007,H94-7))</f>
        <v/>
      </c>
      <c r="L94" s="47">
        <f>IF(H94="","",INDEX(매입원본!$AU$8:$AU$1007,H94-7))</f>
        <v/>
      </c>
      <c r="M94" s="46">
        <f>IF(H94="","",INDEX(매입원본!$BC$8:$BC$1007,H94-7))</f>
        <v/>
      </c>
    </row>
    <row r="95">
      <c r="A95" s="44">
        <f>IFERROR(MATCH(89,매출원본!$BE$8:$BE$1007,0)+7,"")</f>
        <v/>
      </c>
      <c r="B95" s="45">
        <f>IF(A95="","",INDEX(매출원본!$AS$8:$AS$1007,A95-7))</f>
        <v/>
      </c>
      <c r="C95" s="46">
        <f>IF(A95="","",INDEX(매출원본!$AY$8:$AY$1007,A95-7))</f>
        <v/>
      </c>
      <c r="D95" s="47">
        <f>IF(A95="","",INDEX(매출원본!$AT$8:$AT$1007,A95-7))</f>
        <v/>
      </c>
      <c r="E95" s="47">
        <f>IF(A95="","",INDEX(매출원본!$AU$8:$AU$1007,A95-7))</f>
        <v/>
      </c>
      <c r="F95" s="46">
        <f>IF(A95="","",INDEX(매출원본!$BC$8:$BC$1007,A95-7))</f>
        <v/>
      </c>
      <c r="H95" s="44">
        <f>IFERROR(MATCH(89,매입원본!$BE$8:$BE$1007,0)+7,"")</f>
        <v/>
      </c>
      <c r="I95" s="45">
        <f>IF(H95="","",INDEX(매입원본!$AS$8:$AS$1007,H95-7))</f>
        <v/>
      </c>
      <c r="J95" s="46">
        <f>IF(H95="","",INDEX(매입원본!$AY$8:$AY$1007,H95-7))</f>
        <v/>
      </c>
      <c r="K95" s="47">
        <f>IF(H95="","",INDEX(매입원본!$AT$8:$AT$1007,H95-7))</f>
        <v/>
      </c>
      <c r="L95" s="47">
        <f>IF(H95="","",INDEX(매입원본!$AU$8:$AU$1007,H95-7))</f>
        <v/>
      </c>
      <c r="M95" s="46">
        <f>IF(H95="","",INDEX(매입원본!$BC$8:$BC$1007,H95-7))</f>
        <v/>
      </c>
    </row>
    <row r="96">
      <c r="A96" s="44">
        <f>IFERROR(MATCH(90,매출원본!$BE$8:$BE$1007,0)+7,"")</f>
        <v/>
      </c>
      <c r="B96" s="45">
        <f>IF(A96="","",INDEX(매출원본!$AS$8:$AS$1007,A96-7))</f>
        <v/>
      </c>
      <c r="C96" s="46">
        <f>IF(A96="","",INDEX(매출원본!$AY$8:$AY$1007,A96-7))</f>
        <v/>
      </c>
      <c r="D96" s="47">
        <f>IF(A96="","",INDEX(매출원본!$AT$8:$AT$1007,A96-7))</f>
        <v/>
      </c>
      <c r="E96" s="47">
        <f>IF(A96="","",INDEX(매출원본!$AU$8:$AU$1007,A96-7))</f>
        <v/>
      </c>
      <c r="F96" s="46">
        <f>IF(A96="","",INDEX(매출원본!$BC$8:$BC$1007,A96-7))</f>
        <v/>
      </c>
      <c r="H96" s="44">
        <f>IFERROR(MATCH(90,매입원본!$BE$8:$BE$1007,0)+7,"")</f>
        <v/>
      </c>
      <c r="I96" s="45">
        <f>IF(H96="","",INDEX(매입원본!$AS$8:$AS$1007,H96-7))</f>
        <v/>
      </c>
      <c r="J96" s="46">
        <f>IF(H96="","",INDEX(매입원본!$AY$8:$AY$1007,H96-7))</f>
        <v/>
      </c>
      <c r="K96" s="47">
        <f>IF(H96="","",INDEX(매입원본!$AT$8:$AT$1007,H96-7))</f>
        <v/>
      </c>
      <c r="L96" s="47">
        <f>IF(H96="","",INDEX(매입원본!$AU$8:$AU$1007,H96-7))</f>
        <v/>
      </c>
      <c r="M96" s="46">
        <f>IF(H96="","",INDEX(매입원본!$BC$8:$BC$1007,H96-7))</f>
        <v/>
      </c>
    </row>
    <row r="97">
      <c r="A97" s="44">
        <f>IFERROR(MATCH(91,매출원본!$BE$8:$BE$1007,0)+7,"")</f>
        <v/>
      </c>
      <c r="B97" s="45">
        <f>IF(A97="","",INDEX(매출원본!$AS$8:$AS$1007,A97-7))</f>
        <v/>
      </c>
      <c r="C97" s="46">
        <f>IF(A97="","",INDEX(매출원본!$AY$8:$AY$1007,A97-7))</f>
        <v/>
      </c>
      <c r="D97" s="47">
        <f>IF(A97="","",INDEX(매출원본!$AT$8:$AT$1007,A97-7))</f>
        <v/>
      </c>
      <c r="E97" s="47">
        <f>IF(A97="","",INDEX(매출원본!$AU$8:$AU$1007,A97-7))</f>
        <v/>
      </c>
      <c r="F97" s="46">
        <f>IF(A97="","",INDEX(매출원본!$BC$8:$BC$1007,A97-7))</f>
        <v/>
      </c>
      <c r="H97" s="44">
        <f>IFERROR(MATCH(91,매입원본!$BE$8:$BE$1007,0)+7,"")</f>
        <v/>
      </c>
      <c r="I97" s="45">
        <f>IF(H97="","",INDEX(매입원본!$AS$8:$AS$1007,H97-7))</f>
        <v/>
      </c>
      <c r="J97" s="46">
        <f>IF(H97="","",INDEX(매입원본!$AY$8:$AY$1007,H97-7))</f>
        <v/>
      </c>
      <c r="K97" s="47">
        <f>IF(H97="","",INDEX(매입원본!$AT$8:$AT$1007,H97-7))</f>
        <v/>
      </c>
      <c r="L97" s="47">
        <f>IF(H97="","",INDEX(매입원본!$AU$8:$AU$1007,H97-7))</f>
        <v/>
      </c>
      <c r="M97" s="46">
        <f>IF(H97="","",INDEX(매입원본!$BC$8:$BC$1007,H97-7))</f>
        <v/>
      </c>
    </row>
    <row r="98">
      <c r="A98" s="44">
        <f>IFERROR(MATCH(92,매출원본!$BE$8:$BE$1007,0)+7,"")</f>
        <v/>
      </c>
      <c r="B98" s="45">
        <f>IF(A98="","",INDEX(매출원본!$AS$8:$AS$1007,A98-7))</f>
        <v/>
      </c>
      <c r="C98" s="46">
        <f>IF(A98="","",INDEX(매출원본!$AY$8:$AY$1007,A98-7))</f>
        <v/>
      </c>
      <c r="D98" s="47">
        <f>IF(A98="","",INDEX(매출원본!$AT$8:$AT$1007,A98-7))</f>
        <v/>
      </c>
      <c r="E98" s="47">
        <f>IF(A98="","",INDEX(매출원본!$AU$8:$AU$1007,A98-7))</f>
        <v/>
      </c>
      <c r="F98" s="46">
        <f>IF(A98="","",INDEX(매출원본!$BC$8:$BC$1007,A98-7))</f>
        <v/>
      </c>
      <c r="H98" s="44">
        <f>IFERROR(MATCH(92,매입원본!$BE$8:$BE$1007,0)+7,"")</f>
        <v/>
      </c>
      <c r="I98" s="45">
        <f>IF(H98="","",INDEX(매입원본!$AS$8:$AS$1007,H98-7))</f>
        <v/>
      </c>
      <c r="J98" s="46">
        <f>IF(H98="","",INDEX(매입원본!$AY$8:$AY$1007,H98-7))</f>
        <v/>
      </c>
      <c r="K98" s="47">
        <f>IF(H98="","",INDEX(매입원본!$AT$8:$AT$1007,H98-7))</f>
        <v/>
      </c>
      <c r="L98" s="47">
        <f>IF(H98="","",INDEX(매입원본!$AU$8:$AU$1007,H98-7))</f>
        <v/>
      </c>
      <c r="M98" s="46">
        <f>IF(H98="","",INDEX(매입원본!$BC$8:$BC$1007,H98-7))</f>
        <v/>
      </c>
    </row>
    <row r="99">
      <c r="A99" s="44">
        <f>IFERROR(MATCH(93,매출원본!$BE$8:$BE$1007,0)+7,"")</f>
        <v/>
      </c>
      <c r="B99" s="45">
        <f>IF(A99="","",INDEX(매출원본!$AS$8:$AS$1007,A99-7))</f>
        <v/>
      </c>
      <c r="C99" s="46">
        <f>IF(A99="","",INDEX(매출원본!$AY$8:$AY$1007,A99-7))</f>
        <v/>
      </c>
      <c r="D99" s="47">
        <f>IF(A99="","",INDEX(매출원본!$AT$8:$AT$1007,A99-7))</f>
        <v/>
      </c>
      <c r="E99" s="47">
        <f>IF(A99="","",INDEX(매출원본!$AU$8:$AU$1007,A99-7))</f>
        <v/>
      </c>
      <c r="F99" s="46">
        <f>IF(A99="","",INDEX(매출원본!$BC$8:$BC$1007,A99-7))</f>
        <v/>
      </c>
      <c r="H99" s="44">
        <f>IFERROR(MATCH(93,매입원본!$BE$8:$BE$1007,0)+7,"")</f>
        <v/>
      </c>
      <c r="I99" s="45">
        <f>IF(H99="","",INDEX(매입원본!$AS$8:$AS$1007,H99-7))</f>
        <v/>
      </c>
      <c r="J99" s="46">
        <f>IF(H99="","",INDEX(매입원본!$AY$8:$AY$1007,H99-7))</f>
        <v/>
      </c>
      <c r="K99" s="47">
        <f>IF(H99="","",INDEX(매입원본!$AT$8:$AT$1007,H99-7))</f>
        <v/>
      </c>
      <c r="L99" s="47">
        <f>IF(H99="","",INDEX(매입원본!$AU$8:$AU$1007,H99-7))</f>
        <v/>
      </c>
      <c r="M99" s="46">
        <f>IF(H99="","",INDEX(매입원본!$BC$8:$BC$1007,H99-7))</f>
        <v/>
      </c>
    </row>
    <row r="100">
      <c r="A100" s="44">
        <f>IFERROR(MATCH(94,매출원본!$BE$8:$BE$1007,0)+7,"")</f>
        <v/>
      </c>
      <c r="B100" s="45">
        <f>IF(A100="","",INDEX(매출원본!$AS$8:$AS$1007,A100-7))</f>
        <v/>
      </c>
      <c r="C100" s="46">
        <f>IF(A100="","",INDEX(매출원본!$AY$8:$AY$1007,A100-7))</f>
        <v/>
      </c>
      <c r="D100" s="47">
        <f>IF(A100="","",INDEX(매출원본!$AT$8:$AT$1007,A100-7))</f>
        <v/>
      </c>
      <c r="E100" s="47">
        <f>IF(A100="","",INDEX(매출원본!$AU$8:$AU$1007,A100-7))</f>
        <v/>
      </c>
      <c r="F100" s="46">
        <f>IF(A100="","",INDEX(매출원본!$BC$8:$BC$1007,A100-7))</f>
        <v/>
      </c>
      <c r="H100" s="44">
        <f>IFERROR(MATCH(94,매입원본!$BE$8:$BE$1007,0)+7,"")</f>
        <v/>
      </c>
      <c r="I100" s="45">
        <f>IF(H100="","",INDEX(매입원본!$AS$8:$AS$1007,H100-7))</f>
        <v/>
      </c>
      <c r="J100" s="46">
        <f>IF(H100="","",INDEX(매입원본!$AY$8:$AY$1007,H100-7))</f>
        <v/>
      </c>
      <c r="K100" s="47">
        <f>IF(H100="","",INDEX(매입원본!$AT$8:$AT$1007,H100-7))</f>
        <v/>
      </c>
      <c r="L100" s="47">
        <f>IF(H100="","",INDEX(매입원본!$AU$8:$AU$1007,H100-7))</f>
        <v/>
      </c>
      <c r="M100" s="46">
        <f>IF(H100="","",INDEX(매입원본!$BC$8:$BC$1007,H100-7))</f>
        <v/>
      </c>
    </row>
    <row r="101">
      <c r="A101" s="44">
        <f>IFERROR(MATCH(95,매출원본!$BE$8:$BE$1007,0)+7,"")</f>
        <v/>
      </c>
      <c r="B101" s="45">
        <f>IF(A101="","",INDEX(매출원본!$AS$8:$AS$1007,A101-7))</f>
        <v/>
      </c>
      <c r="C101" s="46">
        <f>IF(A101="","",INDEX(매출원본!$AY$8:$AY$1007,A101-7))</f>
        <v/>
      </c>
      <c r="D101" s="47">
        <f>IF(A101="","",INDEX(매출원본!$AT$8:$AT$1007,A101-7))</f>
        <v/>
      </c>
      <c r="E101" s="47">
        <f>IF(A101="","",INDEX(매출원본!$AU$8:$AU$1007,A101-7))</f>
        <v/>
      </c>
      <c r="F101" s="46">
        <f>IF(A101="","",INDEX(매출원본!$BC$8:$BC$1007,A101-7))</f>
        <v/>
      </c>
      <c r="H101" s="44">
        <f>IFERROR(MATCH(95,매입원본!$BE$8:$BE$1007,0)+7,"")</f>
        <v/>
      </c>
      <c r="I101" s="45">
        <f>IF(H101="","",INDEX(매입원본!$AS$8:$AS$1007,H101-7))</f>
        <v/>
      </c>
      <c r="J101" s="46">
        <f>IF(H101="","",INDEX(매입원본!$AY$8:$AY$1007,H101-7))</f>
        <v/>
      </c>
      <c r="K101" s="47">
        <f>IF(H101="","",INDEX(매입원본!$AT$8:$AT$1007,H101-7))</f>
        <v/>
      </c>
      <c r="L101" s="47">
        <f>IF(H101="","",INDEX(매입원본!$AU$8:$AU$1007,H101-7))</f>
        <v/>
      </c>
      <c r="M101" s="46">
        <f>IF(H101="","",INDEX(매입원본!$BC$8:$BC$1007,H101-7))</f>
        <v/>
      </c>
    </row>
    <row r="102">
      <c r="A102" s="44">
        <f>IFERROR(MATCH(96,매출원본!$BE$8:$BE$1007,0)+7,"")</f>
        <v/>
      </c>
      <c r="B102" s="45">
        <f>IF(A102="","",INDEX(매출원본!$AS$8:$AS$1007,A102-7))</f>
        <v/>
      </c>
      <c r="C102" s="46">
        <f>IF(A102="","",INDEX(매출원본!$AY$8:$AY$1007,A102-7))</f>
        <v/>
      </c>
      <c r="D102" s="47">
        <f>IF(A102="","",INDEX(매출원본!$AT$8:$AT$1007,A102-7))</f>
        <v/>
      </c>
      <c r="E102" s="47">
        <f>IF(A102="","",INDEX(매출원본!$AU$8:$AU$1007,A102-7))</f>
        <v/>
      </c>
      <c r="F102" s="46">
        <f>IF(A102="","",INDEX(매출원본!$BC$8:$BC$1007,A102-7))</f>
        <v/>
      </c>
      <c r="H102" s="44">
        <f>IFERROR(MATCH(96,매입원본!$BE$8:$BE$1007,0)+7,"")</f>
        <v/>
      </c>
      <c r="I102" s="45">
        <f>IF(H102="","",INDEX(매입원본!$AS$8:$AS$1007,H102-7))</f>
        <v/>
      </c>
      <c r="J102" s="46">
        <f>IF(H102="","",INDEX(매입원본!$AY$8:$AY$1007,H102-7))</f>
        <v/>
      </c>
      <c r="K102" s="47">
        <f>IF(H102="","",INDEX(매입원본!$AT$8:$AT$1007,H102-7))</f>
        <v/>
      </c>
      <c r="L102" s="47">
        <f>IF(H102="","",INDEX(매입원본!$AU$8:$AU$1007,H102-7))</f>
        <v/>
      </c>
      <c r="M102" s="46">
        <f>IF(H102="","",INDEX(매입원본!$BC$8:$BC$1007,H102-7))</f>
        <v/>
      </c>
    </row>
    <row r="103">
      <c r="A103" s="44">
        <f>IFERROR(MATCH(97,매출원본!$BE$8:$BE$1007,0)+7,"")</f>
        <v/>
      </c>
      <c r="B103" s="45">
        <f>IF(A103="","",INDEX(매출원본!$AS$8:$AS$1007,A103-7))</f>
        <v/>
      </c>
      <c r="C103" s="46">
        <f>IF(A103="","",INDEX(매출원본!$AY$8:$AY$1007,A103-7))</f>
        <v/>
      </c>
      <c r="D103" s="47">
        <f>IF(A103="","",INDEX(매출원본!$AT$8:$AT$1007,A103-7))</f>
        <v/>
      </c>
      <c r="E103" s="47">
        <f>IF(A103="","",INDEX(매출원본!$AU$8:$AU$1007,A103-7))</f>
        <v/>
      </c>
      <c r="F103" s="46">
        <f>IF(A103="","",INDEX(매출원본!$BC$8:$BC$1007,A103-7))</f>
        <v/>
      </c>
      <c r="H103" s="44">
        <f>IFERROR(MATCH(97,매입원본!$BE$8:$BE$1007,0)+7,"")</f>
        <v/>
      </c>
      <c r="I103" s="45">
        <f>IF(H103="","",INDEX(매입원본!$AS$8:$AS$1007,H103-7))</f>
        <v/>
      </c>
      <c r="J103" s="46">
        <f>IF(H103="","",INDEX(매입원본!$AY$8:$AY$1007,H103-7))</f>
        <v/>
      </c>
      <c r="K103" s="47">
        <f>IF(H103="","",INDEX(매입원본!$AT$8:$AT$1007,H103-7))</f>
        <v/>
      </c>
      <c r="L103" s="47">
        <f>IF(H103="","",INDEX(매입원본!$AU$8:$AU$1007,H103-7))</f>
        <v/>
      </c>
      <c r="M103" s="46">
        <f>IF(H103="","",INDEX(매입원본!$BC$8:$BC$1007,H103-7))</f>
        <v/>
      </c>
    </row>
    <row r="104">
      <c r="A104" s="44">
        <f>IFERROR(MATCH(98,매출원본!$BE$8:$BE$1007,0)+7,"")</f>
        <v/>
      </c>
      <c r="B104" s="45">
        <f>IF(A104="","",INDEX(매출원본!$AS$8:$AS$1007,A104-7))</f>
        <v/>
      </c>
      <c r="C104" s="46">
        <f>IF(A104="","",INDEX(매출원본!$AY$8:$AY$1007,A104-7))</f>
        <v/>
      </c>
      <c r="D104" s="47">
        <f>IF(A104="","",INDEX(매출원본!$AT$8:$AT$1007,A104-7))</f>
        <v/>
      </c>
      <c r="E104" s="47">
        <f>IF(A104="","",INDEX(매출원본!$AU$8:$AU$1007,A104-7))</f>
        <v/>
      </c>
      <c r="F104" s="46">
        <f>IF(A104="","",INDEX(매출원본!$BC$8:$BC$1007,A104-7))</f>
        <v/>
      </c>
      <c r="H104" s="44">
        <f>IFERROR(MATCH(98,매입원본!$BE$8:$BE$1007,0)+7,"")</f>
        <v/>
      </c>
      <c r="I104" s="45">
        <f>IF(H104="","",INDEX(매입원본!$AS$8:$AS$1007,H104-7))</f>
        <v/>
      </c>
      <c r="J104" s="46">
        <f>IF(H104="","",INDEX(매입원본!$AY$8:$AY$1007,H104-7))</f>
        <v/>
      </c>
      <c r="K104" s="47">
        <f>IF(H104="","",INDEX(매입원본!$AT$8:$AT$1007,H104-7))</f>
        <v/>
      </c>
      <c r="L104" s="47">
        <f>IF(H104="","",INDEX(매입원본!$AU$8:$AU$1007,H104-7))</f>
        <v/>
      </c>
      <c r="M104" s="46">
        <f>IF(H104="","",INDEX(매입원본!$BC$8:$BC$1007,H104-7))</f>
        <v/>
      </c>
    </row>
    <row r="105">
      <c r="A105" s="44">
        <f>IFERROR(MATCH(99,매출원본!$BE$8:$BE$1007,0)+7,"")</f>
        <v/>
      </c>
      <c r="B105" s="45">
        <f>IF(A105="","",INDEX(매출원본!$AS$8:$AS$1007,A105-7))</f>
        <v/>
      </c>
      <c r="C105" s="46">
        <f>IF(A105="","",INDEX(매출원본!$AY$8:$AY$1007,A105-7))</f>
        <v/>
      </c>
      <c r="D105" s="47">
        <f>IF(A105="","",INDEX(매출원본!$AT$8:$AT$1007,A105-7))</f>
        <v/>
      </c>
      <c r="E105" s="47">
        <f>IF(A105="","",INDEX(매출원본!$AU$8:$AU$1007,A105-7))</f>
        <v/>
      </c>
      <c r="F105" s="46">
        <f>IF(A105="","",INDEX(매출원본!$BC$8:$BC$1007,A105-7))</f>
        <v/>
      </c>
      <c r="H105" s="44">
        <f>IFERROR(MATCH(99,매입원본!$BE$8:$BE$1007,0)+7,"")</f>
        <v/>
      </c>
      <c r="I105" s="45">
        <f>IF(H105="","",INDEX(매입원본!$AS$8:$AS$1007,H105-7))</f>
        <v/>
      </c>
      <c r="J105" s="46">
        <f>IF(H105="","",INDEX(매입원본!$AY$8:$AY$1007,H105-7))</f>
        <v/>
      </c>
      <c r="K105" s="47">
        <f>IF(H105="","",INDEX(매입원본!$AT$8:$AT$1007,H105-7))</f>
        <v/>
      </c>
      <c r="L105" s="47">
        <f>IF(H105="","",INDEX(매입원본!$AU$8:$AU$1007,H105-7))</f>
        <v/>
      </c>
      <c r="M105" s="46">
        <f>IF(H105="","",INDEX(매입원본!$BC$8:$BC$1007,H105-7))</f>
        <v/>
      </c>
    </row>
    <row r="106">
      <c r="A106" s="44">
        <f>IFERROR(MATCH(100,매출원본!$BE$8:$BE$1007,0)+7,"")</f>
        <v/>
      </c>
      <c r="B106" s="45">
        <f>IF(A106="","",INDEX(매출원본!$AS$8:$AS$1007,A106-7))</f>
        <v/>
      </c>
      <c r="C106" s="46">
        <f>IF(A106="","",INDEX(매출원본!$AY$8:$AY$1007,A106-7))</f>
        <v/>
      </c>
      <c r="D106" s="47">
        <f>IF(A106="","",INDEX(매출원본!$AT$8:$AT$1007,A106-7))</f>
        <v/>
      </c>
      <c r="E106" s="47">
        <f>IF(A106="","",INDEX(매출원본!$AU$8:$AU$1007,A106-7))</f>
        <v/>
      </c>
      <c r="F106" s="46">
        <f>IF(A106="","",INDEX(매출원본!$BC$8:$BC$1007,A106-7))</f>
        <v/>
      </c>
      <c r="H106" s="44">
        <f>IFERROR(MATCH(100,매입원본!$BE$8:$BE$1007,0)+7,"")</f>
        <v/>
      </c>
      <c r="I106" s="45">
        <f>IF(H106="","",INDEX(매입원본!$AS$8:$AS$1007,H106-7))</f>
        <v/>
      </c>
      <c r="J106" s="46">
        <f>IF(H106="","",INDEX(매입원본!$AY$8:$AY$1007,H106-7))</f>
        <v/>
      </c>
      <c r="K106" s="47">
        <f>IF(H106="","",INDEX(매입원본!$AT$8:$AT$1007,H106-7))</f>
        <v/>
      </c>
      <c r="L106" s="47">
        <f>IF(H106="","",INDEX(매입원본!$AU$8:$AU$1007,H106-7))</f>
        <v/>
      </c>
      <c r="M106" s="46">
        <f>IF(H106="","",INDEX(매입원본!$BC$8:$BC$1007,H106-7))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FFD966"/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70" customWidth="1" min="3" max="3"/>
  </cols>
  <sheetData>
    <row r="1">
      <c r="A1" s="14" t="inlineStr">
        <is>
          <t>보조 · 설정 — 회사 이름과 신고 기간</t>
        </is>
      </c>
    </row>
    <row r="2">
      <c r="A2" s="15" t="inlineStr">
        <is>
          <t>✍ 직접 입력: 노란 칸 — 신고 연도와 신고 구분(목록에서 선택)만 고르면 모든 집계가 그 기간으로 바뀝니다.</t>
        </is>
      </c>
    </row>
    <row r="3">
      <c r="A3" s="2" t="inlineStr">
        <is>
          <t>⚙ 자동 계산: 회색 칸(기간 시작·종료일)은 자동 — 수정 금지.</t>
        </is>
      </c>
    </row>
    <row r="4">
      <c r="A4" s="8" t="inlineStr">
        <is>
          <t>항목</t>
        </is>
      </c>
      <c r="B4" s="8" t="inlineStr">
        <is>
          <t>값</t>
        </is>
      </c>
      <c r="C4" s="8" t="inlineStr">
        <is>
          <t>설명</t>
        </is>
      </c>
      <c r="E4" s="16" t="inlineStr">
        <is>
          <t>신고 구분</t>
        </is>
      </c>
      <c r="F4" s="16" t="inlineStr">
        <is>
          <t>시작월</t>
        </is>
      </c>
      <c r="G4" s="16" t="inlineStr">
        <is>
          <t>개월</t>
        </is>
      </c>
    </row>
    <row r="5">
      <c r="A5" s="48" t="inlineStr">
        <is>
          <t>우리 회사 이름</t>
        </is>
      </c>
      <c r="B5" s="17" t="inlineStr">
        <is>
          <t>(주)가온상사</t>
        </is>
      </c>
      <c r="C5" s="49" t="inlineStr">
        <is>
          <t>요약 시트 제목에 표시 (가상 예시 — 실제 상호로 바꾸세요)</t>
        </is>
      </c>
      <c r="E5" s="12" t="inlineStr">
        <is>
          <t>1기 예정</t>
        </is>
      </c>
      <c r="F5" s="12" t="n">
        <v>1</v>
      </c>
      <c r="G5" s="12" t="n">
        <v>3</v>
      </c>
    </row>
    <row r="6">
      <c r="A6" s="48" t="inlineStr">
        <is>
          <t>신고 연도</t>
        </is>
      </c>
      <c r="B6" s="50" t="n">
        <v>2026</v>
      </c>
      <c r="C6" s="49" t="inlineStr">
        <is>
          <t>예: 2026</t>
        </is>
      </c>
      <c r="E6" s="12" t="inlineStr">
        <is>
          <t>1기 확정</t>
        </is>
      </c>
      <c r="F6" s="12" t="n">
        <v>4</v>
      </c>
      <c r="G6" s="12" t="n">
        <v>3</v>
      </c>
    </row>
    <row r="7">
      <c r="A7" s="48" t="inlineStr">
        <is>
          <t>신고 구분</t>
        </is>
      </c>
      <c r="B7" s="17" t="inlineStr">
        <is>
          <t>2기 예정</t>
        </is>
      </c>
      <c r="C7" s="49" t="inlineStr">
        <is>
          <t>1기 예정(1~3월) · 1기 확정(4~6월) · 2기 예정(7~9월) · 2기 확정(10~12월) · 1기 전체 · 2기 전체</t>
        </is>
      </c>
      <c r="E7" s="12" t="inlineStr">
        <is>
          <t>2기 예정</t>
        </is>
      </c>
      <c r="F7" s="12" t="n">
        <v>7</v>
      </c>
      <c r="G7" s="12" t="n">
        <v>3</v>
      </c>
    </row>
    <row r="8">
      <c r="A8" s="48" t="inlineStr">
        <is>
          <t>세액 확인 허용 오차(원)</t>
        </is>
      </c>
      <c r="B8" s="17" t="n">
        <v>10</v>
      </c>
      <c r="C8" s="49" t="inlineStr">
        <is>
          <t>세액이 공급가액의 10%와 이 금액 넘게 차이 나면 [점검목록]에 표시 (품목별 원 단위 끝수 차이 흡수용)</t>
        </is>
      </c>
      <c r="E8" s="12" t="inlineStr">
        <is>
          <t>2기 확정</t>
        </is>
      </c>
      <c r="F8" s="12" t="n">
        <v>10</v>
      </c>
      <c r="G8" s="12" t="n">
        <v>3</v>
      </c>
    </row>
    <row r="9">
      <c r="E9" s="12" t="inlineStr">
        <is>
          <t>1기 전체</t>
        </is>
      </c>
      <c r="F9" s="12" t="n">
        <v>1</v>
      </c>
      <c r="G9" s="12" t="n">
        <v>6</v>
      </c>
    </row>
    <row r="10">
      <c r="A10" s="48" t="inlineStr">
        <is>
          <t>기간 시작 (자동)</t>
        </is>
      </c>
      <c r="B10" s="51">
        <f>DATE($B$6,VLOOKUP($B$7,$E$5:$G$10,2,0),1)</f>
        <v/>
      </c>
      <c r="E10" s="12" t="inlineStr">
        <is>
          <t>2기 전체</t>
        </is>
      </c>
      <c r="F10" s="12" t="n">
        <v>7</v>
      </c>
      <c r="G10" s="12" t="n">
        <v>6</v>
      </c>
    </row>
    <row r="11">
      <c r="A11" s="48" t="inlineStr">
        <is>
          <t>기간 종료 (자동)</t>
        </is>
      </c>
      <c r="B11" s="51">
        <f>EOMONTH($B$10,$B$12-1)</f>
        <v/>
      </c>
    </row>
    <row r="12">
      <c r="A12" s="48" t="inlineStr">
        <is>
          <t>개월 수 (자동)</t>
        </is>
      </c>
      <c r="B12" s="52">
        <f>VLOOKUP($B$7,$E$5:$G$10,3,0)</f>
        <v/>
      </c>
      <c r="E12" s="2" t="inlineStr">
        <is>
          <t>※ 확정신고는 예정신고 때 신고한 3개월을 뺀 나머지 3개월(확정 구분)을 고르면 됩니다. 예정고지 대상(개인 일반과세자·소규모 법인)은 '전체'로 6개월을 한 번에 보세요.</t>
        </is>
      </c>
    </row>
  </sheetData>
  <dataValidations count="1">
    <dataValidation sqref="B7" showDropDown="0" showInputMessage="0" showErrorMessage="0" allowBlank="0" type="list">
      <formula1>"1기 예정,1기 확정,2기 예정,2기 확정,1기 전체,2기 전체"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2026-10-08T12:21:26Z</dcterms:created>
  <dcterms:modified xmlns:dcterms="http://purl.org/dc/terms/" xmlns:xsi="http://www.w3.org/2001/XMLSchema-instance" xsi:type="dcterms:W3CDTF">2026-10-08T12:21:28Z</dcterms:modified>
</cp:coreProperties>
</file>